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2"/>
  <workbookPr showInkAnnotation="0" codeName="ThisWorkbook" autoCompressPictures="0"/>
  <mc:AlternateContent xmlns:mc="http://schemas.openxmlformats.org/markup-compatibility/2006">
    <mc:Choice Requires="x15">
      <x15ac:absPath xmlns:x15ac="http://schemas.microsoft.com/office/spreadsheetml/2010/11/ac" url="C:\MyWork\LM518x Family\Updated Calculators\"/>
    </mc:Choice>
  </mc:AlternateContent>
  <xr:revisionPtr revIDLastSave="0" documentId="13_ncr:1_{1A9AFC94-3250-477E-9F6A-FC9BEB5063EB}" xr6:coauthVersionLast="36" xr6:coauthVersionMax="36" xr10:uidLastSave="{00000000-0000-0000-0000-000000000000}"/>
  <workbookProtection workbookAlgorithmName="SHA-512" workbookHashValue="VvQxaMeGoY7ay2HDPMNGTFuciRStqFZD+71J8PawTtNkd69USLaABrVxrw3BT0/2BZwrdxWmjbP0njCVn3pdNA==" workbookSaltValue="1xkRBEEt0H7o3MKTUE+3/w==" workbookSpinCount="100000" lockStructure="1"/>
  <bookViews>
    <workbookView xWindow="0" yWindow="0" windowWidth="25600" windowHeight="983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I6" i="29" l="1"/>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BB1" i="24" l="1"/>
  <c r="EF1" i="24"/>
  <c r="B111" i="2"/>
  <c r="L29" i="1"/>
  <c r="B88" i="2"/>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L12" i="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33" i="25" l="1"/>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EY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L216" i="25" l="1"/>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FB216" i="25"/>
  <c r="EK96" i="24"/>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Y110" i="24" l="1"/>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U216"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33" i="24"/>
  <c r="FJ199" i="24"/>
  <c r="FI116" i="24"/>
  <c r="FJ154" i="24"/>
  <c r="FI174" i="24"/>
  <c r="FJ131" i="24"/>
  <c r="FJ291" i="24"/>
  <c r="FI207" i="24"/>
  <c r="FI132" i="24"/>
  <c r="FI204" i="24"/>
  <c r="FJ261" i="24"/>
  <c r="FJ112" i="24"/>
  <c r="FJ136" i="24"/>
  <c r="FJ270" i="24"/>
  <c r="FJ122" i="24"/>
  <c r="FI175" i="24"/>
  <c r="FJ265" i="24"/>
  <c r="FJ17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18" i="24" l="1"/>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L110" i="24"/>
  <c r="AS110" i="24"/>
  <c r="BJ110" i="24"/>
  <c r="AQ110" i="24"/>
  <c r="BU110" i="24"/>
  <c r="AX110" i="24"/>
  <c r="BW110" i="24"/>
  <c r="DN212" i="24" l="1"/>
  <c r="DX212" i="24" s="1"/>
  <c r="DK212" i="24"/>
  <c r="DJ212" i="24"/>
  <c r="AT216" i="24"/>
  <c r="BA216" i="24" s="1"/>
  <c r="AN216" i="24"/>
  <c r="AK216" i="24"/>
  <c r="AU110" i="24"/>
  <c r="BB110" i="24" s="1"/>
  <c r="AW110" i="24"/>
  <c r="BW216" i="24" l="1"/>
  <c r="BI216" i="24"/>
  <c r="DO212" i="24"/>
  <c r="DR212" i="24"/>
  <c r="EE212" i="24"/>
  <c r="BH216" i="24"/>
  <c r="BU216" i="24"/>
  <c r="BJ216" i="24"/>
  <c r="BL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BO223" i="24" s="1"/>
  <c r="BR223" i="24" s="1"/>
  <c r="F253" i="24"/>
  <c r="F143" i="24"/>
  <c r="F160" i="24"/>
  <c r="BO160" i="24" s="1"/>
  <c r="BR160" i="24" s="1"/>
  <c r="F62" i="24"/>
  <c r="F158" i="24"/>
  <c r="BO158" i="24" s="1"/>
  <c r="BR158" i="24" s="1"/>
  <c r="F292" i="24"/>
  <c r="I292" i="24" s="1"/>
  <c r="F67" i="24"/>
  <c r="F224" i="24"/>
  <c r="F104" i="24"/>
  <c r="F22" i="24"/>
  <c r="I22" i="24" s="1"/>
  <c r="F241" i="24"/>
  <c r="BO241" i="24" s="1"/>
  <c r="BR241" i="24" s="1"/>
  <c r="F252" i="24"/>
  <c r="F114" i="24"/>
  <c r="F101" i="24"/>
  <c r="I101" i="24" s="1"/>
  <c r="F250" i="24"/>
  <c r="BO250" i="24" s="1"/>
  <c r="BR250" i="24" s="1"/>
  <c r="F165" i="24"/>
  <c r="F169" i="24"/>
  <c r="F97" i="24"/>
  <c r="F96" i="24"/>
  <c r="F14" i="24"/>
  <c r="BO14" i="24" s="1"/>
  <c r="BR14" i="24" s="1"/>
  <c r="F233" i="24"/>
  <c r="I233" i="24" s="1"/>
  <c r="F298" i="24"/>
  <c r="BO298" i="24" s="1"/>
  <c r="BR298" i="24" s="1"/>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BO277" i="24" s="1"/>
  <c r="BR277" i="24" s="1"/>
  <c r="F41" i="24"/>
  <c r="F74" i="24"/>
  <c r="BO74" i="24" s="1"/>
  <c r="BR74" i="24" s="1"/>
  <c r="F147" i="24"/>
  <c r="BO147" i="24" s="1"/>
  <c r="BR147" i="24" s="1"/>
  <c r="F261" i="24"/>
  <c r="F190" i="24"/>
  <c r="I190" i="24" s="1"/>
  <c r="F159" i="24"/>
  <c r="F286" i="24"/>
  <c r="F259" i="24"/>
  <c r="BO259" i="24" s="1"/>
  <c r="BR259" i="24" s="1"/>
  <c r="F77" i="24"/>
  <c r="F21" i="24"/>
  <c r="I21" i="24" s="1"/>
  <c r="F88" i="24"/>
  <c r="F56" i="24"/>
  <c r="F24" i="24"/>
  <c r="BO24" i="24" s="1"/>
  <c r="BR24" i="24" s="1"/>
  <c r="F38" i="24"/>
  <c r="F6" i="24"/>
  <c r="BO6" i="24" s="1"/>
  <c r="BR6" i="24" s="1"/>
  <c r="F134" i="24"/>
  <c r="F225" i="24"/>
  <c r="F268" i="24"/>
  <c r="F274" i="24"/>
  <c r="BO274" i="24" s="1"/>
  <c r="BR274" i="24" s="1"/>
  <c r="F130" i="24"/>
  <c r="F132" i="24"/>
  <c r="I132" i="24" s="1"/>
  <c r="F75" i="24"/>
  <c r="BO75" i="24" s="1"/>
  <c r="BR75" i="24" s="1"/>
  <c r="F129" i="24"/>
  <c r="BO129" i="24" s="1"/>
  <c r="BR129" i="24" s="1"/>
  <c r="F162" i="24"/>
  <c r="I162" i="24" s="1"/>
  <c r="F266" i="24"/>
  <c r="F296" i="24"/>
  <c r="F206" i="24"/>
  <c r="BO206" i="24" s="1"/>
  <c r="BR206" i="24" s="1"/>
  <c r="F192" i="24"/>
  <c r="BO192" i="24" s="1"/>
  <c r="BR192" i="24" s="1"/>
  <c r="F251" i="24"/>
  <c r="BO251" i="24" s="1"/>
  <c r="BR251" i="24" s="1"/>
  <c r="F71" i="24"/>
  <c r="F39" i="24"/>
  <c r="F7" i="24"/>
  <c r="I7" i="24" s="1"/>
  <c r="F94" i="24"/>
  <c r="BO94" i="24" s="1"/>
  <c r="BR94" i="24" s="1"/>
  <c r="F125" i="24"/>
  <c r="BO125" i="24" s="1"/>
  <c r="BR125" i="24" s="1"/>
  <c r="F281" i="24"/>
  <c r="BO281" i="24" s="1"/>
  <c r="BR281" i="24" s="1"/>
  <c r="F254" i="24"/>
  <c r="F228" i="24"/>
  <c r="BO228" i="24" s="1"/>
  <c r="BR228" i="24" s="1"/>
  <c r="F194" i="24"/>
  <c r="BO194" i="24" s="1"/>
  <c r="BR194" i="24" s="1"/>
  <c r="F12" i="24"/>
  <c r="F99" i="24"/>
  <c r="F117" i="24"/>
  <c r="F186" i="24"/>
  <c r="F133" i="24"/>
  <c r="F246" i="24"/>
  <c r="F118" i="24"/>
  <c r="F243" i="24"/>
  <c r="BO243" i="24" s="1"/>
  <c r="BR243" i="24" s="1"/>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BO302" i="24" s="1"/>
  <c r="BR302" i="24" s="1"/>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BO307" i="24" s="1"/>
  <c r="BR307" i="24" s="1"/>
  <c r="F83" i="24"/>
  <c r="BO83" i="24" s="1"/>
  <c r="BR83" i="24" s="1"/>
  <c r="F19" i="24"/>
  <c r="F170" i="24"/>
  <c r="F304" i="24"/>
  <c r="F205" i="24"/>
  <c r="F70" i="24"/>
  <c r="BO70" i="24" s="1"/>
  <c r="BR70" i="24" s="1"/>
  <c r="F131" i="24"/>
  <c r="BO131" i="24" s="1"/>
  <c r="BR131" i="24" s="1"/>
  <c r="F123" i="24"/>
  <c r="F201" i="24"/>
  <c r="F255" i="24"/>
  <c r="F52" i="24"/>
  <c r="F37" i="24"/>
  <c r="F285" i="24"/>
  <c r="BO285" i="24" s="1"/>
  <c r="BR285" i="24" s="1"/>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BO291" i="24" s="1"/>
  <c r="BR291" i="24" s="1"/>
  <c r="F102" i="24"/>
  <c r="F257" i="24"/>
  <c r="I257" i="24" s="1"/>
  <c r="M257" i="24" s="1"/>
  <c r="N257" i="24" s="1"/>
  <c r="F151" i="24"/>
  <c r="F164" i="24"/>
  <c r="BO164" i="24" s="1"/>
  <c r="BR164" i="24" s="1"/>
  <c r="F84" i="24"/>
  <c r="F20" i="24"/>
  <c r="F120" i="24"/>
  <c r="F141" i="24"/>
  <c r="F126" i="24"/>
  <c r="BO126" i="24" s="1"/>
  <c r="BR126" i="24" s="1"/>
  <c r="F283" i="24"/>
  <c r="BO283" i="24" s="1"/>
  <c r="BR283" i="24" s="1"/>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BO284" i="24" s="1"/>
  <c r="BR284" i="24" s="1"/>
  <c r="F311" i="24"/>
  <c r="BO311" i="24" s="1"/>
  <c r="BR311" i="24" s="1"/>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BO275" i="24" s="1"/>
  <c r="BR275" i="24" s="1"/>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I264" i="24" s="1"/>
  <c r="F219" i="24"/>
  <c r="F57" i="24"/>
  <c r="F80" i="24"/>
  <c r="F294" i="24"/>
  <c r="I294" i="24" s="1"/>
  <c r="F197" i="24"/>
  <c r="F189" i="24"/>
  <c r="F49" i="24"/>
  <c r="F93" i="24"/>
  <c r="F154" i="24"/>
  <c r="F288" i="24"/>
  <c r="F184" i="24"/>
  <c r="F40" i="24"/>
  <c r="F305" i="24"/>
  <c r="F316" i="24"/>
  <c r="F203" i="24"/>
  <c r="F139" i="24"/>
  <c r="F222" i="24"/>
  <c r="F235" i="24"/>
  <c r="BO235" i="24" s="1"/>
  <c r="BR235" i="24" s="1"/>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I236" i="24" s="1"/>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Q218" i="25" l="1"/>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BK294" i="24"/>
  <c r="S294" i="24"/>
  <c r="T29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K233" i="24"/>
  <c r="S233" i="24"/>
  <c r="T233"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CE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M294" i="24"/>
  <c r="N294" i="24" s="1"/>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CE294" i="24"/>
  <c r="K294" i="24"/>
  <c r="CF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K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U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E298" i="24"/>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BQ227" i="25" l="1"/>
  <c r="N190" i="25"/>
  <c r="T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U233" i="24"/>
  <c r="V233" i="24" s="1"/>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U294" i="24"/>
  <c r="V294" i="24" s="1"/>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U264" i="24"/>
  <c r="V264" i="24" s="1"/>
  <c r="L199" i="25"/>
  <c r="BQ145" i="25"/>
  <c r="BQ190" i="25"/>
  <c r="N41" i="24"/>
  <c r="AP41" i="24" s="1"/>
  <c r="U41" i="24"/>
  <c r="V41" i="24" s="1"/>
  <c r="BQ194" i="25"/>
  <c r="K200" i="24"/>
  <c r="K193" i="24"/>
  <c r="K237" i="24"/>
  <c r="K306" i="24"/>
  <c r="K313" i="24"/>
  <c r="M77" i="24"/>
  <c r="N77" i="24" s="1"/>
  <c r="AP77" i="24" s="1"/>
  <c r="N96" i="25"/>
  <c r="T96" i="25" s="1"/>
  <c r="U96" i="25" s="1"/>
  <c r="K248" i="24"/>
  <c r="U225" i="24"/>
  <c r="V225" i="24" s="1"/>
  <c r="K279" i="24"/>
  <c r="K234" i="24"/>
  <c r="BQ182" i="25"/>
  <c r="L6" i="25"/>
  <c r="M285" i="24"/>
  <c r="N285" i="24" s="1"/>
  <c r="AP285" i="24" s="1"/>
  <c r="K205" i="24"/>
  <c r="K307" i="24"/>
  <c r="BQ71" i="25"/>
  <c r="K182" i="24"/>
  <c r="L167" i="25"/>
  <c r="BQ254" i="25"/>
  <c r="K246" i="24"/>
  <c r="M84" i="24"/>
  <c r="N84" i="24" s="1"/>
  <c r="Q84" i="24" s="1"/>
  <c r="R84" i="24" s="1"/>
  <c r="BQ235" i="25"/>
  <c r="K227" i="24"/>
  <c r="BQ268" i="25"/>
  <c r="U236" i="24"/>
  <c r="V236" i="24" s="1"/>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292" i="24"/>
  <c r="V292"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U303" i="24"/>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U268"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U248" i="24"/>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U227" i="24"/>
  <c r="N218" i="24"/>
  <c r="AP218" i="24" s="1"/>
  <c r="U218" i="24"/>
  <c r="N310" i="24"/>
  <c r="U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272" i="24"/>
  <c r="U14" i="24"/>
  <c r="AH257" i="25"/>
  <c r="AH141" i="25"/>
  <c r="AH168" i="25"/>
  <c r="P283" i="25"/>
  <c r="O283" i="25"/>
  <c r="AO283" i="25" s="1"/>
  <c r="T283" i="25"/>
  <c r="P167" i="25"/>
  <c r="O167" i="25"/>
  <c r="AO167" i="25" s="1"/>
  <c r="T167" i="25"/>
  <c r="N313" i="24"/>
  <c r="AP313" i="24" s="1"/>
  <c r="U313" i="24"/>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U226" i="24"/>
  <c r="N287" i="24"/>
  <c r="AP287" i="24" s="1"/>
  <c r="U287" i="24"/>
  <c r="P247" i="25"/>
  <c r="O247" i="25"/>
  <c r="AO247" i="25" s="1"/>
  <c r="P161" i="25"/>
  <c r="O161" i="25"/>
  <c r="AO161" i="25" s="1"/>
  <c r="N306" i="24"/>
  <c r="U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U231" i="24"/>
  <c r="P150" i="24"/>
  <c r="Q150" i="24"/>
  <c r="N279" i="24"/>
  <c r="AP279" i="24" s="1"/>
  <c r="U279" i="24"/>
  <c r="N234" i="24"/>
  <c r="AP234" i="24" s="1"/>
  <c r="U234" i="24"/>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AP294" i="24"/>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N297" i="24" s="1"/>
  <c r="M244" i="24"/>
  <c r="N244" i="24" s="1"/>
  <c r="AP244" i="24" s="1"/>
  <c r="N124" i="25"/>
  <c r="T124" i="25" s="1"/>
  <c r="M245" i="24"/>
  <c r="N245" i="24" s="1"/>
  <c r="P293" i="25"/>
  <c r="O293" i="25"/>
  <c r="N220" i="25"/>
  <c r="M275" i="24"/>
  <c r="N275" i="24" s="1"/>
  <c r="AP275" i="24" s="1"/>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U307" i="24"/>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P294" i="24"/>
  <c r="Q294" i="24"/>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U238" i="24"/>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P262" i="25"/>
  <c r="BI302" i="25"/>
  <c r="BI262" i="25"/>
  <c r="J233" i="24"/>
  <c r="O233" i="24"/>
  <c r="BZ233" i="24" s="1"/>
  <c r="P132" i="24"/>
  <c r="Q132" i="24"/>
  <c r="M255" i="24"/>
  <c r="N26" i="25"/>
  <c r="AP290" i="24"/>
  <c r="L221" i="25"/>
  <c r="U270" i="24"/>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U237" i="24"/>
  <c r="BQ62" i="25"/>
  <c r="BQ92" i="25"/>
  <c r="L85" i="25"/>
  <c r="BI127" i="25"/>
  <c r="N127" i="25"/>
  <c r="T127" i="25" s="1"/>
  <c r="AH153" i="25"/>
  <c r="AH196" i="25"/>
  <c r="P61" i="24"/>
  <c r="Q61" i="24"/>
  <c r="R61" i="24" s="1"/>
  <c r="BK288" i="24"/>
  <c r="S288" i="24"/>
  <c r="T288" i="24" s="1"/>
  <c r="M288" i="24"/>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U219"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L266" i="25"/>
  <c r="BK309" i="24"/>
  <c r="S309" i="24"/>
  <c r="T309" i="24" s="1"/>
  <c r="M309" i="24"/>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U271" i="24"/>
  <c r="K271" i="24"/>
  <c r="L307" i="25"/>
  <c r="K300" i="24"/>
  <c r="L289" i="25"/>
  <c r="K183" i="24"/>
  <c r="BI240" i="25"/>
  <c r="AP238" i="24"/>
  <c r="K238" i="24"/>
  <c r="AH242" i="25"/>
  <c r="BI158" i="25"/>
  <c r="AH158" i="25"/>
  <c r="BK310" i="24"/>
  <c r="S310" i="24"/>
  <c r="T310" i="24" s="1"/>
  <c r="BI113" i="25"/>
  <c r="M280" i="24"/>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U290" i="24"/>
  <c r="AH221" i="25"/>
  <c r="L278" i="25"/>
  <c r="AP270" i="24"/>
  <c r="U312"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BI301" i="25"/>
  <c r="N301" i="25"/>
  <c r="BI76" i="25"/>
  <c r="N76" i="25"/>
  <c r="AH76" i="25"/>
  <c r="K189" i="24"/>
  <c r="L191" i="25"/>
  <c r="AH303" i="25"/>
  <c r="BK229" i="24"/>
  <c r="S229" i="24"/>
  <c r="T229" i="24" s="1"/>
  <c r="M229" i="24"/>
  <c r="BQ136" i="25"/>
  <c r="U121" i="24"/>
  <c r="AP72" i="24"/>
  <c r="N295" i="25"/>
  <c r="N272" i="25"/>
  <c r="N138" i="25"/>
  <c r="N101" i="25"/>
  <c r="M242" i="24"/>
  <c r="N242" i="24" s="1"/>
  <c r="N298" i="25"/>
  <c r="M220" i="24"/>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AP224" i="24" l="1"/>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AP297"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U252" i="24"/>
  <c r="V252" i="24" s="1"/>
  <c r="O155" i="25"/>
  <c r="AO155" i="25" s="1"/>
  <c r="P155" i="25"/>
  <c r="AP241" i="24"/>
  <c r="AP178" i="24"/>
  <c r="U87" i="24"/>
  <c r="V87" i="24" s="1"/>
  <c r="W233" i="24"/>
  <c r="Y233" i="24" s="1"/>
  <c r="O96" i="25"/>
  <c r="U286" i="24"/>
  <c r="V286" i="24" s="1"/>
  <c r="P96" i="25"/>
  <c r="T154" i="25"/>
  <c r="U154" i="25" s="1"/>
  <c r="Q286" i="24"/>
  <c r="P286" i="24"/>
  <c r="Q252" i="24"/>
  <c r="U258" i="24"/>
  <c r="V258" i="24" s="1"/>
  <c r="P77" i="24"/>
  <c r="Q77" i="24"/>
  <c r="R77" i="24" s="1"/>
  <c r="Q285" i="24"/>
  <c r="P137" i="24"/>
  <c r="U305" i="24"/>
  <c r="V305" i="24" s="1"/>
  <c r="P246" i="24"/>
  <c r="P285" i="24"/>
  <c r="AP137" i="24"/>
  <c r="AP84" i="24"/>
  <c r="Q246" i="24"/>
  <c r="U137" i="24"/>
  <c r="V137" i="24" s="1"/>
  <c r="P84" i="24"/>
  <c r="U74" i="24"/>
  <c r="V74" i="24" s="1"/>
  <c r="BZ147" i="25"/>
  <c r="O154" i="25"/>
  <c r="AO154" i="25" s="1"/>
  <c r="U118" i="24"/>
  <c r="V118" i="24" s="1"/>
  <c r="U281" i="24"/>
  <c r="V281" i="24" s="1"/>
  <c r="U276" i="24"/>
  <c r="V276" i="24" s="1"/>
  <c r="W264" i="24"/>
  <c r="Y264" i="24" s="1"/>
  <c r="P276" i="24"/>
  <c r="P189" i="25"/>
  <c r="Q276" i="24"/>
  <c r="Q143" i="25"/>
  <c r="N223" i="24"/>
  <c r="AP223" i="24" s="1"/>
  <c r="U12" i="24"/>
  <c r="V12" i="24" s="1"/>
  <c r="U254" i="24"/>
  <c r="V254" i="24" s="1"/>
  <c r="AP170" i="24"/>
  <c r="BZ114" i="25"/>
  <c r="U35" i="24"/>
  <c r="V35" i="24" s="1"/>
  <c r="U60" i="24"/>
  <c r="V60" i="24" s="1"/>
  <c r="U230" i="24"/>
  <c r="V230" i="24" s="1"/>
  <c r="O97" i="25"/>
  <c r="AP166" i="24"/>
  <c r="Q157" i="24"/>
  <c r="Q289" i="24"/>
  <c r="AP289" i="24"/>
  <c r="P157" i="24"/>
  <c r="U251" i="24"/>
  <c r="V251" i="24" s="1"/>
  <c r="O29" i="25"/>
  <c r="R29" i="25" s="1"/>
  <c r="P251" i="24"/>
  <c r="U152" i="24"/>
  <c r="V152" i="24" s="1"/>
  <c r="AO92" i="25"/>
  <c r="P29" i="25"/>
  <c r="P134" i="24"/>
  <c r="U157" i="24"/>
  <c r="V157" i="24" s="1"/>
  <c r="Q251" i="24"/>
  <c r="BZ174" i="25"/>
  <c r="Q134" i="24"/>
  <c r="U178" i="24"/>
  <c r="V178" i="24" s="1"/>
  <c r="U289" i="24"/>
  <c r="V289" i="24" s="1"/>
  <c r="AP274" i="24"/>
  <c r="R143" i="25"/>
  <c r="S143" i="25"/>
  <c r="K143" i="25" s="1"/>
  <c r="V143" i="25" s="1"/>
  <c r="X143" i="25" s="1"/>
  <c r="BZ143" i="25"/>
  <c r="BZ267" i="25"/>
  <c r="O189" i="25"/>
  <c r="AO189" i="25" s="1"/>
  <c r="BZ292" i="25"/>
  <c r="P97" i="25"/>
  <c r="U81" i="24"/>
  <c r="V81" i="24" s="1"/>
  <c r="U284" i="24"/>
  <c r="V284" i="24" s="1"/>
  <c r="O265" i="25"/>
  <c r="AO265" i="25" s="1"/>
  <c r="U207" i="24"/>
  <c r="V207" i="24" s="1"/>
  <c r="U302" i="24"/>
  <c r="V302" i="24" s="1"/>
  <c r="AP167" i="24"/>
  <c r="P265" i="25"/>
  <c r="U267" i="24"/>
  <c r="V267" i="24" s="1"/>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U269" i="24"/>
  <c r="V269" i="24" s="1"/>
  <c r="BZ293" i="25"/>
  <c r="U11" i="24"/>
  <c r="V11" i="24" s="1"/>
  <c r="U314" i="24"/>
  <c r="V314"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278" i="24"/>
  <c r="V27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U217" i="24"/>
  <c r="V217" i="24" s="1"/>
  <c r="AO89" i="25"/>
  <c r="U274" i="24"/>
  <c r="V274" i="24" s="1"/>
  <c r="U311" i="24"/>
  <c r="V311" i="24" s="1"/>
  <c r="U253" i="24"/>
  <c r="V253" i="24" s="1"/>
  <c r="U15" i="24"/>
  <c r="V15" i="24" s="1"/>
  <c r="BZ34" i="25"/>
  <c r="U296" i="24"/>
  <c r="V296" i="24" s="1"/>
  <c r="U37" i="24"/>
  <c r="P41" i="24"/>
  <c r="Q41" i="24"/>
  <c r="R41" i="24" s="1"/>
  <c r="U77" i="24"/>
  <c r="V77" i="24" s="1"/>
  <c r="U50" i="24"/>
  <c r="V50" i="24" s="1"/>
  <c r="U128" i="24"/>
  <c r="V128" i="24" s="1"/>
  <c r="U273" i="24"/>
  <c r="V273" i="24" s="1"/>
  <c r="BZ275" i="25"/>
  <c r="U224" i="24"/>
  <c r="V224" i="24" s="1"/>
  <c r="U84" i="24"/>
  <c r="V84" i="24" s="1"/>
  <c r="U56" i="24"/>
  <c r="V56" i="24" s="1"/>
  <c r="U285" i="24"/>
  <c r="V285" i="24" s="1"/>
  <c r="U265" i="24"/>
  <c r="V265" i="24" s="1"/>
  <c r="U134" i="24"/>
  <c r="V134" i="24" s="1"/>
  <c r="U246" i="24"/>
  <c r="V246"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U220" i="24"/>
  <c r="J88" i="24"/>
  <c r="O88" i="24"/>
  <c r="BZ88" i="24" s="1"/>
  <c r="U7" i="25"/>
  <c r="U20" i="25"/>
  <c r="U180" i="25"/>
  <c r="P240" i="24"/>
  <c r="Q240" i="24"/>
  <c r="Q256" i="24"/>
  <c r="P256" i="24"/>
  <c r="J19" i="24"/>
  <c r="W19" i="24" s="1"/>
  <c r="O19" i="24"/>
  <c r="BZ19" i="24" s="1"/>
  <c r="P138" i="25"/>
  <c r="O138" i="25"/>
  <c r="T138" i="25"/>
  <c r="N229" i="24"/>
  <c r="U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U266" i="24"/>
  <c r="P218" i="25"/>
  <c r="O218" i="25"/>
  <c r="T218" i="25"/>
  <c r="P188" i="25"/>
  <c r="O188" i="25"/>
  <c r="T188" i="25"/>
  <c r="N100" i="24"/>
  <c r="U100" i="24"/>
  <c r="N39" i="24"/>
  <c r="U39" i="24"/>
  <c r="J251" i="24"/>
  <c r="O251" i="24"/>
  <c r="BZ251" i="24" s="1"/>
  <c r="U291" i="24"/>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U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42" i="25"/>
  <c r="CF150" i="25"/>
  <c r="CE141" i="25"/>
  <c r="CE114" i="25"/>
  <c r="CE119" i="25"/>
  <c r="CF133" i="25"/>
  <c r="CE140" i="25"/>
  <c r="CF158" i="25"/>
  <c r="CE167" i="25"/>
  <c r="CE150" i="25"/>
  <c r="CF157" i="25"/>
  <c r="CE128" i="25"/>
  <c r="CE124" i="25"/>
  <c r="CF178" i="25"/>
  <c r="CE146" i="25"/>
  <c r="CE133" i="25"/>
  <c r="CF127" i="25"/>
  <c r="CF140" i="25"/>
  <c r="CE123" i="25"/>
  <c r="CE158" i="25"/>
  <c r="CF188" i="25"/>
  <c r="CE157" i="25"/>
  <c r="CF122" i="25"/>
  <c r="CF136" i="25"/>
  <c r="CE155" i="25"/>
  <c r="CE178" i="25"/>
  <c r="CF131" i="25"/>
  <c r="CE149" i="25"/>
  <c r="CE197" i="25"/>
  <c r="CE188" i="25"/>
  <c r="CE139" i="25"/>
  <c r="CF146" i="25"/>
  <c r="CE127" i="25"/>
  <c r="CF149" i="25"/>
  <c r="CE134" i="25"/>
  <c r="CE131" i="25"/>
  <c r="CF134" i="25"/>
  <c r="CE144" i="25"/>
  <c r="CF148" i="25"/>
  <c r="CE122" i="25"/>
  <c r="CE143" i="25"/>
  <c r="CF139" i="25"/>
  <c r="CF155" i="25"/>
  <c r="CF124"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U297"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U283" i="24"/>
  <c r="N94" i="24"/>
  <c r="U94" i="24"/>
  <c r="P168" i="25"/>
  <c r="O168" i="25"/>
  <c r="V79" i="24"/>
  <c r="U235"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U240" i="24"/>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U239" i="24"/>
  <c r="O89" i="24"/>
  <c r="BZ89" i="24" s="1"/>
  <c r="J89" i="24"/>
  <c r="N262" i="24"/>
  <c r="U262" i="24"/>
  <c r="Q217" i="24"/>
  <c r="P217" i="24"/>
  <c r="AP300" i="24"/>
  <c r="N277" i="24"/>
  <c r="U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U242" i="24"/>
  <c r="O288" i="24"/>
  <c r="BZ288" i="24" s="1"/>
  <c r="J288" i="24"/>
  <c r="O92" i="24"/>
  <c r="BZ92" i="24" s="1"/>
  <c r="J92" i="24"/>
  <c r="O295" i="24"/>
  <c r="BZ295" i="24" s="1"/>
  <c r="J295" i="24"/>
  <c r="N145" i="24"/>
  <c r="U145" i="24"/>
  <c r="N308" i="24"/>
  <c r="U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U222" i="24"/>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U244"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309" i="24"/>
  <c r="U176" i="25"/>
  <c r="J280" i="24"/>
  <c r="O280" i="24"/>
  <c r="BZ280" i="24" s="1"/>
  <c r="P266" i="25"/>
  <c r="O266" i="25"/>
  <c r="P55" i="25"/>
  <c r="O55" i="25"/>
  <c r="P102" i="25"/>
  <c r="O102" i="25"/>
  <c r="AE294" i="24"/>
  <c r="X294" i="24"/>
  <c r="AA294" i="24" s="1"/>
  <c r="AB294" i="24" s="1"/>
  <c r="AC294" i="24" s="1"/>
  <c r="AI294" i="24"/>
  <c r="N316" i="24"/>
  <c r="U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W294" i="24"/>
  <c r="Y294" i="24" s="1"/>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U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U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304"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U261" i="24"/>
  <c r="J37" i="24"/>
  <c r="O37" i="24"/>
  <c r="BZ37" i="24" s="1"/>
  <c r="Q90" i="24"/>
  <c r="R90" i="24" s="1"/>
  <c r="P90" i="24"/>
  <c r="U113" i="25"/>
  <c r="R147" i="25"/>
  <c r="S147" i="25"/>
  <c r="K147" i="25" s="1"/>
  <c r="V147" i="25" s="1"/>
  <c r="Q147" i="25"/>
  <c r="U241" i="24"/>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U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U249" i="24"/>
  <c r="P41" i="25"/>
  <c r="O41" i="25"/>
  <c r="T41" i="25"/>
  <c r="P123" i="25"/>
  <c r="O123" i="25"/>
  <c r="T123" i="25"/>
  <c r="U300" i="24"/>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U315" i="24"/>
  <c r="P251" i="25"/>
  <c r="O251" i="25"/>
  <c r="T251" i="25"/>
  <c r="U316" i="25"/>
  <c r="N247" i="24"/>
  <c r="U247" i="24"/>
  <c r="U17" i="24"/>
  <c r="J86" i="24"/>
  <c r="W86" i="24" s="1"/>
  <c r="O86" i="24"/>
  <c r="BZ86" i="24" s="1"/>
  <c r="O161" i="24"/>
  <c r="BZ161" i="24" s="1"/>
  <c r="J161" i="24"/>
  <c r="P209" i="25"/>
  <c r="O209" i="25"/>
  <c r="T209" i="25"/>
  <c r="U133" i="25"/>
  <c r="U301" i="24"/>
  <c r="P277" i="25"/>
  <c r="O277" i="25"/>
  <c r="T277" i="25"/>
  <c r="T289" i="25"/>
  <c r="N187" i="24"/>
  <c r="U187" i="24"/>
  <c r="P219" i="25"/>
  <c r="O219" i="25"/>
  <c r="T219" i="25"/>
  <c r="Q253" i="24"/>
  <c r="P253" i="24"/>
  <c r="J232" i="24"/>
  <c r="O232" i="24"/>
  <c r="BZ232" i="24" s="1"/>
  <c r="U120" i="25"/>
  <c r="U256" i="24"/>
  <c r="P245" i="24"/>
  <c r="Q245" i="24"/>
  <c r="O72" i="24"/>
  <c r="BZ72" i="24" s="1"/>
  <c r="J72" i="24"/>
  <c r="W72" i="24" s="1"/>
  <c r="P56" i="25"/>
  <c r="O56" i="25"/>
  <c r="T56" i="25"/>
  <c r="Q189" i="24"/>
  <c r="P189" i="24"/>
  <c r="P60" i="25"/>
  <c r="O60" i="25"/>
  <c r="U151" i="24"/>
  <c r="J128" i="24"/>
  <c r="O128" i="24"/>
  <c r="BZ128" i="24" s="1"/>
  <c r="O278" i="24"/>
  <c r="BZ278" i="24" s="1"/>
  <c r="J278" i="24"/>
  <c r="U293"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U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U295" i="24"/>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U243" i="24"/>
  <c r="P301" i="25"/>
  <c r="O301" i="25"/>
  <c r="T301" i="25"/>
  <c r="Q222" i="24"/>
  <c r="P222" i="24"/>
  <c r="N280" i="24"/>
  <c r="U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U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U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U260" i="24"/>
  <c r="P156" i="25"/>
  <c r="O156" i="25"/>
  <c r="T156" i="25"/>
  <c r="U33" i="25"/>
  <c r="AP240" i="24"/>
  <c r="U171" i="24"/>
  <c r="T121" i="25"/>
  <c r="J279" i="24"/>
  <c r="W279" i="24" s="1"/>
  <c r="O279" i="24"/>
  <c r="BZ279" i="24" s="1"/>
  <c r="O200" i="24"/>
  <c r="BZ200" i="24" s="1"/>
  <c r="J200" i="24"/>
  <c r="W200" i="24" s="1"/>
  <c r="P117" i="25"/>
  <c r="O117" i="25"/>
  <c r="P297" i="25"/>
  <c r="O297" i="25"/>
  <c r="T297" i="25"/>
  <c r="N259" i="24"/>
  <c r="U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U275" i="24"/>
  <c r="O90" i="24"/>
  <c r="BZ90" i="24" s="1"/>
  <c r="J90" i="24"/>
  <c r="P227" i="25"/>
  <c r="O227" i="25"/>
  <c r="AP201" i="24"/>
  <c r="P183" i="25"/>
  <c r="O183" i="25"/>
  <c r="T183" i="25"/>
  <c r="P140" i="25"/>
  <c r="O140" i="25"/>
  <c r="T140" i="25"/>
  <c r="T101" i="25"/>
  <c r="P115" i="24"/>
  <c r="Q115" i="24"/>
  <c r="U24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U221"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U250" i="24"/>
  <c r="J170" i="24"/>
  <c r="O170" i="24"/>
  <c r="BZ170" i="24" s="1"/>
  <c r="W119" i="24"/>
  <c r="Y119" i="24" s="1"/>
  <c r="V142" i="24"/>
  <c r="W142" i="24"/>
  <c r="P42" i="25"/>
  <c r="O42" i="25"/>
  <c r="U159" i="24"/>
  <c r="U299" i="24"/>
  <c r="P10" i="24"/>
  <c r="Q10" i="24"/>
  <c r="R10" i="24" s="1"/>
  <c r="V130" i="24"/>
  <c r="V268" i="24"/>
  <c r="J261" i="24"/>
  <c r="O261" i="24"/>
  <c r="BZ261" i="24" s="1"/>
  <c r="Q303" i="24"/>
  <c r="P303" i="24"/>
  <c r="R240" i="25"/>
  <c r="S240" i="25"/>
  <c r="K240" i="25" s="1"/>
  <c r="V240" i="25" s="1"/>
  <c r="Q240" i="25"/>
  <c r="V97" i="24"/>
  <c r="T105" i="25"/>
  <c r="W292" i="24"/>
  <c r="Y292" i="24" s="1"/>
  <c r="R262" i="25" l="1"/>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65" i="25"/>
  <c r="CE241" i="25"/>
  <c r="CE222" i="25"/>
  <c r="CE217" i="25"/>
  <c r="CE278" i="25"/>
  <c r="CE248" i="25"/>
  <c r="CE261" i="25"/>
  <c r="CE293" i="25"/>
  <c r="CE304" i="25"/>
  <c r="CE271" i="25"/>
  <c r="CE257" i="25"/>
  <c r="CE253" i="25"/>
  <c r="CE301" i="25"/>
  <c r="CE244" i="25"/>
  <c r="CE262" i="25"/>
  <c r="CE255" i="25"/>
  <c r="CE256" i="25"/>
  <c r="CE225" i="25"/>
  <c r="CE254" i="25"/>
  <c r="CE276" i="25"/>
  <c r="CE290" i="25"/>
  <c r="CE236" i="25"/>
  <c r="CE298" i="25"/>
  <c r="CE275" i="25"/>
  <c r="CE282" i="25"/>
  <c r="CE224" i="25"/>
  <c r="CE249" i="25"/>
  <c r="CE240" i="25"/>
  <c r="CE277" i="25"/>
  <c r="CE238" i="25"/>
  <c r="CE266" i="25"/>
  <c r="CE226" i="25"/>
  <c r="CE250" i="25"/>
  <c r="CE296" i="25"/>
  <c r="CE234" i="25"/>
  <c r="CE285" i="25"/>
  <c r="CE264" i="25"/>
  <c r="CE289" i="25"/>
  <c r="CE297" i="25"/>
  <c r="CE273" i="25"/>
  <c r="CE259" i="25"/>
  <c r="CE263" i="25"/>
  <c r="CE291" i="25"/>
  <c r="CE227" i="25"/>
  <c r="CE230" i="25"/>
  <c r="CE229" i="25"/>
  <c r="CE247" i="25"/>
  <c r="CE251" i="25"/>
  <c r="CE232" i="25"/>
  <c r="CE237" i="25"/>
  <c r="CE288" i="25"/>
  <c r="CE312" i="25"/>
  <c r="CE233" i="25"/>
  <c r="CE308" i="25"/>
  <c r="CE220" i="25"/>
  <c r="CE281" i="25"/>
  <c r="CE246" i="25"/>
  <c r="CE239" i="25"/>
  <c r="CE315"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BI294" i="24" s="1"/>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AX264" i="24" l="1"/>
  <c r="BI264" i="24"/>
  <c r="CE119" i="24"/>
  <c r="BI119" i="24"/>
  <c r="CE233" i="24"/>
  <c r="BI233" i="24"/>
  <c r="AX142" i="24"/>
  <c r="BI142" i="24"/>
  <c r="BL142" i="24" s="1"/>
  <c r="BU236" i="24"/>
  <c r="BI236" i="24"/>
  <c r="BL236" i="24" s="1"/>
  <c r="CE132" i="24"/>
  <c r="BI132" i="24"/>
  <c r="BL132" i="24" s="1"/>
  <c r="CE162" i="24"/>
  <c r="BI162" i="24"/>
  <c r="BU292" i="24"/>
  <c r="BI292" i="24"/>
  <c r="CE191" i="24"/>
  <c r="BI191" i="24"/>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AK261" i="24"/>
  <c r="BA220" i="24"/>
  <c r="AX31" i="25"/>
  <c r="AW31" i="25"/>
  <c r="BA154" i="24"/>
  <c r="AS202" i="25"/>
  <c r="AS185" i="25"/>
  <c r="AN48" i="24"/>
  <c r="AK48" i="24"/>
  <c r="AS269" i="25"/>
  <c r="AT232" i="24"/>
  <c r="BA165" i="24"/>
  <c r="AS120" i="25"/>
  <c r="AJ59" i="25"/>
  <c r="AM59" i="25"/>
  <c r="BG59" i="25" s="1"/>
  <c r="AS58" i="25"/>
  <c r="AX131" i="25"/>
  <c r="AW131" i="25"/>
  <c r="AN235" i="24"/>
  <c r="AK235" i="24"/>
  <c r="AF146" i="25"/>
  <c r="AE146" i="25"/>
  <c r="AT248" i="24"/>
  <c r="AJ257" i="25"/>
  <c r="AM257" i="25"/>
  <c r="BG257" i="25" s="1"/>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M155" i="25"/>
  <c r="BG155" i="25" s="1"/>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BI175" i="24" s="1"/>
  <c r="AX29" i="25"/>
  <c r="AW29" i="25"/>
  <c r="AN171" i="24"/>
  <c r="BI171" i="24" s="1"/>
  <c r="AK171" i="24"/>
  <c r="AW198" i="25"/>
  <c r="AX198" i="25"/>
  <c r="AS20" i="25"/>
  <c r="BL233" i="24"/>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BI188" i="24" s="1"/>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BI150" i="24" s="1"/>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BG31" i="25" s="1"/>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AW147" i="25"/>
  <c r="AX147" i="25"/>
  <c r="AS88" i="25"/>
  <c r="AF66" i="25"/>
  <c r="AE66" i="25"/>
  <c r="BL191" i="24"/>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BI270" i="24" s="1"/>
  <c r="AK270" i="24"/>
  <c r="AN255" i="24"/>
  <c r="BI255" i="24" s="1"/>
  <c r="AK255" i="24"/>
  <c r="AS98" i="25"/>
  <c r="AS209" i="25"/>
  <c r="AT260" i="24"/>
  <c r="AF74" i="25"/>
  <c r="AE74" i="25"/>
  <c r="AS150" i="25"/>
  <c r="AS188" i="25"/>
  <c r="AF15" i="25"/>
  <c r="AE15" i="25"/>
  <c r="AK172" i="24"/>
  <c r="AN172" i="24"/>
  <c r="BI172" i="24" s="1"/>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L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BA67" i="24"/>
  <c r="AF101" i="25"/>
  <c r="AE101" i="25"/>
  <c r="AS139" i="25"/>
  <c r="AS297" i="25"/>
  <c r="AS216" i="25"/>
  <c r="AN115" i="24"/>
  <c r="BI115" i="24" s="1"/>
  <c r="AK115" i="24"/>
  <c r="AJ261" i="25"/>
  <c r="AM261" i="25"/>
  <c r="BG261" i="25" s="1"/>
  <c r="AK222" i="24"/>
  <c r="AN222" i="24"/>
  <c r="BI222" i="24" s="1"/>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BG296" i="25" s="1"/>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BL119"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AK65" i="24"/>
  <c r="AS78" i="25"/>
  <c r="AK14" i="24"/>
  <c r="AN14" i="24"/>
  <c r="BI14" i="24" s="1"/>
  <c r="AM189" i="25"/>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BI174" i="24" s="1"/>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AK69" i="24"/>
  <c r="AF309" i="25"/>
  <c r="AE309" i="25"/>
  <c r="AW173" i="25"/>
  <c r="AX173" i="25"/>
  <c r="AF23" i="25"/>
  <c r="AE23" i="25"/>
  <c r="AM201" i="25"/>
  <c r="BG201" i="25" s="1"/>
  <c r="AJ201" i="25"/>
  <c r="AX21" i="25"/>
  <c r="AW21" i="25"/>
  <c r="BA143" i="24"/>
  <c r="BA169" i="24"/>
  <c r="AJ71" i="25"/>
  <c r="AM71" i="25"/>
  <c r="AJ87" i="25"/>
  <c r="AM87" i="25"/>
  <c r="BG87" i="25" s="1"/>
  <c r="AK305" i="24"/>
  <c r="AN305" i="24"/>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BL264" i="24"/>
  <c r="AS264" i="24"/>
  <c r="AU264" i="24" s="1"/>
  <c r="BB264" i="24" s="1"/>
  <c r="AQ264" i="24"/>
  <c r="BJ264" i="24"/>
  <c r="AT258" i="24"/>
  <c r="AF224" i="25"/>
  <c r="AE224" i="25"/>
  <c r="BA262" i="24"/>
  <c r="AF263" i="25"/>
  <c r="AE263" i="25"/>
  <c r="BA163" i="24"/>
  <c r="AN154" i="24"/>
  <c r="BI154" i="24" s="1"/>
  <c r="AK154" i="24"/>
  <c r="AN75" i="24"/>
  <c r="AK75" i="24"/>
  <c r="BA303" i="24"/>
  <c r="AM267" i="25"/>
  <c r="BG267" i="25" s="1"/>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I118" i="24" l="1"/>
  <c r="CE118" i="24"/>
  <c r="BG113" i="25"/>
  <c r="CE113" i="25"/>
  <c r="AX155" i="24"/>
  <c r="BI155" i="24"/>
  <c r="CE277" i="24"/>
  <c r="BI277" i="24"/>
  <c r="BL277" i="24" s="1"/>
  <c r="CE287" i="24"/>
  <c r="BI287" i="24"/>
  <c r="BL287" i="24" s="1"/>
  <c r="AX267" i="24"/>
  <c r="BI267" i="24"/>
  <c r="BL267" i="24" s="1"/>
  <c r="CE302" i="24"/>
  <c r="BI302" i="24"/>
  <c r="BL302" i="24" s="1"/>
  <c r="BH259" i="24"/>
  <c r="BI259" i="24"/>
  <c r="CE139" i="24"/>
  <c r="BI139" i="24"/>
  <c r="CE250" i="24"/>
  <c r="BI250" i="24"/>
  <c r="CE161" i="25"/>
  <c r="BG161" i="25"/>
  <c r="BJ161" i="25" s="1"/>
  <c r="BU123" i="24"/>
  <c r="BI123" i="24"/>
  <c r="BL123" i="24" s="1"/>
  <c r="CE170" i="25"/>
  <c r="BG170" i="25"/>
  <c r="BJ170" i="25" s="1"/>
  <c r="CE310" i="24"/>
  <c r="BI310" i="24"/>
  <c r="BH279" i="24"/>
  <c r="BI279" i="24"/>
  <c r="AX282" i="24"/>
  <c r="BI282" i="24"/>
  <c r="BL282" i="24" s="1"/>
  <c r="CE305" i="25"/>
  <c r="BG305" i="25"/>
  <c r="BJ305" i="25" s="1"/>
  <c r="CE174" i="25"/>
  <c r="BG174" i="25"/>
  <c r="BJ174" i="25" s="1"/>
  <c r="AX235" i="24"/>
  <c r="BI235" i="24"/>
  <c r="BL235" i="24" s="1"/>
  <c r="AX129" i="24"/>
  <c r="BI129" i="24"/>
  <c r="BU153" i="24"/>
  <c r="BI153" i="24"/>
  <c r="BU224" i="24"/>
  <c r="BI224" i="24"/>
  <c r="BL224" i="24" s="1"/>
  <c r="CE168" i="24"/>
  <c r="BI168" i="24"/>
  <c r="BL168" i="24" s="1"/>
  <c r="AX247" i="24"/>
  <c r="BI247" i="24"/>
  <c r="BL247" i="24" s="1"/>
  <c r="BU283" i="24"/>
  <c r="BI283" i="24"/>
  <c r="BL283" i="24" s="1"/>
  <c r="AX269" i="24"/>
  <c r="BI269" i="24"/>
  <c r="CE157" i="24"/>
  <c r="BI157" i="24"/>
  <c r="BU114" i="24"/>
  <c r="BI114" i="24"/>
  <c r="CE185" i="24"/>
  <c r="BI185" i="24"/>
  <c r="BL185" i="24" s="1"/>
  <c r="AX219" i="24"/>
  <c r="BI219" i="24"/>
  <c r="BL219" i="24" s="1"/>
  <c r="BW228" i="24"/>
  <c r="BI228" i="24"/>
  <c r="BL228" i="24" s="1"/>
  <c r="CE292" i="25"/>
  <c r="BG292" i="25"/>
  <c r="CE186" i="25"/>
  <c r="BG186" i="25"/>
  <c r="BJ186" i="25" s="1"/>
  <c r="CE186" i="24"/>
  <c r="BI186" i="24"/>
  <c r="BL186" i="24" s="1"/>
  <c r="CE304" i="24"/>
  <c r="BI304" i="24"/>
  <c r="BL304" i="24" s="1"/>
  <c r="BW130" i="24"/>
  <c r="BI130" i="24"/>
  <c r="BL130" i="24" s="1"/>
  <c r="CE161" i="24"/>
  <c r="BI161" i="24"/>
  <c r="CE283" i="25"/>
  <c r="BG283" i="25"/>
  <c r="CE173" i="25"/>
  <c r="BG173" i="25"/>
  <c r="BJ173" i="25" s="1"/>
  <c r="CE209" i="24"/>
  <c r="BI209" i="24"/>
  <c r="BL209" i="24" s="1"/>
  <c r="CE199" i="24"/>
  <c r="BI199" i="24"/>
  <c r="BL199" i="24" s="1"/>
  <c r="BW271" i="24"/>
  <c r="BI271" i="24"/>
  <c r="BL271" i="24" s="1"/>
  <c r="BH248" i="24"/>
  <c r="BI248" i="24"/>
  <c r="BL248" i="24" s="1"/>
  <c r="AX280" i="24"/>
  <c r="BI280" i="24"/>
  <c r="BU232" i="24"/>
  <c r="BI232" i="24"/>
  <c r="CE306" i="25"/>
  <c r="BG306" i="25"/>
  <c r="BJ306" i="25" s="1"/>
  <c r="CE165" i="24"/>
  <c r="BI165" i="24"/>
  <c r="BL165" i="24" s="1"/>
  <c r="CE205" i="24"/>
  <c r="BI205" i="24"/>
  <c r="BL205" i="24" s="1"/>
  <c r="CE177" i="25"/>
  <c r="BG177" i="25"/>
  <c r="BJ177" i="25" s="1"/>
  <c r="CE202" i="24"/>
  <c r="BI202" i="24"/>
  <c r="CE156" i="24"/>
  <c r="BI156" i="24"/>
  <c r="CE151" i="24"/>
  <c r="BI151" i="24"/>
  <c r="BL151" i="24" s="1"/>
  <c r="CE173" i="24"/>
  <c r="BI173" i="24"/>
  <c r="BL173" i="24" s="1"/>
  <c r="AX258" i="24"/>
  <c r="BI258" i="24"/>
  <c r="BL258" i="24" s="1"/>
  <c r="AX263" i="24"/>
  <c r="BI263" i="24"/>
  <c r="BL263" i="24" s="1"/>
  <c r="AX243" i="24"/>
  <c r="BI243" i="24"/>
  <c r="CE206" i="24"/>
  <c r="BI206" i="24"/>
  <c r="CE189" i="25"/>
  <c r="BG189" i="25"/>
  <c r="BJ189" i="25" s="1"/>
  <c r="CE180" i="24"/>
  <c r="BI180" i="24"/>
  <c r="BL180" i="24" s="1"/>
  <c r="AX305" i="24"/>
  <c r="BI305" i="24"/>
  <c r="BL305" i="24" s="1"/>
  <c r="BH237" i="24"/>
  <c r="BI237" i="24"/>
  <c r="BL237" i="24" s="1"/>
  <c r="AX249" i="24"/>
  <c r="BI249" i="24"/>
  <c r="CE210" i="24"/>
  <c r="BI210" i="24"/>
  <c r="AX152" i="24"/>
  <c r="BI152" i="24"/>
  <c r="BL152" i="24" s="1"/>
  <c r="BH295" i="24"/>
  <c r="BI295" i="24"/>
  <c r="BL295" i="24" s="1"/>
  <c r="BU301" i="24"/>
  <c r="BI301" i="24"/>
  <c r="BL301" i="24" s="1"/>
  <c r="CE201" i="24"/>
  <c r="BI201" i="24"/>
  <c r="BL201" i="24" s="1"/>
  <c r="BU112" i="24"/>
  <c r="BI112" i="24"/>
  <c r="BW261" i="24"/>
  <c r="BI261" i="24"/>
  <c r="CE204" i="24"/>
  <c r="BI204" i="24"/>
  <c r="BL204" i="24" s="1"/>
  <c r="BW121" i="24"/>
  <c r="BI121" i="24"/>
  <c r="BL121" i="24" s="1"/>
  <c r="CE170" i="24"/>
  <c r="BI170" i="24"/>
  <c r="BL170" i="24" s="1"/>
  <c r="CE135" i="24"/>
  <c r="BI135" i="24"/>
  <c r="BL135" i="24" s="1"/>
  <c r="CE200" i="24"/>
  <c r="BI200" i="24"/>
  <c r="BW128" i="24"/>
  <c r="BI128" i="24"/>
  <c r="CE203" i="24"/>
  <c r="BI203" i="24"/>
  <c r="BL203" i="24" s="1"/>
  <c r="CE166" i="24"/>
  <c r="BI166" i="24"/>
  <c r="BL166" i="24" s="1"/>
  <c r="BH148" i="24"/>
  <c r="BI148" i="24"/>
  <c r="BL148" i="24" s="1"/>
  <c r="AX145" i="24"/>
  <c r="BI145" i="24"/>
  <c r="BL145" i="24" s="1"/>
  <c r="AX298" i="24"/>
  <c r="BI298" i="24"/>
  <c r="CE179" i="24"/>
  <c r="BI179" i="24"/>
  <c r="CE275" i="24"/>
  <c r="BI275" i="24"/>
  <c r="BL275" i="24" s="1"/>
  <c r="CE190" i="25"/>
  <c r="BG190" i="25"/>
  <c r="BJ190" i="25" s="1"/>
  <c r="AX273" i="24"/>
  <c r="BI273" i="24"/>
  <c r="BL273" i="24" s="1"/>
  <c r="BU133" i="24"/>
  <c r="BI133" i="24"/>
  <c r="BL133" i="24" s="1"/>
  <c r="BU120" i="24"/>
  <c r="BI120" i="24"/>
  <c r="CE147" i="25"/>
  <c r="BG147" i="25"/>
  <c r="BJ147" i="25" s="1"/>
  <c r="CE111" i="24"/>
  <c r="BI111" i="24"/>
  <c r="CE163" i="24"/>
  <c r="BI163" i="24"/>
  <c r="BL163" i="24" s="1"/>
  <c r="CE192" i="25"/>
  <c r="BG192" i="25"/>
  <c r="BJ192" i="25" s="1"/>
  <c r="CE127" i="24"/>
  <c r="BI127" i="24"/>
  <c r="BL127" i="24" s="1"/>
  <c r="BU266" i="24"/>
  <c r="BI266" i="24"/>
  <c r="CE137" i="24"/>
  <c r="BI137" i="24"/>
  <c r="AX281" i="24"/>
  <c r="BI281" i="24"/>
  <c r="BL281" i="24" s="1"/>
  <c r="CE182" i="24"/>
  <c r="BI182" i="24"/>
  <c r="BL182" i="24" s="1"/>
  <c r="AX253" i="24"/>
  <c r="BI253" i="24"/>
  <c r="BL253" i="24" s="1"/>
  <c r="BU274" i="24"/>
  <c r="BI274" i="24"/>
  <c r="BL274" i="24" s="1"/>
  <c r="CE193" i="24"/>
  <c r="BI193" i="24"/>
  <c r="CE306" i="24"/>
  <c r="BI306" i="24"/>
  <c r="CE242" i="24"/>
  <c r="BI242" i="24"/>
  <c r="BL242" i="24" s="1"/>
  <c r="BW240" i="24"/>
  <c r="BI240" i="24"/>
  <c r="BL240" i="24" s="1"/>
  <c r="CE178" i="24"/>
  <c r="BI178" i="24"/>
  <c r="BL178" i="24" s="1"/>
  <c r="CE208" i="24"/>
  <c r="BI208" i="24"/>
  <c r="BL208" i="24" s="1"/>
  <c r="CE307" i="24"/>
  <c r="BI307" i="24"/>
  <c r="AX125" i="24"/>
  <c r="BI125" i="24"/>
  <c r="BU59" i="24"/>
  <c r="BI59" i="24"/>
  <c r="BL59" i="24" s="1"/>
  <c r="AX12" i="24"/>
  <c r="BI12" i="24"/>
  <c r="BL12" i="24" s="1"/>
  <c r="BU103" i="24"/>
  <c r="BI103" i="24"/>
  <c r="BL103" i="24" s="1"/>
  <c r="CE74" i="24"/>
  <c r="BI74" i="24"/>
  <c r="BL74" i="24" s="1"/>
  <c r="BU52" i="24"/>
  <c r="BI52" i="24"/>
  <c r="BL52" i="24" s="1"/>
  <c r="BU72" i="24"/>
  <c r="BI72" i="24"/>
  <c r="BU27" i="24"/>
  <c r="BI27" i="24"/>
  <c r="BL27" i="24" s="1"/>
  <c r="BU38" i="24"/>
  <c r="BI38" i="24"/>
  <c r="BL38" i="24" s="1"/>
  <c r="BU91" i="24"/>
  <c r="BI91" i="24"/>
  <c r="BL91" i="24" s="1"/>
  <c r="BU18" i="24"/>
  <c r="BI18" i="24"/>
  <c r="BL18" i="24" s="1"/>
  <c r="BU73" i="24"/>
  <c r="BI73" i="24"/>
  <c r="BL73" i="24" s="1"/>
  <c r="BU39" i="24"/>
  <c r="BI39" i="24"/>
  <c r="AX17" i="24"/>
  <c r="BI17" i="24"/>
  <c r="BU83" i="24"/>
  <c r="BI83" i="24"/>
  <c r="BL83" i="24" s="1"/>
  <c r="BU31" i="24"/>
  <c r="BI31" i="24"/>
  <c r="BL31" i="24" s="1"/>
  <c r="BH34" i="24"/>
  <c r="BI34" i="24"/>
  <c r="BL34" i="24" s="1"/>
  <c r="BU98" i="24"/>
  <c r="BI98" i="24"/>
  <c r="BL98" i="24" s="1"/>
  <c r="AX19" i="24"/>
  <c r="BI19" i="24"/>
  <c r="BU33" i="24"/>
  <c r="BI33" i="24"/>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H51" i="24"/>
  <c r="BI51" i="24"/>
  <c r="BU13" i="24"/>
  <c r="BI13" i="24"/>
  <c r="BL13" i="24" s="1"/>
  <c r="BW54" i="24"/>
  <c r="BI54" i="24"/>
  <c r="BL54" i="24" s="1"/>
  <c r="BH20" i="24"/>
  <c r="BI20" i="24"/>
  <c r="BL20" i="24" s="1"/>
  <c r="BW58" i="24"/>
  <c r="BI58" i="24"/>
  <c r="BL58" i="24" s="1"/>
  <c r="BW9" i="24"/>
  <c r="BI9" i="24"/>
  <c r="BU70" i="24"/>
  <c r="BI70" i="24"/>
  <c r="BU63" i="24"/>
  <c r="BI63" i="24"/>
  <c r="BL63" i="24" s="1"/>
  <c r="BU65" i="24"/>
  <c r="BI65" i="24"/>
  <c r="BL65" i="24" s="1"/>
  <c r="BU69" i="24"/>
  <c r="BI69" i="24"/>
  <c r="BL69" i="24" s="1"/>
  <c r="CE92" i="24"/>
  <c r="BI92" i="24"/>
  <c r="BL92" i="24" s="1"/>
  <c r="BH32" i="24"/>
  <c r="BI32" i="24"/>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U105" i="24"/>
  <c r="BI105" i="24"/>
  <c r="BU56" i="24"/>
  <c r="BI56" i="24"/>
  <c r="BL56" i="24" s="1"/>
  <c r="CE6" i="25"/>
  <c r="BG6" i="25"/>
  <c r="BJ6" i="25" s="1"/>
  <c r="BU104" i="24"/>
  <c r="BI104" i="24"/>
  <c r="BL104" i="24" s="1"/>
  <c r="BU16" i="24"/>
  <c r="BI16" i="24"/>
  <c r="BL16" i="24" s="1"/>
  <c r="BU53" i="24"/>
  <c r="BI53" i="24"/>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BG48" i="25" s="1"/>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BL174"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BL111" i="24"/>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BL139"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BL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BJ283" i="25"/>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BG118" i="25" s="1"/>
  <c r="AJ118" i="25"/>
  <c r="AJ42" i="25"/>
  <c r="AM42" i="25"/>
  <c r="BG42" i="25" s="1"/>
  <c r="AS182" i="24"/>
  <c r="BJ182" i="24"/>
  <c r="AQ182" i="24"/>
  <c r="BU182" i="24"/>
  <c r="BW182" i="24"/>
  <c r="AX182" i="24"/>
  <c r="BH182" i="24"/>
  <c r="AS179" i="24"/>
  <c r="BL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BL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BG73" i="25" s="1"/>
  <c r="AJ264" i="25"/>
  <c r="AM264" i="25"/>
  <c r="BG264" i="25" s="1"/>
  <c r="AS137" i="24"/>
  <c r="BL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BL310" i="24"/>
  <c r="AS310" i="24"/>
  <c r="AQ310" i="24"/>
  <c r="BJ310" i="24"/>
  <c r="BW310" i="24"/>
  <c r="BU310" i="24"/>
  <c r="AX310" i="24"/>
  <c r="BH310" i="24"/>
  <c r="AR243" i="25"/>
  <c r="BJ243" i="25"/>
  <c r="AP243" i="25"/>
  <c r="BH243" i="25"/>
  <c r="BF243" i="25"/>
  <c r="BU243" i="25"/>
  <c r="BW243" i="25"/>
  <c r="BU238" i="24"/>
  <c r="BW34" i="24"/>
  <c r="AM68" i="25"/>
  <c r="BG68" i="25" s="1"/>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L153" i="24"/>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BL243"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BL157"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L298" i="24"/>
  <c r="BJ298" i="24"/>
  <c r="AQ298" i="24"/>
  <c r="AU44" i="24"/>
  <c r="BB44" i="24" s="1"/>
  <c r="AW44" i="24"/>
  <c r="AR177" i="25"/>
  <c r="BH177" i="25"/>
  <c r="AP177" i="25"/>
  <c r="BF177" i="25"/>
  <c r="BW177" i="25"/>
  <c r="BU177" i="25"/>
  <c r="AS72" i="24"/>
  <c r="BL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BL33"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BL125" i="24"/>
  <c r="AQ125" i="24"/>
  <c r="BJ125" i="24"/>
  <c r="AM79" i="25"/>
  <c r="AJ79" i="25"/>
  <c r="AS29" i="24"/>
  <c r="BJ29" i="24"/>
  <c r="AQ29" i="24"/>
  <c r="BH29" i="24"/>
  <c r="BW29" i="24"/>
  <c r="AX29" i="24"/>
  <c r="BW290" i="24"/>
  <c r="BA145" i="24"/>
  <c r="AR155" i="25"/>
  <c r="BJ155" i="25"/>
  <c r="AP155" i="25"/>
  <c r="BH155" i="25"/>
  <c r="BF155" i="25"/>
  <c r="BU155" i="25"/>
  <c r="BW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BL120"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BL269" i="24"/>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BL259" i="24"/>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BG315" i="25" s="1"/>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BL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G299" i="25" s="1"/>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BL202" i="24"/>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BG312" i="25" s="1"/>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BG236" i="25" s="1"/>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BL232"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BL129" i="24"/>
  <c r="AS129" i="24"/>
  <c r="AU129" i="24" s="1"/>
  <c r="BB129" i="24" s="1"/>
  <c r="AQ129" i="24"/>
  <c r="BJ129" i="24"/>
  <c r="AM56" i="25"/>
  <c r="AJ56" i="25"/>
  <c r="AS267" i="24"/>
  <c r="AU267" i="24" s="1"/>
  <c r="BB267" i="24" s="1"/>
  <c r="AQ267" i="24"/>
  <c r="BJ267" i="24"/>
  <c r="AS206" i="24"/>
  <c r="BL206" i="24"/>
  <c r="BJ206" i="24"/>
  <c r="AQ206" i="24"/>
  <c r="BH206" i="24"/>
  <c r="BW206" i="24"/>
  <c r="BU206" i="24"/>
  <c r="AX206" i="24"/>
  <c r="AS280" i="24"/>
  <c r="AU280" i="24" s="1"/>
  <c r="BB280" i="24" s="1"/>
  <c r="BL280" i="24"/>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BL172" i="24"/>
  <c r="AQ172" i="24"/>
  <c r="BJ172" i="24"/>
  <c r="AX172" i="24"/>
  <c r="BH172" i="24"/>
  <c r="BW172" i="24"/>
  <c r="BU172" i="24"/>
  <c r="BW260" i="24"/>
  <c r="AX98" i="25"/>
  <c r="AW98" i="25"/>
  <c r="BL161" i="24"/>
  <c r="AS161" i="24"/>
  <c r="BJ161" i="24"/>
  <c r="AQ161" i="24"/>
  <c r="BH161" i="24"/>
  <c r="BW161" i="24"/>
  <c r="BU161" i="24"/>
  <c r="AX161" i="24"/>
  <c r="AM163" i="25"/>
  <c r="AJ163" i="25"/>
  <c r="AS8" i="24"/>
  <c r="AU8" i="24" s="1"/>
  <c r="BB8" i="24" s="1"/>
  <c r="BL8" i="24"/>
  <c r="BJ8" i="24"/>
  <c r="AQ8" i="24"/>
  <c r="AR238" i="25"/>
  <c r="BJ238" i="25"/>
  <c r="AP238" i="25"/>
  <c r="BH238" i="25"/>
  <c r="BU238" i="25"/>
  <c r="BW238" i="25"/>
  <c r="BF238" i="25"/>
  <c r="BL266" i="24"/>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L279" i="24"/>
  <c r="BJ279" i="24"/>
  <c r="AQ279" i="24"/>
  <c r="AS19" i="24"/>
  <c r="AU19" i="24" s="1"/>
  <c r="BB19" i="24" s="1"/>
  <c r="BL19" i="24"/>
  <c r="BJ19" i="24"/>
  <c r="AQ19" i="24"/>
  <c r="AJ290" i="25"/>
  <c r="AM290" i="25"/>
  <c r="BG290" i="25" s="1"/>
  <c r="BA117" i="24"/>
  <c r="AW88" i="25"/>
  <c r="AX88" i="25"/>
  <c r="AM226" i="25"/>
  <c r="BG226" i="25" s="1"/>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J292" i="25"/>
  <c r="BH292" i="25"/>
  <c r="AP292" i="25"/>
  <c r="BU292" i="25"/>
  <c r="BW292" i="25"/>
  <c r="BF292" i="25"/>
  <c r="AS150" i="24"/>
  <c r="BL150" i="24"/>
  <c r="AQ150" i="24"/>
  <c r="BJ150" i="24"/>
  <c r="AX150" i="24"/>
  <c r="BH150" i="24"/>
  <c r="BW150" i="24"/>
  <c r="BU150" i="24"/>
  <c r="AJ289" i="25"/>
  <c r="AM289" i="25"/>
  <c r="BG289" i="25" s="1"/>
  <c r="AS201" i="24"/>
  <c r="BJ201" i="24"/>
  <c r="AQ201" i="24"/>
  <c r="BW201" i="24"/>
  <c r="AX201" i="24"/>
  <c r="BH201" i="24"/>
  <c r="BU201" i="24"/>
  <c r="BL39"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L188" i="24"/>
  <c r="BJ188" i="24"/>
  <c r="AQ188" i="24"/>
  <c r="BH188" i="24"/>
  <c r="BU188" i="24"/>
  <c r="BW188" i="24"/>
  <c r="AX188" i="24"/>
  <c r="BL164" i="24"/>
  <c r="AS164" i="24"/>
  <c r="BJ164" i="24"/>
  <c r="AQ164" i="24"/>
  <c r="AX164" i="24"/>
  <c r="BH164" i="24"/>
  <c r="BW164" i="24"/>
  <c r="BU164" i="24"/>
  <c r="AJ53" i="25"/>
  <c r="AM53" i="25"/>
  <c r="BG53" i="25" s="1"/>
  <c r="BL155" i="24"/>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BG149" i="25" s="1"/>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BJ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BL112" i="24"/>
  <c r="AQ112" i="24"/>
  <c r="BJ112" i="24"/>
  <c r="AM67" i="25"/>
  <c r="BG67" i="25" s="1"/>
  <c r="AJ67" i="25"/>
  <c r="AX91" i="25"/>
  <c r="AW91" i="25"/>
  <c r="AS105" i="24"/>
  <c r="BL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BL32" i="24"/>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BL53"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L85" i="24"/>
  <c r="BJ85" i="24"/>
  <c r="AQ85" i="24"/>
  <c r="AX85" i="24"/>
  <c r="BW85" i="24"/>
  <c r="BH85" i="24"/>
  <c r="AS291" i="24"/>
  <c r="BL291" i="24"/>
  <c r="BJ291" i="24"/>
  <c r="AQ291" i="24"/>
  <c r="BU291" i="24"/>
  <c r="BW291" i="24"/>
  <c r="AX291" i="24"/>
  <c r="BH291" i="24"/>
  <c r="AJ303" i="25"/>
  <c r="AM303" i="25"/>
  <c r="BL114" i="24"/>
  <c r="AS114" i="24"/>
  <c r="AU114" i="24" s="1"/>
  <c r="BB114" i="24" s="1"/>
  <c r="BJ114" i="24"/>
  <c r="AQ114" i="24"/>
  <c r="AJ83" i="25"/>
  <c r="AM83" i="25"/>
  <c r="BG83" i="25" s="1"/>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BL9" i="24"/>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BJ82" i="25"/>
  <c r="AP82" i="25"/>
  <c r="BH82" i="25"/>
  <c r="BF82" i="25"/>
  <c r="BU82" i="25"/>
  <c r="BW82" i="25"/>
  <c r="BL51" i="24"/>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L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BL30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BL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BL261" i="24"/>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BL249" i="24"/>
  <c r="AS249" i="24"/>
  <c r="AU249" i="24" s="1"/>
  <c r="BB249" i="24" s="1"/>
  <c r="BJ249" i="24"/>
  <c r="AQ249" i="24"/>
  <c r="AR280" i="25"/>
  <c r="BH280" i="25"/>
  <c r="AP280" i="25"/>
  <c r="BF280" i="25"/>
  <c r="BU280" i="25"/>
  <c r="BW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L306" i="24"/>
  <c r="BJ306" i="24"/>
  <c r="AQ306" i="24"/>
  <c r="AX306" i="24"/>
  <c r="BH306" i="24"/>
  <c r="BU306" i="24"/>
  <c r="BW306" i="24"/>
  <c r="BA148" i="24"/>
  <c r="AJ286" i="25"/>
  <c r="AM286" i="25"/>
  <c r="BW28" i="24"/>
  <c r="AS40" i="24"/>
  <c r="BJ40" i="24"/>
  <c r="AQ40" i="24"/>
  <c r="AX40" i="24"/>
  <c r="BH40" i="24"/>
  <c r="BW40" i="24"/>
  <c r="BA112" i="24"/>
  <c r="AX142" i="25"/>
  <c r="AW142" i="25"/>
  <c r="BL250" i="24"/>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L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G7" i="25" s="1"/>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L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L17" i="24"/>
  <c r="BJ17" i="24"/>
  <c r="AQ17" i="24"/>
  <c r="AX135" i="24"/>
  <c r="AJ125" i="25"/>
  <c r="AM125" i="25"/>
  <c r="BU121" i="24"/>
  <c r="AS175" i="24"/>
  <c r="BL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BG57" i="25" s="1"/>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J257" i="25"/>
  <c r="BH257" i="25"/>
  <c r="AP257" i="25"/>
  <c r="BW257" i="25"/>
  <c r="BU257" i="25"/>
  <c r="BF257" i="25"/>
  <c r="BA232" i="24"/>
  <c r="AX202" i="25"/>
  <c r="AW202" i="25"/>
  <c r="BL128" i="24"/>
  <c r="AS128" i="24"/>
  <c r="AU128" i="24" s="1"/>
  <c r="BB128" i="24" s="1"/>
  <c r="AQ128" i="24"/>
  <c r="BJ128" i="24"/>
  <c r="BG112" i="25" l="1"/>
  <c r="CE112" i="25"/>
  <c r="BG219" i="25"/>
  <c r="CE219" i="25"/>
  <c r="CE270" i="25"/>
  <c r="BG270" i="25"/>
  <c r="BJ270" i="25" s="1"/>
  <c r="CE274" i="25"/>
  <c r="BG274" i="25"/>
  <c r="BJ274" i="25" s="1"/>
  <c r="AP194" i="25"/>
  <c r="BG194" i="25"/>
  <c r="BJ194" i="25" s="1"/>
  <c r="CE313" i="25"/>
  <c r="BG313" i="25"/>
  <c r="BJ313" i="25" s="1"/>
  <c r="CE116" i="25"/>
  <c r="BG116" i="25"/>
  <c r="BJ116" i="25" s="1"/>
  <c r="CE287" i="25"/>
  <c r="BG287" i="25"/>
  <c r="CE228" i="25"/>
  <c r="BG228" i="25"/>
  <c r="CE307" i="25"/>
  <c r="BG307" i="25"/>
  <c r="BJ307" i="25" s="1"/>
  <c r="CE316" i="25"/>
  <c r="BG316" i="25"/>
  <c r="BJ316" i="25" s="1"/>
  <c r="CE184" i="25"/>
  <c r="BG184" i="25"/>
  <c r="BJ184" i="25" s="1"/>
  <c r="CE182" i="25"/>
  <c r="BG182" i="25"/>
  <c r="BJ182" i="25" s="1"/>
  <c r="CE175" i="25"/>
  <c r="BG175" i="25"/>
  <c r="CE152" i="25"/>
  <c r="BG152" i="25"/>
  <c r="CE164" i="25"/>
  <c r="BG164" i="25"/>
  <c r="CE221" i="25"/>
  <c r="BG221" i="25"/>
  <c r="BJ221" i="25" s="1"/>
  <c r="BH265" i="25"/>
  <c r="BG265" i="25"/>
  <c r="BJ265" i="25" s="1"/>
  <c r="CE125" i="25"/>
  <c r="BG125" i="25"/>
  <c r="BJ125" i="25" s="1"/>
  <c r="CE300" i="25"/>
  <c r="BG300" i="25"/>
  <c r="CE160" i="25"/>
  <c r="BG160" i="25"/>
  <c r="BJ160" i="25" s="1"/>
  <c r="CE163" i="25"/>
  <c r="BG163" i="25"/>
  <c r="CE302" i="25"/>
  <c r="BG302" i="25"/>
  <c r="BJ302" i="25" s="1"/>
  <c r="CE309" i="25"/>
  <c r="BG309" i="25"/>
  <c r="BJ309" i="25" s="1"/>
  <c r="CE153" i="25"/>
  <c r="BG153" i="25"/>
  <c r="BJ153" i="25" s="1"/>
  <c r="CE235" i="25"/>
  <c r="BG235" i="25"/>
  <c r="CE218" i="25"/>
  <c r="BG218" i="25"/>
  <c r="BJ218" i="25" s="1"/>
  <c r="CE156" i="25"/>
  <c r="BG156" i="25"/>
  <c r="CE135" i="25"/>
  <c r="BG135" i="25"/>
  <c r="BJ135" i="25" s="1"/>
  <c r="AP195" i="25"/>
  <c r="BG195" i="25"/>
  <c r="BJ195" i="25" s="1"/>
  <c r="CE284" i="25"/>
  <c r="BG284" i="25"/>
  <c r="BJ284" i="25" s="1"/>
  <c r="CE245" i="25"/>
  <c r="BG245" i="25"/>
  <c r="CE172" i="25"/>
  <c r="BG172" i="25"/>
  <c r="CE180" i="25"/>
  <c r="BG180" i="25"/>
  <c r="CE130" i="25"/>
  <c r="BG130" i="25"/>
  <c r="BJ130" i="25" s="1"/>
  <c r="CE151" i="25"/>
  <c r="BG151" i="25"/>
  <c r="BJ151" i="25" s="1"/>
  <c r="CE168" i="25"/>
  <c r="BG168" i="25"/>
  <c r="CE269" i="25"/>
  <c r="BG269" i="25"/>
  <c r="CE295" i="25"/>
  <c r="BG295" i="25"/>
  <c r="BJ295" i="25" s="1"/>
  <c r="CE159" i="25"/>
  <c r="BG159" i="25"/>
  <c r="BJ159" i="25" s="1"/>
  <c r="CE162" i="25"/>
  <c r="BG162" i="25"/>
  <c r="BJ162" i="25" s="1"/>
  <c r="CE138" i="25"/>
  <c r="BG138" i="25"/>
  <c r="BJ138" i="25" s="1"/>
  <c r="CE183" i="25"/>
  <c r="BG183" i="25"/>
  <c r="BJ183" i="25" s="1"/>
  <c r="CE279" i="25"/>
  <c r="BG279" i="25"/>
  <c r="CE310" i="25"/>
  <c r="BG310" i="25"/>
  <c r="BJ310" i="25" s="1"/>
  <c r="CE272" i="25"/>
  <c r="BG272" i="25"/>
  <c r="CE280" i="25"/>
  <c r="BG280" i="25"/>
  <c r="BJ280" i="25" s="1"/>
  <c r="CE268" i="25"/>
  <c r="BG268" i="25"/>
  <c r="BJ268" i="25" s="1"/>
  <c r="CE242" i="25"/>
  <c r="BG242" i="25"/>
  <c r="BJ242" i="25" s="1"/>
  <c r="CE286" i="25"/>
  <c r="BG286" i="25"/>
  <c r="CE223" i="25"/>
  <c r="BG223" i="25"/>
  <c r="CE165" i="25"/>
  <c r="BG165" i="25"/>
  <c r="BJ165" i="25" s="1"/>
  <c r="BF258" i="25"/>
  <c r="BG258" i="25"/>
  <c r="BJ258" i="25" s="1"/>
  <c r="CE176" i="25"/>
  <c r="BG176" i="25"/>
  <c r="BJ176" i="25" s="1"/>
  <c r="CE115" i="25"/>
  <c r="BG115" i="25"/>
  <c r="BJ115" i="25" s="1"/>
  <c r="CE169" i="25"/>
  <c r="BG169" i="25"/>
  <c r="CE117" i="25"/>
  <c r="BG117" i="25"/>
  <c r="CE294" i="25"/>
  <c r="BG294" i="25"/>
  <c r="BJ294" i="25" s="1"/>
  <c r="AP197" i="25"/>
  <c r="BG197" i="25"/>
  <c r="BJ197" i="25" s="1"/>
  <c r="CE185" i="25"/>
  <c r="BG185" i="25"/>
  <c r="BJ185" i="25" s="1"/>
  <c r="CE171" i="25"/>
  <c r="BG171" i="25"/>
  <c r="BJ171" i="25" s="1"/>
  <c r="CE121" i="25"/>
  <c r="BG121" i="25"/>
  <c r="CE132" i="25"/>
  <c r="BG132" i="25"/>
  <c r="CE181" i="25"/>
  <c r="BG181" i="25"/>
  <c r="CE311" i="25"/>
  <c r="BG311" i="25"/>
  <c r="BJ311" i="25" s="1"/>
  <c r="CE303" i="25"/>
  <c r="BG303" i="25"/>
  <c r="BJ303" i="25" s="1"/>
  <c r="CE191" i="25"/>
  <c r="BG191" i="25"/>
  <c r="CE111" i="25"/>
  <c r="BG111" i="25"/>
  <c r="CE166" i="25"/>
  <c r="BG166" i="25"/>
  <c r="CE74" i="25"/>
  <c r="BG74" i="25"/>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J300" i="25"/>
  <c r="BH300" i="25"/>
  <c r="AP300" i="25"/>
  <c r="BF300" i="25"/>
  <c r="BW300" i="25"/>
  <c r="BU300" i="25"/>
  <c r="AR9" i="25"/>
  <c r="BJ9" i="25"/>
  <c r="BH9" i="25"/>
  <c r="AP9" i="25"/>
  <c r="BF9" i="25"/>
  <c r="BU9" i="25"/>
  <c r="BW9" i="25"/>
  <c r="AT291" i="25"/>
  <c r="AU291" i="25"/>
  <c r="AR227" i="25"/>
  <c r="BJ227" i="25"/>
  <c r="BH227" i="25"/>
  <c r="AP227" i="25"/>
  <c r="BW227" i="25"/>
  <c r="BF227" i="25"/>
  <c r="BU227" i="25"/>
  <c r="BJ235" i="25"/>
  <c r="AR235" i="25"/>
  <c r="BH235" i="25"/>
  <c r="AP235" i="25"/>
  <c r="BF235" i="25"/>
  <c r="BW235" i="25"/>
  <c r="BU235" i="25"/>
  <c r="AT95" i="25"/>
  <c r="AY95" i="25" s="1"/>
  <c r="AU95" i="25"/>
  <c r="AR65" i="25"/>
  <c r="BH65" i="25"/>
  <c r="AP65" i="25"/>
  <c r="BW65" i="25"/>
  <c r="BU65" i="25"/>
  <c r="BF65" i="25"/>
  <c r="AR112" i="25"/>
  <c r="BJ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J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BJ269" i="25"/>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J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J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BJ166"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BJ286" i="25"/>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J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J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BJ164" i="25"/>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J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J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55" i="25"/>
  <c r="AU167" i="24"/>
  <c r="BB167" i="24" s="1"/>
  <c r="AW167" i="24"/>
  <c r="AU252" i="24"/>
  <c r="BB252" i="24" s="1"/>
  <c r="AW252" i="24"/>
  <c r="AU300" i="24"/>
  <c r="BB300" i="24" s="1"/>
  <c r="AW300" i="24"/>
  <c r="AW281" i="24"/>
  <c r="AR181" i="25"/>
  <c r="BJ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J68" i="25"/>
  <c r="BH68" i="25"/>
  <c r="AP68" i="25"/>
  <c r="BW68" i="25"/>
  <c r="BU68" i="25"/>
  <c r="BF68" i="25"/>
  <c r="AU310" i="24"/>
  <c r="BB310" i="24" s="1"/>
  <c r="AW310" i="24"/>
  <c r="AR228" i="25"/>
  <c r="BJ228" i="25"/>
  <c r="BH228" i="25"/>
  <c r="AP228" i="25"/>
  <c r="BU228" i="25"/>
  <c r="BW228" i="25"/>
  <c r="BF228" i="25"/>
  <c r="AR73" i="25"/>
  <c r="BJ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J272" i="25"/>
  <c r="BH272" i="25"/>
  <c r="AP272" i="25"/>
  <c r="BF272" i="25"/>
  <c r="BW272" i="25"/>
  <c r="BU272" i="25"/>
  <c r="AU226" i="24"/>
  <c r="BB226" i="24" s="1"/>
  <c r="AW226" i="24"/>
  <c r="AW8" i="24"/>
  <c r="AR118" i="25"/>
  <c r="BJ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BJ74"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J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J245" i="25"/>
  <c r="BH245" i="25"/>
  <c r="AP245" i="25"/>
  <c r="BF245" i="25"/>
  <c r="BW245" i="25"/>
  <c r="BU245" i="25"/>
  <c r="AR288" i="25"/>
  <c r="BJ288" i="25"/>
  <c r="BH288" i="25"/>
  <c r="AP288" i="25"/>
  <c r="BF288" i="25"/>
  <c r="BW288" i="25"/>
  <c r="BU288" i="25"/>
  <c r="BJ223" i="25"/>
  <c r="AR223" i="25"/>
  <c r="BH223" i="25"/>
  <c r="AP223" i="25"/>
  <c r="BF223" i="25"/>
  <c r="BW223" i="25"/>
  <c r="BU223" i="25"/>
  <c r="AR315" i="25"/>
  <c r="BJ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J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J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J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J99" i="25"/>
  <c r="BH99" i="25"/>
  <c r="BU99" i="25"/>
  <c r="BF99" i="25"/>
  <c r="BW99" i="25"/>
  <c r="AY264" i="24"/>
  <c r="AZ264" i="24" s="1"/>
  <c r="BD264" i="24"/>
  <c r="BE264" i="24"/>
  <c r="BT264" i="24" s="1"/>
  <c r="BJ287" i="25"/>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J172" i="25"/>
  <c r="BH172" i="25"/>
  <c r="AP172" i="25"/>
  <c r="BF172" i="25"/>
  <c r="BW172" i="25"/>
  <c r="BU172" i="25"/>
  <c r="AR316" i="25"/>
  <c r="BH316" i="25"/>
  <c r="AP316" i="25"/>
  <c r="BF316" i="25"/>
  <c r="BU316" i="25"/>
  <c r="BW316" i="25"/>
  <c r="AT255" i="25"/>
  <c r="AU255" i="25"/>
  <c r="AU169" i="24"/>
  <c r="BB169" i="24" s="1"/>
  <c r="AW169" i="24"/>
  <c r="AR156" i="25"/>
  <c r="BJ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J48" i="25"/>
  <c r="BH48" i="25"/>
  <c r="AP48" i="25"/>
  <c r="BF48" i="25"/>
  <c r="BU48" i="25"/>
  <c r="BW48" i="25"/>
  <c r="AU192" i="24"/>
  <c r="BB192" i="24" s="1"/>
  <c r="AW192" i="24"/>
  <c r="AT229" i="25"/>
  <c r="AU229" i="25"/>
  <c r="AU156" i="24"/>
  <c r="BB156" i="24" s="1"/>
  <c r="AW156" i="24"/>
  <c r="AR57" i="25"/>
  <c r="BJ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BJ163"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J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AT104" i="25"/>
  <c r="AY104" i="25" s="1"/>
  <c r="AT96" i="25"/>
  <c r="AY96" i="25" s="1"/>
  <c r="AT258" i="25"/>
  <c r="BD12" i="24"/>
  <c r="BG12" i="24" s="1"/>
  <c r="BM12" i="24" s="1"/>
  <c r="AU97" i="25"/>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O323" i="29" s="1"/>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O231" i="29" s="1"/>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O110" i="29" s="1"/>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AO541" i="29" l="1"/>
  <c r="AO544" i="29"/>
  <c r="AO352" i="29"/>
  <c r="AO508" i="29"/>
  <c r="AO521" i="29"/>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323" i="29"/>
  <c r="V323"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224" i="24" l="1"/>
  <c r="CF224" i="24"/>
  <c r="AP212" i="25"/>
  <c r="BG212" i="25"/>
  <c r="V63" i="29"/>
  <c r="U584" i="29"/>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J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AG345" i="29"/>
  <c r="W345" i="29"/>
  <c r="AH63" i="29"/>
  <c r="X63" i="29"/>
  <c r="Y63" i="29" s="1"/>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L110" i="2" s="1"/>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544" i="29"/>
  <c r="Y544" i="29"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W380" i="29" l="1"/>
  <c r="AH591" i="29"/>
  <c r="AG483" i="29"/>
  <c r="W163" i="29"/>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380" i="29"/>
  <c r="AJ379" i="29"/>
  <c r="AK379" i="29" s="1"/>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L111" i="2" l="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112" i="2"/>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3.2,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<sst xmlns="http://schemas.openxmlformats.org/spreadsheetml/2006/main" count="2461" uniqueCount="960">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</sst>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2" fontId="3" fillId="12" borderId="8" xfId="4" quotePrefix="1"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9">
    <dxf>
      <font>
        <strike/>
        <color rgb="FFFF0000"/>
      </font>
    </dxf>
    <dxf>
      <font>
        <strike/>
        <color rgb="FFFF0000"/>
      </font>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strike/>
        <color rgb="FFFF0000"/>
      </font>
    </dxf>
    <dxf>
      <font>
        <color rgb="FFFF0000"/>
      </font>
    </dxf>
    <dxf>
      <font>
        <color rgb="FFFF0000"/>
      </font>
    </dxf>
    <dxf>
      <font>
        <color rgb="FFFF0000"/>
      </font>
    </dxf>
    <dxf>
      <font>
        <color rgb="FFFF0000"/>
      </font>
    </dxf>
    <dxf>
      <font>
        <b/>
        <i val="0"/>
        <color rgb="FFFF0000"/>
      </font>
    </dxf>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73.220762248117254</c:v>
                </c:pt>
                <c:pt idx="1">
                  <c:v>72.420959567624351</c:v>
                </c:pt>
                <c:pt idx="2">
                  <c:v>71.621162857929164</c:v>
                </c:pt>
                <c:pt idx="3">
                  <c:v>70.821349546407589</c:v>
                </c:pt>
                <c:pt idx="4">
                  <c:v>70.022022884068136</c:v>
                </c:pt>
                <c:pt idx="5">
                  <c:v>69.22183570306737</c:v>
                </c:pt>
                <c:pt idx="6">
                  <c:v>68.421908937255651</c:v>
                </c:pt>
                <c:pt idx="7">
                  <c:v>67.621701293624668</c:v>
                </c:pt>
                <c:pt idx="8">
                  <c:v>66.821782808619957</c:v>
                </c:pt>
                <c:pt idx="9">
                  <c:v>66.021534941116059</c:v>
                </c:pt>
                <c:pt idx="10">
                  <c:v>65.221404782132112</c:v>
                </c:pt>
                <c:pt idx="11">
                  <c:v>64.421264765144542</c:v>
                </c:pt>
                <c:pt idx="12">
                  <c:v>63.620676737159762</c:v>
                </c:pt>
                <c:pt idx="13">
                  <c:v>62.82039334753734</c:v>
                </c:pt>
                <c:pt idx="14">
                  <c:v>62.019757034689206</c:v>
                </c:pt>
                <c:pt idx="15">
                  <c:v>61.219053943789</c:v>
                </c:pt>
                <c:pt idx="16">
                  <c:v>60.418193936899911</c:v>
                </c:pt>
                <c:pt idx="17">
                  <c:v>59.617260532418882</c:v>
                </c:pt>
                <c:pt idx="18">
                  <c:v>58.815984811696779</c:v>
                </c:pt>
                <c:pt idx="19">
                  <c:v>58.01453850207438</c:v>
                </c:pt>
                <c:pt idx="20">
                  <c:v>57.212709508700414</c:v>
                </c:pt>
                <c:pt idx="21">
                  <c:v>56.410598694179569</c:v>
                </c:pt>
                <c:pt idx="22">
                  <c:v>55.607959696955163</c:v>
                </c:pt>
                <c:pt idx="23">
                  <c:v>54.804901505423985</c:v>
                </c:pt>
                <c:pt idx="24">
                  <c:v>54.001112705763859</c:v>
                </c:pt>
                <c:pt idx="25">
                  <c:v>53.196589840779467</c:v>
                </c:pt>
                <c:pt idx="26">
                  <c:v>52.390992700181521</c:v>
                </c:pt>
                <c:pt idx="27">
                  <c:v>51.584395614043679</c:v>
                </c:pt>
                <c:pt idx="28">
                  <c:v>50.776550541556922</c:v>
                </c:pt>
                <c:pt idx="29">
                  <c:v>49.967702697987178</c:v>
                </c:pt>
                <c:pt idx="30">
                  <c:v>49.156176181039264</c:v>
                </c:pt>
                <c:pt idx="31">
                  <c:v>48.342738067758397</c:v>
                </c:pt>
                <c:pt idx="32">
                  <c:v>47.526403599788367</c:v>
                </c:pt>
                <c:pt idx="33">
                  <c:v>46.707242620999011</c:v>
                </c:pt>
                <c:pt idx="34">
                  <c:v>45.884018999509792</c:v>
                </c:pt>
                <c:pt idx="35">
                  <c:v>45.056484380458855</c:v>
                </c:pt>
                <c:pt idx="36">
                  <c:v>44.223681733239317</c:v>
                </c:pt>
                <c:pt idx="37">
                  <c:v>43.384189133657216</c:v>
                </c:pt>
                <c:pt idx="38">
                  <c:v>42.537683508023186</c:v>
                </c:pt>
                <c:pt idx="39">
                  <c:v>41.682194179534008</c:v>
                </c:pt>
                <c:pt idx="40">
                  <c:v>40.816571516142226</c:v>
                </c:pt>
                <c:pt idx="41">
                  <c:v>39.939085382015755</c:v>
                </c:pt>
                <c:pt idx="42">
                  <c:v>39.048016632338935</c:v>
                </c:pt>
                <c:pt idx="43">
                  <c:v>38.141085144033362</c:v>
                </c:pt>
                <c:pt idx="44">
                  <c:v>37.216363243625622</c:v>
                </c:pt>
                <c:pt idx="45">
                  <c:v>36.271388834167013</c:v>
                </c:pt>
                <c:pt idx="46">
                  <c:v>35.304031486390684</c:v>
                </c:pt>
                <c:pt idx="47">
                  <c:v>34.311797543992284</c:v>
                </c:pt>
                <c:pt idx="48">
                  <c:v>33.292786577835692</c:v>
                </c:pt>
                <c:pt idx="49">
                  <c:v>32.244850687458651</c:v>
                </c:pt>
                <c:pt idx="50">
                  <c:v>31.166644183240706</c:v>
                </c:pt>
                <c:pt idx="51">
                  <c:v>30.056914126983902</c:v>
                </c:pt>
                <c:pt idx="52">
                  <c:v>28.91563814049972</c:v>
                </c:pt>
                <c:pt idx="53">
                  <c:v>27.743117851915802</c:v>
                </c:pt>
                <c:pt idx="54">
                  <c:v>26.541212848459587</c:v>
                </c:pt>
                <c:pt idx="55">
                  <c:v>25.309743924460506</c:v>
                </c:pt>
                <c:pt idx="56">
                  <c:v>24.053013876117134</c:v>
                </c:pt>
                <c:pt idx="57">
                  <c:v>22.773459649038685</c:v>
                </c:pt>
                <c:pt idx="58">
                  <c:v>21.475864022332001</c:v>
                </c:pt>
                <c:pt idx="59">
                  <c:v>20.163569715363174</c:v>
                </c:pt>
                <c:pt idx="60">
                  <c:v>18.842006878474983</c:v>
                </c:pt>
                <c:pt idx="61">
                  <c:v>17.515903104365272</c:v>
                </c:pt>
                <c:pt idx="62">
                  <c:v>16.189582048516574</c:v>
                </c:pt>
                <c:pt idx="63">
                  <c:v>14.869335271852153</c:v>
                </c:pt>
                <c:pt idx="64">
                  <c:v>13.558997772634502</c:v>
                </c:pt>
                <c:pt idx="65">
                  <c:v>12.263717098298731</c:v>
                </c:pt>
                <c:pt idx="66">
                  <c:v>10.987655511968748</c:v>
                </c:pt>
                <c:pt idx="67">
                  <c:v>9.7347677429487334</c:v>
                </c:pt>
                <c:pt idx="68">
                  <c:v>8.5078700332320292</c:v>
                </c:pt>
                <c:pt idx="69">
                  <c:v>7.3097855388192556</c:v>
                </c:pt>
                <c:pt idx="70">
                  <c:v>6.1420188026303721</c:v>
                </c:pt>
                <c:pt idx="71">
                  <c:v>5.0057798254384602</c:v>
                </c:pt>
                <c:pt idx="72">
                  <c:v>3.9010442602804303</c:v>
                </c:pt>
                <c:pt idx="73">
                  <c:v>2.8276052816049368</c:v>
                </c:pt>
                <c:pt idx="74">
                  <c:v>1.7841035238937921</c:v>
                </c:pt>
                <c:pt idx="75">
                  <c:v>0.76912698906182231</c:v>
                </c:pt>
                <c:pt idx="76">
                  <c:v>-0.21949770028511603</c:v>
                </c:pt>
                <c:pt idx="77">
                  <c:v>-1.1836363638024945</c:v>
                </c:pt>
                <c:pt idx="78">
                  <c:v>-2.1256409172619812</c:v>
                </c:pt>
                <c:pt idx="79">
                  <c:v>-3.04728039733914</c:v>
                </c:pt>
                <c:pt idx="80">
                  <c:v>-3.9523812732137795</c:v>
                </c:pt>
                <c:pt idx="81">
                  <c:v>-4.841827083718389</c:v>
                </c:pt>
                <c:pt idx="82">
                  <c:v>-5.718237497363682</c:v>
                </c:pt>
                <c:pt idx="83">
                  <c:v>-6.5828299822920329</c:v>
                </c:pt>
                <c:pt idx="84">
                  <c:v>-7.4379306991255723</c:v>
                </c:pt>
                <c:pt idx="85">
                  <c:v>-8.2845340698441401</c:v>
                </c:pt>
                <c:pt idx="86">
                  <c:v>-9.1240794312318432</c:v>
                </c:pt>
                <c:pt idx="87">
                  <c:v>-9.9581642261387451</c:v>
                </c:pt>
                <c:pt idx="88">
                  <c:v>-10.787002239841607</c:v>
                </c:pt>
                <c:pt idx="89">
                  <c:v>-11.612147515865637</c:v>
                </c:pt>
                <c:pt idx="90">
                  <c:v>-12.434066627073253</c:v>
                </c:pt>
                <c:pt idx="91">
                  <c:v>-13.253523927654296</c:v>
                </c:pt>
                <c:pt idx="92">
                  <c:v>-14.071030938182137</c:v>
                </c:pt>
                <c:pt idx="93">
                  <c:v>-14.887399578275675</c:v>
                </c:pt>
                <c:pt idx="94">
                  <c:v>-15.091273123627678</c:v>
                </c:pt>
                <c:pt idx="95">
                  <c:v>-15.193826267813106</c:v>
                </c:pt>
                <c:pt idx="96">
                  <c:v>-15.295197066986015</c:v>
                </c:pt>
                <c:pt idx="97">
                  <c:v>-15.397723032812374</c:v>
                </c:pt>
                <c:pt idx="98">
                  <c:v>-15.499069085957458</c:v>
                </c:pt>
                <c:pt idx="99">
                  <c:v>-15.601597661637975</c:v>
                </c:pt>
                <c:pt idx="100">
                  <c:v>-15.702948110232098</c:v>
                </c:pt>
                <c:pt idx="101">
                  <c:v>-15.805429504734821</c:v>
                </c:pt>
                <c:pt idx="102">
                  <c:v>-15.9067357322765</c:v>
                </c:pt>
                <c:pt idx="103">
                  <c:v>-16.009272408380795</c:v>
                </c:pt>
                <c:pt idx="104">
                  <c:v>-16.110634583155548</c:v>
                </c:pt>
                <c:pt idx="105">
                  <c:v>-16.213173721345779</c:v>
                </c:pt>
                <c:pt idx="106">
                  <c:v>-16.314540274643626</c:v>
                </c:pt>
                <c:pt idx="107">
                  <c:v>-16.417032847550807</c:v>
                </c:pt>
                <c:pt idx="108">
                  <c:v>-16.518355913083223</c:v>
                </c:pt>
                <c:pt idx="109">
                  <c:v>-16.620825854595587</c:v>
                </c:pt>
                <c:pt idx="110">
                  <c:v>-16.72212887125713</c:v>
                </c:pt>
                <c:pt idx="111">
                  <c:v>-16.824665052572875</c:v>
                </c:pt>
                <c:pt idx="112">
                  <c:v>-16.926034935805351</c:v>
                </c:pt>
                <c:pt idx="113">
                  <c:v>-17.028584962658929</c:v>
                </c:pt>
                <c:pt idx="114">
                  <c:v>-17.129970565674668</c:v>
                </c:pt>
                <c:pt idx="115">
                  <c:v>-17.2325505718748</c:v>
                </c:pt>
                <c:pt idx="116">
                  <c:v>-17.333967728677084</c:v>
                </c:pt>
                <c:pt idx="117">
                  <c:v>-17.436591604364054</c:v>
                </c:pt>
                <c:pt idx="118">
                  <c:v>-17.538053961676052</c:v>
                </c:pt>
                <c:pt idx="119">
                  <c:v>-17.640671658196116</c:v>
                </c:pt>
                <c:pt idx="120">
                  <c:v>-17.742130365491811</c:v>
                </c:pt>
                <c:pt idx="121">
                  <c:v>-17.844755984271721</c:v>
                </c:pt>
                <c:pt idx="122">
                  <c:v>-17.94622489981473</c:v>
                </c:pt>
                <c:pt idx="123">
                  <c:v>-18.048929743194247</c:v>
                </c:pt>
                <c:pt idx="124">
                  <c:v>-18.150478653026141</c:v>
                </c:pt>
                <c:pt idx="125">
                  <c:v>-18.253211343396913</c:v>
                </c:pt>
                <c:pt idx="126">
                  <c:v>-18.354790107200337</c:v>
                </c:pt>
                <c:pt idx="127">
                  <c:v>-18.457559520875041</c:v>
                </c:pt>
                <c:pt idx="128">
                  <c:v>-18.559176906101985</c:v>
                </c:pt>
                <c:pt idx="129">
                  <c:v>-18.661990441269484</c:v>
                </c:pt>
                <c:pt idx="130">
                  <c:v>-18.763653775838943</c:v>
                </c:pt>
                <c:pt idx="131">
                  <c:v>-18.866517488452569</c:v>
                </c:pt>
                <c:pt idx="132">
                  <c:v>-18.917516994249443</c:v>
                </c:pt>
                <c:pt idx="133">
                  <c:v>-18.968232793466196</c:v>
                </c:pt>
                <c:pt idx="134">
                  <c:v>-19.019863762891575</c:v>
                </c:pt>
                <c:pt idx="135">
                  <c:v>-19.071204360093382</c:v>
                </c:pt>
                <c:pt idx="136">
                  <c:v>-19.122258025504252</c:v>
                </c:pt>
                <c:pt idx="137">
                  <c:v>-19.173028139489073</c:v>
                </c:pt>
                <c:pt idx="138">
                  <c:v>-19.22466110919407</c:v>
                </c:pt>
                <c:pt idx="139">
                  <c:v>-19.276004471034497</c:v>
                </c:pt>
                <c:pt idx="140">
                  <c:v>-19.32706165489229</c:v>
                </c:pt>
                <c:pt idx="141">
                  <c:v>-19.377836030840701</c:v>
                </c:pt>
                <c:pt idx="142">
                  <c:v>-19.429524951129945</c:v>
                </c:pt>
                <c:pt idx="143">
                  <c:v>-19.480924453056851</c:v>
                </c:pt>
                <c:pt idx="144">
                  <c:v>-19.53203796633214</c:v>
                </c:pt>
                <c:pt idx="145">
                  <c:v>-19.582868860874548</c:v>
                </c:pt>
                <c:pt idx="146">
                  <c:v>-19.634588147474002</c:v>
                </c:pt>
                <c:pt idx="147">
                  <c:v>-19.686018522132926</c:v>
                </c:pt>
                <c:pt idx="148">
                  <c:v>-19.737163408974862</c:v>
                </c:pt>
                <c:pt idx="149">
                  <c:v>-19.788026172472023</c:v>
                </c:pt>
                <c:pt idx="150">
                  <c:v>-19.839776418019529</c:v>
                </c:pt>
                <c:pt idx="151">
                  <c:v>-19.891238283073683</c:v>
                </c:pt>
                <c:pt idx="152">
                  <c:v>-19.942415185927757</c:v>
                </c:pt>
                <c:pt idx="153">
                  <c:v>-19.993310485368511</c:v>
                </c:pt>
                <c:pt idx="154">
                  <c:v>-20.045115704605855</c:v>
                </c:pt>
                <c:pt idx="155">
                  <c:v>-20.096632841542025</c:v>
                </c:pt>
                <c:pt idx="156">
                  <c:v>-20.147865312980294</c:v>
                </c:pt>
                <c:pt idx="157">
                  <c:v>-20.198816476260447</c:v>
                </c:pt>
                <c:pt idx="158">
                  <c:v>-20.250675064236844</c:v>
                </c:pt>
                <c:pt idx="159">
                  <c:v>-20.302245921806652</c:v>
                </c:pt>
                <c:pt idx="160">
                  <c:v>-20.353532463541455</c:v>
                </c:pt>
                <c:pt idx="161">
                  <c:v>-20.404538044607435</c:v>
                </c:pt>
                <c:pt idx="162">
                  <c:v>-20.456425484976041</c:v>
                </c:pt>
                <c:pt idx="163">
                  <c:v>-20.508025854574985</c:v>
                </c:pt>
                <c:pt idx="164">
                  <c:v>-20.559342560492937</c:v>
                </c:pt>
                <c:pt idx="165">
                  <c:v>-20.610378950591159</c:v>
                </c:pt>
                <c:pt idx="166">
                  <c:v>-20.662339285456337</c:v>
                </c:pt>
                <c:pt idx="167">
                  <c:v>-20.714012761400504</c:v>
                </c:pt>
                <c:pt idx="168">
                  <c:v>-20.765402786193196</c:v>
                </c:pt>
                <c:pt idx="169">
                  <c:v>-20.816512708364176</c:v>
                </c:pt>
                <c:pt idx="170">
                  <c:v>-20.868433648007326</c:v>
                </c:pt>
                <c:pt idx="171">
                  <c:v>-20.920069213838644</c:v>
                </c:pt>
                <c:pt idx="172">
                  <c:v>-20.971422791911056</c:v>
                </c:pt>
                <c:pt idx="173">
                  <c:v>-21.022497709540744</c:v>
                </c:pt>
                <c:pt idx="174">
                  <c:v>-21.074574366338869</c:v>
                </c:pt>
                <c:pt idx="175">
                  <c:v>-21.126365034469746</c:v>
                </c:pt>
                <c:pt idx="176">
                  <c:v>-21.177873115786376</c:v>
                </c:pt>
                <c:pt idx="177">
                  <c:v>-21.229101953039866</c:v>
                </c:pt>
                <c:pt idx="178">
                  <c:v>-21.281304322059583</c:v>
                </c:pt>
                <c:pt idx="179">
                  <c:v>-21.333220465099792</c:v>
                </c:pt>
                <c:pt idx="180">
                  <c:v>-21.384853793374536</c:v>
                </c:pt>
                <c:pt idx="181">
                  <c:v>-21.436207658777498</c:v>
                </c:pt>
                <c:pt idx="182">
                  <c:v>-21.488304114582878</c:v>
                </c:pt>
                <c:pt idx="183">
                  <c:v>-21.540116678909431</c:v>
                </c:pt>
                <c:pt idx="184">
                  <c:v>-21.591648726762411</c:v>
                </c:pt>
                <c:pt idx="185">
                  <c:v>-21.642903574658035</c:v>
                </c:pt>
                <c:pt idx="186">
                  <c:v>-21.695280125328335</c:v>
                </c:pt>
                <c:pt idx="187">
                  <c:v>-21.74737096267609</c:v>
                </c:pt>
                <c:pt idx="188">
                  <c:v>-21.799179499763085</c:v>
                </c:pt>
                <c:pt idx="189">
                  <c:v>-21.850709090277402</c:v>
                </c:pt>
                <c:pt idx="190">
                  <c:v>-21.902938499354811</c:v>
                </c:pt>
                <c:pt idx="191">
                  <c:v>-21.95488506337913</c:v>
                </c:pt>
                <c:pt idx="192">
                  <c:v>-22.006552150082349</c:v>
                </c:pt>
                <c:pt idx="193">
                  <c:v>-22.057943068860236</c:v>
                </c:pt>
                <c:pt idx="194">
                  <c:v>-22.11039760230776</c:v>
                </c:pt>
                <c:pt idx="195">
                  <c:v>-22.162568176204044</c:v>
                </c:pt>
                <c:pt idx="196">
                  <c:v>-22.21445818421082</c:v>
                </c:pt>
                <c:pt idx="197">
                  <c:v>-22.266070961044857</c:v>
                </c:pt>
                <c:pt idx="198">
                  <c:v>-22.3185309508413</c:v>
                </c:pt>
                <c:pt idx="199">
                  <c:v>-22.370708293486373</c:v>
                </c:pt>
                <c:pt idx="200">
                  <c:v>-22.422606365499153</c:v>
                </c:pt>
                <c:pt idx="201">
                  <c:v>-22.474228484836015</c:v>
                </c:pt>
                <c:pt idx="202">
                  <c:v>-22.526675296531312</c:v>
                </c:pt>
                <c:pt idx="203">
                  <c:v>-22.578841018731737</c:v>
                </c:pt>
                <c:pt idx="204">
                  <c:v>-22.630729006649702</c:v>
                </c:pt>
                <c:pt idx="205">
                  <c:v>-22.682342557409854</c:v>
                </c:pt>
                <c:pt idx="206">
                  <c:v>-22.734938169405837</c:v>
                </c:pt>
                <c:pt idx="207">
                  <c:v>-22.787252570353456</c:v>
                </c:pt>
                <c:pt idx="208">
                  <c:v>-22.839289124378908</c:v>
                </c:pt>
                <c:pt idx="209">
                  <c:v>-22.891051137296955</c:v>
                </c:pt>
                <c:pt idx="210">
                  <c:v>-22.943943973546702</c:v>
                </c:pt>
                <c:pt idx="211">
                  <c:v>-22.996553961530303</c:v>
                </c:pt>
                <c:pt idx="212">
                  <c:v>-23.048884501790145</c:v>
                </c:pt>
                <c:pt idx="213">
                  <c:v>-23.100938935694892</c:v>
                </c:pt>
                <c:pt idx="214">
                  <c:v>-23.153749987196335</c:v>
                </c:pt>
                <c:pt idx="215">
                  <c:v>-23.206280653966541</c:v>
                </c:pt>
                <c:pt idx="216">
                  <c:v>-23.258534299614205</c:v>
                </c:pt>
                <c:pt idx="217">
                  <c:v>-23.310514229402539</c:v>
                </c:pt>
                <c:pt idx="218">
                  <c:v>-23.363399606087725</c:v>
                </c:pt>
                <c:pt idx="219">
                  <c:v>-23.416005455574247</c:v>
                </c:pt>
                <c:pt idx="220">
                  <c:v>-23.468335133576566</c:v>
                </c:pt>
                <c:pt idx="221">
                  <c:v>-23.520391937617976</c:v>
                </c:pt>
                <c:pt idx="222">
                  <c:v>-23.573330551529668</c:v>
                </c:pt>
                <c:pt idx="223">
                  <c:v>-23.625990778304224</c:v>
                </c:pt>
                <c:pt idx="224">
                  <c:v>-23.678375960899643</c:v>
                </c:pt>
                <c:pt idx="225">
                  <c:v>-23.730489384345816</c:v>
                </c:pt>
                <c:pt idx="226">
                  <c:v>-23.783622959518095</c:v>
                </c:pt>
                <c:pt idx="227">
                  <c:v>-23.836477867805964</c:v>
                </c:pt>
                <c:pt idx="228">
                  <c:v>-23.889057465157645</c:v>
                </c:pt>
                <c:pt idx="229">
                  <c:v>-23.941365049258778</c:v>
                </c:pt>
                <c:pt idx="230">
                  <c:v>-24.047688214478995</c:v>
                </c:pt>
                <c:pt idx="231">
                  <c:v>-24.100435289405869</c:v>
                </c:pt>
                <c:pt idx="232">
                  <c:v>-24.15291045091665</c:v>
                </c:pt>
                <c:pt idx="233">
                  <c:v>-24.206353031034304</c:v>
                </c:pt>
                <c:pt idx="234">
                  <c:v>-24.259517460712807</c:v>
                </c:pt>
                <c:pt idx="235">
                  <c:v>-24.312407103298831</c:v>
                </c:pt>
                <c:pt idx="236">
                  <c:v>-24.36502526362392</c:v>
                </c:pt>
                <c:pt idx="237">
                  <c:v>-24.418434607657371</c:v>
                </c:pt>
                <c:pt idx="238">
                  <c:v>-24.471568111018009</c:v>
                </c:pt>
                <c:pt idx="239">
                  <c:v>-24.524429103991743</c:v>
                </c:pt>
                <c:pt idx="240">
                  <c:v>-24.577020859066089</c:v>
                </c:pt>
                <c:pt idx="241">
                  <c:v>-24.630681006404007</c:v>
                </c:pt>
                <c:pt idx="242">
                  <c:v>-24.684064763061933</c:v>
                </c:pt>
                <c:pt idx="243">
                  <c:v>-24.737175478146987</c:v>
                </c:pt>
                <c:pt idx="244">
                  <c:v>-24.790016442481285</c:v>
                </c:pt>
                <c:pt idx="245">
                  <c:v>-24.843752980468828</c:v>
                </c:pt>
                <c:pt idx="246">
                  <c:v>-24.897214451664507</c:v>
                </c:pt>
                <c:pt idx="247">
                  <c:v>-24.950404190284718</c:v>
                </c:pt>
                <c:pt idx="248">
                  <c:v>-25.003325472548813</c:v>
                </c:pt>
                <c:pt idx="249">
                  <c:v>-25.057262525091446</c:v>
                </c:pt>
                <c:pt idx="250">
                  <c:v>-25.110924645080559</c:v>
                </c:pt>
                <c:pt idx="251">
                  <c:v>-25.164315173593373</c:v>
                </c:pt>
                <c:pt idx="252">
                  <c:v>-25.217437393489508</c:v>
                </c:pt>
                <c:pt idx="253">
                  <c:v>-25.271410359014986</c:v>
                </c:pt>
                <c:pt idx="254">
                  <c:v>-25.325110277868163</c:v>
                </c:pt>
                <c:pt idx="255">
                  <c:v>-25.378540466330065</c:v>
                </c:pt>
                <c:pt idx="256">
                  <c:v>-25.43170418297095</c:v>
                </c:pt>
                <c:pt idx="257">
                  <c:v>-25.485971637650124</c:v>
                </c:pt>
                <c:pt idx="258">
                  <c:v>-25.539965402099995</c:v>
                </c:pt>
                <c:pt idx="259">
                  <c:v>-25.593688813954699</c:v>
                </c:pt>
                <c:pt idx="260">
                  <c:v>-25.647145152569728</c:v>
                </c:pt>
                <c:pt idx="261">
                  <c:v>-25.701543519000598</c:v>
                </c:pt>
                <c:pt idx="262">
                  <c:v>-25.755669291818947</c:v>
                </c:pt>
                <c:pt idx="263">
                  <c:v>-25.809525798487783</c:v>
                </c:pt>
                <c:pt idx="264">
                  <c:v>-25.863116308348321</c:v>
                </c:pt>
                <c:pt idx="265">
                  <c:v>-25.917626134077221</c:v>
                </c:pt>
                <c:pt idx="266">
                  <c:v>-25.971864737828465</c:v>
                </c:pt>
                <c:pt idx="267">
                  <c:v>-26.025835431962449</c:v>
                </c:pt>
                <c:pt idx="268">
                  <c:v>-26.079541470982889</c:v>
                </c:pt>
                <c:pt idx="269">
                  <c:v>-26.134273777154853</c:v>
                </c:pt>
                <c:pt idx="270">
                  <c:v>-26.188735217899715</c:v>
                </c:pt>
                <c:pt idx="271">
                  <c:v>-26.24292910910841</c:v>
                </c:pt>
                <c:pt idx="272">
                  <c:v>-26.296858708640801</c:v>
                </c:pt>
                <c:pt idx="273">
                  <c:v>-26.351789858578002</c:v>
                </c:pt>
                <c:pt idx="274">
                  <c:v>-26.406450829846779</c:v>
                </c:pt>
                <c:pt idx="275">
                  <c:v>-26.460844935919162</c:v>
                </c:pt>
                <c:pt idx="276">
                  <c:v>-26.514975432192664</c:v>
                </c:pt>
                <c:pt idx="277">
                  <c:v>-26.569959905289274</c:v>
                </c:pt>
                <c:pt idx="278">
                  <c:v>-26.62467639679474</c:v>
                </c:pt>
                <c:pt idx="279">
                  <c:v>-26.679128190094904</c:v>
                </c:pt>
                <c:pt idx="280">
                  <c:v>-26.733318511095021</c:v>
                </c:pt>
                <c:pt idx="281">
                  <c:v>-26.788707878170701</c:v>
                </c:pt>
                <c:pt idx="282">
                  <c:v>-26.843828133144839</c:v>
                </c:pt>
                <c:pt idx="283">
                  <c:v>-26.898682590411571</c:v>
                </c:pt>
                <c:pt idx="284">
                  <c:v>-26.953274506046117</c:v>
                </c:pt>
                <c:pt idx="285">
                  <c:v>-27.008679195147334</c:v>
                </c:pt>
                <c:pt idx="286">
                  <c:v>-27.06381751340156</c:v>
                </c:pt>
                <c:pt idx="287">
                  <c:v>-27.118692735025437</c:v>
                </c:pt>
                <c:pt idx="288">
                  <c:v>-27.173308076732269</c:v>
                </c:pt>
                <c:pt idx="289">
                  <c:v>-27.229069147916416</c:v>
                </c:pt>
                <c:pt idx="290">
                  <c:v>-27.284563401233189</c:v>
                </c:pt>
                <c:pt idx="291">
                  <c:v>-27.339794129333761</c:v>
                </c:pt>
                <c:pt idx="292">
                  <c:v>-27.394764566803062</c:v>
                </c:pt>
                <c:pt idx="293">
                  <c:v>-27.450739260540868</c:v>
                </c:pt>
                <c:pt idx="294">
                  <c:v>-27.506448163816586</c:v>
                </c:pt>
                <c:pt idx="295">
                  <c:v>-27.561894560492838</c:v>
                </c:pt>
                <c:pt idx="296">
                  <c:v>-27.617081676430718</c:v>
                </c:pt>
                <c:pt idx="297">
                  <c:v>-27.673250488770048</c:v>
                </c:pt>
                <c:pt idx="298">
                  <c:v>-27.729154817878236</c:v>
                </c:pt>
                <c:pt idx="299">
                  <c:v>-27.784797933510355</c:v>
                </c:pt>
                <c:pt idx="300">
                  <c:v>-27.840183047601052</c:v>
                </c:pt>
                <c:pt idx="301">
                  <c:v>-27.896528199379489</c:v>
                </c:pt>
                <c:pt idx="302">
                  <c:v>-27.952610431811852</c:v>
                </c:pt>
                <c:pt idx="303">
                  <c:v>-28.008432995597424</c:v>
                </c:pt>
                <c:pt idx="304">
                  <c:v>-28.063999083903759</c:v>
                </c:pt>
                <c:pt idx="305">
                  <c:v>-28.120721246092899</c:v>
                </c:pt>
                <c:pt idx="306">
                  <c:v>-28.177180287056601</c:v>
                </c:pt>
                <c:pt idx="307">
                  <c:v>-28.233379470898271</c:v>
                </c:pt>
                <c:pt idx="308">
                  <c:v>-28.28932200370356</c:v>
                </c:pt>
                <c:pt idx="309">
                  <c:v>-28.346181853751283</c:v>
                </c:pt>
                <c:pt idx="310">
                  <c:v>-28.402780698525383</c:v>
                </c:pt>
                <c:pt idx="311">
                  <c:v>-28.459121772308983</c:v>
                </c:pt>
                <c:pt idx="312">
                  <c:v>-28.515208251891909</c:v>
                </c:pt>
                <c:pt idx="313">
                  <c:v>-28.572401971699328</c:v>
                </c:pt>
                <c:pt idx="314">
                  <c:v>-28.629335095898352</c:v>
                </c:pt>
                <c:pt idx="315">
                  <c:v>-28.686010860241193</c:v>
                </c:pt>
                <c:pt idx="316">
                  <c:v>-28.742432442761551</c:v>
                </c:pt>
                <c:pt idx="317">
                  <c:v>-28.799937323828392</c:v>
                </c:pt>
                <c:pt idx="318">
                  <c:v>-28.8571823370145</c:v>
                </c:pt>
                <c:pt idx="319">
                  <c:v>-28.914170713268604</c:v>
                </c:pt>
                <c:pt idx="320">
                  <c:v>-28.970905625732822</c:v>
                </c:pt>
                <c:pt idx="321">
                  <c:v>-29.028700831567061</c:v>
                </c:pt>
                <c:pt idx="322">
                  <c:v>-29.08623718996602</c:v>
                </c:pt>
                <c:pt idx="323">
                  <c:v>-29.143517921180813</c:v>
                </c:pt>
                <c:pt idx="324">
                  <c:v>-29.200546187697221</c:v>
                </c:pt>
                <c:pt idx="325">
                  <c:v>-29.258612651268582</c:v>
                </c:pt>
                <c:pt idx="326">
                  <c:v>-29.316421555674857</c:v>
                </c:pt>
                <c:pt idx="327">
                  <c:v>-29.373976104958174</c:v>
                </c:pt>
                <c:pt idx="328">
                  <c:v>-29.431279445557848</c:v>
                </c:pt>
                <c:pt idx="329">
                  <c:v>-29.489697076950776</c:v>
                </c:pt>
                <c:pt idx="330">
                  <c:v>-29.547857829337609</c:v>
                </c:pt>
                <c:pt idx="331">
                  <c:v>-29.605764901271296</c:v>
                </c:pt>
                <c:pt idx="332">
                  <c:v>-29.663421433597531</c:v>
                </c:pt>
                <c:pt idx="333">
                  <c:v>-29.722073729896955</c:v>
                </c:pt>
                <c:pt idx="334">
                  <c:v>-29.780470943606062</c:v>
                </c:pt>
                <c:pt idx="335">
                  <c:v>-29.83861624634935</c:v>
                </c:pt>
                <c:pt idx="336">
                  <c:v>-29.896512752443538</c:v>
                </c:pt>
                <c:pt idx="337">
                  <c:v>-29.955573469472213</c:v>
                </c:pt>
                <c:pt idx="338">
                  <c:v>-30.014379483517509</c:v>
                </c:pt>
                <c:pt idx="339">
                  <c:v>-30.072933964890346</c:v>
                </c:pt>
                <c:pt idx="340">
                  <c:v>-30.131240026367681</c:v>
                </c:pt>
                <c:pt idx="341">
                  <c:v>-30.190686756157767</c:v>
                </c:pt>
                <c:pt idx="342">
                  <c:v>-30.249879463643499</c:v>
                </c:pt>
                <c:pt idx="343">
                  <c:v>-30.308821311408192</c:v>
                </c:pt>
                <c:pt idx="344">
                  <c:v>-30.367515404417702</c:v>
                </c:pt>
                <c:pt idx="345">
                  <c:v>-30.427236684825523</c:v>
                </c:pt>
                <c:pt idx="346">
                  <c:v>-30.486705663220643</c:v>
                </c:pt>
                <c:pt idx="347">
                  <c:v>-30.545925474218354</c:v>
                </c:pt>
                <c:pt idx="348">
                  <c:v>-30.604899195213658</c:v>
                </c:pt>
                <c:pt idx="349">
                  <c:v>-30.665059291206759</c:v>
                </c:pt>
                <c:pt idx="350">
                  <c:v>-30.724967505439533</c:v>
                </c:pt>
                <c:pt idx="351">
                  <c:v>-30.784626967743129</c:v>
                </c:pt>
                <c:pt idx="352">
                  <c:v>-30.84404075055361</c:v>
                </c:pt>
                <c:pt idx="353">
                  <c:v>-30.904617773247232</c:v>
                </c:pt>
                <c:pt idx="354">
                  <c:v>-30.964943617138374</c:v>
                </c:pt>
                <c:pt idx="355">
                  <c:v>-31.025021400945509</c:v>
                </c:pt>
                <c:pt idx="356">
                  <c:v>-31.0848541859609</c:v>
                </c:pt>
                <c:pt idx="357">
                  <c:v>-31.145741521933626</c:v>
                </c:pt>
                <c:pt idx="358">
                  <c:v>-31.206379343991895</c:v>
                </c:pt>
                <c:pt idx="359">
                  <c:v>-31.266770740751717</c:v>
                </c:pt>
                <c:pt idx="360">
                  <c:v>-31.32691874382903</c:v>
                </c:pt>
                <c:pt idx="361">
                  <c:v>-31.388272066311718</c:v>
                </c:pt>
                <c:pt idx="362">
                  <c:v>-31.449376340573743</c:v>
                </c:pt>
                <c:pt idx="363">
                  <c:v>-31.51023464610974</c:v>
                </c:pt>
                <c:pt idx="364">
                  <c:v>-31.570850005318761</c:v>
                </c:pt>
                <c:pt idx="365">
                  <c:v>-31.63256435662867</c:v>
                </c:pt>
                <c:pt idx="366">
                  <c:v>-31.694031053750457</c:v>
                </c:pt>
                <c:pt idx="367">
                  <c:v>-31.755253148584256</c:v>
                </c:pt>
                <c:pt idx="368">
                  <c:v>-31.816233636287819</c:v>
                </c:pt>
                <c:pt idx="369">
                  <c:v>-31.878458024883134</c:v>
                </c:pt>
                <c:pt idx="370">
                  <c:v>-31.940435030972342</c:v>
                </c:pt>
                <c:pt idx="371">
                  <c:v>-32.002167698146913</c:v>
                </c:pt>
                <c:pt idx="372">
                  <c:v>-32.063659013126966</c:v>
                </c:pt>
                <c:pt idx="373">
                  <c:v>-32.126290214595016</c:v>
                </c:pt>
                <c:pt idx="374">
                  <c:v>-32.188675197838556</c:v>
                </c:pt>
                <c:pt idx="375">
                  <c:v>-32.250816980228954</c:v>
                </c:pt>
                <c:pt idx="376">
                  <c:v>-32.312718522577768</c:v>
                </c:pt>
                <c:pt idx="377">
                  <c:v>-32.375899369275281</c:v>
                </c:pt>
                <c:pt idx="378">
                  <c:v>-32.438834106697016</c:v>
                </c:pt>
                <c:pt idx="379">
                  <c:v>-32.501525743758116</c:v>
                </c:pt>
                <c:pt idx="380">
                  <c:v>-32.56397723267979</c:v>
                </c:pt>
                <c:pt idx="381">
                  <c:v>-32.627527671227639</c:v>
                </c:pt>
                <c:pt idx="382">
                  <c:v>-32.690833567292913</c:v>
                </c:pt>
                <c:pt idx="383">
                  <c:v>-32.753897893077827</c:v>
                </c:pt>
                <c:pt idx="384">
                  <c:v>-32.816723564663448</c:v>
                </c:pt>
                <c:pt idx="385">
                  <c:v>-32.880861647438685</c:v>
                </c:pt>
                <c:pt idx="386">
                  <c:v>-32.944755125888598</c:v>
                </c:pt>
                <c:pt idx="387">
                  <c:v>-33.008406963432428</c:v>
                </c:pt>
                <c:pt idx="388">
                  <c:v>-33.071820067241397</c:v>
                </c:pt>
                <c:pt idx="389">
                  <c:v>-33.136446011807486</c:v>
                </c:pt>
                <c:pt idx="390">
                  <c:v>-33.200828106940463</c:v>
                </c:pt>
                <c:pt idx="391">
                  <c:v>-33.264969290660986</c:v>
                </c:pt>
                <c:pt idx="392">
                  <c:v>-33.328872445036019</c:v>
                </c:pt>
                <c:pt idx="393">
                  <c:v>-33.393967613519642</c:v>
                </c:pt>
                <c:pt idx="394">
                  <c:v>-33.458819861248507</c:v>
                </c:pt>
                <c:pt idx="395">
                  <c:v>-33.523432095951485</c:v>
                </c:pt>
                <c:pt idx="396">
                  <c:v>-33.587807169829297</c:v>
                </c:pt>
                <c:pt idx="397">
                  <c:v>-33.653502163412739</c:v>
                </c:pt>
                <c:pt idx="398">
                  <c:v>-33.718954225564268</c:v>
                </c:pt>
                <c:pt idx="399">
                  <c:v>-33.784166248666786</c:v>
                </c:pt>
                <c:pt idx="400">
                  <c:v>-33.849141069629397</c:v>
                </c:pt>
                <c:pt idx="401">
                  <c:v>-33.915340195628893</c:v>
                </c:pt>
                <c:pt idx="402">
                  <c:v>-33.981297117687234</c:v>
                </c:pt>
                <c:pt idx="403">
                  <c:v>-34.047014697779552</c:v>
                </c:pt>
                <c:pt idx="404">
                  <c:v>-34.112495742856282</c:v>
                </c:pt>
                <c:pt idx="405">
                  <c:v>-34.1792526094602</c:v>
                </c:pt>
                <c:pt idx="406">
                  <c:v>-34.24576762331175</c:v>
                </c:pt>
                <c:pt idx="407">
                  <c:v>-34.312043620760903</c:v>
                </c:pt>
                <c:pt idx="408">
                  <c:v>-34.378083383475207</c:v>
                </c:pt>
                <c:pt idx="409">
                  <c:v>-34.445448570219931</c:v>
                </c:pt>
                <c:pt idx="410">
                  <c:v>-34.512571906117444</c:v>
                </c:pt>
                <c:pt idx="411">
                  <c:v>-34.57945620605944</c:v>
                </c:pt>
                <c:pt idx="412">
                  <c:v>-34.646104230507902</c:v>
                </c:pt>
                <c:pt idx="413">
                  <c:v>-34.714055577735586</c:v>
                </c:pt>
                <c:pt idx="414">
                  <c:v>-34.78176524570884</c:v>
                </c:pt>
                <c:pt idx="415">
                  <c:v>-34.849236022946492</c:v>
                </c:pt>
                <c:pt idx="416">
                  <c:v>-34.916470643937679</c:v>
                </c:pt>
                <c:pt idx="417">
                  <c:v>-34.985056032279005</c:v>
                </c:pt>
                <c:pt idx="418">
                  <c:v>-35.053399575463352</c:v>
                </c:pt>
                <c:pt idx="419">
                  <c:v>-35.1215040395236</c:v>
                </c:pt>
                <c:pt idx="420">
                  <c:v>-35.189372136787661</c:v>
                </c:pt>
                <c:pt idx="421">
                  <c:v>-35.258500841869676</c:v>
                </c:pt>
                <c:pt idx="422">
                  <c:v>-35.327388165593142</c:v>
                </c:pt>
                <c:pt idx="423">
                  <c:v>-35.396036838925284</c:v>
                </c:pt>
                <c:pt idx="424">
                  <c:v>-35.464449539806424</c:v>
                </c:pt>
                <c:pt idx="425">
                  <c:v>-35.534303616544875</c:v>
                </c:pt>
                <c:pt idx="426">
                  <c:v>-35.603915491979372</c:v>
                </c:pt>
                <c:pt idx="427">
                  <c:v>-35.673287881919109</c:v>
                </c:pt>
                <c:pt idx="428">
                  <c:v>-35.742423449343129</c:v>
                </c:pt>
                <c:pt idx="429">
                  <c:v>-35.812910567994727</c:v>
                </c:pt>
                <c:pt idx="430">
                  <c:v>-35.883155293445711</c:v>
                </c:pt>
                <c:pt idx="431">
                  <c:v>-35.95316031396186</c:v>
                </c:pt>
                <c:pt idx="432">
                  <c:v>-36.022928265532485</c:v>
                </c:pt>
                <c:pt idx="433">
                  <c:v>-36.094026002742751</c:v>
                </c:pt>
                <c:pt idx="434">
                  <c:v>-36.164881278521577</c:v>
                </c:pt>
                <c:pt idx="435">
                  <c:v>-36.235496749988521</c:v>
                </c:pt>
                <c:pt idx="436">
                  <c:v>-36.305875022674535</c:v>
                </c:pt>
                <c:pt idx="437">
                  <c:v>-36.377690491841072</c:v>
                </c:pt>
                <c:pt idx="438">
                  <c:v>-36.449262668683389</c:v>
                </c:pt>
                <c:pt idx="439">
                  <c:v>-36.520594190168993</c:v>
                </c:pt>
                <c:pt idx="440">
                  <c:v>-36.591687642126765</c:v>
                </c:pt>
                <c:pt idx="441">
                  <c:v>-36.664195062763</c:v>
                </c:pt>
                <c:pt idx="442">
                  <c:v>-36.736458502005071</c:v>
                </c:pt>
                <c:pt idx="443">
                  <c:v>-36.808480572906326</c:v>
                </c:pt>
                <c:pt idx="444">
                  <c:v>-36.88026383797893</c:v>
                </c:pt>
                <c:pt idx="445">
                  <c:v>-36.953438419336081</c:v>
                </c:pt>
                <c:pt idx="446">
                  <c:v>-37.026368453555158</c:v>
                </c:pt>
                <c:pt idx="447">
                  <c:v>-37.099056526617744</c:v>
                </c:pt>
                <c:pt idx="448">
                  <c:v>-37.171505174697757</c:v>
                </c:pt>
                <c:pt idx="449">
                  <c:v>-37.24544658116907</c:v>
                </c:pt>
                <c:pt idx="450">
                  <c:v>-37.319142163673746</c:v>
                </c:pt>
                <c:pt idx="451">
                  <c:v>-37.392594491312124</c:v>
                </c:pt>
                <c:pt idx="452">
                  <c:v>-37.465806083909023</c:v>
                </c:pt>
                <c:pt idx="453">
                  <c:v>-37.540425449569256</c:v>
                </c:pt>
                <c:pt idx="454">
                  <c:v>-37.614798256168157</c:v>
                </c:pt>
                <c:pt idx="455">
                  <c:v>-37.688927046618275</c:v>
                </c:pt>
                <c:pt idx="456">
                  <c:v>-37.762814315390912</c:v>
                </c:pt>
                <c:pt idx="457">
                  <c:v>-37.838207414003818</c:v>
                </c:pt>
                <c:pt idx="458">
                  <c:v>-37.913352532038303</c:v>
                </c:pt>
                <c:pt idx="459">
                  <c:v>-37.988252196254571</c:v>
                </c:pt>
                <c:pt idx="460">
                  <c:v>-38.062908885620764</c:v>
                </c:pt>
                <c:pt idx="461">
                  <c:v>-38.139047273617841</c:v>
                </c:pt>
                <c:pt idx="462">
                  <c:v>-38.214936394010635</c:v>
                </c:pt>
                <c:pt idx="463">
                  <c:v>-38.290578754990122</c:v>
                </c:pt>
                <c:pt idx="464">
                  <c:v>-38.365976817740425</c:v>
                </c:pt>
                <c:pt idx="465">
                  <c:v>-38.442891588930621</c:v>
                </c:pt>
                <c:pt idx="466">
                  <c:v>-38.519555547019507</c:v>
                </c:pt>
                <c:pt idx="467">
                  <c:v>-38.59597118548492</c:v>
                </c:pt>
                <c:pt idx="468">
                  <c:v>-38.672140951566568</c:v>
                </c:pt>
                <c:pt idx="469">
                  <c:v>-38.749803184690379</c:v>
                </c:pt>
                <c:pt idx="470">
                  <c:v>-38.827213192230403</c:v>
                </c:pt>
                <c:pt idx="471">
                  <c:v>-38.904373451287192</c:v>
                </c:pt>
                <c:pt idx="472">
                  <c:v>-38.981286393616593</c:v>
                </c:pt>
                <c:pt idx="473">
                  <c:v>-39.059782309849595</c:v>
                </c:pt>
                <c:pt idx="474">
                  <c:v>-39.138023975254384</c:v>
                </c:pt>
                <c:pt idx="475">
                  <c:v>-39.216013860191808</c:v>
                </c:pt>
                <c:pt idx="476">
                  <c:v>-39.293754390427083</c:v>
                </c:pt>
                <c:pt idx="477">
                  <c:v>-39.373052449875829</c:v>
                </c:pt>
                <c:pt idx="478">
                  <c:v>-39.452094389213428</c:v>
                </c:pt>
                <c:pt idx="479">
                  <c:v>-39.530882670766317</c:v>
                </c:pt>
                <c:pt idx="480">
                  <c:v>-39.60941971314319</c:v>
                </c:pt>
                <c:pt idx="481">
                  <c:v>-39.689489356154915</c:v>
                </c:pt>
                <c:pt idx="482">
                  <c:v>-39.769301160051484</c:v>
                </c:pt>
                <c:pt idx="483">
                  <c:v>-39.848857578463509</c:v>
                </c:pt>
                <c:pt idx="484">
                  <c:v>-39.92816102229547</c:v>
                </c:pt>
                <c:pt idx="485">
                  <c:v>-40.009027607636789</c:v>
                </c:pt>
                <c:pt idx="486">
                  <c:v>-40.089634429995307</c:v>
                </c:pt>
                <c:pt idx="487">
                  <c:v>-40.16998393921088</c:v>
                </c:pt>
                <c:pt idx="488">
                  <c:v>-40.250078543379161</c:v>
                </c:pt>
                <c:pt idx="489">
                  <c:v>-40.331819844804912</c:v>
                </c:pt>
                <c:pt idx="490">
                  <c:v>-40.41329892942511</c:v>
                </c:pt>
                <c:pt idx="491">
                  <c:v>-40.4945182531808</c:v>
                </c:pt>
                <c:pt idx="492">
                  <c:v>-40.575480231140048</c:v>
                </c:pt>
                <c:pt idx="493">
                  <c:v>-40.658062376813284</c:v>
                </c:pt>
                <c:pt idx="494">
                  <c:v>-40.740380050116983</c:v>
                </c:pt>
                <c:pt idx="495">
                  <c:v>-40.822435713259615</c:v>
                </c:pt>
                <c:pt idx="496">
                  <c:v>-40.904231788565198</c:v>
                </c:pt>
                <c:pt idx="497">
                  <c:v>-40.987674942042609</c:v>
                </c:pt>
                <c:pt idx="498">
                  <c:v>-41.070851231452188</c:v>
                </c:pt>
                <c:pt idx="499">
                  <c:v>-41.153763130754641</c:v>
                </c:pt>
                <c:pt idx="500">
                  <c:v>-41.236413075023307</c:v>
                </c:pt>
                <c:pt idx="501">
                  <c:v>-41.320735880588245</c:v>
                </c:pt>
                <c:pt idx="502">
                  <c:v>-41.404789320475487</c:v>
                </c:pt>
                <c:pt idx="503">
                  <c:v>-41.488575886179653</c:v>
                </c:pt>
                <c:pt idx="504">
                  <c:v>-41.572098031319996</c:v>
                </c:pt>
                <c:pt idx="505">
                  <c:v>-41.657266173631797</c:v>
                </c:pt>
                <c:pt idx="506">
                  <c:v>-41.742162695121195</c:v>
                </c:pt>
                <c:pt idx="507">
                  <c:v>-41.826790106419466</c:v>
                </c:pt>
                <c:pt idx="508">
                  <c:v>-41.911150881404986</c:v>
                </c:pt>
                <c:pt idx="509">
                  <c:v>-41.997182307361527</c:v>
                </c:pt>
                <c:pt idx="510">
                  <c:v>-42.082939791541385</c:v>
                </c:pt>
                <c:pt idx="511">
                  <c:v>-42.168425870467033</c:v>
                </c:pt>
                <c:pt idx="512">
                  <c:v>-42.253643045048868</c:v>
                </c:pt>
                <c:pt idx="513">
                  <c:v>-42.340604811940537</c:v>
                </c:pt>
                <c:pt idx="514">
                  <c:v>-42.427289965744336</c:v>
                </c:pt>
                <c:pt idx="515">
                  <c:v>-42.513701080515041</c:v>
                </c:pt>
                <c:pt idx="516">
                  <c:v>-42.599840695785119</c:v>
                </c:pt>
                <c:pt idx="517">
                  <c:v>-42.687697047018361</c:v>
                </c:pt>
                <c:pt idx="518">
                  <c:v>-42.775274448957063</c:v>
                </c:pt>
                <c:pt idx="519">
                  <c:v>-42.862575516374633</c:v>
                </c:pt>
                <c:pt idx="520">
                  <c:v>-42.949602830737525</c:v>
                </c:pt>
                <c:pt idx="521">
                  <c:v>-43.038368758791378</c:v>
                </c:pt>
                <c:pt idx="522">
                  <c:v>-43.126853448275106</c:v>
                </c:pt>
                <c:pt idx="523">
                  <c:v>-43.215059563058816</c:v>
                </c:pt>
                <c:pt idx="524">
                  <c:v>-43.302989734972954</c:v>
                </c:pt>
                <c:pt idx="525">
                  <c:v>-43.392679612798268</c:v>
                </c:pt>
                <c:pt idx="526">
                  <c:v>-43.482086055287532</c:v>
                </c:pt>
                <c:pt idx="527">
                  <c:v>-43.571211784517899</c:v>
                </c:pt>
                <c:pt idx="528">
                  <c:v>-43.660059491862611</c:v>
                </c:pt>
                <c:pt idx="529">
                  <c:v>-43.750687294293094</c:v>
                </c:pt>
                <c:pt idx="530">
                  <c:v>-43.841029607724487</c:v>
                </c:pt>
                <c:pt idx="531">
                  <c:v>-43.931089222410613</c:v>
                </c:pt>
                <c:pt idx="532">
                  <c:v>-44.020868899325137</c:v>
                </c:pt>
                <c:pt idx="533">
                  <c:v>-44.112495654332875</c:v>
                </c:pt>
                <c:pt idx="534">
                  <c:v>-44.203834770894588</c:v>
                </c:pt>
                <c:pt idx="535">
                  <c:v>-44.294889122843557</c:v>
                </c:pt>
                <c:pt idx="536">
                  <c:v>-44.385661556211076</c:v>
                </c:pt>
                <c:pt idx="537">
                  <c:v>-44.478206216143221</c:v>
                </c:pt>
                <c:pt idx="538">
                  <c:v>-44.570461947332582</c:v>
                </c:pt>
                <c:pt idx="539">
                  <c:v>-44.662431710452012</c:v>
                </c:pt>
                <c:pt idx="540">
                  <c:v>-44.754118440106637</c:v>
                </c:pt>
                <c:pt idx="541">
                  <c:v>-44.847689232725841</c:v>
                </c:pt>
                <c:pt idx="542">
                  <c:v>-44.94096955382652</c:v>
                </c:pt>
                <c:pt idx="543">
                  <c:v>-45.033962473484564</c:v>
                </c:pt>
                <c:pt idx="544">
                  <c:v>-45.126671037512423</c:v>
                </c:pt>
                <c:pt idx="545">
                  <c:v>-45.221235954109879</c:v>
                </c:pt>
                <c:pt idx="546">
                  <c:v>-45.315509566406163</c:v>
                </c:pt>
                <c:pt idx="547">
                  <c:v>-45.409495064604393</c:v>
                </c:pt>
                <c:pt idx="548">
                  <c:v>-45.503195616721221</c:v>
                </c:pt>
                <c:pt idx="549">
                  <c:v>-45.598771032658654</c:v>
                </c:pt>
                <c:pt idx="550">
                  <c:v>-45.694054815942842</c:v>
                </c:pt>
                <c:pt idx="551">
                  <c:v>-45.789050294106389</c:v>
                </c:pt>
                <c:pt idx="552">
                  <c:v>-45.883760774847893</c:v>
                </c:pt>
                <c:pt idx="553">
                  <c:v>-45.980409079418123</c:v>
                </c:pt>
                <c:pt idx="554">
                  <c:v>-46.076765763704103</c:v>
                </c:pt>
                <c:pt idx="555">
                  <c:v>-46.172834316907732</c:v>
                </c:pt>
                <c:pt idx="556">
                  <c:v>-46.268618211058467</c:v>
                </c:pt>
                <c:pt idx="557">
                  <c:v>-46.463806841741551</c:v>
                </c:pt>
                <c:pt idx="558">
                  <c:v>-46.657846701214552</c:v>
                </c:pt>
                <c:pt idx="559">
                  <c:v>-46.855176113848174</c:v>
                </c:pt>
                <c:pt idx="560">
                  <c:v>-47.051365146919082</c:v>
                </c:pt>
                <c:pt idx="561">
                  <c:v>-47.251059915805477</c:v>
                </c:pt>
                <c:pt idx="562">
                  <c:v>-47.449624970872904</c:v>
                </c:pt>
                <c:pt idx="563">
                  <c:v>-47.651318978611513</c:v>
                </c:pt>
                <c:pt idx="564">
                  <c:v>-47.851903656165845</c:v>
                </c:pt>
                <c:pt idx="565">
                  <c:v>-48.056430117263098</c:v>
                </c:pt>
                <c:pt idx="566">
                  <c:v>-48.259865183847182</c:v>
                </c:pt>
                <c:pt idx="567">
                  <c:v>-48.46721035243057</c:v>
                </c:pt>
                <c:pt idx="568">
                  <c:v>-48.673490387129867</c:v>
                </c:pt>
                <c:pt idx="569">
                  <c:v>-48.882841310312799</c:v>
                </c:pt>
                <c:pt idx="570">
                  <c:v>-49.091170654664921</c:v>
                </c:pt>
                <c:pt idx="571">
                  <c:v>-49.304201286500728</c:v>
                </c:pt>
                <c:pt idx="572">
                  <c:v>-49.516248563640055</c:v>
                </c:pt>
                <c:pt idx="573">
                  <c:v>-49.731381539412027</c:v>
                </c:pt>
                <c:pt idx="574">
                  <c:v>-49.94559656047727</c:v>
                </c:pt>
                <c:pt idx="575">
                  <c:v>-50.164529143637495</c:v>
                </c:pt>
                <c:pt idx="576">
                  <c:v>-50.382609470463947</c:v>
                </c:pt>
                <c:pt idx="577">
                  <c:v>-51.297818653831612</c:v>
                </c:pt>
                <c:pt idx="578">
                  <c:v>-52.20362492983196</c:v>
                </c:pt>
                <c:pt idx="579">
                  <c:v>-54.182796650722871</c:v>
                </c:pt>
                <c:pt idx="580">
                  <c:v>-56.419532323406301</c:v>
                </c:pt>
                <c:pt idx="581">
                  <c:v>-59.119716058374117</c:v>
                </c:pt>
                <c:pt idx="582">
                  <c:v>-62.796862118771045</c:v>
                </c:pt>
                <c:pt idx="583">
                  <c:v>-69.05563564700185</c:v>
                </c:pt>
                <c:pt idx="584">
                  <c:v>-103.29448686684731</c:v>
                </c:pt>
                <c:pt idx="585">
                  <c:v>-71.978438542659674</c:v>
                </c:pt>
                <c:pt idx="586">
                  <c:v>-68.421141435983145</c:v>
                </c:pt>
                <c:pt idx="587">
                  <c:v>-67.928089252816292</c:v>
                </c:pt>
                <c:pt idx="588">
                  <c:v>-68.706027000594474</c:v>
                </c:pt>
                <c:pt idx="589">
                  <c:v>-70.314641481585213</c:v>
                </c:pt>
                <c:pt idx="590">
                  <c:v>-73.182220589171081</c:v>
                </c:pt>
                <c:pt idx="591">
                  <c:v>-80.911637558546587</c:v>
                </c:pt>
                <c:pt idx="592">
                  <c:v>-83.477407520844693</c:v>
                </c:pt>
                <c:pt idx="593">
                  <c:v>-77.154263744081476</c:v>
                </c:pt>
                <c:pt idx="594">
                  <c:v>-77.289909758482494</c:v>
                </c:pt>
                <c:pt idx="595">
                  <c:v>-80.361915650570168</c:v>
                </c:pt>
                <c:pt idx="596">
                  <c:v>-104.18677091103204</c:v>
                </c:pt>
                <c:pt idx="597">
                  <c:v>-82.066853962382794</c:v>
                </c:pt>
                <c:pt idx="598">
                  <c:v>-82.624875654751179</c:v>
                </c:pt>
                <c:pt idx="599">
                  <c:v>-101.96572816951367</c:v>
                </c:pt>
                <c:pt idx="600">
                  <c:v>-85.013378327661187</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91.012755378974916</c:v>
                </c:pt>
                <c:pt idx="1">
                  <c:v>90.855653983140442</c:v>
                </c:pt>
                <c:pt idx="2">
                  <c:v>90.705822640717784</c:v>
                </c:pt>
                <c:pt idx="3">
                  <c:v>90.561984877484818</c:v>
                </c:pt>
                <c:pt idx="4">
                  <c:v>90.423006337524768</c:v>
                </c:pt>
                <c:pt idx="5">
                  <c:v>90.287475869144629</c:v>
                </c:pt>
                <c:pt idx="6">
                  <c:v>90.154438093605307</c:v>
                </c:pt>
                <c:pt idx="7">
                  <c:v>90.022674369990725</c:v>
                </c:pt>
                <c:pt idx="8">
                  <c:v>89.891162303909724</c:v>
                </c:pt>
                <c:pt idx="9">
                  <c:v>89.758685951494044</c:v>
                </c:pt>
                <c:pt idx="10">
                  <c:v>89.624198123676749</c:v>
                </c:pt>
                <c:pt idx="11">
                  <c:v>89.486541059640501</c:v>
                </c:pt>
                <c:pt idx="12">
                  <c:v>89.344473696811136</c:v>
                </c:pt>
                <c:pt idx="13">
                  <c:v>89.196931294142473</c:v>
                </c:pt>
                <c:pt idx="14">
                  <c:v>89.042550260704587</c:v>
                </c:pt>
                <c:pt idx="15">
                  <c:v>88.880084565542944</c:v>
                </c:pt>
                <c:pt idx="16">
                  <c:v>88.708152592852585</c:v>
                </c:pt>
                <c:pt idx="17">
                  <c:v>88.525334523762481</c:v>
                </c:pt>
                <c:pt idx="18">
                  <c:v>88.330042172525467</c:v>
                </c:pt>
                <c:pt idx="19">
                  <c:v>88.120692511006311</c:v>
                </c:pt>
                <c:pt idx="20">
                  <c:v>87.895497156339644</c:v>
                </c:pt>
                <c:pt idx="21">
                  <c:v>87.652631080847598</c:v>
                </c:pt>
                <c:pt idx="22">
                  <c:v>87.390033414212255</c:v>
                </c:pt>
                <c:pt idx="23">
                  <c:v>87.105611028668477</c:v>
                </c:pt>
                <c:pt idx="24">
                  <c:v>86.796969469890513</c:v>
                </c:pt>
                <c:pt idx="25">
                  <c:v>86.461654657817121</c:v>
                </c:pt>
                <c:pt idx="26">
                  <c:v>86.096893824242827</c:v>
                </c:pt>
                <c:pt idx="27">
                  <c:v>85.699912454497124</c:v>
                </c:pt>
                <c:pt idx="28">
                  <c:v>85.267610037480395</c:v>
                </c:pt>
                <c:pt idx="29">
                  <c:v>84.796992397849607</c:v>
                </c:pt>
                <c:pt idx="30">
                  <c:v>84.283723322313179</c:v>
                </c:pt>
                <c:pt idx="31">
                  <c:v>83.724748863038172</c:v>
                </c:pt>
                <c:pt idx="32">
                  <c:v>83.115764155985744</c:v>
                </c:pt>
                <c:pt idx="33">
                  <c:v>82.453108038504638</c:v>
                </c:pt>
                <c:pt idx="34">
                  <c:v>81.732031196559589</c:v>
                </c:pt>
                <c:pt idx="35">
                  <c:v>80.948602555580365</c:v>
                </c:pt>
                <c:pt idx="36">
                  <c:v>80.098400370319709</c:v>
                </c:pt>
                <c:pt idx="37">
                  <c:v>79.176698151204917</c:v>
                </c:pt>
                <c:pt idx="38">
                  <c:v>78.180393879860546</c:v>
                </c:pt>
                <c:pt idx="39">
                  <c:v>77.105147090599715</c:v>
                </c:pt>
                <c:pt idx="40">
                  <c:v>75.948430566370405</c:v>
                </c:pt>
                <c:pt idx="41">
                  <c:v>74.708174061424643</c:v>
                </c:pt>
                <c:pt idx="42">
                  <c:v>73.383837662239486</c:v>
                </c:pt>
                <c:pt idx="43">
                  <c:v>71.975923154901707</c:v>
                </c:pt>
                <c:pt idx="44">
                  <c:v>70.487714268548004</c:v>
                </c:pt>
                <c:pt idx="45">
                  <c:v>68.924261935913776</c:v>
                </c:pt>
                <c:pt idx="46">
                  <c:v>67.294054817920241</c:v>
                </c:pt>
                <c:pt idx="47">
                  <c:v>65.608063295370556</c:v>
                </c:pt>
                <c:pt idx="48">
                  <c:v>63.88138420611412</c:v>
                </c:pt>
                <c:pt idx="49">
                  <c:v>62.131666970992669</c:v>
                </c:pt>
                <c:pt idx="50">
                  <c:v>60.38051338381679</c:v>
                </c:pt>
                <c:pt idx="51">
                  <c:v>58.651705866128211</c:v>
                </c:pt>
                <c:pt idx="52">
                  <c:v>56.972199898628944</c:v>
                </c:pt>
                <c:pt idx="53">
                  <c:v>55.369684180243596</c:v>
                </c:pt>
                <c:pt idx="54">
                  <c:v>53.873177531767581</c:v>
                </c:pt>
                <c:pt idx="55">
                  <c:v>52.507674489065352</c:v>
                </c:pt>
                <c:pt idx="56">
                  <c:v>51.300977492588146</c:v>
                </c:pt>
                <c:pt idx="57">
                  <c:v>50.275398175827405</c:v>
                </c:pt>
                <c:pt idx="58">
                  <c:v>49.451360593549651</c:v>
                </c:pt>
                <c:pt idx="59">
                  <c:v>48.843930174111648</c:v>
                </c:pt>
                <c:pt idx="60">
                  <c:v>48.464768674019126</c:v>
                </c:pt>
                <c:pt idx="61">
                  <c:v>48.320278277288878</c:v>
                </c:pt>
                <c:pt idx="62">
                  <c:v>48.412212009142536</c:v>
                </c:pt>
                <c:pt idx="63">
                  <c:v>48.737249578279489</c:v>
                </c:pt>
                <c:pt idx="64">
                  <c:v>49.287503540839907</c:v>
                </c:pt>
                <c:pt idx="65">
                  <c:v>50.050062104166386</c:v>
                </c:pt>
                <c:pt idx="66">
                  <c:v>51.007781478305731</c:v>
                </c:pt>
                <c:pt idx="67">
                  <c:v>52.13935503358276</c:v>
                </c:pt>
                <c:pt idx="68">
                  <c:v>53.420649202970083</c:v>
                </c:pt>
                <c:pt idx="69">
                  <c:v>54.824331091711088</c:v>
                </c:pt>
                <c:pt idx="70">
                  <c:v>56.322082226061724</c:v>
                </c:pt>
                <c:pt idx="71">
                  <c:v>57.884441592794005</c:v>
                </c:pt>
                <c:pt idx="72">
                  <c:v>59.4830615643681</c:v>
                </c:pt>
                <c:pt idx="73">
                  <c:v>61.090305488297417</c:v>
                </c:pt>
                <c:pt idx="74">
                  <c:v>62.681578431417961</c:v>
                </c:pt>
                <c:pt idx="75">
                  <c:v>64.234457769758691</c:v>
                </c:pt>
                <c:pt idx="76">
                  <c:v>65.730293755887544</c:v>
                </c:pt>
                <c:pt idx="77">
                  <c:v>67.152898318082606</c:v>
                </c:pt>
                <c:pt idx="78">
                  <c:v>68.489852848437664</c:v>
                </c:pt>
                <c:pt idx="79">
                  <c:v>69.730903379444669</c:v>
                </c:pt>
                <c:pt idx="80">
                  <c:v>70.871176860246337</c:v>
                </c:pt>
                <c:pt idx="81">
                  <c:v>71.904254119841397</c:v>
                </c:pt>
                <c:pt idx="82">
                  <c:v>72.827883243046031</c:v>
                </c:pt>
                <c:pt idx="83">
                  <c:v>73.63980903964206</c:v>
                </c:pt>
                <c:pt idx="84">
                  <c:v>74.340014778535945</c:v>
                </c:pt>
                <c:pt idx="85">
                  <c:v>74.928052697795607</c:v>
                </c:pt>
                <c:pt idx="86">
                  <c:v>75.404359215713797</c:v>
                </c:pt>
                <c:pt idx="87">
                  <c:v>75.769506675132021</c:v>
                </c:pt>
                <c:pt idx="88">
                  <c:v>76.023413982538699</c:v>
                </c:pt>
                <c:pt idx="89">
                  <c:v>76.166291817954544</c:v>
                </c:pt>
                <c:pt idx="90">
                  <c:v>76.197600272192034</c:v>
                </c:pt>
                <c:pt idx="91">
                  <c:v>76.116373442222041</c:v>
                </c:pt>
                <c:pt idx="92">
                  <c:v>75.921040829792972</c:v>
                </c:pt>
                <c:pt idx="93">
                  <c:v>75.609238669810466</c:v>
                </c:pt>
                <c:pt idx="94">
                  <c:v>75.512792779736813</c:v>
                </c:pt>
                <c:pt idx="95">
                  <c:v>75.461433475669438</c:v>
                </c:pt>
                <c:pt idx="96">
                  <c:v>75.408785386851378</c:v>
                </c:pt>
                <c:pt idx="97">
                  <c:v>75.35362781584125</c:v>
                </c:pt>
                <c:pt idx="98">
                  <c:v>75.297210232181328</c:v>
                </c:pt>
                <c:pt idx="99">
                  <c:v>75.238209720950564</c:v>
                </c:pt>
                <c:pt idx="100">
                  <c:v>75.177976870744644</c:v>
                </c:pt>
                <c:pt idx="101">
                  <c:v>75.115132742717847</c:v>
                </c:pt>
                <c:pt idx="102">
                  <c:v>75.051084755452422</c:v>
                </c:pt>
                <c:pt idx="103">
                  <c:v>74.984302177518416</c:v>
                </c:pt>
                <c:pt idx="104">
                  <c:v>74.916341477674777</c:v>
                </c:pt>
                <c:pt idx="105">
                  <c:v>74.845617430902308</c:v>
                </c:pt>
                <c:pt idx="106">
                  <c:v>74.773741891421622</c:v>
                </c:pt>
                <c:pt idx="107">
                  <c:v>74.699077517225319</c:v>
                </c:pt>
                <c:pt idx="108">
                  <c:v>74.623288995964884</c:v>
                </c:pt>
                <c:pt idx="109">
                  <c:v>74.5446352547564</c:v>
                </c:pt>
                <c:pt idx="110">
                  <c:v>74.464883799706982</c:v>
                </c:pt>
                <c:pt idx="111">
                  <c:v>74.382133788724047</c:v>
                </c:pt>
                <c:pt idx="112">
                  <c:v>74.298310288536385</c:v>
                </c:pt>
                <c:pt idx="113">
                  <c:v>74.211462910219012</c:v>
                </c:pt>
                <c:pt idx="114">
                  <c:v>74.123567069877325</c:v>
                </c:pt>
                <c:pt idx="115">
                  <c:v>74.032566918651824</c:v>
                </c:pt>
                <c:pt idx="116">
                  <c:v>73.94054269923619</c:v>
                </c:pt>
                <c:pt idx="117">
                  <c:v>73.845332715072914</c:v>
                </c:pt>
                <c:pt idx="118">
                  <c:v>73.74912249932089</c:v>
                </c:pt>
                <c:pt idx="119">
                  <c:v>73.649704788817786</c:v>
                </c:pt>
                <c:pt idx="120">
                  <c:v>73.549311357143068</c:v>
                </c:pt>
                <c:pt idx="121">
                  <c:v>73.445629687652385</c:v>
                </c:pt>
                <c:pt idx="122">
                  <c:v>73.340996231213694</c:v>
                </c:pt>
                <c:pt idx="123">
                  <c:v>73.23293018431103</c:v>
                </c:pt>
                <c:pt idx="124">
                  <c:v>73.123934717501072</c:v>
                </c:pt>
                <c:pt idx="125">
                  <c:v>73.011486332333121</c:v>
                </c:pt>
                <c:pt idx="126">
                  <c:v>72.898131586845082</c:v>
                </c:pt>
                <c:pt idx="127">
                  <c:v>72.781241338230615</c:v>
                </c:pt>
                <c:pt idx="128">
                  <c:v>72.663467386411398</c:v>
                </c:pt>
                <c:pt idx="129">
                  <c:v>72.54207494685113</c:v>
                </c:pt>
                <c:pt idx="130">
                  <c:v>72.419821107133814</c:v>
                </c:pt>
                <c:pt idx="131">
                  <c:v>72.293865499197977</c:v>
                </c:pt>
                <c:pt idx="132">
                  <c:v>72.230571039649874</c:v>
                </c:pt>
                <c:pt idx="133">
                  <c:v>72.167070483749725</c:v>
                </c:pt>
                <c:pt idx="134">
                  <c:v>72.101850714776617</c:v>
                </c:pt>
                <c:pt idx="135">
                  <c:v>72.036422592518846</c:v>
                </c:pt>
                <c:pt idx="136">
                  <c:v>71.970789862320828</c:v>
                </c:pt>
                <c:pt idx="137">
                  <c:v>71.90495618617426</c:v>
                </c:pt>
                <c:pt idx="138">
                  <c:v>71.837423724506408</c:v>
                </c:pt>
                <c:pt idx="139">
                  <c:v>71.769688579186251</c:v>
                </c:pt>
                <c:pt idx="140">
                  <c:v>71.701754411726697</c:v>
                </c:pt>
                <c:pt idx="141">
                  <c:v>71.633624802247752</c:v>
                </c:pt>
                <c:pt idx="142">
                  <c:v>71.563680812505027</c:v>
                </c:pt>
                <c:pt idx="143">
                  <c:v>71.493539342868075</c:v>
                </c:pt>
                <c:pt idx="144">
                  <c:v>71.423203983777711</c:v>
                </c:pt>
                <c:pt idx="145">
                  <c:v>71.352678245884988</c:v>
                </c:pt>
                <c:pt idx="146">
                  <c:v>71.280325376781079</c:v>
                </c:pt>
                <c:pt idx="147">
                  <c:v>71.207780396039226</c:v>
                </c:pt>
                <c:pt idx="148">
                  <c:v>71.135046818915029</c:v>
                </c:pt>
                <c:pt idx="149">
                  <c:v>71.062128082619296</c:v>
                </c:pt>
                <c:pt idx="150">
                  <c:v>70.987335238799929</c:v>
                </c:pt>
                <c:pt idx="151">
                  <c:v>70.912355612889044</c:v>
                </c:pt>
                <c:pt idx="152">
                  <c:v>70.837192646413911</c:v>
                </c:pt>
                <c:pt idx="153">
                  <c:v>70.76184970457804</c:v>
                </c:pt>
                <c:pt idx="154">
                  <c:v>70.684550207140248</c:v>
                </c:pt>
                <c:pt idx="155">
                  <c:v>70.607069059388721</c:v>
                </c:pt>
                <c:pt idx="156">
                  <c:v>70.529409635115783</c:v>
                </c:pt>
                <c:pt idx="157">
                  <c:v>70.451575233354561</c:v>
                </c:pt>
                <c:pt idx="158">
                  <c:v>70.371737093189907</c:v>
                </c:pt>
                <c:pt idx="159">
                  <c:v>70.291722431043169</c:v>
                </c:pt>
                <c:pt idx="160">
                  <c:v>70.211534553788994</c:v>
                </c:pt>
                <c:pt idx="161">
                  <c:v>70.131176695101345</c:v>
                </c:pt>
                <c:pt idx="162">
                  <c:v>70.048804352224408</c:v>
                </c:pt>
                <c:pt idx="163">
                  <c:v>69.966260765232619</c:v>
                </c:pt>
                <c:pt idx="164">
                  <c:v>69.883549170682684</c:v>
                </c:pt>
                <c:pt idx="165">
                  <c:v>69.800672733609503</c:v>
                </c:pt>
                <c:pt idx="166">
                  <c:v>69.715662459912338</c:v>
                </c:pt>
                <c:pt idx="167">
                  <c:v>69.630485920472935</c:v>
                </c:pt>
                <c:pt idx="168">
                  <c:v>69.545146290927079</c:v>
                </c:pt>
                <c:pt idx="169">
                  <c:v>69.45964667680947</c:v>
                </c:pt>
                <c:pt idx="170">
                  <c:v>69.372150293824618</c:v>
                </c:pt>
                <c:pt idx="171">
                  <c:v>69.284493321042603</c:v>
                </c:pt>
                <c:pt idx="172">
                  <c:v>69.196678854220352</c:v>
                </c:pt>
                <c:pt idx="173">
                  <c:v>69.108709921010799</c:v>
                </c:pt>
                <c:pt idx="174">
                  <c:v>69.018366026753085</c:v>
                </c:pt>
                <c:pt idx="175">
                  <c:v>68.927866012999132</c:v>
                </c:pt>
                <c:pt idx="176">
                  <c:v>68.837212931582286</c:v>
                </c:pt>
                <c:pt idx="177">
                  <c:v>68.746409767194081</c:v>
                </c:pt>
                <c:pt idx="178">
                  <c:v>68.653221126320801</c:v>
                </c:pt>
                <c:pt idx="179">
                  <c:v>68.559881066176189</c:v>
                </c:pt>
                <c:pt idx="180">
                  <c:v>68.466392589908125</c:v>
                </c:pt>
                <c:pt idx="181">
                  <c:v>68.372758634643844</c:v>
                </c:pt>
                <c:pt idx="182">
                  <c:v>68.27710510694115</c:v>
                </c:pt>
                <c:pt idx="183">
                  <c:v>68.181306193665137</c:v>
                </c:pt>
                <c:pt idx="184">
                  <c:v>68.085364811168361</c:v>
                </c:pt>
                <c:pt idx="185">
                  <c:v>67.989283812034415</c:v>
                </c:pt>
                <c:pt idx="186">
                  <c:v>67.890422809829246</c:v>
                </c:pt>
                <c:pt idx="187">
                  <c:v>67.791420326705236</c:v>
                </c:pt>
                <c:pt idx="188">
                  <c:v>67.692279257949053</c:v>
                </c:pt>
                <c:pt idx="189">
                  <c:v>67.593002435435551</c:v>
                </c:pt>
                <c:pt idx="190">
                  <c:v>67.491694220392873</c:v>
                </c:pt>
                <c:pt idx="191">
                  <c:v>67.390250765386867</c:v>
                </c:pt>
                <c:pt idx="192">
                  <c:v>67.288674875514303</c:v>
                </c:pt>
                <c:pt idx="193">
                  <c:v>67.186969294841703</c:v>
                </c:pt>
                <c:pt idx="194">
                  <c:v>67.082465255392108</c:v>
                </c:pt>
                <c:pt idx="195">
                  <c:v>66.977830301182735</c:v>
                </c:pt>
                <c:pt idx="196">
                  <c:v>66.873067208415861</c:v>
                </c:pt>
                <c:pt idx="197">
                  <c:v>66.768178692887929</c:v>
                </c:pt>
                <c:pt idx="198">
                  <c:v>66.660866540701122</c:v>
                </c:pt>
                <c:pt idx="199">
                  <c:v>66.553428961077032</c:v>
                </c:pt>
                <c:pt idx="200">
                  <c:v>66.445868667457987</c:v>
                </c:pt>
                <c:pt idx="201">
                  <c:v>66.338188314503057</c:v>
                </c:pt>
                <c:pt idx="202">
                  <c:v>66.228079279912066</c:v>
                </c:pt>
                <c:pt idx="203">
                  <c:v>66.11785040356834</c:v>
                </c:pt>
                <c:pt idx="204">
                  <c:v>66.007504334997122</c:v>
                </c:pt>
                <c:pt idx="205">
                  <c:v>65.897043666609918</c:v>
                </c:pt>
                <c:pt idx="206">
                  <c:v>65.783763225856475</c:v>
                </c:pt>
                <c:pt idx="207">
                  <c:v>65.67036783824247</c:v>
                </c:pt>
                <c:pt idx="208">
                  <c:v>65.556860115012157</c:v>
                </c:pt>
                <c:pt idx="209">
                  <c:v>65.44324261124649</c:v>
                </c:pt>
                <c:pt idx="210">
                  <c:v>65.326411232633689</c:v>
                </c:pt>
                <c:pt idx="211">
                  <c:v>65.209469288076804</c:v>
                </c:pt>
                <c:pt idx="212">
                  <c:v>65.09241937276704</c:v>
                </c:pt>
                <c:pt idx="213">
                  <c:v>64.975264026068572</c:v>
                </c:pt>
                <c:pt idx="214">
                  <c:v>64.855667328710084</c:v>
                </c:pt>
                <c:pt idx="215">
                  <c:v>64.735966119980773</c:v>
                </c:pt>
                <c:pt idx="216">
                  <c:v>64.616162924582042</c:v>
                </c:pt>
                <c:pt idx="217">
                  <c:v>64.496260213293297</c:v>
                </c:pt>
                <c:pt idx="218">
                  <c:v>64.373523138977262</c:v>
                </c:pt>
                <c:pt idx="219">
                  <c:v>64.250687020997802</c:v>
                </c:pt>
                <c:pt idx="220">
                  <c:v>64.127754337602497</c:v>
                </c:pt>
                <c:pt idx="221">
                  <c:v>64.004727514352282</c:v>
                </c:pt>
                <c:pt idx="222">
                  <c:v>63.878863215955008</c:v>
                </c:pt>
                <c:pt idx="223">
                  <c:v>63.752905497705839</c:v>
                </c:pt>
                <c:pt idx="224">
                  <c:v>63.62685678965795</c:v>
                </c:pt>
                <c:pt idx="225">
                  <c:v>63.500719470476952</c:v>
                </c:pt>
                <c:pt idx="226">
                  <c:v>63.371349027117915</c:v>
                </c:pt>
                <c:pt idx="227">
                  <c:v>63.241890401097749</c:v>
                </c:pt>
                <c:pt idx="228">
                  <c:v>63.11234599456985</c:v>
                </c:pt>
                <c:pt idx="229">
                  <c:v>62.982718159043984</c:v>
                </c:pt>
                <c:pt idx="230">
                  <c:v>62.71690751933609</c:v>
                </c:pt>
                <c:pt idx="231">
                  <c:v>62.583880523537701</c:v>
                </c:pt>
                <c:pt idx="232">
                  <c:v>62.450775522049696</c:v>
                </c:pt>
                <c:pt idx="233">
                  <c:v>62.314432325350978</c:v>
                </c:pt>
                <c:pt idx="234">
                  <c:v>62.178012144801997</c:v>
                </c:pt>
                <c:pt idx="235">
                  <c:v>62.041517317640469</c:v>
                </c:pt>
                <c:pt idx="236">
                  <c:v>61.904950132251727</c:v>
                </c:pt>
                <c:pt idx="237">
                  <c:v>61.765539768060179</c:v>
                </c:pt>
                <c:pt idx="238">
                  <c:v>61.626058742689821</c:v>
                </c:pt>
                <c:pt idx="239">
                  <c:v>61.486509338018266</c:v>
                </c:pt>
                <c:pt idx="240">
                  <c:v>61.34689378861809</c:v>
                </c:pt>
                <c:pt idx="241">
                  <c:v>61.203642112615128</c:v>
                </c:pt>
                <c:pt idx="242">
                  <c:v>61.060325479876596</c:v>
                </c:pt>
                <c:pt idx="243">
                  <c:v>60.916946154210606</c:v>
                </c:pt>
                <c:pt idx="244">
                  <c:v>60.773506352651708</c:v>
                </c:pt>
                <c:pt idx="245">
                  <c:v>60.626827589297022</c:v>
                </c:pt>
                <c:pt idx="246">
                  <c:v>60.480090180058937</c:v>
                </c:pt>
                <c:pt idx="247">
                  <c:v>60.333296349382096</c:v>
                </c:pt>
                <c:pt idx="248">
                  <c:v>60.18644827606326</c:v>
                </c:pt>
                <c:pt idx="249">
                  <c:v>60.035964529999305</c:v>
                </c:pt>
                <c:pt idx="250">
                  <c:v>59.885428350098607</c:v>
                </c:pt>
                <c:pt idx="251">
                  <c:v>59.734841937584108</c:v>
                </c:pt>
                <c:pt idx="252">
                  <c:v>59.584207448726119</c:v>
                </c:pt>
                <c:pt idx="253">
                  <c:v>59.430337510247938</c:v>
                </c:pt>
                <c:pt idx="254">
                  <c:v>59.276421845461982</c:v>
                </c:pt>
                <c:pt idx="255">
                  <c:v>59.122462613190962</c:v>
                </c:pt>
                <c:pt idx="256">
                  <c:v>58.96846192852631</c:v>
                </c:pt>
                <c:pt idx="257">
                  <c:v>58.810430683775976</c:v>
                </c:pt>
                <c:pt idx="258">
                  <c:v>58.652360184753562</c:v>
                </c:pt>
                <c:pt idx="259">
                  <c:v>58.494252579475656</c:v>
                </c:pt>
                <c:pt idx="260">
                  <c:v>58.336109972605456</c:v>
                </c:pt>
                <c:pt idx="261">
                  <c:v>58.174339160963171</c:v>
                </c:pt>
                <c:pt idx="262">
                  <c:v>58.012536057764478</c:v>
                </c:pt>
                <c:pt idx="263">
                  <c:v>57.850702781309408</c:v>
                </c:pt>
                <c:pt idx="264">
                  <c:v>57.688841407432847</c:v>
                </c:pt>
                <c:pt idx="265">
                  <c:v>57.523356191381936</c:v>
                </c:pt>
                <c:pt idx="266">
                  <c:v>57.357845870842098</c:v>
                </c:pt>
                <c:pt idx="267">
                  <c:v>57.192312532908105</c:v>
                </c:pt>
                <c:pt idx="268">
                  <c:v>57.026758223139367</c:v>
                </c:pt>
                <c:pt idx="269">
                  <c:v>56.857185374061473</c:v>
                </c:pt>
                <c:pt idx="270">
                  <c:v>56.687594742027159</c:v>
                </c:pt>
                <c:pt idx="271">
                  <c:v>56.51798839617507</c:v>
                </c:pt>
                <c:pt idx="272">
                  <c:v>56.348368364686465</c:v>
                </c:pt>
                <c:pt idx="273">
                  <c:v>56.174735762320083</c:v>
                </c:pt>
                <c:pt idx="274">
                  <c:v>56.001092994482335</c:v>
                </c:pt>
                <c:pt idx="275">
                  <c:v>55.827442110009258</c:v>
                </c:pt>
                <c:pt idx="276">
                  <c:v>55.653785117418593</c:v>
                </c:pt>
                <c:pt idx="277">
                  <c:v>55.476522688311093</c:v>
                </c:pt>
                <c:pt idx="278">
                  <c:v>55.299258000093346</c:v>
                </c:pt>
                <c:pt idx="279">
                  <c:v>55.121993065716225</c:v>
                </c:pt>
                <c:pt idx="280">
                  <c:v>54.944729858849541</c:v>
                </c:pt>
                <c:pt idx="281">
                  <c:v>54.762668770873631</c:v>
                </c:pt>
                <c:pt idx="282">
                  <c:v>54.580613602917822</c:v>
                </c:pt>
                <c:pt idx="283">
                  <c:v>54.39856637078293</c:v>
                </c:pt>
                <c:pt idx="284">
                  <c:v>54.216529051012429</c:v>
                </c:pt>
                <c:pt idx="285">
                  <c:v>54.030903210635998</c:v>
                </c:pt>
                <c:pt idx="286">
                  <c:v>53.845291710049182</c:v>
                </c:pt>
                <c:pt idx="287">
                  <c:v>53.659696525841198</c:v>
                </c:pt>
                <c:pt idx="288">
                  <c:v>53.474119596442137</c:v>
                </c:pt>
                <c:pt idx="289">
                  <c:v>53.283764225214256</c:v>
                </c:pt>
                <c:pt idx="290">
                  <c:v>53.093432078982616</c:v>
                </c:pt>
                <c:pt idx="291">
                  <c:v>52.90312513175914</c:v>
                </c:pt>
                <c:pt idx="292">
                  <c:v>52.712845319536896</c:v>
                </c:pt>
                <c:pt idx="293">
                  <c:v>52.518198347827393</c:v>
                </c:pt>
                <c:pt idx="294">
                  <c:v>52.323583761945599</c:v>
                </c:pt>
                <c:pt idx="295">
                  <c:v>52.129003517992615</c:v>
                </c:pt>
                <c:pt idx="296">
                  <c:v>51.934459534565605</c:v>
                </c:pt>
                <c:pt idx="297">
                  <c:v>51.735560792913788</c:v>
                </c:pt>
                <c:pt idx="298">
                  <c:v>51.53670391022797</c:v>
                </c:pt>
                <c:pt idx="299">
                  <c:v>51.337890822568681</c:v>
                </c:pt>
                <c:pt idx="300">
                  <c:v>51.139123429035777</c:v>
                </c:pt>
                <c:pt idx="301">
                  <c:v>50.93601474953698</c:v>
                </c:pt>
                <c:pt idx="302">
                  <c:v>50.732957702617114</c:v>
                </c:pt>
                <c:pt idx="303">
                  <c:v>50.52995420232088</c:v>
                </c:pt>
                <c:pt idx="304">
                  <c:v>50.32700612629597</c:v>
                </c:pt>
                <c:pt idx="305">
                  <c:v>50.118934195659989</c:v>
                </c:pt>
                <c:pt idx="306">
                  <c:v>49.910924443024783</c:v>
                </c:pt>
                <c:pt idx="307">
                  <c:v>49.702978780251215</c:v>
                </c:pt>
                <c:pt idx="308">
                  <c:v>49.495099082831587</c:v>
                </c:pt>
                <c:pt idx="309">
                  <c:v>49.282908755618166</c:v>
                </c:pt>
                <c:pt idx="310">
                  <c:v>49.070791043085535</c:v>
                </c:pt>
                <c:pt idx="311">
                  <c:v>48.858747830190708</c:v>
                </c:pt>
                <c:pt idx="312">
                  <c:v>48.646780966135424</c:v>
                </c:pt>
                <c:pt idx="313">
                  <c:v>48.429725239682142</c:v>
                </c:pt>
                <c:pt idx="314">
                  <c:v>48.212753448901424</c:v>
                </c:pt>
                <c:pt idx="315">
                  <c:v>47.995867470562956</c:v>
                </c:pt>
                <c:pt idx="316">
                  <c:v>47.779069145776361</c:v>
                </c:pt>
                <c:pt idx="317">
                  <c:v>47.557201650969631</c:v>
                </c:pt>
                <c:pt idx="318">
                  <c:v>47.335429828151121</c:v>
                </c:pt>
                <c:pt idx="319">
                  <c:v>47.113755542472688</c:v>
                </c:pt>
                <c:pt idx="320">
                  <c:v>46.89218062355485</c:v>
                </c:pt>
                <c:pt idx="321">
                  <c:v>46.665557531692968</c:v>
                </c:pt>
                <c:pt idx="322">
                  <c:v>46.439042247704066</c:v>
                </c:pt>
                <c:pt idx="323">
                  <c:v>46.212636621759401</c:v>
                </c:pt>
                <c:pt idx="324">
                  <c:v>45.986342468654158</c:v>
                </c:pt>
                <c:pt idx="325">
                  <c:v>45.755022423603776</c:v>
                </c:pt>
                <c:pt idx="326">
                  <c:v>45.523822705790479</c:v>
                </c:pt>
                <c:pt idx="327">
                  <c:v>45.292745147085952</c:v>
                </c:pt>
                <c:pt idx="328">
                  <c:v>45.061791544159263</c:v>
                </c:pt>
                <c:pt idx="329">
                  <c:v>44.825441127831795</c:v>
                </c:pt>
                <c:pt idx="330">
                  <c:v>44.589224374055703</c:v>
                </c:pt>
                <c:pt idx="331">
                  <c:v>44.353143102111915</c:v>
                </c:pt>
                <c:pt idx="332">
                  <c:v>44.117199096030646</c:v>
                </c:pt>
                <c:pt idx="333">
                  <c:v>43.876278022002509</c:v>
                </c:pt>
                <c:pt idx="334">
                  <c:v>43.635503892518699</c:v>
                </c:pt>
                <c:pt idx="335">
                  <c:v>43.394878501412819</c:v>
                </c:pt>
                <c:pt idx="336">
                  <c:v>43.154403607470215</c:v>
                </c:pt>
                <c:pt idx="337">
                  <c:v>42.908192599214573</c:v>
                </c:pt>
                <c:pt idx="338">
                  <c:v>42.662143183776919</c:v>
                </c:pt>
                <c:pt idx="339">
                  <c:v>42.416257143056868</c:v>
                </c:pt>
                <c:pt idx="340">
                  <c:v>42.170536223664243</c:v>
                </c:pt>
                <c:pt idx="341">
                  <c:v>41.919109695322078</c:v>
                </c:pt>
                <c:pt idx="342">
                  <c:v>41.667859879468921</c:v>
                </c:pt>
                <c:pt idx="343">
                  <c:v>41.416788541072776</c:v>
                </c:pt>
                <c:pt idx="344">
                  <c:v>41.16589740959563</c:v>
                </c:pt>
                <c:pt idx="345">
                  <c:v>40.9097230394257</c:v>
                </c:pt>
                <c:pt idx="346">
                  <c:v>40.653740362041049</c:v>
                </c:pt>
                <c:pt idx="347">
                  <c:v>40.397951112547503</c:v>
                </c:pt>
                <c:pt idx="348">
                  <c:v>40.142356990563286</c:v>
                </c:pt>
                <c:pt idx="349">
                  <c:v>39.880732930066785</c:v>
                </c:pt>
                <c:pt idx="350">
                  <c:v>39.619317131210636</c:v>
                </c:pt>
                <c:pt idx="351">
                  <c:v>39.35811131003743</c:v>
                </c:pt>
                <c:pt idx="352">
                  <c:v>39.097117146702146</c:v>
                </c:pt>
                <c:pt idx="353">
                  <c:v>38.830129831201248</c:v>
                </c:pt>
                <c:pt idx="354">
                  <c:v>38.563367824571429</c:v>
                </c:pt>
                <c:pt idx="355">
                  <c:v>38.296832817751493</c:v>
                </c:pt>
                <c:pt idx="356">
                  <c:v>38.030526465415534</c:v>
                </c:pt>
                <c:pt idx="357">
                  <c:v>37.758651886353647</c:v>
                </c:pt>
                <c:pt idx="358">
                  <c:v>37.487019421104833</c:v>
                </c:pt>
                <c:pt idx="359">
                  <c:v>37.215630722354206</c:v>
                </c:pt>
                <c:pt idx="360">
                  <c:v>36.944487406372303</c:v>
                </c:pt>
                <c:pt idx="361">
                  <c:v>36.667043288573865</c:v>
                </c:pt>
                <c:pt idx="362">
                  <c:v>36.389859882595744</c:v>
                </c:pt>
                <c:pt idx="363">
                  <c:v>36.112938810750904</c:v>
                </c:pt>
                <c:pt idx="364">
                  <c:v>35.83628165839113</c:v>
                </c:pt>
                <c:pt idx="365">
                  <c:v>35.553750964072321</c:v>
                </c:pt>
                <c:pt idx="366">
                  <c:v>35.271499284265587</c:v>
                </c:pt>
                <c:pt idx="367">
                  <c:v>34.989528197293737</c:v>
                </c:pt>
                <c:pt idx="368">
                  <c:v>34.707839244199505</c:v>
                </c:pt>
                <c:pt idx="369">
                  <c:v>34.419555299989071</c:v>
                </c:pt>
                <c:pt idx="370">
                  <c:v>34.131570615830128</c:v>
                </c:pt>
                <c:pt idx="371">
                  <c:v>33.843886731575651</c:v>
                </c:pt>
                <c:pt idx="372">
                  <c:v>33.556505149100502</c:v>
                </c:pt>
                <c:pt idx="373">
                  <c:v>33.262958269071277</c:v>
                </c:pt>
                <c:pt idx="374">
                  <c:v>32.969730533840107</c:v>
                </c:pt>
                <c:pt idx="375">
                  <c:v>32.676823430652661</c:v>
                </c:pt>
                <c:pt idx="376">
                  <c:v>32.384238408311887</c:v>
                </c:pt>
                <c:pt idx="377">
                  <c:v>32.084778679347949</c:v>
                </c:pt>
                <c:pt idx="378">
                  <c:v>31.785660060138781</c:v>
                </c:pt>
                <c:pt idx="379">
                  <c:v>31.486883988359722</c:v>
                </c:pt>
                <c:pt idx="380">
                  <c:v>31.188451862415263</c:v>
                </c:pt>
                <c:pt idx="381">
                  <c:v>30.88395432078363</c:v>
                </c:pt>
                <c:pt idx="382">
                  <c:v>30.579818514680852</c:v>
                </c:pt>
                <c:pt idx="383">
                  <c:v>30.276045812505572</c:v>
                </c:pt>
                <c:pt idx="384">
                  <c:v>29.972637542994107</c:v>
                </c:pt>
                <c:pt idx="385">
                  <c:v>29.662089302819567</c:v>
                </c:pt>
                <c:pt idx="386">
                  <c:v>29.351926483551978</c:v>
                </c:pt>
                <c:pt idx="387">
                  <c:v>29.042150390296911</c:v>
                </c:pt>
                <c:pt idx="388">
                  <c:v>28.732762287561286</c:v>
                </c:pt>
                <c:pt idx="389">
                  <c:v>28.416668855211412</c:v>
                </c:pt>
                <c:pt idx="390">
                  <c:v>28.100983996105214</c:v>
                </c:pt>
                <c:pt idx="391">
                  <c:v>27.78570893684531</c:v>
                </c:pt>
                <c:pt idx="392">
                  <c:v>27.470844862753893</c:v>
                </c:pt>
                <c:pt idx="393">
                  <c:v>27.149335499624556</c:v>
                </c:pt>
                <c:pt idx="394">
                  <c:v>26.828258166592889</c:v>
                </c:pt>
                <c:pt idx="395">
                  <c:v>26.507614001643446</c:v>
                </c:pt>
                <c:pt idx="396">
                  <c:v>26.187404100857293</c:v>
                </c:pt>
                <c:pt idx="397">
                  <c:v>25.859871626734105</c:v>
                </c:pt>
                <c:pt idx="398">
                  <c:v>25.532796954731225</c:v>
                </c:pt>
                <c:pt idx="399">
                  <c:v>25.206181130938546</c:v>
                </c:pt>
                <c:pt idx="400">
                  <c:v>24.880025158607424</c:v>
                </c:pt>
                <c:pt idx="401">
                  <c:v>24.546983289410576</c:v>
                </c:pt>
                <c:pt idx="402">
                  <c:v>24.214424254821779</c:v>
                </c:pt>
                <c:pt idx="403">
                  <c:v>23.882348993650083</c:v>
                </c:pt>
                <c:pt idx="404">
                  <c:v>23.550758401205513</c:v>
                </c:pt>
                <c:pt idx="405">
                  <c:v>23.211984473134152</c:v>
                </c:pt>
                <c:pt idx="406">
                  <c:v>22.873719702550545</c:v>
                </c:pt>
                <c:pt idx="407">
                  <c:v>22.535964912225239</c:v>
                </c:pt>
                <c:pt idx="408">
                  <c:v>22.198720880670493</c:v>
                </c:pt>
                <c:pt idx="409">
                  <c:v>21.854003067304774</c:v>
                </c:pt>
                <c:pt idx="410">
                  <c:v>21.509822056090144</c:v>
                </c:pt>
                <c:pt idx="411">
                  <c:v>21.166178543441816</c:v>
                </c:pt>
                <c:pt idx="412">
                  <c:v>20.823073180677085</c:v>
                </c:pt>
                <c:pt idx="413">
                  <c:v>20.472571488175845</c:v>
                </c:pt>
                <c:pt idx="414">
                  <c:v>20.122634424431965</c:v>
                </c:pt>
                <c:pt idx="415">
                  <c:v>19.773262545950701</c:v>
                </c:pt>
                <c:pt idx="416">
                  <c:v>19.424456363419893</c:v>
                </c:pt>
                <c:pt idx="417">
                  <c:v>19.067974476491742</c:v>
                </c:pt>
                <c:pt idx="418">
                  <c:v>18.712086341727655</c:v>
                </c:pt>
                <c:pt idx="419">
                  <c:v>18.356792363380123</c:v>
                </c:pt>
                <c:pt idx="420">
                  <c:v>18.002092899109641</c:v>
                </c:pt>
                <c:pt idx="421">
                  <c:v>17.640157665277599</c:v>
                </c:pt>
                <c:pt idx="422">
                  <c:v>17.278844163783162</c:v>
                </c:pt>
                <c:pt idx="423">
                  <c:v>16.918152631421634</c:v>
                </c:pt>
                <c:pt idx="424">
                  <c:v>16.558083257961329</c:v>
                </c:pt>
                <c:pt idx="425">
                  <c:v>16.189799370489709</c:v>
                </c:pt>
                <c:pt idx="426">
                  <c:v>15.82216889260809</c:v>
                </c:pt>
                <c:pt idx="427">
                  <c:v>15.455191880801522</c:v>
                </c:pt>
                <c:pt idx="428">
                  <c:v>15.088868343703183</c:v>
                </c:pt>
                <c:pt idx="429">
                  <c:v>14.714775513936416</c:v>
                </c:pt>
                <c:pt idx="430">
                  <c:v>14.341366506637428</c:v>
                </c:pt>
                <c:pt idx="431">
                  <c:v>13.968641181749717</c:v>
                </c:pt>
                <c:pt idx="432">
                  <c:v>13.596599350909031</c:v>
                </c:pt>
                <c:pt idx="433">
                  <c:v>13.216880004617792</c:v>
                </c:pt>
                <c:pt idx="434">
                  <c:v>12.837874756150626</c:v>
                </c:pt>
                <c:pt idx="435">
                  <c:v>12.459583253817016</c:v>
                </c:pt>
                <c:pt idx="436">
                  <c:v>12.08200509735795</c:v>
                </c:pt>
                <c:pt idx="437">
                  <c:v>11.696150847123647</c:v>
                </c:pt>
                <c:pt idx="438">
                  <c:v>11.311043410971507</c:v>
                </c:pt>
                <c:pt idx="439">
                  <c:v>10.926682207648724</c:v>
                </c:pt>
                <c:pt idx="440">
                  <c:v>10.543066606930154</c:v>
                </c:pt>
                <c:pt idx="441">
                  <c:v>10.151276886597174</c:v>
                </c:pt>
                <c:pt idx="442">
                  <c:v>9.7602664589699657</c:v>
                </c:pt>
                <c:pt idx="443">
                  <c:v>9.3700344962996667</c:v>
                </c:pt>
                <c:pt idx="444">
                  <c:v>8.9805801216990062</c:v>
                </c:pt>
                <c:pt idx="445">
                  <c:v>8.5830546430038908</c:v>
                </c:pt>
                <c:pt idx="446">
                  <c:v>8.1863405858167937</c:v>
                </c:pt>
                <c:pt idx="447">
                  <c:v>7.7904368595071674</c:v>
                </c:pt>
                <c:pt idx="448">
                  <c:v>7.3953423243847851</c:v>
                </c:pt>
                <c:pt idx="449">
                  <c:v>6.9916055346923542</c:v>
                </c:pt>
                <c:pt idx="450">
                  <c:v>6.5887146605893747</c:v>
                </c:pt>
                <c:pt idx="451">
                  <c:v>6.1866683258049591</c:v>
                </c:pt>
                <c:pt idx="452">
                  <c:v>5.7854651050202506</c:v>
                </c:pt>
                <c:pt idx="453">
                  <c:v>5.3760674097008518</c:v>
                </c:pt>
                <c:pt idx="454">
                  <c:v>4.9675481911236545</c:v>
                </c:pt>
                <c:pt idx="455">
                  <c:v>4.5599057736219493</c:v>
                </c:pt>
                <c:pt idx="456">
                  <c:v>4.1531384329339005</c:v>
                </c:pt>
                <c:pt idx="457">
                  <c:v>3.7376224811354462</c:v>
                </c:pt>
                <c:pt idx="458">
                  <c:v>3.3230198250333274</c:v>
                </c:pt>
                <c:pt idx="459">
                  <c:v>2.9093284642369213</c:v>
                </c:pt>
                <c:pt idx="460">
                  <c:v>2.4965463501864065</c:v>
                </c:pt>
                <c:pt idx="461">
                  <c:v>2.0751342677983757</c:v>
                </c:pt>
                <c:pt idx="462">
                  <c:v>1.6546695880210223</c:v>
                </c:pt>
                <c:pt idx="463">
                  <c:v>1.2351499679845688</c:v>
                </c:pt>
                <c:pt idx="464">
                  <c:v>0.81657301738275123</c:v>
                </c:pt>
                <c:pt idx="465">
                  <c:v>0.38915919579864067</c:v>
                </c:pt>
                <c:pt idx="466">
                  <c:v>-3.7272463590653615E-2</c:v>
                </c:pt>
                <c:pt idx="467">
                  <c:v>-0.46272466916616395</c:v>
                </c:pt>
                <c:pt idx="468">
                  <c:v>-0.88720017584446964</c:v>
                </c:pt>
                <c:pt idx="469">
                  <c:v>-1.3203889093535111</c:v>
                </c:pt>
                <c:pt idx="470">
                  <c:v>-1.7525616719643438</c:v>
                </c:pt>
                <c:pt idx="471">
                  <c:v>-2.1837215548577262</c:v>
                </c:pt>
                <c:pt idx="472">
                  <c:v>-2.6138716945274325</c:v>
                </c:pt>
                <c:pt idx="473">
                  <c:v>-3.0532511970857286</c:v>
                </c:pt>
                <c:pt idx="474">
                  <c:v>-3.4915789485177413</c:v>
                </c:pt>
                <c:pt idx="475">
                  <c:v>-3.9288584543810714</c:v>
                </c:pt>
                <c:pt idx="476">
                  <c:v>-4.3650932642624127</c:v>
                </c:pt>
                <c:pt idx="477">
                  <c:v>-4.8104248657677431</c:v>
                </c:pt>
                <c:pt idx="478">
                  <c:v>-5.2546701270288452</c:v>
                </c:pt>
                <c:pt idx="479">
                  <c:v>-5.6978329861672137</c:v>
                </c:pt>
                <c:pt idx="480">
                  <c:v>-6.139917423713058</c:v>
                </c:pt>
                <c:pt idx="481">
                  <c:v>-6.5909664809427682</c:v>
                </c:pt>
                <c:pt idx="482">
                  <c:v>-7.0408959503909045</c:v>
                </c:pt>
                <c:pt idx="483">
                  <c:v>-7.4897102197006404</c:v>
                </c:pt>
                <c:pt idx="484">
                  <c:v>-7.9374137169820074</c:v>
                </c:pt>
                <c:pt idx="485">
                  <c:v>-8.3942609685964555</c:v>
                </c:pt>
                <c:pt idx="486">
                  <c:v>-8.8499553074410642</c:v>
                </c:pt>
                <c:pt idx="487">
                  <c:v>-9.3045015963550384</c:v>
                </c:pt>
                <c:pt idx="488">
                  <c:v>-9.757904736500393</c:v>
                </c:pt>
                <c:pt idx="489">
                  <c:v>-10.220931367291314</c:v>
                </c:pt>
                <c:pt idx="490">
                  <c:v>-10.682770242069296</c:v>
                </c:pt>
                <c:pt idx="491">
                  <c:v>-11.143426736434691</c:v>
                </c:pt>
                <c:pt idx="492">
                  <c:v>-11.602906262054319</c:v>
                </c:pt>
                <c:pt idx="493">
                  <c:v>-12.071865772855489</c:v>
                </c:pt>
                <c:pt idx="494">
                  <c:v>-12.539604472770122</c:v>
                </c:pt>
                <c:pt idx="495">
                  <c:v>-13.006128268259545</c:v>
                </c:pt>
                <c:pt idx="496">
                  <c:v>-13.471443099288251</c:v>
                </c:pt>
                <c:pt idx="497">
                  <c:v>-13.946397004376394</c:v>
                </c:pt>
                <c:pt idx="498">
                  <c:v>-14.420097412897576</c:v>
                </c:pt>
                <c:pt idx="499">
                  <c:v>-14.892550791355063</c:v>
                </c:pt>
                <c:pt idx="500">
                  <c:v>-15.36376363699668</c:v>
                </c:pt>
                <c:pt idx="501">
                  <c:v>-15.844768467055047</c:v>
                </c:pt>
                <c:pt idx="502">
                  <c:v>-16.324487659057951</c:v>
                </c:pt>
                <c:pt idx="503">
                  <c:v>-16.802928270013211</c:v>
                </c:pt>
                <c:pt idx="504">
                  <c:v>-17.280097384727043</c:v>
                </c:pt>
                <c:pt idx="505">
                  <c:v>-17.766910698771397</c:v>
                </c:pt>
                <c:pt idx="506">
                  <c:v>-18.252408558641804</c:v>
                </c:pt>
                <c:pt idx="507">
                  <c:v>-18.736598629710244</c:v>
                </c:pt>
                <c:pt idx="508">
                  <c:v>-19.219488601972756</c:v>
                </c:pt>
                <c:pt idx="509">
                  <c:v>-19.712169080418022</c:v>
                </c:pt>
                <c:pt idx="510">
                  <c:v>-20.203505205641875</c:v>
                </c:pt>
                <c:pt idx="511">
                  <c:v>-20.693505283009529</c:v>
                </c:pt>
                <c:pt idx="512">
                  <c:v>-21.182177639211005</c:v>
                </c:pt>
                <c:pt idx="513">
                  <c:v>-21.681070171404315</c:v>
                </c:pt>
                <c:pt idx="514">
                  <c:v>-22.178588995813186</c:v>
                </c:pt>
                <c:pt idx="515">
                  <c:v>-22.674743106706643</c:v>
                </c:pt>
                <c:pt idx="516">
                  <c:v>-23.169541516328707</c:v>
                </c:pt>
                <c:pt idx="517">
                  <c:v>-23.674406477160829</c:v>
                </c:pt>
                <c:pt idx="518">
                  <c:v>-24.177871349103697</c:v>
                </c:pt>
                <c:pt idx="519">
                  <c:v>-24.67994583571928</c:v>
                </c:pt>
                <c:pt idx="520">
                  <c:v>-25.180639655086338</c:v>
                </c:pt>
                <c:pt idx="521">
                  <c:v>-25.691532215895336</c:v>
                </c:pt>
                <c:pt idx="522">
                  <c:v>-26.200999920619267</c:v>
                </c:pt>
                <c:pt idx="523">
                  <c:v>-26.709053219350068</c:v>
                </c:pt>
                <c:pt idx="524">
                  <c:v>-27.215702573231965</c:v>
                </c:pt>
                <c:pt idx="525">
                  <c:v>-27.732679114920188</c:v>
                </c:pt>
                <c:pt idx="526">
                  <c:v>-28.248207917480755</c:v>
                </c:pt>
                <c:pt idx="527">
                  <c:v>-28.762300217179614</c:v>
                </c:pt>
                <c:pt idx="528">
                  <c:v>-29.274967257915222</c:v>
                </c:pt>
                <c:pt idx="529">
                  <c:v>-29.798086744052483</c:v>
                </c:pt>
                <c:pt idx="530">
                  <c:v>-30.319737785174709</c:v>
                </c:pt>
                <c:pt idx="531">
                  <c:v>-30.839932446126795</c:v>
                </c:pt>
                <c:pt idx="532">
                  <c:v>-31.358682796079506</c:v>
                </c:pt>
                <c:pt idx="533">
                  <c:v>-31.8882811565868</c:v>
                </c:pt>
                <c:pt idx="534">
                  <c:v>-32.416391332678415</c:v>
                </c:pt>
                <c:pt idx="535">
                  <c:v>-32.943026283422199</c:v>
                </c:pt>
                <c:pt idx="536">
                  <c:v>-33.468198969095937</c:v>
                </c:pt>
                <c:pt idx="537">
                  <c:v>-34.003796146509245</c:v>
                </c:pt>
                <c:pt idx="538">
                  <c:v>-34.537891326480377</c:v>
                </c:pt>
                <c:pt idx="539">
                  <c:v>-35.070498371472723</c:v>
                </c:pt>
                <c:pt idx="540">
                  <c:v>-35.601631142314716</c:v>
                </c:pt>
                <c:pt idx="541">
                  <c:v>-36.143846228151887</c:v>
                </c:pt>
                <c:pt idx="542">
                  <c:v>-36.684545679316074</c:v>
                </c:pt>
                <c:pt idx="543">
                  <c:v>-37.223744357221193</c:v>
                </c:pt>
                <c:pt idx="544">
                  <c:v>-37.761457119170046</c:v>
                </c:pt>
                <c:pt idx="545">
                  <c:v>-38.310103071172961</c:v>
                </c:pt>
                <c:pt idx="546">
                  <c:v>-38.857224922500393</c:v>
                </c:pt>
                <c:pt idx="547">
                  <c:v>-39.402838571030145</c:v>
                </c:pt>
                <c:pt idx="548">
                  <c:v>-39.946959908551946</c:v>
                </c:pt>
                <c:pt idx="549">
                  <c:v>-40.502134187201506</c:v>
                </c:pt>
                <c:pt idx="550">
                  <c:v>-41.055779982869439</c:v>
                </c:pt>
                <c:pt idx="551">
                  <c:v>-41.607914294135554</c:v>
                </c:pt>
                <c:pt idx="552">
                  <c:v>-42.158554112139711</c:v>
                </c:pt>
                <c:pt idx="553">
                  <c:v>-42.720626308094154</c:v>
                </c:pt>
                <c:pt idx="554">
                  <c:v>-43.281168816428703</c:v>
                </c:pt>
                <c:pt idx="555">
                  <c:v>-43.840199832380961</c:v>
                </c:pt>
                <c:pt idx="556">
                  <c:v>-44.397737543152346</c:v>
                </c:pt>
                <c:pt idx="557">
                  <c:v>-45.534391336270431</c:v>
                </c:pt>
                <c:pt idx="558">
                  <c:v>-46.665020344019723</c:v>
                </c:pt>
                <c:pt idx="559">
                  <c:v>-47.815493696352377</c:v>
                </c:pt>
                <c:pt idx="560">
                  <c:v>-48.95999234381847</c:v>
                </c:pt>
                <c:pt idx="561">
                  <c:v>-50.125629920298053</c:v>
                </c:pt>
                <c:pt idx="562">
                  <c:v>-51.285358815447808</c:v>
                </c:pt>
                <c:pt idx="563">
                  <c:v>-52.464059886125796</c:v>
                </c:pt>
                <c:pt idx="564">
                  <c:v>-53.636972261250321</c:v>
                </c:pt>
                <c:pt idx="565">
                  <c:v>-54.83364348325108</c:v>
                </c:pt>
                <c:pt idx="566">
                  <c:v>-56.024635289676723</c:v>
                </c:pt>
                <c:pt idx="567">
                  <c:v>-57.239237614093213</c:v>
                </c:pt>
                <c:pt idx="568">
                  <c:v>-58.448313841103356</c:v>
                </c:pt>
                <c:pt idx="569">
                  <c:v>-59.676107830569777</c:v>
                </c:pt>
                <c:pt idx="570">
                  <c:v>-60.898617330407546</c:v>
                </c:pt>
                <c:pt idx="571">
                  <c:v>-62.149429189456754</c:v>
                </c:pt>
                <c:pt idx="572">
                  <c:v>-63.395166674109049</c:v>
                </c:pt>
                <c:pt idx="573">
                  <c:v>-64.659722741025263</c:v>
                </c:pt>
                <c:pt idx="574">
                  <c:v>-65.919547463908458</c:v>
                </c:pt>
                <c:pt idx="575">
                  <c:v>-67.207768721581971</c:v>
                </c:pt>
                <c:pt idx="576">
                  <c:v>-68.49159124694728</c:v>
                </c:pt>
                <c:pt idx="577">
                  <c:v>-73.884897705455813</c:v>
                </c:pt>
                <c:pt idx="578">
                  <c:v>-79.227623770446712</c:v>
                </c:pt>
                <c:pt idx="579">
                  <c:v>-90.874565705991756</c:v>
                </c:pt>
                <c:pt idx="580">
                  <c:v>-103.81963296894838</c:v>
                </c:pt>
                <c:pt idx="581">
                  <c:v>-118.6281878184588</c:v>
                </c:pt>
                <c:pt idx="582">
                  <c:v>-136.1643306805891</c:v>
                </c:pt>
                <c:pt idx="583">
                  <c:v>-157.3734995537497</c:v>
                </c:pt>
                <c:pt idx="584">
                  <c:v>-182.4367070927006</c:v>
                </c:pt>
                <c:pt idx="585">
                  <c:v>-29.284921464991811</c:v>
                </c:pt>
                <c:pt idx="586">
                  <c:v>-54.524646205565119</c:v>
                </c:pt>
                <c:pt idx="587">
                  <c:v>-76.626543543728189</c:v>
                </c:pt>
                <c:pt idx="588">
                  <c:v>-96.500388489279601</c:v>
                </c:pt>
                <c:pt idx="589">
                  <c:v>-116.46375546386844</c:v>
                </c:pt>
                <c:pt idx="590">
                  <c:v>-140.31801664455969</c:v>
                </c:pt>
                <c:pt idx="591">
                  <c:v>-174.54866461865282</c:v>
                </c:pt>
                <c:pt idx="592">
                  <c:v>-40.49495712923931</c:v>
                </c:pt>
                <c:pt idx="593">
                  <c:v>-80.512996212054929</c:v>
                </c:pt>
                <c:pt idx="594">
                  <c:v>-111.25253622666855</c:v>
                </c:pt>
                <c:pt idx="595">
                  <c:v>-145.706152580565</c:v>
                </c:pt>
                <c:pt idx="596">
                  <c:v>-23.663876936127167</c:v>
                </c:pt>
                <c:pt idx="597">
                  <c:v>-83.047824135899589</c:v>
                </c:pt>
                <c:pt idx="598">
                  <c:v>-125.44298766678759</c:v>
                </c:pt>
                <c:pt idx="599">
                  <c:v>-191.67894802964605</c:v>
                </c:pt>
                <c:pt idx="600">
                  <c:v>-88.549363130678273</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1000</c:v>
                </c:pt>
              </c:numCache>
            </c:numRef>
          </c:xVal>
          <c:yVal>
            <c:numRef>
              <c:f>'Stability Calculations'!$AL$9</c:f>
              <c:numCache>
                <c:formatCode>0.0</c:formatCode>
                <c:ptCount val="1"/>
                <c:pt idx="0">
                  <c:v>64.234457769758691</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1000</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344.98108595439891</c:v>
                </c:pt>
                <c:pt idx="54">
                  <c:v>339.01529439852374</c:v>
                </c:pt>
                <c:pt idx="55">
                  <c:v>333.24725015666831</c:v>
                </c:pt>
                <c:pt idx="56">
                  <c:v>327.67152806565235</c:v>
                </c:pt>
                <c:pt idx="57">
                  <c:v>322.28644569875593</c:v>
                </c:pt>
                <c:pt idx="58">
                  <c:v>317.0625830731833</c:v>
                </c:pt>
                <c:pt idx="59">
                  <c:v>312.011349974734</c:v>
                </c:pt>
                <c:pt idx="60">
                  <c:v>307.1181208874421</c:v>
                </c:pt>
                <c:pt idx="61">
                  <c:v>302.37559630606489</c:v>
                </c:pt>
                <c:pt idx="62">
                  <c:v>297.77691953854452</c:v>
                </c:pt>
                <c:pt idx="63">
                  <c:v>293.31564362942459</c:v>
                </c:pt>
                <c:pt idx="64">
                  <c:v>288.98570120447118</c:v>
                </c:pt>
                <c:pt idx="65">
                  <c:v>284.78137693987554</c:v>
                </c:pt>
                <c:pt idx="66">
                  <c:v>280.69728239334552</c:v>
                </c:pt>
                <c:pt idx="67">
                  <c:v>276.72833296401939</c:v>
                </c:pt>
                <c:pt idx="68">
                  <c:v>272.86972677405231</c:v>
                </c:pt>
                <c:pt idx="69">
                  <c:v>269.11692528744993</c:v>
                </c:pt>
                <c:pt idx="70">
                  <c:v>265.46563550167309</c:v>
                </c:pt>
                <c:pt idx="71">
                  <c:v>261.91179356510355</c:v>
                </c:pt>
                <c:pt idx="72">
                  <c:v>258.45154968892814</c:v>
                </c:pt>
                <c:pt idx="73">
                  <c:v>255.08125423567679</c:v>
                </c:pt>
                <c:pt idx="74">
                  <c:v>251.79744487872864</c:v>
                </c:pt>
                <c:pt idx="75">
                  <c:v>248.59683473781826</c:v>
                </c:pt>
                <c:pt idx="76">
                  <c:v>245.47630140507243</c:v>
                </c:pt>
                <c:pt idx="77">
                  <c:v>242.43287678456159</c:v>
                </c:pt>
                <c:pt idx="78">
                  <c:v>239.46373767586405</c:v>
                </c:pt>
                <c:pt idx="79">
                  <c:v>236.56619703885005</c:v>
                </c:pt>
                <c:pt idx="80">
                  <c:v>233.73769588287243</c:v>
                </c:pt>
                <c:pt idx="81">
                  <c:v>230.9757957289076</c:v>
                </c:pt>
                <c:pt idx="82">
                  <c:v>228.27817159797462</c:v>
                </c:pt>
                <c:pt idx="83">
                  <c:v>225.64260548345857</c:v>
                </c:pt>
                <c:pt idx="84">
                  <c:v>223.06698026882015</c:v>
                </c:pt>
                <c:pt idx="85">
                  <c:v>220.54927405563436</c:v>
                </c:pt>
                <c:pt idx="86">
                  <c:v>218.08755487002182</c:v>
                </c:pt>
                <c:pt idx="87">
                  <c:v>215.67997571834786</c:v>
                </c:pt>
                <c:pt idx="88">
                  <c:v>213.32476996559342</c:v>
                </c:pt>
                <c:pt idx="89">
                  <c:v>211.02024701209689</c:v>
                </c:pt>
                <c:pt idx="90">
                  <c:v>208.76478824643164</c:v>
                </c:pt>
                <c:pt idx="91">
                  <c:v>206.55684325405946</c:v>
                </c:pt>
                <c:pt idx="92">
                  <c:v>204.39492626309755</c:v>
                </c:pt>
                <c:pt idx="93">
                  <c:v>202.27761281007605</c:v>
                </c:pt>
                <c:pt idx="94">
                  <c:v>200.20353660996395</c:v>
                </c:pt>
                <c:pt idx="95">
                  <c:v>198.17138661600902</c:v>
                </c:pt>
                <c:pt idx="96">
                  <c:v>196.17990425609864</c:v>
                </c:pt>
                <c:pt idx="97">
                  <c:v>194.22788083339756</c:v>
                </c:pt>
                <c:pt idx="98">
                  <c:v>192.31415507998463</c:v>
                </c:pt>
                <c:pt idx="99">
                  <c:v>190.43761085308063</c:v>
                </c:pt>
                <c:pt idx="100">
                  <c:v>188.59717496426779</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349.90540259073106</c:v>
                </c:pt>
                <c:pt idx="65">
                  <c:v>344.88978796581176</c:v>
                </c:pt>
                <c:pt idx="66">
                  <c:v>340.01455474909852</c:v>
                </c:pt>
                <c:pt idx="67">
                  <c:v>335.27357899318423</c:v>
                </c:pt>
                <c:pt idx="68">
                  <c:v>330.66278544098003</c:v>
                </c:pt>
                <c:pt idx="69">
                  <c:v>326.18058860196459</c:v>
                </c:pt>
                <c:pt idx="70">
                  <c:v>321.81303343594709</c:v>
                </c:pt>
                <c:pt idx="71">
                  <c:v>317.55852367454986</c:v>
                </c:pt>
                <c:pt idx="72">
                  <c:v>313.41773186797639</c:v>
                </c:pt>
                <c:pt idx="73">
                  <c:v>309.38335411508871</c:v>
                </c:pt>
                <c:pt idx="74">
                  <c:v>305.45134032893594</c:v>
                </c:pt>
                <c:pt idx="75">
                  <c:v>301.6178433745925</c:v>
                </c:pt>
                <c:pt idx="76">
                  <c:v>297.87920651390152</c:v>
                </c:pt>
                <c:pt idx="77">
                  <c:v>294.2319517708786</c:v>
                </c:pt>
                <c:pt idx="78">
                  <c:v>290.67276913996176</c:v>
                </c:pt>
                <c:pt idx="79">
                  <c:v>287.19850656672475</c:v>
                </c:pt>
                <c:pt idx="80">
                  <c:v>283.80616063730326</c:v>
                </c:pt>
                <c:pt idx="81">
                  <c:v>280.49286791873374</c:v>
                </c:pt>
                <c:pt idx="82">
                  <c:v>277.25589689772283</c:v>
                </c:pt>
                <c:pt idx="83">
                  <c:v>274.0926404701508</c:v>
                </c:pt>
                <c:pt idx="84">
                  <c:v>271.00060893790692</c:v>
                </c:pt>
                <c:pt idx="85">
                  <c:v>267.9774234735188</c:v>
                </c:pt>
                <c:pt idx="86">
                  <c:v>265.02081001652368</c:v>
                </c:pt>
                <c:pt idx="87">
                  <c:v>262.12859356866613</c:v>
                </c:pt>
                <c:pt idx="88">
                  <c:v>259.29869285784838</c:v>
                </c:pt>
                <c:pt idx="89">
                  <c:v>256.52911534331935</c:v>
                </c:pt>
                <c:pt idx="90">
                  <c:v>253.81795253691297</c:v>
                </c:pt>
                <c:pt idx="91">
                  <c:v>251.16337561724728</c:v>
                </c:pt>
                <c:pt idx="92">
                  <c:v>248.5636313157049</c:v>
                </c:pt>
                <c:pt idx="93">
                  <c:v>246.01703805474642</c:v>
                </c:pt>
                <c:pt idx="94">
                  <c:v>243.5219823206838</c:v>
                </c:pt>
                <c:pt idx="95">
                  <c:v>241.07691525447063</c:v>
                </c:pt>
                <c:pt idx="96">
                  <c:v>238.68034944537666</c:v>
                </c:pt>
                <c:pt idx="97">
                  <c:v>236.33085591359381</c:v>
                </c:pt>
                <c:pt idx="98">
                  <c:v>234.02706126891675</c:v>
                </c:pt>
                <c:pt idx="99">
                  <c:v>231.76764503362244</c:v>
                </c:pt>
                <c:pt idx="100">
                  <c:v>229.55133711858704</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6.0000029462797021E-3</c:v>
                </c:pt>
                <c:pt idx="1">
                  <c:v>1.3693101913739516E-2</c:v>
                </c:pt>
                <c:pt idx="2">
                  <c:v>2.7386203827479031E-2</c:v>
                </c:pt>
                <c:pt idx="3">
                  <c:v>4.1079305741218541E-2</c:v>
                </c:pt>
                <c:pt idx="4">
                  <c:v>5.4772407654958062E-2</c:v>
                </c:pt>
                <c:pt idx="5">
                  <c:v>6.8465509568697583E-2</c:v>
                </c:pt>
                <c:pt idx="6">
                  <c:v>8.2158611482437083E-2</c:v>
                </c:pt>
                <c:pt idx="7">
                  <c:v>9.5851713396176624E-2</c:v>
                </c:pt>
                <c:pt idx="8">
                  <c:v>0.10954481530991612</c:v>
                </c:pt>
                <c:pt idx="9">
                  <c:v>0.12323791722365565</c:v>
                </c:pt>
                <c:pt idx="10">
                  <c:v>0.13693101913739517</c:v>
                </c:pt>
                <c:pt idx="11">
                  <c:v>0.15062412105113465</c:v>
                </c:pt>
                <c:pt idx="12">
                  <c:v>0.16431722296487417</c:v>
                </c:pt>
                <c:pt idx="13">
                  <c:v>0.17659159861449511</c:v>
                </c:pt>
                <c:pt idx="14">
                  <c:v>0.18326808765812008</c:v>
                </c:pt>
                <c:pt idx="15">
                  <c:v>0.18971080604731752</c:v>
                </c:pt>
                <c:pt idx="16">
                  <c:v>0.19594278032451845</c:v>
                </c:pt>
                <c:pt idx="17">
                  <c:v>0.20198348808401065</c:v>
                </c:pt>
                <c:pt idx="18">
                  <c:v>0.20784957957753364</c:v>
                </c:pt>
                <c:pt idx="19">
                  <c:v>0.21355542096570027</c:v>
                </c:pt>
                <c:pt idx="20">
                  <c:v>0.21911351030590456</c:v>
                </c:pt>
                <c:pt idx="21">
                  <c:v>0.22453480092243377</c:v>
                </c:pt>
                <c:pt idx="22">
                  <c:v>0.22982895618058644</c:v>
                </c:pt>
                <c:pt idx="23">
                  <c:v>0.23500455265320938</c:v>
                </c:pt>
                <c:pt idx="24">
                  <c:v>0.24006924390891271</c:v>
                </c:pt>
                <c:pt idx="25">
                  <c:v>0.24502989386717247</c:v>
                </c:pt>
                <c:pt idx="26">
                  <c:v>0.24989268635887124</c:v>
                </c:pt>
                <c:pt idx="27">
                  <c:v>0.25466321588442337</c:v>
                </c:pt>
                <c:pt idx="28">
                  <c:v>0.25934656336911494</c:v>
                </c:pt>
                <c:pt idx="29">
                  <c:v>0.26394735983987183</c:v>
                </c:pt>
                <c:pt idx="30">
                  <c:v>0.26846984029703597</c:v>
                </c:pt>
                <c:pt idx="31">
                  <c:v>0.27291788956562463</c:v>
                </c:pt>
                <c:pt idx="32">
                  <c:v>0.27729508153897958</c:v>
                </c:pt>
                <c:pt idx="33">
                  <c:v>0.2816047129426526</c:v>
                </c:pt>
                <c:pt idx="34">
                  <c:v>0.28584983252568241</c:v>
                </c:pt>
                <c:pt idx="35">
                  <c:v>0.29003326641410848</c:v>
                </c:pt>
                <c:pt idx="36">
                  <c:v>0.29415764022594543</c:v>
                </c:pt>
                <c:pt idx="37">
                  <c:v>0.29822539843931428</c:v>
                </c:pt>
                <c:pt idx="38">
                  <c:v>0.30223882141956226</c:v>
                </c:pt>
                <c:pt idx="39">
                  <c:v>0.30620004044218796</c:v>
                </c:pt>
                <c:pt idx="40">
                  <c:v>0.3101110509925753</c:v>
                </c:pt>
                <c:pt idx="41">
                  <c:v>0.31397372457813072</c:v>
                </c:pt>
                <c:pt idx="42">
                  <c:v>0.3177898192512712</c:v>
                </c:pt>
                <c:pt idx="43">
                  <c:v>0.3215609890111627</c:v>
                </c:pt>
                <c:pt idx="44">
                  <c:v>0.32528879222686363</c:v>
                </c:pt>
                <c:pt idx="45">
                  <c:v>0.32897469920355904</c:v>
                </c:pt>
                <c:pt idx="46">
                  <c:v>0.33262009899608513</c:v>
                </c:pt>
                <c:pt idx="47">
                  <c:v>0.33622630555929184</c:v>
                </c:pt>
                <c:pt idx="48">
                  <c:v>0.33979456331246638</c:v>
                </c:pt>
                <c:pt idx="49">
                  <c:v>0.34332605218463425</c:v>
                </c:pt>
                <c:pt idx="50">
                  <c:v>0.34682189219872989</c:v>
                </c:pt>
                <c:pt idx="51">
                  <c:v>0.35028314764512852</c:v>
                </c:pt>
                <c:pt idx="52">
                  <c:v>0.35371083088862026</c:v>
                </c:pt>
                <c:pt idx="53">
                  <c:v>0.35710590584742402</c:v>
                </c:pt>
                <c:pt idx="54">
                  <c:v>0.36046929117812593</c:v>
                </c:pt>
                <c:pt idx="55">
                  <c:v>0.36380186319636526</c:v>
                </c:pt>
                <c:pt idx="56">
                  <c:v>0.36710445855957907</c:v>
                </c:pt>
                <c:pt idx="57">
                  <c:v>0.3703778767350796</c:v>
                </c:pt>
                <c:pt idx="58">
                  <c:v>0.37362288227409174</c:v>
                </c:pt>
                <c:pt idx="59">
                  <c:v>0.37684020691007586</c:v>
                </c:pt>
                <c:pt idx="60">
                  <c:v>0.38003055149765264</c:v>
                </c:pt>
                <c:pt idx="61">
                  <c:v>0.38319458780668275</c:v>
                </c:pt>
                <c:pt idx="62">
                  <c:v>0.38633296018451196</c:v>
                </c:pt>
                <c:pt idx="63">
                  <c:v>0.38944628709803109</c:v>
                </c:pt>
                <c:pt idx="64">
                  <c:v>0.39242906882478895</c:v>
                </c:pt>
                <c:pt idx="65">
                  <c:v>0.38982415553238742</c:v>
                </c:pt>
                <c:pt idx="66">
                  <c:v>0.38727630528637996</c:v>
                </c:pt>
                <c:pt idx="67">
                  <c:v>0.38478500519132286</c:v>
                </c:pt>
                <c:pt idx="68">
                  <c:v>0.38234145879486481</c:v>
                </c:pt>
                <c:pt idx="69">
                  <c:v>0.38049791785015546</c:v>
                </c:pt>
                <c:pt idx="70">
                  <c:v>0.38087903083464952</c:v>
                </c:pt>
                <c:pt idx="71">
                  <c:v>0.38124721783959553</c:v>
                </c:pt>
                <c:pt idx="72">
                  <c:v>0.38159925576031906</c:v>
                </c:pt>
                <c:pt idx="73">
                  <c:v>0.38194265565003843</c:v>
                </c:pt>
                <c:pt idx="74">
                  <c:v>0.38227774627928707</c:v>
                </c:pt>
                <c:pt idx="75">
                  <c:v>0.38260483994375583</c:v>
                </c:pt>
                <c:pt idx="76">
                  <c:v>0.38292423348347698</c:v>
                </c:pt>
                <c:pt idx="77">
                  <c:v>0.38323620922727308</c:v>
                </c:pt>
                <c:pt idx="78">
                  <c:v>0.38354103586878768</c:v>
                </c:pt>
                <c:pt idx="79">
                  <c:v>0.3838389692798107</c:v>
                </c:pt>
                <c:pt idx="80">
                  <c:v>0.38413025326607292</c:v>
                </c:pt>
                <c:pt idx="81">
                  <c:v>0.38441512027020208</c:v>
                </c:pt>
                <c:pt idx="82">
                  <c:v>0.38469379202610193</c:v>
                </c:pt>
                <c:pt idx="83">
                  <c:v>0.38496648016862339</c:v>
                </c:pt>
                <c:pt idx="84">
                  <c:v>0.38523338680205432</c:v>
                </c:pt>
                <c:pt idx="85">
                  <c:v>0.38549470503063382</c:v>
                </c:pt>
                <c:pt idx="86">
                  <c:v>0.38575061945402128</c:v>
                </c:pt>
                <c:pt idx="87">
                  <c:v>0.38600130663038879</c:v>
                </c:pt>
                <c:pt idx="88">
                  <c:v>0.38624693550958145</c:v>
                </c:pt>
                <c:pt idx="89">
                  <c:v>0.38648766783857552</c:v>
                </c:pt>
                <c:pt idx="90">
                  <c:v>0.3867236585412821</c:v>
                </c:pt>
                <c:pt idx="91">
                  <c:v>0.38695505607456898</c:v>
                </c:pt>
                <c:pt idx="92">
                  <c:v>0.38718200276222053</c:v>
                </c:pt>
                <c:pt idx="93">
                  <c:v>0.38740463510841455</c:v>
                </c:pt>
                <c:pt idx="94">
                  <c:v>0.38762308409216589</c:v>
                </c:pt>
                <c:pt idx="95">
                  <c:v>0.38783747544407299</c:v>
                </c:pt>
                <c:pt idx="96">
                  <c:v>0.38804792990659465</c:v>
                </c:pt>
                <c:pt idx="97">
                  <c:v>0.38825456347899018</c:v>
                </c:pt>
                <c:pt idx="98">
                  <c:v>0.38845748764796717</c:v>
                </c:pt>
                <c:pt idx="99">
                  <c:v>0.38865680960499893</c:v>
                </c:pt>
                <c:pt idx="100">
                  <c:v>0.38885263245120372</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7.5789520694108797E-3</c:v>
                </c:pt>
                <c:pt idx="1">
                  <c:v>1.7301239080339679E-2</c:v>
                </c:pt>
                <c:pt idx="2">
                  <c:v>3.4602478160679358E-2</c:v>
                </c:pt>
                <c:pt idx="3">
                  <c:v>5.1903717241019033E-2</c:v>
                </c:pt>
                <c:pt idx="4">
                  <c:v>6.9204956321358715E-2</c:v>
                </c:pt>
                <c:pt idx="5">
                  <c:v>8.6506195401698405E-2</c:v>
                </c:pt>
                <c:pt idx="6">
                  <c:v>0.10380743448203807</c:v>
                </c:pt>
                <c:pt idx="7">
                  <c:v>0.12110867356237777</c:v>
                </c:pt>
                <c:pt idx="8">
                  <c:v>0.13840991264271743</c:v>
                </c:pt>
                <c:pt idx="9">
                  <c:v>0.15571115172305713</c:v>
                </c:pt>
                <c:pt idx="10">
                  <c:v>0.17301239080339681</c:v>
                </c:pt>
                <c:pt idx="11">
                  <c:v>0.19031362988373646</c:v>
                </c:pt>
                <c:pt idx="12">
                  <c:v>0.20761486896407613</c:v>
                </c:pt>
                <c:pt idx="13">
                  <c:v>0.223124006532675</c:v>
                </c:pt>
                <c:pt idx="14">
                  <c:v>0.23156216059980911</c:v>
                </c:pt>
                <c:pt idx="15">
                  <c:v>0.23970502615110306</c:v>
                </c:pt>
                <c:pt idx="16">
                  <c:v>0.24758168932069763</c:v>
                </c:pt>
                <c:pt idx="17">
                  <c:v>0.25521675336322763</c:v>
                </c:pt>
                <c:pt idx="18">
                  <c:v>0.26263125015527367</c:v>
                </c:pt>
                <c:pt idx="19">
                  <c:v>0.26984332640740005</c:v>
                </c:pt>
                <c:pt idx="20">
                  <c:v>0.27686876912233532</c:v>
                </c:pt>
                <c:pt idx="21">
                  <c:v>0.28372141406229173</c:v>
                </c:pt>
                <c:pt idx="22">
                  <c:v>0.29041346756874764</c:v>
                </c:pt>
                <c:pt idx="23">
                  <c:v>0.29695576319373024</c:v>
                </c:pt>
                <c:pt idx="24">
                  <c:v>0.30335796859008057</c:v>
                </c:pt>
                <c:pt idx="25">
                  <c:v>0.30962875395990935</c:v>
                </c:pt>
                <c:pt idx="26">
                  <c:v>0.31577593044677738</c:v>
                </c:pt>
                <c:pt idx="27">
                  <c:v>0.32180656477746655</c:v>
                </c:pt>
                <c:pt idx="28">
                  <c:v>0.32772707495287556</c:v>
                </c:pt>
                <c:pt idx="29">
                  <c:v>0.33354331068177745</c:v>
                </c:pt>
                <c:pt idx="30">
                  <c:v>0.33926062142933266</c:v>
                </c:pt>
                <c:pt idx="31">
                  <c:v>0.34488391433442761</c:v>
                </c:pt>
                <c:pt idx="32">
                  <c:v>0.35041770378056319</c:v>
                </c:pt>
                <c:pt idx="33">
                  <c:v>0.35586615404494032</c:v>
                </c:pt>
                <c:pt idx="34">
                  <c:v>0.36123311617162318</c:v>
                </c:pt>
                <c:pt idx="35">
                  <c:v>0.36652215999700383</c:v>
                </c:pt>
                <c:pt idx="36">
                  <c:v>0.371736602084483</c:v>
                </c:pt>
                <c:pt idx="37">
                  <c:v>0.37687953018945719</c:v>
                </c:pt>
                <c:pt idx="38">
                  <c:v>0.38195382476723994</c:v>
                </c:pt>
                <c:pt idx="39">
                  <c:v>0.38696217794937116</c:v>
                </c:pt>
                <c:pt idx="40">
                  <c:v>0.39190711034326475</c:v>
                </c:pt>
                <c:pt idx="41">
                  <c:v>0.39679098595278955</c:v>
                </c:pt>
                <c:pt idx="42">
                  <c:v>0.40161602547045</c:v>
                </c:pt>
                <c:pt idx="43">
                  <c:v>0.40638431815325537</c:v>
                </c:pt>
                <c:pt idx="44">
                  <c:v>0.41109783246246856</c:v>
                </c:pt>
                <c:pt idx="45">
                  <c:v>0.41575842562094401</c:v>
                </c:pt>
                <c:pt idx="46">
                  <c:v>0.42036785221967576</c:v>
                </c:pt>
                <c:pt idx="47">
                  <c:v>0.42492777198666792</c:v>
                </c:pt>
                <c:pt idx="48">
                  <c:v>0.42943975681567187</c:v>
                </c:pt>
                <c:pt idx="49">
                  <c:v>0.43390529713919096</c:v>
                </c:pt>
                <c:pt idx="50">
                  <c:v>0.43832580771900437</c:v>
                </c:pt>
                <c:pt idx="51">
                  <c:v>0.44270263291799111</c:v>
                </c:pt>
                <c:pt idx="52">
                  <c:v>0.44703705150893253</c:v>
                </c:pt>
                <c:pt idx="53">
                  <c:v>0.44485831567801593</c:v>
                </c:pt>
                <c:pt idx="54">
                  <c:v>0.44129676218241048</c:v>
                </c:pt>
                <c:pt idx="55">
                  <c:v>0.43782895400449268</c:v>
                </c:pt>
                <c:pt idx="56">
                  <c:v>0.434442020812639</c:v>
                </c:pt>
                <c:pt idx="57">
                  <c:v>0.43454381813134468</c:v>
                </c:pt>
                <c:pt idx="58">
                  <c:v>0.43506024276235206</c:v>
                </c:pt>
                <c:pt idx="59">
                  <c:v>0.43554889864019103</c:v>
                </c:pt>
                <c:pt idx="60">
                  <c:v>0.43602291702851081</c:v>
                </c:pt>
                <c:pt idx="61">
                  <c:v>0.43648297417239879</c:v>
                </c:pt>
                <c:pt idx="62">
                  <c:v>0.43692970529365754</c:v>
                </c:pt>
                <c:pt idx="63">
                  <c:v>0.43736370765509319</c:v>
                </c:pt>
                <c:pt idx="64">
                  <c:v>0.43778554335417774</c:v>
                </c:pt>
                <c:pt idx="65">
                  <c:v>0.43819574187356503</c:v>
                </c:pt>
                <c:pt idx="66">
                  <c:v>0.43859480241279547</c:v>
                </c:pt>
                <c:pt idx="67">
                  <c:v>0.43898319602278374</c:v>
                </c:pt>
                <c:pt idx="68">
                  <c:v>0.43936136756227701</c:v>
                </c:pt>
                <c:pt idx="69">
                  <c:v>0.43972973749337124</c:v>
                </c:pt>
                <c:pt idx="70">
                  <c:v>0.44008870353132401</c:v>
                </c:pt>
                <c:pt idx="71">
                  <c:v>0.44043864216227052</c:v>
                </c:pt>
                <c:pt idx="72">
                  <c:v>0.44077991004102263</c:v>
                </c:pt>
                <c:pt idx="73">
                  <c:v>0.44111284527986022</c:v>
                </c:pt>
                <c:pt idx="74">
                  <c:v>0.44143776863810547</c:v>
                </c:pt>
                <c:pt idx="75">
                  <c:v>0.44175498462127843</c:v>
                </c:pt>
                <c:pt idx="76">
                  <c:v>0.44206478249775211</c:v>
                </c:pt>
                <c:pt idx="77">
                  <c:v>0.44236743724003941</c:v>
                </c:pt>
                <c:pt idx="78">
                  <c:v>0.44266321039715761</c:v>
                </c:pt>
                <c:pt idx="79">
                  <c:v>0.44295235090387874</c:v>
                </c:pt>
                <c:pt idx="80">
                  <c:v>0.44323509583213505</c:v>
                </c:pt>
                <c:pt idx="81">
                  <c:v>0.44351167108934531</c:v>
                </c:pt>
                <c:pt idx="82">
                  <c:v>0.44378229206798608</c:v>
                </c:pt>
                <c:pt idx="83">
                  <c:v>0.4440471642503302</c:v>
                </c:pt>
                <c:pt idx="84">
                  <c:v>0.44430648377192733</c:v>
                </c:pt>
                <c:pt idx="85">
                  <c:v>0.44456043794706784</c:v>
                </c:pt>
                <c:pt idx="86">
                  <c:v>0.44480920575919264</c:v>
                </c:pt>
                <c:pt idx="87">
                  <c:v>0.44505295831894548</c:v>
                </c:pt>
                <c:pt idx="88">
                  <c:v>0.44529185929233372</c:v>
                </c:pt>
                <c:pt idx="89">
                  <c:v>0.44552606530124428</c:v>
                </c:pt>
                <c:pt idx="90">
                  <c:v>0.44575572629838095</c:v>
                </c:pt>
                <c:pt idx="91">
                  <c:v>0.44598098591850377</c:v>
                </c:pt>
                <c:pt idx="92">
                  <c:v>0.44620198180770226</c:v>
                </c:pt>
                <c:pt idx="93">
                  <c:v>0.44641884593228925</c:v>
                </c:pt>
                <c:pt idx="94">
                  <c:v>0.44663170486876863</c:v>
                </c:pt>
                <c:pt idx="95">
                  <c:v>0.44684068007622008</c:v>
                </c:pt>
                <c:pt idx="96">
                  <c:v>0.4470458881523301</c:v>
                </c:pt>
                <c:pt idx="97">
                  <c:v>0.44724744107420289</c:v>
                </c:pt>
                <c:pt idx="98">
                  <c:v>0.44744544642499884</c:v>
                </c:pt>
                <c:pt idx="99">
                  <c:v>0.44764000760736117</c:v>
                </c:pt>
                <c:pt idx="100">
                  <c:v>0.44783122404452397</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2.4000004714046135E-3</c:v>
                </c:pt>
                <c:pt idx="1">
                  <c:v>5.47385810283993E-3</c:v>
                </c:pt>
                <c:pt idx="2">
                  <c:v>1.094771620567986E-2</c:v>
                </c:pt>
                <c:pt idx="3">
                  <c:v>1.6421574308519791E-2</c:v>
                </c:pt>
                <c:pt idx="4">
                  <c:v>2.189543241135972E-2</c:v>
                </c:pt>
                <c:pt idx="5">
                  <c:v>2.7369290514199653E-2</c:v>
                </c:pt>
                <c:pt idx="6">
                  <c:v>3.2843148617039582E-2</c:v>
                </c:pt>
                <c:pt idx="7">
                  <c:v>3.8317006719879518E-2</c:v>
                </c:pt>
                <c:pt idx="8">
                  <c:v>4.379086482271944E-2</c:v>
                </c:pt>
                <c:pt idx="9">
                  <c:v>4.9264722925559376E-2</c:v>
                </c:pt>
                <c:pt idx="10">
                  <c:v>5.4738581028399305E-2</c:v>
                </c:pt>
                <c:pt idx="11">
                  <c:v>6.0212439131239227E-2</c:v>
                </c:pt>
                <c:pt idx="12">
                  <c:v>6.5686297234079163E-2</c:v>
                </c:pt>
                <c:pt idx="13">
                  <c:v>7.0592684049852333E-2</c:v>
                </c:pt>
                <c:pt idx="14">
                  <c:v>7.3259895074601095E-2</c:v>
                </c:pt>
                <c:pt idx="15">
                  <c:v>7.5833597478614345E-2</c:v>
                </c:pt>
                <c:pt idx="16">
                  <c:v>7.8323001891011088E-2</c:v>
                </c:pt>
                <c:pt idx="17">
                  <c:v>8.0735899360493607E-2</c:v>
                </c:pt>
                <c:pt idx="18">
                  <c:v>8.3078949997759111E-2</c:v>
                </c:pt>
                <c:pt idx="19">
                  <c:v>8.5357900276207335E-2</c:v>
                </c:pt>
                <c:pt idx="20">
                  <c:v>8.7577749427217202E-2</c:v>
                </c:pt>
                <c:pt idx="21">
                  <c:v>8.9742878788284186E-2</c:v>
                </c:pt>
                <c:pt idx="22">
                  <c:v>9.185715371274529E-2</c:v>
                </c:pt>
                <c:pt idx="23">
                  <c:v>9.3924004836458422E-2</c:v>
                </c:pt>
                <c:pt idx="24">
                  <c:v>9.5946493593143375E-2</c:v>
                </c:pt>
                <c:pt idx="25">
                  <c:v>9.7927365556469484E-2</c:v>
                </c:pt>
                <c:pt idx="26">
                  <c:v>9.9869094264312133E-2</c:v>
                </c:pt>
                <c:pt idx="27">
                  <c:v>0.10177391752203746</c:v>
                </c:pt>
                <c:pt idx="28">
                  <c:v>0.10364386770466844</c:v>
                </c:pt>
                <c:pt idx="29">
                  <c:v>0.10548079722761849</c:v>
                </c:pt>
                <c:pt idx="30">
                  <c:v>0.10728640009542502</c:v>
                </c:pt>
                <c:pt idx="31">
                  <c:v>0.10906223024227354</c:v>
                </c:pt>
                <c:pt idx="32">
                  <c:v>0.1108097172294755</c:v>
                </c:pt>
                <c:pt idx="33">
                  <c:v>0.11253017975103831</c:v>
                </c:pt>
                <c:pt idx="34">
                  <c:v>0.11422483731019076</c:v>
                </c:pt>
                <c:pt idx="35">
                  <c:v>0.11589482036080123</c:v>
                </c:pt>
                <c:pt idx="36">
                  <c:v>0.11754117915337904</c:v>
                </c:pt>
                <c:pt idx="37">
                  <c:v>0.1191648914823375</c:v>
                </c:pt>
                <c:pt idx="38">
                  <c:v>0.120766869496851</c:v>
                </c:pt>
                <c:pt idx="39">
                  <c:v>0.12234796571003398</c:v>
                </c:pt>
                <c:pt idx="40">
                  <c:v>0.123908978318842</c:v>
                </c:pt>
                <c:pt idx="41">
                  <c:v>0.12545065592893401</c:v>
                </c:pt>
                <c:pt idx="42">
                  <c:v>0.12697370176387368</c:v>
                </c:pt>
                <c:pt idx="43">
                  <c:v>0.12847877742583114</c:v>
                </c:pt>
                <c:pt idx="44">
                  <c:v>0.12996650626484549</c:v>
                </c:pt>
                <c:pt idx="45">
                  <c:v>0.13143747640532372</c:v>
                </c:pt>
                <c:pt idx="46">
                  <c:v>0.13289224347145501</c:v>
                </c:pt>
                <c:pt idx="47">
                  <c:v>0.13433133304736014</c:v>
                </c:pt>
                <c:pt idx="48">
                  <c:v>0.13575524290286475</c:v>
                </c:pt>
                <c:pt idx="49">
                  <c:v>0.13716444501162348</c:v>
                </c:pt>
                <c:pt idx="50">
                  <c:v>0.13855938738479162</c:v>
                </c:pt>
                <c:pt idx="51">
                  <c:v>0.13994049574044115</c:v>
                </c:pt>
                <c:pt idx="52">
                  <c:v>0.14130817502635293</c:v>
                </c:pt>
                <c:pt idx="53">
                  <c:v>0.14266281081162552</c:v>
                </c:pt>
                <c:pt idx="54">
                  <c:v>0.14400477056065278</c:v>
                </c:pt>
                <c:pt idx="55">
                  <c:v>0.14533440480140056</c:v>
                </c:pt>
                <c:pt idx="56">
                  <c:v>0.14665204819850725</c:v>
                </c:pt>
                <c:pt idx="57">
                  <c:v>0.14795802054051635</c:v>
                </c:pt>
                <c:pt idx="58">
                  <c:v>0.1492526276494936</c:v>
                </c:pt>
                <c:pt idx="59">
                  <c:v>0.15053616222035818</c:v>
                </c:pt>
                <c:pt idx="60">
                  <c:v>0.15180890459645399</c:v>
                </c:pt>
                <c:pt idx="61">
                  <c:v>0.15307112348718355</c:v>
                </c:pt>
                <c:pt idx="62">
                  <c:v>0.15432307663290731</c:v>
                </c:pt>
                <c:pt idx="63">
                  <c:v>0.15556501142176915</c:v>
                </c:pt>
                <c:pt idx="64">
                  <c:v>0.15679716546262962</c:v>
                </c:pt>
                <c:pt idx="65">
                  <c:v>0.15801976711786389</c:v>
                </c:pt>
                <c:pt idx="66">
                  <c:v>0.15923303599940972</c:v>
                </c:pt>
                <c:pt idx="67">
                  <c:v>0.16043718343111535</c:v>
                </c:pt>
                <c:pt idx="68">
                  <c:v>0.16163241288014529</c:v>
                </c:pt>
                <c:pt idx="69">
                  <c:v>0.1628189203599372</c:v>
                </c:pt>
                <c:pt idx="70">
                  <c:v>0.16399689480696991</c:v>
                </c:pt>
                <c:pt idx="71">
                  <c:v>0.1651665184333935</c:v>
                </c:pt>
                <c:pt idx="72">
                  <c:v>0.16632796705738478</c:v>
                </c:pt>
                <c:pt idx="73">
                  <c:v>0.16748141041292428</c:v>
                </c:pt>
                <c:pt idx="74">
                  <c:v>0.16862701244054001</c:v>
                </c:pt>
                <c:pt idx="75">
                  <c:v>0.16976493156042796</c:v>
                </c:pt>
                <c:pt idx="76">
                  <c:v>0.17089532092923815</c:v>
                </c:pt>
                <c:pt idx="77">
                  <c:v>0.17201832868170386</c:v>
                </c:pt>
                <c:pt idx="78">
                  <c:v>0.17313409815819383</c:v>
                </c:pt>
                <c:pt idx="79">
                  <c:v>0.17424276811917705</c:v>
                </c:pt>
                <c:pt idx="80">
                  <c:v>0.17534447294750802</c:v>
                </c:pt>
                <c:pt idx="81">
                  <c:v>0.17643934283936802</c:v>
                </c:pt>
                <c:pt idx="82">
                  <c:v>0.17752750398462969</c:v>
                </c:pt>
                <c:pt idx="83">
                  <c:v>0.17860907873735285</c:v>
                </c:pt>
                <c:pt idx="84">
                  <c:v>0.17968418577706349</c:v>
                </c:pt>
                <c:pt idx="85">
                  <c:v>0.18075294026141731</c:v>
                </c:pt>
                <c:pt idx="86">
                  <c:v>0.18181545397080379</c:v>
                </c:pt>
                <c:pt idx="87">
                  <c:v>0.18287183544540594</c:v>
                </c:pt>
                <c:pt idx="88">
                  <c:v>0.18392219011518926</c:v>
                </c:pt>
                <c:pt idx="89">
                  <c:v>0.18496662042326226</c:v>
                </c:pt>
                <c:pt idx="90">
                  <c:v>0.18600522594301708</c:v>
                </c:pt>
                <c:pt idx="91">
                  <c:v>0.18703810348942765</c:v>
                </c:pt>
                <c:pt idx="92">
                  <c:v>0.1880653472248599</c:v>
                </c:pt>
                <c:pt idx="93">
                  <c:v>0.18908704875971921</c:v>
                </c:pt>
                <c:pt idx="94">
                  <c:v>0.19010329724824093</c:v>
                </c:pt>
                <c:pt idx="95">
                  <c:v>0.1911141794797066</c:v>
                </c:pt>
                <c:pt idx="96">
                  <c:v>0.19211977996535118</c:v>
                </c:pt>
                <c:pt idx="97">
                  <c:v>0.19312018102120571</c:v>
                </c:pt>
                <c:pt idx="98">
                  <c:v>0.19411546284710726</c:v>
                </c:pt>
                <c:pt idx="99">
                  <c:v>0.19510570360208915</c:v>
                </c:pt>
                <c:pt idx="100">
                  <c:v>0.19609097947635354</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2.0554863678125965</c:v>
                </c:pt>
                <c:pt idx="55">
                  <c:v>2.0744828962351693</c:v>
                </c:pt>
                <c:pt idx="56">
                  <c:v>2.0933095851916934</c:v>
                </c:pt>
                <c:pt idx="57">
                  <c:v>2.1287268296444748</c:v>
                </c:pt>
                <c:pt idx="58">
                  <c:v>2.1661996549536782</c:v>
                </c:pt>
                <c:pt idx="59">
                  <c:v>2.2036330224359197</c:v>
                </c:pt>
                <c:pt idx="60">
                  <c:v>2.2410692850260086</c:v>
                </c:pt>
                <c:pt idx="61">
                  <c:v>2.2785084431480338</c:v>
                </c:pt>
                <c:pt idx="62">
                  <c:v>2.315950497226372</c:v>
                </c:pt>
                <c:pt idx="63">
                  <c:v>2.3533954476856729</c:v>
                </c:pt>
                <c:pt idx="64">
                  <c:v>2.3908432949508418</c:v>
                </c:pt>
                <c:pt idx="65">
                  <c:v>2.4282940394470276</c:v>
                </c:pt>
                <c:pt idx="66">
                  <c:v>2.4657476815996069</c:v>
                </c:pt>
                <c:pt idx="67">
                  <c:v>2.5032042218341766</c:v>
                </c:pt>
                <c:pt idx="68">
                  <c:v>2.5406636605765436</c:v>
                </c:pt>
                <c:pt idx="69">
                  <c:v>2.578125998252712</c:v>
                </c:pt>
                <c:pt idx="70">
                  <c:v>2.615591235288881</c:v>
                </c:pt>
                <c:pt idx="71">
                  <c:v>2.6530593721114282</c:v>
                </c:pt>
                <c:pt idx="72">
                  <c:v>2.6905304091469109</c:v>
                </c:pt>
                <c:pt idx="73">
                  <c:v>2.7280043468220549</c:v>
                </c:pt>
                <c:pt idx="74">
                  <c:v>2.7654811855637513</c:v>
                </c:pt>
                <c:pt idx="75">
                  <c:v>2.8029609257990478</c:v>
                </c:pt>
                <c:pt idx="76">
                  <c:v>2.8404435679551483</c:v>
                </c:pt>
                <c:pt idx="77">
                  <c:v>2.8779291124594026</c:v>
                </c:pt>
                <c:pt idx="78">
                  <c:v>2.9154175597393084</c:v>
                </c:pt>
                <c:pt idx="79">
                  <c:v>2.9529089102225017</c:v>
                </c:pt>
                <c:pt idx="80">
                  <c:v>2.9904031643367568</c:v>
                </c:pt>
                <c:pt idx="81">
                  <c:v>3.0279003225099834</c:v>
                </c:pt>
                <c:pt idx="82">
                  <c:v>3.065400385170217</c:v>
                </c:pt>
                <c:pt idx="83">
                  <c:v>3.1029033527456282</c:v>
                </c:pt>
                <c:pt idx="84">
                  <c:v>3.1404092256645093</c:v>
                </c:pt>
                <c:pt idx="85">
                  <c:v>3.1779180043552744</c:v>
                </c:pt>
                <c:pt idx="86">
                  <c:v>3.2154296892464616</c:v>
                </c:pt>
                <c:pt idx="87">
                  <c:v>3.2529442807667226</c:v>
                </c:pt>
                <c:pt idx="88">
                  <c:v>3.2904617793448319</c:v>
                </c:pt>
                <c:pt idx="89">
                  <c:v>3.3279821854096738</c:v>
                </c:pt>
                <c:pt idx="90">
                  <c:v>3.3655054993902498</c:v>
                </c:pt>
                <c:pt idx="91">
                  <c:v>3.4030317217156698</c:v>
                </c:pt>
                <c:pt idx="92">
                  <c:v>3.4405608528151546</c:v>
                </c:pt>
                <c:pt idx="93">
                  <c:v>3.4780928931180344</c:v>
                </c:pt>
                <c:pt idx="94">
                  <c:v>3.5156278430537458</c:v>
                </c:pt>
                <c:pt idx="95">
                  <c:v>3.5531657030518331</c:v>
                </c:pt>
                <c:pt idx="96">
                  <c:v>3.5907064735419434</c:v>
                </c:pt>
                <c:pt idx="97">
                  <c:v>3.628250154953832</c:v>
                </c:pt>
                <c:pt idx="98">
                  <c:v>3.6657967477173519</c:v>
                </c:pt>
                <c:pt idx="99">
                  <c:v>3.7033462522624618</c:v>
                </c:pt>
                <c:pt idx="100">
                  <c:v>3.7408986690192205</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2.2726459256632574</c:v>
                </c:pt>
                <c:pt idx="67">
                  <c:v>2.2898462523379277</c:v>
                </c:pt>
                <c:pt idx="68">
                  <c:v>2.3069201666584371</c:v>
                </c:pt>
                <c:pt idx="69">
                  <c:v>2.3273264418314712</c:v>
                </c:pt>
                <c:pt idx="70">
                  <c:v>2.3611324355894752</c:v>
                </c:pt>
                <c:pt idx="71">
                  <c:v>2.3949556060058117</c:v>
                </c:pt>
                <c:pt idx="72">
                  <c:v>2.4287524859753225</c:v>
                </c:pt>
                <c:pt idx="73">
                  <c:v>2.4625511801113587</c:v>
                </c:pt>
                <c:pt idx="74">
                  <c:v>2.4963516886042409</c:v>
                </c:pt>
                <c:pt idx="75">
                  <c:v>2.5301540116443721</c:v>
                </c:pt>
                <c:pt idx="76">
                  <c:v>2.5639581494222372</c:v>
                </c:pt>
                <c:pt idx="77">
                  <c:v>2.5977641021283993</c:v>
                </c:pt>
                <c:pt idx="78">
                  <c:v>2.6315718699534942</c:v>
                </c:pt>
                <c:pt idx="79">
                  <c:v>2.6653814530882287</c:v>
                </c:pt>
                <c:pt idx="80">
                  <c:v>2.6991928517233776</c:v>
                </c:pt>
                <c:pt idx="81">
                  <c:v>2.7330060660497812</c:v>
                </c:pt>
                <c:pt idx="82">
                  <c:v>2.7668210962583437</c:v>
                </c:pt>
                <c:pt idx="83">
                  <c:v>2.8006379425400287</c:v>
                </c:pt>
                <c:pt idx="84">
                  <c:v>2.8344566050858604</c:v>
                </c:pt>
                <c:pt idx="85">
                  <c:v>2.8682770840869192</c:v>
                </c:pt>
                <c:pt idx="86">
                  <c:v>2.9020993797343384</c:v>
                </c:pt>
                <c:pt idx="87">
                  <c:v>2.9359234922193078</c:v>
                </c:pt>
                <c:pt idx="88">
                  <c:v>2.9697494217330673</c:v>
                </c:pt>
                <c:pt idx="89">
                  <c:v>3.0035771684669084</c:v>
                </c:pt>
                <c:pt idx="90">
                  <c:v>3.0374067326121703</c:v>
                </c:pt>
                <c:pt idx="91">
                  <c:v>3.0712381143602414</c:v>
                </c:pt>
                <c:pt idx="92">
                  <c:v>3.1050713139025565</c:v>
                </c:pt>
                <c:pt idx="93">
                  <c:v>3.1389063314305958</c:v>
                </c:pt>
                <c:pt idx="94">
                  <c:v>3.172743167135883</c:v>
                </c:pt>
                <c:pt idx="95">
                  <c:v>3.2065818212099888</c:v>
                </c:pt>
                <c:pt idx="96">
                  <c:v>3.240422293844524</c:v>
                </c:pt>
                <c:pt idx="97">
                  <c:v>3.2742645852311414</c:v>
                </c:pt>
                <c:pt idx="98">
                  <c:v>3.3081086955615362</c:v>
                </c:pt>
                <c:pt idx="99">
                  <c:v>3.3419546250274439</c:v>
                </c:pt>
                <c:pt idx="100">
                  <c:v>3.3758023738206386</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2.272632230073965</c:v>
                </c:pt>
                <c:pt idx="67">
                  <c:v>2.2898021009058036</c:v>
                </c:pt>
                <c:pt idx="68">
                  <c:v>2.3068445712734049</c:v>
                </c:pt>
                <c:pt idx="69">
                  <c:v>2.3237624413739795</c:v>
                </c:pt>
                <c:pt idx="70">
                  <c:v>2.3405584103052113</c:v>
                </c:pt>
                <c:pt idx="71">
                  <c:v>2.3572350811028344</c:v>
                </c:pt>
                <c:pt idx="72">
                  <c:v>2.3737949654600015</c:v>
                </c:pt>
                <c:pt idx="73">
                  <c:v>2.3902404881526724</c:v>
                </c:pt>
                <c:pt idx="74">
                  <c:v>2.4065739911931003</c:v>
                </c:pt>
                <c:pt idx="75">
                  <c:v>2.4227977377315577</c:v>
                </c:pt>
                <c:pt idx="76">
                  <c:v>2.4389139157247088</c:v>
                </c:pt>
                <c:pt idx="77">
                  <c:v>2.4549246413874624</c:v>
                </c:pt>
                <c:pt idx="78">
                  <c:v>2.4708319624437181</c:v>
                </c:pt>
                <c:pt idx="79">
                  <c:v>2.4866378611901507</c:v>
                </c:pt>
                <c:pt idx="80">
                  <c:v>2.5023442573860066</c:v>
                </c:pt>
                <c:pt idx="81">
                  <c:v>2.5179530109808335</c:v>
                </c:pt>
                <c:pt idx="82">
                  <c:v>2.5334659246911246</c:v>
                </c:pt>
                <c:pt idx="83">
                  <c:v>2.5488847464359727</c:v>
                </c:pt>
                <c:pt idx="84">
                  <c:v>2.5642111716410576</c:v>
                </c:pt>
                <c:pt idx="85">
                  <c:v>2.5794468454195569</c:v>
                </c:pt>
                <c:pt idx="86">
                  <c:v>2.5945933646379222</c:v>
                </c:pt>
                <c:pt idx="87">
                  <c:v>2.6096522798738735</c:v>
                </c:pt>
                <c:pt idx="88">
                  <c:v>2.6246250972733884</c:v>
                </c:pt>
                <c:pt idx="89">
                  <c:v>2.6395132803130017</c:v>
                </c:pt>
                <c:pt idx="90">
                  <c:v>2.6543182514732324</c:v>
                </c:pt>
                <c:pt idx="91">
                  <c:v>2.6690413938285746</c:v>
                </c:pt>
                <c:pt idx="92">
                  <c:v>2.6836840525590593</c:v>
                </c:pt>
                <c:pt idx="93">
                  <c:v>2.6982475363880867</c:v>
                </c:pt>
                <c:pt idx="94">
                  <c:v>2.7127331189508572</c:v>
                </c:pt>
                <c:pt idx="95">
                  <c:v>2.7271420400974686</c:v>
                </c:pt>
                <c:pt idx="96">
                  <c:v>2.7414755071344414</c:v>
                </c:pt>
                <c:pt idx="97">
                  <c:v>2.7557346960081914</c:v>
                </c:pt>
                <c:pt idx="98">
                  <c:v>2.769920752433745</c:v>
                </c:pt>
                <c:pt idx="99">
                  <c:v>2.7840347929717417</c:v>
                </c:pt>
                <c:pt idx="100">
                  <c:v>2.7980779060566134</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1.0156331580418569</c:v>
                </c:pt>
                <c:pt idx="2">
                  <c:v>1.0312663160837139</c:v>
                </c:pt>
                <c:pt idx="3">
                  <c:v>1.0468994741255706</c:v>
                </c:pt>
                <c:pt idx="4">
                  <c:v>1.0625326321674275</c:v>
                </c:pt>
                <c:pt idx="5">
                  <c:v>1.0781657902092845</c:v>
                </c:pt>
                <c:pt idx="6">
                  <c:v>1.0937989482511414</c:v>
                </c:pt>
                <c:pt idx="7">
                  <c:v>1.1094321062929984</c:v>
                </c:pt>
                <c:pt idx="8">
                  <c:v>1.1250652643348551</c:v>
                </c:pt>
                <c:pt idx="9">
                  <c:v>1.140698422376712</c:v>
                </c:pt>
                <c:pt idx="10">
                  <c:v>1.156331580418569</c:v>
                </c:pt>
                <c:pt idx="11">
                  <c:v>1.1719647384604259</c:v>
                </c:pt>
                <c:pt idx="12">
                  <c:v>1.1875978965022829</c:v>
                </c:pt>
                <c:pt idx="13">
                  <c:v>1.2059620193802416</c:v>
                </c:pt>
                <c:pt idx="14">
                  <c:v>1.2341626352943458</c:v>
                </c:pt>
                <c:pt idx="15">
                  <c:v>1.26137374084176</c:v>
                </c:pt>
                <c:pt idx="16">
                  <c:v>1.2876928030363832</c:v>
                </c:pt>
                <c:pt idx="17">
                  <c:v>1.313202266873392</c:v>
                </c:pt>
                <c:pt idx="18">
                  <c:v>1.3379726097468512</c:v>
                </c:pt>
                <c:pt idx="19">
                  <c:v>1.3620646409285522</c:v>
                </c:pt>
                <c:pt idx="20">
                  <c:v>1.3855312623649523</c:v>
                </c:pt>
                <c:pt idx="21">
                  <c:v>1.4084188374408355</c:v>
                </c:pt>
                <c:pt idx="22">
                  <c:v>1.4307682693893473</c:v>
                </c:pt>
                <c:pt idx="23">
                  <c:v>1.4526158612570657</c:v>
                </c:pt>
                <c:pt idx="24">
                  <c:v>1.4739940091882087</c:v>
                </c:pt>
                <c:pt idx="25">
                  <c:v>1.4949317668913202</c:v>
                </c:pt>
                <c:pt idx="26">
                  <c:v>1.5154553093881482</c:v>
                </c:pt>
                <c:pt idx="27">
                  <c:v>1.5355883171754947</c:v>
                </c:pt>
                <c:pt idx="28">
                  <c:v>1.5553522968831588</c:v>
                </c:pt>
                <c:pt idx="29">
                  <c:v>1.5747668508055914</c:v>
                </c:pt>
                <c:pt idx="30">
                  <c:v>1.5938499049308974</c:v>
                </c:pt>
                <c:pt idx="31">
                  <c:v>1.6126179030205212</c:v>
                </c:pt>
                <c:pt idx="32">
                  <c:v>1.6310859727201805</c:v>
                </c:pt>
                <c:pt idx="33">
                  <c:v>1.649268068476005</c:v>
                </c:pt>
                <c:pt idx="34">
                  <c:v>1.6671770950956963</c:v>
                </c:pt>
                <c:pt idx="35">
                  <c:v>1.6848250150651645</c:v>
                </c:pt>
                <c:pt idx="36">
                  <c:v>1.7022229421570456</c:v>
                </c:pt>
                <c:pt idx="37">
                  <c:v>1.7193812234123547</c:v>
                </c:pt>
                <c:pt idx="38">
                  <c:v>1.7363095112130784</c:v>
                </c:pt>
                <c:pt idx="39">
                  <c:v>1.7530168268713961</c:v>
                </c:pt>
                <c:pt idx="40">
                  <c:v>1.7695116169249583</c:v>
                </c:pt>
                <c:pt idx="41">
                  <c:v>1.7858018031354466</c:v>
                </c:pt>
                <c:pt idx="42">
                  <c:v>1.8018948270304134</c:v>
                </c:pt>
                <c:pt idx="43">
                  <c:v>1.8177976896990817</c:v>
                </c:pt>
                <c:pt idx="44">
                  <c:v>1.8335169874459374</c:v>
                </c:pt>
                <c:pt idx="45">
                  <c:v>1.8490589438171874</c:v>
                </c:pt>
                <c:pt idx="46">
                  <c:v>1.8644294384411384</c:v>
                </c:pt>
                <c:pt idx="47">
                  <c:v>1.8796340330615373</c:v>
                </c:pt>
                <c:pt idx="48">
                  <c:v>1.8946779950907404</c:v>
                </c:pt>
                <c:pt idx="49">
                  <c:v>1.9095663189655363</c:v>
                </c:pt>
                <c:pt idx="50">
                  <c:v>1.9243037455510885</c:v>
                </c:pt>
                <c:pt idx="51">
                  <c:v>1.9388947798067251</c:v>
                </c:pt>
                <c:pt idx="52">
                  <c:v>1.9533437069001514</c:v>
                </c:pt>
                <c:pt idx="53">
                  <c:v>1.9676546069334764</c:v>
                </c:pt>
                <c:pt idx="54">
                  <c:v>1.9818417539352566</c:v>
                </c:pt>
                <c:pt idx="55">
                  <c:v>1.9959132564704958</c:v>
                </c:pt>
                <c:pt idx="56">
                  <c:v>2.0098589519938468</c:v>
                </c:pt>
                <c:pt idx="57">
                  <c:v>2.0360939478847961</c:v>
                </c:pt>
                <c:pt idx="58">
                  <c:v>2.0638515962619839</c:v>
                </c:pt>
                <c:pt idx="59">
                  <c:v>2.0915800166191998</c:v>
                </c:pt>
                <c:pt idx="60">
                  <c:v>2.1193105815007471</c:v>
                </c:pt>
                <c:pt idx="61">
                  <c:v>2.1470432912207658</c:v>
                </c:pt>
                <c:pt idx="62">
                  <c:v>2.1747781460936091</c:v>
                </c:pt>
                <c:pt idx="63">
                  <c:v>2.2025151464338317</c:v>
                </c:pt>
                <c:pt idx="64">
                  <c:v>2.2302542925561788</c:v>
                </c:pt>
                <c:pt idx="65">
                  <c:v>2.2579955847755757</c:v>
                </c:pt>
                <c:pt idx="66">
                  <c:v>2.2857390234071162</c:v>
                </c:pt>
                <c:pt idx="67">
                  <c:v>2.3134846087660565</c:v>
                </c:pt>
                <c:pt idx="68">
                  <c:v>2.3412323411678102</c:v>
                </c:pt>
                <c:pt idx="69">
                  <c:v>2.3689822209279345</c:v>
                </c:pt>
                <c:pt idx="70">
                  <c:v>2.3967342483621339</c:v>
                </c:pt>
                <c:pt idx="71">
                  <c:v>2.4244884237862432</c:v>
                </c:pt>
                <c:pt idx="72">
                  <c:v>2.4522447475162306</c:v>
                </c:pt>
                <c:pt idx="73">
                  <c:v>2.4800032198681885</c:v>
                </c:pt>
                <c:pt idx="74">
                  <c:v>2.5077638411583343</c:v>
                </c:pt>
                <c:pt idx="75">
                  <c:v>2.5355266117029984</c:v>
                </c:pt>
                <c:pt idx="76">
                  <c:v>2.5632915318186287</c:v>
                </c:pt>
                <c:pt idx="77">
                  <c:v>2.5910586018217794</c:v>
                </c:pt>
                <c:pt idx="78">
                  <c:v>2.6188278220291172</c:v>
                </c:pt>
                <c:pt idx="79">
                  <c:v>2.6465991927574084</c:v>
                </c:pt>
                <c:pt idx="80">
                  <c:v>2.6743727143235239</c:v>
                </c:pt>
                <c:pt idx="81">
                  <c:v>2.7021483870444323</c:v>
                </c:pt>
                <c:pt idx="82">
                  <c:v>2.7299262112371978</c:v>
                </c:pt>
                <c:pt idx="83">
                  <c:v>2.7577061872189841</c:v>
                </c:pt>
                <c:pt idx="84">
                  <c:v>2.785488315307044</c:v>
                </c:pt>
                <c:pt idx="85">
                  <c:v>2.8132725958187219</c:v>
                </c:pt>
                <c:pt idx="86">
                  <c:v>2.8410590290714532</c:v>
                </c:pt>
                <c:pt idx="87">
                  <c:v>2.8688476153827573</c:v>
                </c:pt>
                <c:pt idx="88">
                  <c:v>2.8966383550702455</c:v>
                </c:pt>
                <c:pt idx="89">
                  <c:v>2.9244312484516102</c:v>
                </c:pt>
                <c:pt idx="90">
                  <c:v>2.9522262958446293</c:v>
                </c:pt>
                <c:pt idx="91">
                  <c:v>2.9800234975671627</c:v>
                </c:pt>
                <c:pt idx="92">
                  <c:v>3.0078228539371517</c:v>
                </c:pt>
                <c:pt idx="93">
                  <c:v>3.0356243652726178</c:v>
                </c:pt>
                <c:pt idx="94">
                  <c:v>3.0634280318916636</c:v>
                </c:pt>
                <c:pt idx="95">
                  <c:v>3.0912338541124691</c:v>
                </c:pt>
                <c:pt idx="96">
                  <c:v>3.1190418322532913</c:v>
                </c:pt>
                <c:pt idx="97">
                  <c:v>3.1468519666324681</c:v>
                </c:pt>
                <c:pt idx="98">
                  <c:v>3.1746642575684083</c:v>
                </c:pt>
                <c:pt idx="99">
                  <c:v>3.2024787053796011</c:v>
                </c:pt>
                <c:pt idx="100">
                  <c:v>3.2302953103846077</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1.0156331580418569</c:v>
                </c:pt>
                <c:pt idx="2">
                  <c:v>1.0312663160837139</c:v>
                </c:pt>
                <c:pt idx="3">
                  <c:v>1.0468994741255706</c:v>
                </c:pt>
                <c:pt idx="4">
                  <c:v>1.0625326321674275</c:v>
                </c:pt>
                <c:pt idx="5">
                  <c:v>1.0781657902092845</c:v>
                </c:pt>
                <c:pt idx="6">
                  <c:v>1.0937989482511414</c:v>
                </c:pt>
                <c:pt idx="7">
                  <c:v>1.1094321062929984</c:v>
                </c:pt>
                <c:pt idx="8">
                  <c:v>1.1250652643348551</c:v>
                </c:pt>
                <c:pt idx="9">
                  <c:v>1.140698422376712</c:v>
                </c:pt>
                <c:pt idx="10">
                  <c:v>1.156331580418569</c:v>
                </c:pt>
                <c:pt idx="11">
                  <c:v>1.1719647384604259</c:v>
                </c:pt>
                <c:pt idx="12">
                  <c:v>1.1875978965022829</c:v>
                </c:pt>
                <c:pt idx="13">
                  <c:v>1.2059620193802416</c:v>
                </c:pt>
                <c:pt idx="14">
                  <c:v>1.2341626352943458</c:v>
                </c:pt>
                <c:pt idx="15">
                  <c:v>1.26137374084176</c:v>
                </c:pt>
                <c:pt idx="16">
                  <c:v>1.2876928030363832</c:v>
                </c:pt>
                <c:pt idx="17">
                  <c:v>1.313202266873392</c:v>
                </c:pt>
                <c:pt idx="18">
                  <c:v>1.3379726097468512</c:v>
                </c:pt>
                <c:pt idx="19">
                  <c:v>1.3620646409285522</c:v>
                </c:pt>
                <c:pt idx="20">
                  <c:v>1.3855312623649523</c:v>
                </c:pt>
                <c:pt idx="21">
                  <c:v>1.4084188374408355</c:v>
                </c:pt>
                <c:pt idx="22">
                  <c:v>1.4307682693893473</c:v>
                </c:pt>
                <c:pt idx="23">
                  <c:v>1.4526158612570657</c:v>
                </c:pt>
                <c:pt idx="24">
                  <c:v>1.4739940091882087</c:v>
                </c:pt>
                <c:pt idx="25">
                  <c:v>1.4949317668913202</c:v>
                </c:pt>
                <c:pt idx="26">
                  <c:v>1.5154553093881482</c:v>
                </c:pt>
                <c:pt idx="27">
                  <c:v>1.5355883171754947</c:v>
                </c:pt>
                <c:pt idx="28">
                  <c:v>1.5553522968831588</c:v>
                </c:pt>
                <c:pt idx="29">
                  <c:v>1.5747668508055914</c:v>
                </c:pt>
                <c:pt idx="30">
                  <c:v>1.5938499049308974</c:v>
                </c:pt>
                <c:pt idx="31">
                  <c:v>1.6126179030205212</c:v>
                </c:pt>
                <c:pt idx="32">
                  <c:v>1.6310859727201805</c:v>
                </c:pt>
                <c:pt idx="33">
                  <c:v>1.649268068476005</c:v>
                </c:pt>
                <c:pt idx="34">
                  <c:v>1.6671770950956963</c:v>
                </c:pt>
                <c:pt idx="35">
                  <c:v>1.6848250150651645</c:v>
                </c:pt>
                <c:pt idx="36">
                  <c:v>1.7022229421570456</c:v>
                </c:pt>
                <c:pt idx="37">
                  <c:v>1.7193812234123547</c:v>
                </c:pt>
                <c:pt idx="38">
                  <c:v>1.7363095112130784</c:v>
                </c:pt>
                <c:pt idx="39">
                  <c:v>1.7530168268713961</c:v>
                </c:pt>
                <c:pt idx="40">
                  <c:v>1.7695116169249583</c:v>
                </c:pt>
                <c:pt idx="41">
                  <c:v>1.7858018031354466</c:v>
                </c:pt>
                <c:pt idx="42">
                  <c:v>1.8018948270304134</c:v>
                </c:pt>
                <c:pt idx="43">
                  <c:v>1.8177976896990817</c:v>
                </c:pt>
                <c:pt idx="44">
                  <c:v>1.8335169874459374</c:v>
                </c:pt>
                <c:pt idx="45">
                  <c:v>1.8490589438171874</c:v>
                </c:pt>
                <c:pt idx="46">
                  <c:v>1.8644294384411384</c:v>
                </c:pt>
                <c:pt idx="47">
                  <c:v>1.8796340330615373</c:v>
                </c:pt>
                <c:pt idx="48">
                  <c:v>1.8946779950907404</c:v>
                </c:pt>
                <c:pt idx="49">
                  <c:v>1.9095663189655363</c:v>
                </c:pt>
                <c:pt idx="50">
                  <c:v>1.9243037455510885</c:v>
                </c:pt>
                <c:pt idx="51">
                  <c:v>1.9388947798067251</c:v>
                </c:pt>
                <c:pt idx="52">
                  <c:v>1.9533437069001514</c:v>
                </c:pt>
                <c:pt idx="53">
                  <c:v>1.9676546069334764</c:v>
                </c:pt>
                <c:pt idx="54">
                  <c:v>1.9818313684244679</c:v>
                </c:pt>
                <c:pt idx="55">
                  <c:v>1.9958777006692749</c:v>
                </c:pt>
                <c:pt idx="56">
                  <c:v>2.0097971450979952</c:v>
                </c:pt>
                <c:pt idx="57">
                  <c:v>2.0235930857215911</c:v>
                </c:pt>
                <c:pt idx="58">
                  <c:v>2.0372687587574703</c:v>
                </c:pt>
                <c:pt idx="59">
                  <c:v>2.0508272615113046</c:v>
                </c:pt>
                <c:pt idx="60">
                  <c:v>2.0642715605841402</c:v>
                </c:pt>
                <c:pt idx="61">
                  <c:v>2.0776044994664122</c:v>
                </c:pt>
                <c:pt idx="62">
                  <c:v>2.0908288055739188</c:v>
                </c:pt>
                <c:pt idx="63">
                  <c:v>2.1039470967750837</c:v>
                </c:pt>
                <c:pt idx="64">
                  <c:v>2.1169618874537415</c:v>
                </c:pt>
                <c:pt idx="65">
                  <c:v>2.1298755941472214</c:v>
                </c:pt>
                <c:pt idx="66">
                  <c:v>2.1427006856764867</c:v>
                </c:pt>
                <c:pt idx="67">
                  <c:v>2.1554416683984647</c:v>
                </c:pt>
                <c:pt idx="68">
                  <c:v>2.1680890123395828</c:v>
                </c:pt>
                <c:pt idx="69">
                  <c:v>2.1832047717270155</c:v>
                </c:pt>
                <c:pt idx="70">
                  <c:v>2.2082462485847962</c:v>
                </c:pt>
                <c:pt idx="71">
                  <c:v>2.2333004488931936</c:v>
                </c:pt>
                <c:pt idx="72">
                  <c:v>2.2583351747965352</c:v>
                </c:pt>
                <c:pt idx="73">
                  <c:v>2.2833712445269323</c:v>
                </c:pt>
                <c:pt idx="74">
                  <c:v>2.3084086582253636</c:v>
                </c:pt>
                <c:pt idx="75">
                  <c:v>2.3334474160328682</c:v>
                </c:pt>
                <c:pt idx="76">
                  <c:v>2.3584875180905458</c:v>
                </c:pt>
                <c:pt idx="77">
                  <c:v>2.383528964539555</c:v>
                </c:pt>
                <c:pt idx="78">
                  <c:v>2.4085717555211068</c:v>
                </c:pt>
                <c:pt idx="79">
                  <c:v>2.4336158911764656</c:v>
                </c:pt>
                <c:pt idx="80">
                  <c:v>2.4586613716469463</c:v>
                </c:pt>
                <c:pt idx="81">
                  <c:v>2.4837081970739119</c:v>
                </c:pt>
                <c:pt idx="82">
                  <c:v>2.5087563675987732</c:v>
                </c:pt>
                <c:pt idx="83">
                  <c:v>2.5338058833629842</c:v>
                </c:pt>
                <c:pt idx="84">
                  <c:v>2.558856744508045</c:v>
                </c:pt>
                <c:pt idx="85">
                  <c:v>2.5839089511754958</c:v>
                </c:pt>
                <c:pt idx="86">
                  <c:v>2.6089625035069171</c:v>
                </c:pt>
                <c:pt idx="87">
                  <c:v>2.6340174016439315</c:v>
                </c:pt>
                <c:pt idx="88">
                  <c:v>2.6590736457281983</c:v>
                </c:pt>
                <c:pt idx="89">
                  <c:v>2.6841312359014138</c:v>
                </c:pt>
                <c:pt idx="90">
                  <c:v>2.7091901723053113</c:v>
                </c:pt>
                <c:pt idx="91">
                  <c:v>2.7342504550816606</c:v>
                </c:pt>
                <c:pt idx="92">
                  <c:v>2.7593120843722643</c:v>
                </c:pt>
                <c:pt idx="93">
                  <c:v>2.7843750603189599</c:v>
                </c:pt>
                <c:pt idx="94">
                  <c:v>2.8094393830636166</c:v>
                </c:pt>
                <c:pt idx="95">
                  <c:v>2.8345050527481401</c:v>
                </c:pt>
                <c:pt idx="96">
                  <c:v>2.8595720695144622</c:v>
                </c:pt>
                <c:pt idx="97">
                  <c:v>2.8846404335045492</c:v>
                </c:pt>
                <c:pt idx="98">
                  <c:v>2.909710144860397</c:v>
                </c:pt>
                <c:pt idx="99">
                  <c:v>2.9347812037240324</c:v>
                </c:pt>
                <c:pt idx="100">
                  <c:v>2.9598536102375101</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1.0156331580418569</c:v>
                </c:pt>
                <c:pt idx="2">
                  <c:v>1.0312663160837139</c:v>
                </c:pt>
                <c:pt idx="3">
                  <c:v>1.0468994741255706</c:v>
                </c:pt>
                <c:pt idx="4">
                  <c:v>1.0625326321674275</c:v>
                </c:pt>
                <c:pt idx="5">
                  <c:v>1.0781657902092845</c:v>
                </c:pt>
                <c:pt idx="6">
                  <c:v>1.0937989482511414</c:v>
                </c:pt>
                <c:pt idx="7">
                  <c:v>1.1094321062929984</c:v>
                </c:pt>
                <c:pt idx="8">
                  <c:v>1.1250652643348551</c:v>
                </c:pt>
                <c:pt idx="9">
                  <c:v>1.140698422376712</c:v>
                </c:pt>
                <c:pt idx="10">
                  <c:v>1.156331580418569</c:v>
                </c:pt>
                <c:pt idx="11">
                  <c:v>1.1719647384604259</c:v>
                </c:pt>
                <c:pt idx="12">
                  <c:v>1.1875978965022829</c:v>
                </c:pt>
                <c:pt idx="13">
                  <c:v>1.2059620193802416</c:v>
                </c:pt>
                <c:pt idx="14">
                  <c:v>1.2341626352943458</c:v>
                </c:pt>
                <c:pt idx="15">
                  <c:v>1.26137374084176</c:v>
                </c:pt>
                <c:pt idx="16">
                  <c:v>1.2876928030363832</c:v>
                </c:pt>
                <c:pt idx="17">
                  <c:v>1.313202266873392</c:v>
                </c:pt>
                <c:pt idx="18">
                  <c:v>1.3379726097468512</c:v>
                </c:pt>
                <c:pt idx="19">
                  <c:v>1.3620646409285522</c:v>
                </c:pt>
                <c:pt idx="20">
                  <c:v>1.3855312623649523</c:v>
                </c:pt>
                <c:pt idx="21">
                  <c:v>1.4084188374408355</c:v>
                </c:pt>
                <c:pt idx="22">
                  <c:v>1.4307682693893473</c:v>
                </c:pt>
                <c:pt idx="23">
                  <c:v>1.4526158612570657</c:v>
                </c:pt>
                <c:pt idx="24">
                  <c:v>1.4739940091882087</c:v>
                </c:pt>
                <c:pt idx="25">
                  <c:v>1.4949317668913202</c:v>
                </c:pt>
                <c:pt idx="26">
                  <c:v>1.5154553093881482</c:v>
                </c:pt>
                <c:pt idx="27">
                  <c:v>1.5355883171754947</c:v>
                </c:pt>
                <c:pt idx="28">
                  <c:v>1.5553522968831588</c:v>
                </c:pt>
                <c:pt idx="29">
                  <c:v>1.5747668508055914</c:v>
                </c:pt>
                <c:pt idx="30">
                  <c:v>1.5938499049308974</c:v>
                </c:pt>
                <c:pt idx="31">
                  <c:v>1.6126179030205212</c:v>
                </c:pt>
                <c:pt idx="32">
                  <c:v>1.6310859727201805</c:v>
                </c:pt>
                <c:pt idx="33">
                  <c:v>1.649268068476005</c:v>
                </c:pt>
                <c:pt idx="34">
                  <c:v>1.6671770950956963</c:v>
                </c:pt>
                <c:pt idx="35">
                  <c:v>1.6848250150651645</c:v>
                </c:pt>
                <c:pt idx="36">
                  <c:v>1.7022229421570456</c:v>
                </c:pt>
                <c:pt idx="37">
                  <c:v>1.7193812234123547</c:v>
                </c:pt>
                <c:pt idx="38">
                  <c:v>1.7363095112130784</c:v>
                </c:pt>
                <c:pt idx="39">
                  <c:v>1.7530168268713961</c:v>
                </c:pt>
                <c:pt idx="40">
                  <c:v>1.7695116169249583</c:v>
                </c:pt>
                <c:pt idx="41">
                  <c:v>1.7858018031354466</c:v>
                </c:pt>
                <c:pt idx="42">
                  <c:v>1.8018948270304134</c:v>
                </c:pt>
                <c:pt idx="43">
                  <c:v>1.8177976896990817</c:v>
                </c:pt>
                <c:pt idx="44">
                  <c:v>1.8335169874459374</c:v>
                </c:pt>
                <c:pt idx="45">
                  <c:v>1.8490589438171874</c:v>
                </c:pt>
                <c:pt idx="46">
                  <c:v>1.8644294384411384</c:v>
                </c:pt>
                <c:pt idx="47">
                  <c:v>1.8796340330615373</c:v>
                </c:pt>
                <c:pt idx="48">
                  <c:v>1.8946779950907404</c:v>
                </c:pt>
                <c:pt idx="49">
                  <c:v>1.9095663189655363</c:v>
                </c:pt>
                <c:pt idx="50">
                  <c:v>1.9243037455510885</c:v>
                </c:pt>
                <c:pt idx="51">
                  <c:v>1.9388947798067251</c:v>
                </c:pt>
                <c:pt idx="52">
                  <c:v>1.9533437069001514</c:v>
                </c:pt>
                <c:pt idx="53">
                  <c:v>1.9676546069334764</c:v>
                </c:pt>
                <c:pt idx="54">
                  <c:v>1.9818313684244679</c:v>
                </c:pt>
                <c:pt idx="55">
                  <c:v>1.9958777006692749</c:v>
                </c:pt>
                <c:pt idx="56">
                  <c:v>2.0097971450979952</c:v>
                </c:pt>
                <c:pt idx="57">
                  <c:v>2.0235930857215911</c:v>
                </c:pt>
                <c:pt idx="58">
                  <c:v>2.0372687587574703</c:v>
                </c:pt>
                <c:pt idx="59">
                  <c:v>2.0508272615113046</c:v>
                </c:pt>
                <c:pt idx="60">
                  <c:v>2.0642715605841402</c:v>
                </c:pt>
                <c:pt idx="61">
                  <c:v>2.0776044994664122</c:v>
                </c:pt>
                <c:pt idx="62">
                  <c:v>2.0908288055739188</c:v>
                </c:pt>
                <c:pt idx="63">
                  <c:v>2.1039470967750837</c:v>
                </c:pt>
                <c:pt idx="64">
                  <c:v>2.1169618874537415</c:v>
                </c:pt>
                <c:pt idx="65">
                  <c:v>2.1298755941472214</c:v>
                </c:pt>
                <c:pt idx="66">
                  <c:v>2.1426905407955297</c:v>
                </c:pt>
                <c:pt idx="67">
                  <c:v>2.1554089636339286</c:v>
                </c:pt>
                <c:pt idx="68">
                  <c:v>2.1680330157580778</c:v>
                </c:pt>
                <c:pt idx="69">
                  <c:v>2.1805647713881329</c:v>
                </c:pt>
                <c:pt idx="70">
                  <c:v>2.1930062298557118</c:v>
                </c:pt>
                <c:pt idx="71">
                  <c:v>2.2053593193354328</c:v>
                </c:pt>
                <c:pt idx="72">
                  <c:v>2.2176259003407419</c:v>
                </c:pt>
                <c:pt idx="73">
                  <c:v>2.2298077690019795</c:v>
                </c:pt>
                <c:pt idx="74">
                  <c:v>2.2419066601430373</c:v>
                </c:pt>
                <c:pt idx="75">
                  <c:v>2.253924250171524</c:v>
                </c:pt>
                <c:pt idx="76">
                  <c:v>2.2658621597960806</c:v>
                </c:pt>
                <c:pt idx="77">
                  <c:v>2.2777219565833056</c:v>
                </c:pt>
                <c:pt idx="78">
                  <c:v>2.289505157365717</c:v>
                </c:pt>
                <c:pt idx="79">
                  <c:v>2.3012132305112227</c:v>
                </c:pt>
                <c:pt idx="80">
                  <c:v>2.3128475980637084</c:v>
                </c:pt>
                <c:pt idx="81">
                  <c:v>2.3244096377635803</c:v>
                </c:pt>
                <c:pt idx="82">
                  <c:v>2.3359006849563886</c:v>
                </c:pt>
                <c:pt idx="83">
                  <c:v>2.3473220343970169</c:v>
                </c:pt>
                <c:pt idx="84">
                  <c:v>2.3586749419563389</c:v>
                </c:pt>
                <c:pt idx="85">
                  <c:v>2.3699606262367086</c:v>
                </c:pt>
                <c:pt idx="86">
                  <c:v>2.3811802701021647</c:v>
                </c:pt>
                <c:pt idx="87">
                  <c:v>2.3923350221287949</c:v>
                </c:pt>
                <c:pt idx="88">
                  <c:v>2.4034259979802877</c:v>
                </c:pt>
                <c:pt idx="89">
                  <c:v>2.4144542817133345</c:v>
                </c:pt>
                <c:pt idx="90">
                  <c:v>2.4254209270172091</c:v>
                </c:pt>
                <c:pt idx="91">
                  <c:v>2.436326958391537</c:v>
                </c:pt>
                <c:pt idx="92">
                  <c:v>2.4471733722659699</c:v>
                </c:pt>
                <c:pt idx="93">
                  <c:v>2.4579611380652491</c:v>
                </c:pt>
                <c:pt idx="94">
                  <c:v>2.4686911992228575</c:v>
                </c:pt>
                <c:pt idx="95">
                  <c:v>2.4793644741462728</c:v>
                </c:pt>
                <c:pt idx="96">
                  <c:v>2.4899818571366232</c:v>
                </c:pt>
                <c:pt idx="97">
                  <c:v>2.5005442192653273</c:v>
                </c:pt>
                <c:pt idx="98">
                  <c:v>2.5110524092101816</c:v>
                </c:pt>
                <c:pt idx="99">
                  <c:v>2.5215072540531418</c:v>
                </c:pt>
                <c:pt idx="100">
                  <c:v>2.5319095600419361</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3.3031519490749649E-5</c:v>
                </c:pt>
                <c:pt idx="1">
                  <c:v>64.169659595023816</c:v>
                </c:pt>
                <c:pt idx="2">
                  <c:v>67.300262460166834</c:v>
                </c:pt>
                <c:pt idx="3">
                  <c:v>68.412620213883912</c:v>
                </c:pt>
                <c:pt idx="4">
                  <c:v>68.982566548797678</c:v>
                </c:pt>
                <c:pt idx="5">
                  <c:v>69.329005268548329</c:v>
                </c:pt>
                <c:pt idx="6">
                  <c:v>69.56181155819759</c:v>
                </c:pt>
                <c:pt idx="7">
                  <c:v>69.728981631873069</c:v>
                </c:pt>
                <c:pt idx="8">
                  <c:v>69.854817435484165</c:v>
                </c:pt>
                <c:pt idx="9">
                  <c:v>69.952941776190386</c:v>
                </c:pt>
                <c:pt idx="10">
                  <c:v>70.031583671260762</c:v>
                </c:pt>
                <c:pt idx="11">
                  <c:v>70.09600741715461</c:v>
                </c:pt>
                <c:pt idx="12">
                  <c:v>70.149737418950693</c:v>
                </c:pt>
                <c:pt idx="13">
                  <c:v>70.422086936302875</c:v>
                </c:pt>
                <c:pt idx="14">
                  <c:v>71.488402571861144</c:v>
                </c:pt>
                <c:pt idx="15">
                  <c:v>72.446367986530475</c:v>
                </c:pt>
                <c:pt idx="16">
                  <c:v>73.31225387997911</c:v>
                </c:pt>
                <c:pt idx="17">
                  <c:v>74.099178321416659</c:v>
                </c:pt>
                <c:pt idx="18">
                  <c:v>74.817841853766282</c:v>
                </c:pt>
                <c:pt idx="19">
                  <c:v>75.477064858037579</c:v>
                </c:pt>
                <c:pt idx="20">
                  <c:v>76.084186836874323</c:v>
                </c:pt>
                <c:pt idx="21">
                  <c:v>76.645367488211519</c:v>
                </c:pt>
                <c:pt idx="22">
                  <c:v>77.165816761080691</c:v>
                </c:pt>
                <c:pt idx="23">
                  <c:v>77.649972780851101</c:v>
                </c:pt>
                <c:pt idx="24">
                  <c:v>78.101640982215542</c:v>
                </c:pt>
                <c:pt idx="25">
                  <c:v>78.524104012974888</c:v>
                </c:pt>
                <c:pt idx="26">
                  <c:v>78.920209360481607</c:v>
                </c:pt>
                <c:pt idx="27">
                  <c:v>79.292439819057634</c:v>
                </c:pt>
                <c:pt idx="28">
                  <c:v>79.642970611194443</c:v>
                </c:pt>
                <c:pt idx="29">
                  <c:v>79.973716033807875</c:v>
                </c:pt>
                <c:pt idx="30">
                  <c:v>80.286367813667354</c:v>
                </c:pt>
                <c:pt idx="31">
                  <c:v>80.582426849055537</c:v>
                </c:pt>
                <c:pt idx="32">
                  <c:v>80.863229636679122</c:v>
                </c:pt>
                <c:pt idx="33">
                  <c:v>81.129970398291533</c:v>
                </c:pt>
                <c:pt idx="34">
                  <c:v>81.383719705360292</c:v>
                </c:pt>
                <c:pt idx="35">
                  <c:v>81.625440234568231</c:v>
                </c:pt>
                <c:pt idx="36">
                  <c:v>81.856000159132265</c:v>
                </c:pt>
                <c:pt idx="37">
                  <c:v>82.076184581515108</c:v>
                </c:pt>
                <c:pt idx="38">
                  <c:v>82.286705335235922</c:v>
                </c:pt>
                <c:pt idx="39">
                  <c:v>82.488209422085674</c:v>
                </c:pt>
                <c:pt idx="40">
                  <c:v>82.6812863023288</c:v>
                </c:pt>
                <c:pt idx="41">
                  <c:v>82.866474216579562</c:v>
                </c:pt>
                <c:pt idx="42">
                  <c:v>83.044265686817596</c:v>
                </c:pt>
                <c:pt idx="43">
                  <c:v>83.21511231880514</c:v>
                </c:pt>
                <c:pt idx="44">
                  <c:v>83.379429007722933</c:v>
                </c:pt>
                <c:pt idx="45">
                  <c:v>83.537597632173402</c:v>
                </c:pt>
                <c:pt idx="46">
                  <c:v>83.689970308047279</c:v>
                </c:pt>
                <c:pt idx="47">
                  <c:v>83.836872262517517</c:v>
                </c:pt>
                <c:pt idx="48">
                  <c:v>83.978604379144741</c:v>
                </c:pt>
                <c:pt idx="49">
                  <c:v>84.11544545737901</c:v>
                </c:pt>
                <c:pt idx="50">
                  <c:v>84.247654223331594</c:v>
                </c:pt>
                <c:pt idx="51">
                  <c:v>84.375471123329163</c:v>
                </c:pt>
                <c:pt idx="52">
                  <c:v>84.499119927267472</c:v>
                </c:pt>
                <c:pt idx="53">
                  <c:v>84.618809164994218</c:v>
                </c:pt>
                <c:pt idx="54">
                  <c:v>84.73473341575405</c:v>
                </c:pt>
                <c:pt idx="55">
                  <c:v>84.847074468018505</c:v>
                </c:pt>
                <c:pt idx="56">
                  <c:v>84.95600236472076</c:v>
                </c:pt>
                <c:pt idx="57">
                  <c:v>85.061676346951387</c:v>
                </c:pt>
                <c:pt idx="58">
                  <c:v>85.164245707493038</c:v>
                </c:pt>
                <c:pt idx="59">
                  <c:v>85.263850564132909</c:v>
                </c:pt>
                <c:pt idx="60">
                  <c:v>85.360622561454733</c:v>
                </c:pt>
                <c:pt idx="61">
                  <c:v>85.454685508746138</c:v>
                </c:pt>
                <c:pt idx="62">
                  <c:v>85.546155960736669</c:v>
                </c:pt>
                <c:pt idx="63">
                  <c:v>85.635143747083788</c:v>
                </c:pt>
                <c:pt idx="64">
                  <c:v>85.723853831412072</c:v>
                </c:pt>
                <c:pt idx="65">
                  <c:v>85.918749098002039</c:v>
                </c:pt>
                <c:pt idx="66">
                  <c:v>86.106692724479359</c:v>
                </c:pt>
                <c:pt idx="67">
                  <c:v>86.288006754445405</c:v>
                </c:pt>
                <c:pt idx="68">
                  <c:v>86.463029206660295</c:v>
                </c:pt>
                <c:pt idx="69">
                  <c:v>86.624185399335573</c:v>
                </c:pt>
                <c:pt idx="70">
                  <c:v>86.749792625243856</c:v>
                </c:pt>
                <c:pt idx="71">
                  <c:v>86.871030441670811</c:v>
                </c:pt>
                <c:pt idx="72">
                  <c:v>86.98809037765902</c:v>
                </c:pt>
                <c:pt idx="73">
                  <c:v>87.101136717158695</c:v>
                </c:pt>
                <c:pt idx="74">
                  <c:v>87.210344710262419</c:v>
                </c:pt>
                <c:pt idx="75">
                  <c:v>87.315879951280778</c:v>
                </c:pt>
                <c:pt idx="76">
                  <c:v>87.417899012690953</c:v>
                </c:pt>
                <c:pt idx="77">
                  <c:v>87.516550031190619</c:v>
                </c:pt>
                <c:pt idx="78">
                  <c:v>87.611973249917725</c:v>
                </c:pt>
                <c:pt idx="79">
                  <c:v>87.704301520518399</c:v>
                </c:pt>
                <c:pt idx="80">
                  <c:v>87.793660768403896</c:v>
                </c:pt>
                <c:pt idx="81">
                  <c:v>87.880170424231181</c:v>
                </c:pt>
                <c:pt idx="82">
                  <c:v>87.963943824365714</c:v>
                </c:pt>
                <c:pt idx="83">
                  <c:v>88.045088582836271</c:v>
                </c:pt>
                <c:pt idx="84">
                  <c:v>88.123706937067084</c:v>
                </c:pt>
                <c:pt idx="85">
                  <c:v>88.19989606947064</c:v>
                </c:pt>
                <c:pt idx="86">
                  <c:v>88.273748406800721</c:v>
                </c:pt>
                <c:pt idx="87">
                  <c:v>88.345351899000448</c:v>
                </c:pt>
                <c:pt idx="88">
                  <c:v>88.414790279130017</c:v>
                </c:pt>
                <c:pt idx="89">
                  <c:v>88.482143305823257</c:v>
                </c:pt>
                <c:pt idx="90">
                  <c:v>88.547486989599037</c:v>
                </c:pt>
                <c:pt idx="91">
                  <c:v>88.610893804242394</c:v>
                </c:pt>
                <c:pt idx="92">
                  <c:v>88.672432884368064</c:v>
                </c:pt>
                <c:pt idx="93">
                  <c:v>88.732170210188173</c:v>
                </c:pt>
                <c:pt idx="94">
                  <c:v>88.790168780420885</c:v>
                </c:pt>
                <c:pt idx="95">
                  <c:v>88.846488774201731</c:v>
                </c:pt>
                <c:pt idx="96">
                  <c:v>88.901187702788718</c:v>
                </c:pt>
                <c:pt idx="97">
                  <c:v>88.954320551790005</c:v>
                </c:pt>
                <c:pt idx="98">
                  <c:v>89.005939914584559</c:v>
                </c:pt>
                <c:pt idx="99">
                  <c:v>89.056096117553679</c:v>
                </c:pt>
                <c:pt idx="100">
                  <c:v>89.104837337692828</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18.544646798551902</c:v>
                </c:pt>
                <c:pt idx="1">
                  <c:v>42.302898939255648</c:v>
                </c:pt>
                <c:pt idx="2">
                  <c:v>84.607633047168008</c:v>
                </c:pt>
                <c:pt idx="3">
                  <c:v>126.91420244315854</c:v>
                </c:pt>
                <c:pt idx="4">
                  <c:v>169.22260724665915</c:v>
                </c:pt>
                <c:pt idx="5">
                  <c:v>211.53284757711205</c:v>
                </c:pt>
                <c:pt idx="6">
                  <c:v>253.84492355396975</c:v>
                </c:pt>
                <c:pt idx="7">
                  <c:v>296.15883529669537</c:v>
                </c:pt>
                <c:pt idx="8">
                  <c:v>338.47458292476199</c:v>
                </c:pt>
                <c:pt idx="9">
                  <c:v>380.7921665576535</c:v>
                </c:pt>
                <c:pt idx="10">
                  <c:v>423.11158631486398</c:v>
                </c:pt>
                <c:pt idx="11">
                  <c:v>465.43284231589752</c:v>
                </c:pt>
                <c:pt idx="12">
                  <c:v>507.75593468026949</c:v>
                </c:pt>
                <c:pt idx="13">
                  <c:v>543.45345570390452</c:v>
                </c:pt>
                <c:pt idx="14">
                  <c:v>553.49322699058234</c:v>
                </c:pt>
                <c:pt idx="15">
                  <c:v>563.19577070208356</c:v>
                </c:pt>
                <c:pt idx="16">
                  <c:v>572.59483887040631</c:v>
                </c:pt>
                <c:pt idx="17">
                  <c:v>581.71896817285051</c:v>
                </c:pt>
                <c:pt idx="18">
                  <c:v>590.59254155360486</c:v>
                </c:pt>
                <c:pt idx="19">
                  <c:v>599.23658728861847</c:v>
                </c:pt>
                <c:pt idx="20">
                  <c:v>607.66939073457843</c:v>
                </c:pt>
                <c:pt idx="21">
                  <c:v>615.9069697778059</c:v>
                </c:pt>
                <c:pt idx="22">
                  <c:v>623.96344935056823</c:v>
                </c:pt>
                <c:pt idx="23">
                  <c:v>631.8513600237153</c:v>
                </c:pt>
                <c:pt idx="24">
                  <c:v>639.58187867619188</c:v>
                </c:pt>
                <c:pt idx="25">
                  <c:v>647.16502440638499</c:v>
                </c:pt>
                <c:pt idx="26">
                  <c:v>654.60981945421167</c:v>
                </c:pt>
                <c:pt idx="27">
                  <c:v>661.92442247914687</c:v>
                </c:pt>
                <c:pt idx="28">
                  <c:v>669.11623978405078</c:v>
                </c:pt>
                <c:pt idx="29">
                  <c:v>676.19201878622846</c:v>
                </c:pt>
                <c:pt idx="30">
                  <c:v>683.15792707964636</c:v>
                </c:pt>
                <c:pt idx="31">
                  <c:v>690.01961971253763</c:v>
                </c:pt>
                <c:pt idx="32">
                  <c:v>696.78229675792693</c:v>
                </c:pt>
                <c:pt idx="33">
                  <c:v>703.45075283523988</c:v>
                </c:pt>
                <c:pt idx="34">
                  <c:v>710.02941991653404</c:v>
                </c:pt>
                <c:pt idx="35">
                  <c:v>716.52240449743942</c:v>
                </c:pt>
                <c:pt idx="36">
                  <c:v>722.9335200134559</c:v>
                </c:pt>
                <c:pt idx="37">
                  <c:v>729.26631522411958</c:v>
                </c:pt>
                <c:pt idx="38">
                  <c:v>735.52409916131296</c:v>
                </c:pt>
                <c:pt idx="39">
                  <c:v>741.70996313652461</c:v>
                </c:pt>
                <c:pt idx="40">
                  <c:v>747.82680021981412</c:v>
                </c:pt>
                <c:pt idx="41">
                  <c:v>753.87732253649631</c:v>
                </c:pt>
                <c:pt idx="42">
                  <c:v>759.86407667296612</c:v>
                </c:pt>
                <c:pt idx="43">
                  <c:v>765.78945743818747</c:v>
                </c:pt>
                <c:pt idx="44">
                  <c:v>771.6557201902832</c:v>
                </c:pt>
                <c:pt idx="45">
                  <c:v>777.46499190684892</c:v>
                </c:pt>
                <c:pt idx="46">
                  <c:v>783.21928115192691</c:v>
                </c:pt>
                <c:pt idx="47">
                  <c:v>788.92048707105971</c:v>
                </c:pt>
                <c:pt idx="48">
                  <c:v>794.57040752772821</c:v>
                </c:pt>
                <c:pt idx="49">
                  <c:v>800.17074647921686</c:v>
                </c:pt>
                <c:pt idx="50">
                  <c:v>805.72312067696555</c:v>
                </c:pt>
                <c:pt idx="51">
                  <c:v>811.2290657654795</c:v>
                </c:pt>
                <c:pt idx="52">
                  <c:v>816.69004184443804</c:v>
                </c:pt>
                <c:pt idx="53">
                  <c:v>822.10743855060787</c:v>
                </c:pt>
                <c:pt idx="54">
                  <c:v>827.48257970923851</c:v>
                </c:pt>
                <c:pt idx="55">
                  <c:v>832.81672759866206</c:v>
                </c:pt>
                <c:pt idx="56">
                  <c:v>838.11108686666807</c:v>
                </c:pt>
                <c:pt idx="57">
                  <c:v>843.36680813276189</c:v>
                </c:pt>
                <c:pt idx="58">
                  <c:v>848.58499130653297</c:v>
                </c:pt>
                <c:pt idx="59">
                  <c:v>853.76668864899216</c:v>
                </c:pt>
                <c:pt idx="60">
                  <c:v>858.91290760077186</c:v>
                </c:pt>
                <c:pt idx="61">
                  <c:v>864.02461339851936</c:v>
                </c:pt>
                <c:pt idx="62">
                  <c:v>869.10273149852878</c:v>
                </c:pt>
                <c:pt idx="63">
                  <c:v>874.14814982468022</c:v>
                </c:pt>
                <c:pt idx="64">
                  <c:v>878.92336046324738</c:v>
                </c:pt>
                <c:pt idx="65">
                  <c:v>871.19454879690932</c:v>
                </c:pt>
                <c:pt idx="66">
                  <c:v>863.65972641869666</c:v>
                </c:pt>
                <c:pt idx="67">
                  <c:v>856.31287490008594</c:v>
                </c:pt>
                <c:pt idx="68">
                  <c:v>849.13989969690203</c:v>
                </c:pt>
                <c:pt idx="69">
                  <c:v>843.05201445572743</c:v>
                </c:pt>
                <c:pt idx="70">
                  <c:v>840.68947416465903</c:v>
                </c:pt>
                <c:pt idx="71">
                  <c:v>838.40931742084661</c:v>
                </c:pt>
                <c:pt idx="72">
                  <c:v>836.20779336166731</c:v>
                </c:pt>
                <c:pt idx="73">
                  <c:v>834.08810003529652</c:v>
                </c:pt>
                <c:pt idx="74">
                  <c:v>832.04747496193977</c:v>
                </c:pt>
                <c:pt idx="75">
                  <c:v>830.08329458518654</c:v>
                </c:pt>
                <c:pt idx="76">
                  <c:v>828.19306568327977</c:v>
                </c:pt>
                <c:pt idx="77">
                  <c:v>826.37441741020257</c:v>
                </c:pt>
                <c:pt idx="78">
                  <c:v>824.62509391335004</c:v>
                </c:pt>
                <c:pt idx="79">
                  <c:v>822.94294747964557</c:v>
                </c:pt>
                <c:pt idx="80">
                  <c:v>821.32593216647524</c:v>
                </c:pt>
                <c:pt idx="81">
                  <c:v>819.77209787791628</c:v>
                </c:pt>
                <c:pt idx="82">
                  <c:v>818.27958485034435</c:v>
                </c:pt>
                <c:pt idx="83">
                  <c:v>816.84661851479677</c:v>
                </c:pt>
                <c:pt idx="84">
                  <c:v>815.47150470640236</c:v>
                </c:pt>
                <c:pt idx="85">
                  <c:v>814.1526251938202</c:v>
                </c:pt>
                <c:pt idx="86">
                  <c:v>812.88843350404022</c:v>
                </c:pt>
                <c:pt idx="87">
                  <c:v>811.67745102001254</c:v>
                </c:pt>
                <c:pt idx="88">
                  <c:v>810.51826333054316</c:v>
                </c:pt>
                <c:pt idx="89">
                  <c:v>809.40951681363015</c:v>
                </c:pt>
                <c:pt idx="90">
                  <c:v>808.3499154360062</c:v>
                </c:pt>
                <c:pt idx="91">
                  <c:v>807.3382177530973</c:v>
                </c:pt>
                <c:pt idx="92">
                  <c:v>806.37323409490693</c:v>
                </c:pt>
                <c:pt idx="93">
                  <c:v>805.45382392451882</c:v>
                </c:pt>
                <c:pt idx="94">
                  <c:v>804.57889335699679</c:v>
                </c:pt>
                <c:pt idx="95">
                  <c:v>803.74739282742928</c:v>
                </c:pt>
                <c:pt idx="96">
                  <c:v>802.95831489776481</c:v>
                </c:pt>
                <c:pt idx="97">
                  <c:v>802.21069219289927</c:v>
                </c:pt>
                <c:pt idx="98">
                  <c:v>801.50359545721699</c:v>
                </c:pt>
                <c:pt idx="99">
                  <c:v>800.83613172345588</c:v>
                </c:pt>
                <c:pt idx="100">
                  <c:v>800.20744258640934</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12.469928182546042</c:v>
                </c:pt>
                <c:pt idx="1">
                  <c:v>14.948639612449909</c:v>
                </c:pt>
                <c:pt idx="2">
                  <c:v>17.487351282545951</c:v>
                </c:pt>
                <c:pt idx="3">
                  <c:v>20.026062952641979</c:v>
                </c:pt>
                <c:pt idx="4">
                  <c:v>22.56477462273801</c:v>
                </c:pt>
                <c:pt idx="5">
                  <c:v>25.103486292834038</c:v>
                </c:pt>
                <c:pt idx="6">
                  <c:v>27.642197962930076</c:v>
                </c:pt>
                <c:pt idx="7">
                  <c:v>30.180909633026111</c:v>
                </c:pt>
                <c:pt idx="8">
                  <c:v>32.719621303122146</c:v>
                </c:pt>
                <c:pt idx="9">
                  <c:v>35.258332973218167</c:v>
                </c:pt>
                <c:pt idx="10">
                  <c:v>37.797044643314202</c:v>
                </c:pt>
                <c:pt idx="11">
                  <c:v>40.335756313410236</c:v>
                </c:pt>
                <c:pt idx="12">
                  <c:v>42.874467983506257</c:v>
                </c:pt>
                <c:pt idx="13">
                  <c:v>45.614331244263276</c:v>
                </c:pt>
                <c:pt idx="14">
                  <c:v>49.126614033653148</c:v>
                </c:pt>
                <c:pt idx="15">
                  <c:v>52.639375719100585</c:v>
                </c:pt>
                <c:pt idx="16">
                  <c:v>56.152614514861519</c:v>
                </c:pt>
                <c:pt idx="17">
                  <c:v>59.666328815377945</c:v>
                </c:pt>
                <c:pt idx="18">
                  <c:v>63.180517168249473</c:v>
                </c:pt>
                <c:pt idx="19">
                  <c:v>66.695178252557824</c:v>
                </c:pt>
                <c:pt idx="20">
                  <c:v>70.210310861253504</c:v>
                </c:pt>
                <c:pt idx="21">
                  <c:v>73.725913886675741</c:v>
                </c:pt>
                <c:pt idx="22">
                  <c:v>77.241986308523934</c:v>
                </c:pt>
                <c:pt idx="23">
                  <c:v>80.758527183770923</c:v>
                </c:pt>
                <c:pt idx="24">
                  <c:v>84.275535638133618</c:v>
                </c:pt>
                <c:pt idx="25">
                  <c:v>87.793010858804379</c:v>
                </c:pt>
                <c:pt idx="26">
                  <c:v>91.310952088213753</c:v>
                </c:pt>
                <c:pt idx="27">
                  <c:v>94.82935861864334</c:v>
                </c:pt>
                <c:pt idx="28">
                  <c:v>98.348229787545904</c:v>
                </c:pt>
                <c:pt idx="29">
                  <c:v>101.86756497345721</c:v>
                </c:pt>
                <c:pt idx="30">
                  <c:v>105.38736359240741</c:v>
                </c:pt>
                <c:pt idx="31">
                  <c:v>108.90762509475555</c:v>
                </c:pt>
                <c:pt idx="32">
                  <c:v>112.42834896238554</c:v>
                </c:pt>
                <c:pt idx="33">
                  <c:v>115.9495347062123</c:v>
                </c:pt>
                <c:pt idx="34">
                  <c:v>119.47118186395488</c:v>
                </c:pt>
                <c:pt idx="35">
                  <c:v>122.99328999814155</c:v>
                </c:pt>
                <c:pt idx="36">
                  <c:v>126.51585869431625</c:v>
                </c:pt>
                <c:pt idx="37">
                  <c:v>130.03888755942111</c:v>
                </c:pt>
                <c:pt idx="38">
                  <c:v>133.56237622033362</c:v>
                </c:pt>
                <c:pt idx="39">
                  <c:v>137.08632432253972</c:v>
                </c:pt>
                <c:pt idx="40">
                  <c:v>140.61073152892723</c:v>
                </c:pt>
                <c:pt idx="41">
                  <c:v>144.13559751868578</c:v>
                </c:pt>
                <c:pt idx="42">
                  <c:v>147.66092198630159</c:v>
                </c:pt>
                <c:pt idx="43">
                  <c:v>151.18670464063666</c:v>
                </c:pt>
                <c:pt idx="44">
                  <c:v>154.71294520408355</c:v>
                </c:pt>
                <c:pt idx="45">
                  <c:v>158.23964341178848</c:v>
                </c:pt>
                <c:pt idx="46">
                  <c:v>161.76679901093473</c:v>
                </c:pt>
                <c:pt idx="47">
                  <c:v>165.29441176008154</c:v>
                </c:pt>
                <c:pt idx="48">
                  <c:v>168.82248142855241</c:v>
                </c:pt>
                <c:pt idx="49">
                  <c:v>172.35100779586853</c:v>
                </c:pt>
                <c:pt idx="50">
                  <c:v>175.87999065122287</c:v>
                </c:pt>
                <c:pt idx="51">
                  <c:v>179.40942979299169</c:v>
                </c:pt>
                <c:pt idx="52">
                  <c:v>182.93932502827963</c:v>
                </c:pt>
                <c:pt idx="53">
                  <c:v>186.46967617249561</c:v>
                </c:pt>
                <c:pt idx="54">
                  <c:v>190.00048304895725</c:v>
                </c:pt>
                <c:pt idx="55">
                  <c:v>193.53174548852101</c:v>
                </c:pt>
                <c:pt idx="56">
                  <c:v>197.06346332923593</c:v>
                </c:pt>
                <c:pt idx="57">
                  <c:v>200.5956364160194</c:v>
                </c:pt>
                <c:pt idx="58">
                  <c:v>204.12826460035305</c:v>
                </c:pt>
                <c:pt idx="59">
                  <c:v>207.66134773999673</c:v>
                </c:pt>
                <c:pt idx="60">
                  <c:v>211.19488569872013</c:v>
                </c:pt>
                <c:pt idx="61">
                  <c:v>214.72887834604998</c:v>
                </c:pt>
                <c:pt idx="62">
                  <c:v>218.26332555703155</c:v>
                </c:pt>
                <c:pt idx="63">
                  <c:v>221.79822721200441</c:v>
                </c:pt>
                <c:pt idx="64">
                  <c:v>225.33121438743632</c:v>
                </c:pt>
                <c:pt idx="65">
                  <c:v>228.73942735381172</c:v>
                </c:pt>
                <c:pt idx="66">
                  <c:v>232.14868282846228</c:v>
                </c:pt>
                <c:pt idx="67">
                  <c:v>235.55920227734478</c:v>
                </c:pt>
                <c:pt idx="68">
                  <c:v>238.97001477880187</c:v>
                </c:pt>
                <c:pt idx="69">
                  <c:v>242.61065396461839</c:v>
                </c:pt>
                <c:pt idx="70">
                  <c:v>247.16211170281704</c:v>
                </c:pt>
                <c:pt idx="71">
                  <c:v>251.74473202967062</c:v>
                </c:pt>
                <c:pt idx="72">
                  <c:v>256.35574005527354</c:v>
                </c:pt>
                <c:pt idx="73">
                  <c:v>260.99698384829264</c:v>
                </c:pt>
                <c:pt idx="74">
                  <c:v>265.66850451277224</c:v>
                </c:pt>
                <c:pt idx="75">
                  <c:v>270.37034354289949</c:v>
                </c:pt>
                <c:pt idx="76">
                  <c:v>275.10254282246007</c:v>
                </c:pt>
                <c:pt idx="77">
                  <c:v>279.8651446244271</c:v>
                </c:pt>
                <c:pt idx="78">
                  <c:v>284.65819161067225</c:v>
                </c:pt>
                <c:pt idx="79">
                  <c:v>289.48172683178939</c:v>
                </c:pt>
                <c:pt idx="80">
                  <c:v>294.33579372702496</c:v>
                </c:pt>
                <c:pt idx="81">
                  <c:v>299.22043612430309</c:v>
                </c:pt>
                <c:pt idx="82">
                  <c:v>304.13569824034346</c:v>
                </c:pt>
                <c:pt idx="83">
                  <c:v>309.08162468086232</c:v>
                </c:pt>
                <c:pt idx="84">
                  <c:v>314.05826044085188</c:v>
                </c:pt>
                <c:pt idx="85">
                  <c:v>319.0656509049341</c:v>
                </c:pt>
                <c:pt idx="86">
                  <c:v>324.10384184778161</c:v>
                </c:pt>
                <c:pt idx="87">
                  <c:v>329.17287943460519</c:v>
                </c:pt>
                <c:pt idx="88">
                  <c:v>334.27281022170013</c:v>
                </c:pt>
                <c:pt idx="89">
                  <c:v>339.40368115705002</c:v>
                </c:pt>
                <c:pt idx="90">
                  <c:v>344.56553958098465</c:v>
                </c:pt>
                <c:pt idx="91">
                  <c:v>349.75843322688837</c:v>
                </c:pt>
                <c:pt idx="92">
                  <c:v>354.98241022195691</c:v>
                </c:pt>
                <c:pt idx="93">
                  <c:v>360.23751908799886</c:v>
                </c:pt>
                <c:pt idx="94">
                  <c:v>365.52380874228101</c:v>
                </c:pt>
                <c:pt idx="95">
                  <c:v>370.84132849841581</c:v>
                </c:pt>
                <c:pt idx="96">
                  <c:v>376.19012806728534</c:v>
                </c:pt>
                <c:pt idx="97">
                  <c:v>381.57025755800606</c:v>
                </c:pt>
                <c:pt idx="98">
                  <c:v>386.981767478927</c:v>
                </c:pt>
                <c:pt idx="99">
                  <c:v>392.42470873866318</c:v>
                </c:pt>
                <c:pt idx="100">
                  <c:v>397.89913264716267</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344.98108595439891</c:v>
                </c:pt>
                <c:pt idx="54">
                  <c:v>339.01529439852374</c:v>
                </c:pt>
                <c:pt idx="55">
                  <c:v>333.24725015666831</c:v>
                </c:pt>
                <c:pt idx="56">
                  <c:v>327.67152806565235</c:v>
                </c:pt>
                <c:pt idx="57">
                  <c:v>322.28644569875593</c:v>
                </c:pt>
                <c:pt idx="58">
                  <c:v>317.0625830731833</c:v>
                </c:pt>
                <c:pt idx="59">
                  <c:v>312.011349974734</c:v>
                </c:pt>
                <c:pt idx="60">
                  <c:v>307.1181208874421</c:v>
                </c:pt>
                <c:pt idx="61">
                  <c:v>302.37559630606489</c:v>
                </c:pt>
                <c:pt idx="62">
                  <c:v>297.77691953854452</c:v>
                </c:pt>
                <c:pt idx="63">
                  <c:v>293.31564362942459</c:v>
                </c:pt>
                <c:pt idx="64">
                  <c:v>288.98570120447118</c:v>
                </c:pt>
                <c:pt idx="65">
                  <c:v>284.78137693987554</c:v>
                </c:pt>
                <c:pt idx="66">
                  <c:v>280.69728239334552</c:v>
                </c:pt>
                <c:pt idx="67">
                  <c:v>276.72833296401939</c:v>
                </c:pt>
                <c:pt idx="68">
                  <c:v>272.86972677405231</c:v>
                </c:pt>
                <c:pt idx="69">
                  <c:v>269.11692528744993</c:v>
                </c:pt>
                <c:pt idx="70">
                  <c:v>265.46563550167309</c:v>
                </c:pt>
                <c:pt idx="71">
                  <c:v>261.91179356510355</c:v>
                </c:pt>
                <c:pt idx="72">
                  <c:v>258.45154968892814</c:v>
                </c:pt>
                <c:pt idx="73">
                  <c:v>255.08125423567679</c:v>
                </c:pt>
                <c:pt idx="74">
                  <c:v>251.79744487872864</c:v>
                </c:pt>
                <c:pt idx="75">
                  <c:v>248.59683473781826</c:v>
                </c:pt>
                <c:pt idx="76">
                  <c:v>245.47630140507243</c:v>
                </c:pt>
                <c:pt idx="77">
                  <c:v>242.43287678456159</c:v>
                </c:pt>
                <c:pt idx="78">
                  <c:v>239.46373767586405</c:v>
                </c:pt>
                <c:pt idx="79">
                  <c:v>236.56619703885005</c:v>
                </c:pt>
                <c:pt idx="80">
                  <c:v>233.73769588287243</c:v>
                </c:pt>
                <c:pt idx="81">
                  <c:v>230.9757957289076</c:v>
                </c:pt>
                <c:pt idx="82">
                  <c:v>228.27817159797462</c:v>
                </c:pt>
                <c:pt idx="83">
                  <c:v>225.64260548345857</c:v>
                </c:pt>
                <c:pt idx="84">
                  <c:v>223.06698026882015</c:v>
                </c:pt>
                <c:pt idx="85">
                  <c:v>220.54927405563436</c:v>
                </c:pt>
                <c:pt idx="86">
                  <c:v>218.08755487002182</c:v>
                </c:pt>
                <c:pt idx="87">
                  <c:v>215.67997571834786</c:v>
                </c:pt>
                <c:pt idx="88">
                  <c:v>213.32476996559342</c:v>
                </c:pt>
                <c:pt idx="89">
                  <c:v>211.02024701209689</c:v>
                </c:pt>
                <c:pt idx="90">
                  <c:v>208.76478824643164</c:v>
                </c:pt>
                <c:pt idx="91">
                  <c:v>206.55684325405946</c:v>
                </c:pt>
                <c:pt idx="92">
                  <c:v>204.39492626309755</c:v>
                </c:pt>
                <c:pt idx="93">
                  <c:v>202.27761281007605</c:v>
                </c:pt>
                <c:pt idx="94">
                  <c:v>200.20353660996395</c:v>
                </c:pt>
                <c:pt idx="95">
                  <c:v>198.17138661600902</c:v>
                </c:pt>
                <c:pt idx="96">
                  <c:v>196.17990425609864</c:v>
                </c:pt>
                <c:pt idx="97">
                  <c:v>194.22788083339756</c:v>
                </c:pt>
                <c:pt idx="98">
                  <c:v>192.31415507998463</c:v>
                </c:pt>
                <c:pt idx="99">
                  <c:v>190.43761085308063</c:v>
                </c:pt>
                <c:pt idx="100">
                  <c:v>188.59717496426779</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349.90540259073106</c:v>
                </c:pt>
                <c:pt idx="65">
                  <c:v>344.88978796581176</c:v>
                </c:pt>
                <c:pt idx="66">
                  <c:v>340.01455474909852</c:v>
                </c:pt>
                <c:pt idx="67">
                  <c:v>335.27357899318423</c:v>
                </c:pt>
                <c:pt idx="68">
                  <c:v>330.66278544098003</c:v>
                </c:pt>
                <c:pt idx="69">
                  <c:v>326.18058860196459</c:v>
                </c:pt>
                <c:pt idx="70">
                  <c:v>321.81303343594709</c:v>
                </c:pt>
                <c:pt idx="71">
                  <c:v>317.55852367454986</c:v>
                </c:pt>
                <c:pt idx="72">
                  <c:v>313.41773186797639</c:v>
                </c:pt>
                <c:pt idx="73">
                  <c:v>309.38335411508871</c:v>
                </c:pt>
                <c:pt idx="74">
                  <c:v>305.45134032893594</c:v>
                </c:pt>
                <c:pt idx="75">
                  <c:v>301.6178433745925</c:v>
                </c:pt>
                <c:pt idx="76">
                  <c:v>297.87920651390152</c:v>
                </c:pt>
                <c:pt idx="77">
                  <c:v>294.2319517708786</c:v>
                </c:pt>
                <c:pt idx="78">
                  <c:v>290.67276913996176</c:v>
                </c:pt>
                <c:pt idx="79">
                  <c:v>287.19850656672475</c:v>
                </c:pt>
                <c:pt idx="80">
                  <c:v>283.80616063730326</c:v>
                </c:pt>
                <c:pt idx="81">
                  <c:v>280.49286791873374</c:v>
                </c:pt>
                <c:pt idx="82">
                  <c:v>277.25589689772283</c:v>
                </c:pt>
                <c:pt idx="83">
                  <c:v>274.0926404701508</c:v>
                </c:pt>
                <c:pt idx="84">
                  <c:v>271.00060893790692</c:v>
                </c:pt>
                <c:pt idx="85">
                  <c:v>267.9774234735188</c:v>
                </c:pt>
                <c:pt idx="86">
                  <c:v>265.02081001652368</c:v>
                </c:pt>
                <c:pt idx="87">
                  <c:v>262.12859356866613</c:v>
                </c:pt>
                <c:pt idx="88">
                  <c:v>259.29869285784838</c:v>
                </c:pt>
                <c:pt idx="89">
                  <c:v>256.52911534331935</c:v>
                </c:pt>
                <c:pt idx="90">
                  <c:v>253.81795253691297</c:v>
                </c:pt>
                <c:pt idx="91">
                  <c:v>251.16337561724728</c:v>
                </c:pt>
                <c:pt idx="92">
                  <c:v>248.5636313157049</c:v>
                </c:pt>
                <c:pt idx="93">
                  <c:v>246.01703805474642</c:v>
                </c:pt>
                <c:pt idx="94">
                  <c:v>243.5219823206838</c:v>
                </c:pt>
                <c:pt idx="95">
                  <c:v>241.07691525447063</c:v>
                </c:pt>
                <c:pt idx="96">
                  <c:v>238.68034944537666</c:v>
                </c:pt>
                <c:pt idx="97">
                  <c:v>236.33085591359381</c:v>
                </c:pt>
                <c:pt idx="98">
                  <c:v>234.02706126891675</c:v>
                </c:pt>
                <c:pt idx="99">
                  <c:v>231.76764503362244</c:v>
                </c:pt>
                <c:pt idx="100">
                  <c:v>229.55133711858704</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2.0554863678125965</c:v>
                </c:pt>
                <c:pt idx="55">
                  <c:v>2.0744828962351693</c:v>
                </c:pt>
                <c:pt idx="56">
                  <c:v>2.0933095851916934</c:v>
                </c:pt>
                <c:pt idx="57">
                  <c:v>2.1287268296444748</c:v>
                </c:pt>
                <c:pt idx="58">
                  <c:v>2.1661996549536782</c:v>
                </c:pt>
                <c:pt idx="59">
                  <c:v>2.2036330224359197</c:v>
                </c:pt>
                <c:pt idx="60">
                  <c:v>2.2410692850260086</c:v>
                </c:pt>
                <c:pt idx="61">
                  <c:v>2.2785084431480338</c:v>
                </c:pt>
                <c:pt idx="62">
                  <c:v>2.315950497226372</c:v>
                </c:pt>
                <c:pt idx="63">
                  <c:v>2.3533954476856729</c:v>
                </c:pt>
                <c:pt idx="64">
                  <c:v>2.3908432949508418</c:v>
                </c:pt>
                <c:pt idx="65">
                  <c:v>2.4282940394470276</c:v>
                </c:pt>
                <c:pt idx="66">
                  <c:v>2.4657476815996069</c:v>
                </c:pt>
                <c:pt idx="67">
                  <c:v>2.5032042218341766</c:v>
                </c:pt>
                <c:pt idx="68">
                  <c:v>2.5406636605765436</c:v>
                </c:pt>
                <c:pt idx="69">
                  <c:v>2.578125998252712</c:v>
                </c:pt>
                <c:pt idx="70">
                  <c:v>2.615591235288881</c:v>
                </c:pt>
                <c:pt idx="71">
                  <c:v>2.6530593721114282</c:v>
                </c:pt>
                <c:pt idx="72">
                  <c:v>2.6905304091469109</c:v>
                </c:pt>
                <c:pt idx="73">
                  <c:v>2.7280043468220549</c:v>
                </c:pt>
                <c:pt idx="74">
                  <c:v>2.7654811855637513</c:v>
                </c:pt>
                <c:pt idx="75">
                  <c:v>2.8029609257990478</c:v>
                </c:pt>
                <c:pt idx="76">
                  <c:v>2.8404435679551483</c:v>
                </c:pt>
                <c:pt idx="77">
                  <c:v>2.8779291124594026</c:v>
                </c:pt>
                <c:pt idx="78">
                  <c:v>2.9154175597393084</c:v>
                </c:pt>
                <c:pt idx="79">
                  <c:v>2.9529089102225017</c:v>
                </c:pt>
                <c:pt idx="80">
                  <c:v>2.9904031643367568</c:v>
                </c:pt>
                <c:pt idx="81">
                  <c:v>3.0279003225099834</c:v>
                </c:pt>
                <c:pt idx="82">
                  <c:v>3.065400385170217</c:v>
                </c:pt>
                <c:pt idx="83">
                  <c:v>3.1029033527456282</c:v>
                </c:pt>
                <c:pt idx="84">
                  <c:v>3.1404092256645093</c:v>
                </c:pt>
                <c:pt idx="85">
                  <c:v>3.1779180043552744</c:v>
                </c:pt>
                <c:pt idx="86">
                  <c:v>3.2154296892464616</c:v>
                </c:pt>
                <c:pt idx="87">
                  <c:v>3.2529442807667226</c:v>
                </c:pt>
                <c:pt idx="88">
                  <c:v>3.2904617793448319</c:v>
                </c:pt>
                <c:pt idx="89">
                  <c:v>3.3279821854096738</c:v>
                </c:pt>
                <c:pt idx="90">
                  <c:v>3.3655054993902498</c:v>
                </c:pt>
                <c:pt idx="91">
                  <c:v>3.4030317217156698</c:v>
                </c:pt>
                <c:pt idx="92">
                  <c:v>3.4405608528151546</c:v>
                </c:pt>
                <c:pt idx="93">
                  <c:v>3.4780928931180344</c:v>
                </c:pt>
                <c:pt idx="94">
                  <c:v>3.5156278430537458</c:v>
                </c:pt>
                <c:pt idx="95">
                  <c:v>3.5531657030518331</c:v>
                </c:pt>
                <c:pt idx="96">
                  <c:v>3.5907064735419434</c:v>
                </c:pt>
                <c:pt idx="97">
                  <c:v>3.628250154953832</c:v>
                </c:pt>
                <c:pt idx="98">
                  <c:v>3.6657967477173519</c:v>
                </c:pt>
                <c:pt idx="99">
                  <c:v>3.7033462522624618</c:v>
                </c:pt>
                <c:pt idx="100">
                  <c:v>3.7408986690192205</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2.2726459256632574</c:v>
                </c:pt>
                <c:pt idx="67">
                  <c:v>2.2898462523379277</c:v>
                </c:pt>
                <c:pt idx="68">
                  <c:v>2.3069201666584371</c:v>
                </c:pt>
                <c:pt idx="69">
                  <c:v>2.3273264418314712</c:v>
                </c:pt>
                <c:pt idx="70">
                  <c:v>2.3611324355894752</c:v>
                </c:pt>
                <c:pt idx="71">
                  <c:v>2.3949556060058117</c:v>
                </c:pt>
                <c:pt idx="72">
                  <c:v>2.4287524859753225</c:v>
                </c:pt>
                <c:pt idx="73">
                  <c:v>2.4625511801113587</c:v>
                </c:pt>
                <c:pt idx="74">
                  <c:v>2.4963516886042409</c:v>
                </c:pt>
                <c:pt idx="75">
                  <c:v>2.5301540116443721</c:v>
                </c:pt>
                <c:pt idx="76">
                  <c:v>2.5639581494222372</c:v>
                </c:pt>
                <c:pt idx="77">
                  <c:v>2.5977641021283993</c:v>
                </c:pt>
                <c:pt idx="78">
                  <c:v>2.6315718699534942</c:v>
                </c:pt>
                <c:pt idx="79">
                  <c:v>2.6653814530882287</c:v>
                </c:pt>
                <c:pt idx="80">
                  <c:v>2.6991928517233776</c:v>
                </c:pt>
                <c:pt idx="81">
                  <c:v>2.7330060660497812</c:v>
                </c:pt>
                <c:pt idx="82">
                  <c:v>2.7668210962583437</c:v>
                </c:pt>
                <c:pt idx="83">
                  <c:v>2.8006379425400287</c:v>
                </c:pt>
                <c:pt idx="84">
                  <c:v>2.8344566050858604</c:v>
                </c:pt>
                <c:pt idx="85">
                  <c:v>2.8682770840869192</c:v>
                </c:pt>
                <c:pt idx="86">
                  <c:v>2.9020993797343384</c:v>
                </c:pt>
                <c:pt idx="87">
                  <c:v>2.9359234922193078</c:v>
                </c:pt>
                <c:pt idx="88">
                  <c:v>2.9697494217330673</c:v>
                </c:pt>
                <c:pt idx="89">
                  <c:v>3.0035771684669084</c:v>
                </c:pt>
                <c:pt idx="90">
                  <c:v>3.0374067326121703</c:v>
                </c:pt>
                <c:pt idx="91">
                  <c:v>3.0712381143602414</c:v>
                </c:pt>
                <c:pt idx="92">
                  <c:v>3.1050713139025565</c:v>
                </c:pt>
                <c:pt idx="93">
                  <c:v>3.1389063314305958</c:v>
                </c:pt>
                <c:pt idx="94">
                  <c:v>3.172743167135883</c:v>
                </c:pt>
                <c:pt idx="95">
                  <c:v>3.2065818212099888</c:v>
                </c:pt>
                <c:pt idx="96">
                  <c:v>3.240422293844524</c:v>
                </c:pt>
                <c:pt idx="97">
                  <c:v>3.2742645852311414</c:v>
                </c:pt>
                <c:pt idx="98">
                  <c:v>3.3081086955615362</c:v>
                </c:pt>
                <c:pt idx="99">
                  <c:v>3.3419546250274439</c:v>
                </c:pt>
                <c:pt idx="100">
                  <c:v>3.3758023738206386</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2.272632230073965</c:v>
                </c:pt>
                <c:pt idx="67">
                  <c:v>2.2898021009058036</c:v>
                </c:pt>
                <c:pt idx="68">
                  <c:v>2.3068445712734049</c:v>
                </c:pt>
                <c:pt idx="69">
                  <c:v>2.3237624413739795</c:v>
                </c:pt>
                <c:pt idx="70">
                  <c:v>2.3405584103052113</c:v>
                </c:pt>
                <c:pt idx="71">
                  <c:v>2.3572350811028344</c:v>
                </c:pt>
                <c:pt idx="72">
                  <c:v>2.3737949654600015</c:v>
                </c:pt>
                <c:pt idx="73">
                  <c:v>2.3902404881526724</c:v>
                </c:pt>
                <c:pt idx="74">
                  <c:v>2.4065739911931003</c:v>
                </c:pt>
                <c:pt idx="75">
                  <c:v>2.4227977377315577</c:v>
                </c:pt>
                <c:pt idx="76">
                  <c:v>2.4389139157247088</c:v>
                </c:pt>
                <c:pt idx="77">
                  <c:v>2.4549246413874624</c:v>
                </c:pt>
                <c:pt idx="78">
                  <c:v>2.4708319624437181</c:v>
                </c:pt>
                <c:pt idx="79">
                  <c:v>2.4866378611901507</c:v>
                </c:pt>
                <c:pt idx="80">
                  <c:v>2.5023442573860066</c:v>
                </c:pt>
                <c:pt idx="81">
                  <c:v>2.5179530109808335</c:v>
                </c:pt>
                <c:pt idx="82">
                  <c:v>2.5334659246911246</c:v>
                </c:pt>
                <c:pt idx="83">
                  <c:v>2.5488847464359727</c:v>
                </c:pt>
                <c:pt idx="84">
                  <c:v>2.5642111716410576</c:v>
                </c:pt>
                <c:pt idx="85">
                  <c:v>2.5794468454195569</c:v>
                </c:pt>
                <c:pt idx="86">
                  <c:v>2.5945933646379222</c:v>
                </c:pt>
                <c:pt idx="87">
                  <c:v>2.6096522798738735</c:v>
                </c:pt>
                <c:pt idx="88">
                  <c:v>2.6246250972733884</c:v>
                </c:pt>
                <c:pt idx="89">
                  <c:v>2.6395132803130017</c:v>
                </c:pt>
                <c:pt idx="90">
                  <c:v>2.6543182514732324</c:v>
                </c:pt>
                <c:pt idx="91">
                  <c:v>2.6690413938285746</c:v>
                </c:pt>
                <c:pt idx="92">
                  <c:v>2.6836840525590593</c:v>
                </c:pt>
                <c:pt idx="93">
                  <c:v>2.6982475363880867</c:v>
                </c:pt>
                <c:pt idx="94">
                  <c:v>2.7127331189508572</c:v>
                </c:pt>
                <c:pt idx="95">
                  <c:v>2.7271420400974686</c:v>
                </c:pt>
                <c:pt idx="96">
                  <c:v>2.7414755071344414</c:v>
                </c:pt>
                <c:pt idx="97">
                  <c:v>2.7557346960081914</c:v>
                </c:pt>
                <c:pt idx="98">
                  <c:v>2.769920752433745</c:v>
                </c:pt>
                <c:pt idx="99">
                  <c:v>2.7840347929717417</c:v>
                </c:pt>
                <c:pt idx="100">
                  <c:v>2.7980779060566134</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344.98108595439891</c:v>
                </c:pt>
                <c:pt idx="54">
                  <c:v>339.01529439852374</c:v>
                </c:pt>
                <c:pt idx="55">
                  <c:v>333.24725015666831</c:v>
                </c:pt>
                <c:pt idx="56">
                  <c:v>327.67152806565235</c:v>
                </c:pt>
                <c:pt idx="57">
                  <c:v>322.28644569875593</c:v>
                </c:pt>
                <c:pt idx="58">
                  <c:v>317.0625830731833</c:v>
                </c:pt>
                <c:pt idx="59">
                  <c:v>312.011349974734</c:v>
                </c:pt>
                <c:pt idx="60">
                  <c:v>307.1181208874421</c:v>
                </c:pt>
                <c:pt idx="61">
                  <c:v>302.37559630606489</c:v>
                </c:pt>
                <c:pt idx="62">
                  <c:v>297.77691953854452</c:v>
                </c:pt>
                <c:pt idx="63">
                  <c:v>293.31564362942459</c:v>
                </c:pt>
                <c:pt idx="64">
                  <c:v>288.98570120447118</c:v>
                </c:pt>
                <c:pt idx="65">
                  <c:v>284.78137693987554</c:v>
                </c:pt>
                <c:pt idx="66">
                  <c:v>280.69728239334552</c:v>
                </c:pt>
                <c:pt idx="67">
                  <c:v>276.72833296401939</c:v>
                </c:pt>
                <c:pt idx="68">
                  <c:v>272.86972677405231</c:v>
                </c:pt>
                <c:pt idx="69">
                  <c:v>269.11692528744993</c:v>
                </c:pt>
                <c:pt idx="70">
                  <c:v>265.46563550167309</c:v>
                </c:pt>
                <c:pt idx="71">
                  <c:v>261.91179356510355</c:v>
                </c:pt>
                <c:pt idx="72">
                  <c:v>258.45154968892814</c:v>
                </c:pt>
                <c:pt idx="73">
                  <c:v>255.08125423567679</c:v>
                </c:pt>
                <c:pt idx="74">
                  <c:v>251.79744487872864</c:v>
                </c:pt>
                <c:pt idx="75">
                  <c:v>248.59683473781826</c:v>
                </c:pt>
                <c:pt idx="76">
                  <c:v>245.47630140507243</c:v>
                </c:pt>
                <c:pt idx="77">
                  <c:v>242.43287678456159</c:v>
                </c:pt>
                <c:pt idx="78">
                  <c:v>239.46373767586405</c:v>
                </c:pt>
                <c:pt idx="79">
                  <c:v>236.56619703885005</c:v>
                </c:pt>
                <c:pt idx="80">
                  <c:v>233.73769588287243</c:v>
                </c:pt>
                <c:pt idx="81">
                  <c:v>230.9757957289076</c:v>
                </c:pt>
                <c:pt idx="82">
                  <c:v>228.27817159797462</c:v>
                </c:pt>
                <c:pt idx="83">
                  <c:v>225.64260548345857</c:v>
                </c:pt>
                <c:pt idx="84">
                  <c:v>223.06698026882015</c:v>
                </c:pt>
                <c:pt idx="85">
                  <c:v>220.54927405563436</c:v>
                </c:pt>
                <c:pt idx="86">
                  <c:v>218.08755487002182</c:v>
                </c:pt>
                <c:pt idx="87">
                  <c:v>215.67997571834786</c:v>
                </c:pt>
                <c:pt idx="88">
                  <c:v>213.32476996559342</c:v>
                </c:pt>
                <c:pt idx="89">
                  <c:v>211.02024701209689</c:v>
                </c:pt>
                <c:pt idx="90">
                  <c:v>208.76478824643164</c:v>
                </c:pt>
                <c:pt idx="91">
                  <c:v>206.55684325405946</c:v>
                </c:pt>
                <c:pt idx="92">
                  <c:v>204.39492626309755</c:v>
                </c:pt>
                <c:pt idx="93">
                  <c:v>202.27761281007605</c:v>
                </c:pt>
                <c:pt idx="94">
                  <c:v>200.20353660996395</c:v>
                </c:pt>
                <c:pt idx="95">
                  <c:v>198.17138661600902</c:v>
                </c:pt>
                <c:pt idx="96">
                  <c:v>196.17990425609864</c:v>
                </c:pt>
                <c:pt idx="97">
                  <c:v>194.22788083339756</c:v>
                </c:pt>
                <c:pt idx="98">
                  <c:v>192.31415507998463</c:v>
                </c:pt>
                <c:pt idx="99">
                  <c:v>190.43761085308063</c:v>
                </c:pt>
                <c:pt idx="100">
                  <c:v>188.59717496426779</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349.90540259073106</c:v>
                </c:pt>
                <c:pt idx="65">
                  <c:v>344.88978796581176</c:v>
                </c:pt>
                <c:pt idx="66">
                  <c:v>340.01455474909852</c:v>
                </c:pt>
                <c:pt idx="67">
                  <c:v>335.27357899318423</c:v>
                </c:pt>
                <c:pt idx="68">
                  <c:v>330.66278544098003</c:v>
                </c:pt>
                <c:pt idx="69">
                  <c:v>326.18058860196459</c:v>
                </c:pt>
                <c:pt idx="70">
                  <c:v>321.81303343594709</c:v>
                </c:pt>
                <c:pt idx="71">
                  <c:v>317.55852367454986</c:v>
                </c:pt>
                <c:pt idx="72">
                  <c:v>313.41773186797639</c:v>
                </c:pt>
                <c:pt idx="73">
                  <c:v>309.38335411508871</c:v>
                </c:pt>
                <c:pt idx="74">
                  <c:v>305.45134032893594</c:v>
                </c:pt>
                <c:pt idx="75">
                  <c:v>301.6178433745925</c:v>
                </c:pt>
                <c:pt idx="76">
                  <c:v>297.87920651390152</c:v>
                </c:pt>
                <c:pt idx="77">
                  <c:v>294.2319517708786</c:v>
                </c:pt>
                <c:pt idx="78">
                  <c:v>290.67276913996176</c:v>
                </c:pt>
                <c:pt idx="79">
                  <c:v>287.19850656672475</c:v>
                </c:pt>
                <c:pt idx="80">
                  <c:v>283.80616063730326</c:v>
                </c:pt>
                <c:pt idx="81">
                  <c:v>280.49286791873374</c:v>
                </c:pt>
                <c:pt idx="82">
                  <c:v>277.25589689772283</c:v>
                </c:pt>
                <c:pt idx="83">
                  <c:v>274.0926404701508</c:v>
                </c:pt>
                <c:pt idx="84">
                  <c:v>271.00060893790692</c:v>
                </c:pt>
                <c:pt idx="85">
                  <c:v>267.9774234735188</c:v>
                </c:pt>
                <c:pt idx="86">
                  <c:v>265.02081001652368</c:v>
                </c:pt>
                <c:pt idx="87">
                  <c:v>262.12859356866613</c:v>
                </c:pt>
                <c:pt idx="88">
                  <c:v>259.29869285784838</c:v>
                </c:pt>
                <c:pt idx="89">
                  <c:v>256.52911534331935</c:v>
                </c:pt>
                <c:pt idx="90">
                  <c:v>253.81795253691297</c:v>
                </c:pt>
                <c:pt idx="91">
                  <c:v>251.16337561724728</c:v>
                </c:pt>
                <c:pt idx="92">
                  <c:v>248.5636313157049</c:v>
                </c:pt>
                <c:pt idx="93">
                  <c:v>246.01703805474642</c:v>
                </c:pt>
                <c:pt idx="94">
                  <c:v>243.5219823206838</c:v>
                </c:pt>
                <c:pt idx="95">
                  <c:v>241.07691525447063</c:v>
                </c:pt>
                <c:pt idx="96">
                  <c:v>238.68034944537666</c:v>
                </c:pt>
                <c:pt idx="97">
                  <c:v>236.33085591359381</c:v>
                </c:pt>
                <c:pt idx="98">
                  <c:v>234.02706126891675</c:v>
                </c:pt>
                <c:pt idx="99">
                  <c:v>231.76764503362244</c:v>
                </c:pt>
                <c:pt idx="100">
                  <c:v>229.55133711858704</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6.0000029462797021E-3</c:v>
                </c:pt>
                <c:pt idx="1">
                  <c:v>1.3693101913739516E-2</c:v>
                </c:pt>
                <c:pt idx="2">
                  <c:v>2.7386203827479031E-2</c:v>
                </c:pt>
                <c:pt idx="3">
                  <c:v>4.1079305741218541E-2</c:v>
                </c:pt>
                <c:pt idx="4">
                  <c:v>5.4772407654958062E-2</c:v>
                </c:pt>
                <c:pt idx="5">
                  <c:v>6.8465509568697583E-2</c:v>
                </c:pt>
                <c:pt idx="6">
                  <c:v>8.2158611482437083E-2</c:v>
                </c:pt>
                <c:pt idx="7">
                  <c:v>9.5851713396176624E-2</c:v>
                </c:pt>
                <c:pt idx="8">
                  <c:v>0.10954481530991612</c:v>
                </c:pt>
                <c:pt idx="9">
                  <c:v>0.12323791722365565</c:v>
                </c:pt>
                <c:pt idx="10">
                  <c:v>0.13693101913739517</c:v>
                </c:pt>
                <c:pt idx="11">
                  <c:v>0.15062412105113465</c:v>
                </c:pt>
                <c:pt idx="12">
                  <c:v>0.16431722296487417</c:v>
                </c:pt>
                <c:pt idx="13">
                  <c:v>0.17659159861449511</c:v>
                </c:pt>
                <c:pt idx="14">
                  <c:v>0.18326808765812008</c:v>
                </c:pt>
                <c:pt idx="15">
                  <c:v>0.18971080604731752</c:v>
                </c:pt>
                <c:pt idx="16">
                  <c:v>0.19594278032451845</c:v>
                </c:pt>
                <c:pt idx="17">
                  <c:v>0.20198348808401065</c:v>
                </c:pt>
                <c:pt idx="18">
                  <c:v>0.20784957957753364</c:v>
                </c:pt>
                <c:pt idx="19">
                  <c:v>0.21355542096570027</c:v>
                </c:pt>
                <c:pt idx="20">
                  <c:v>0.21911351030590456</c:v>
                </c:pt>
                <c:pt idx="21">
                  <c:v>0.22453480092243377</c:v>
                </c:pt>
                <c:pt idx="22">
                  <c:v>0.22982895618058644</c:v>
                </c:pt>
                <c:pt idx="23">
                  <c:v>0.23500455265320938</c:v>
                </c:pt>
                <c:pt idx="24">
                  <c:v>0.24006924390891271</c:v>
                </c:pt>
                <c:pt idx="25">
                  <c:v>0.24502989386717247</c:v>
                </c:pt>
                <c:pt idx="26">
                  <c:v>0.24989268635887124</c:v>
                </c:pt>
                <c:pt idx="27">
                  <c:v>0.25466321588442337</c:v>
                </c:pt>
                <c:pt idx="28">
                  <c:v>0.25934656336911494</c:v>
                </c:pt>
                <c:pt idx="29">
                  <c:v>0.26394735983987183</c:v>
                </c:pt>
                <c:pt idx="30">
                  <c:v>0.26846984029703597</c:v>
                </c:pt>
                <c:pt idx="31">
                  <c:v>0.27291788956562463</c:v>
                </c:pt>
                <c:pt idx="32">
                  <c:v>0.27729508153897958</c:v>
                </c:pt>
                <c:pt idx="33">
                  <c:v>0.2816047129426526</c:v>
                </c:pt>
                <c:pt idx="34">
                  <c:v>0.28584983252568241</c:v>
                </c:pt>
                <c:pt idx="35">
                  <c:v>0.29003326641410848</c:v>
                </c:pt>
                <c:pt idx="36">
                  <c:v>0.29415764022594543</c:v>
                </c:pt>
                <c:pt idx="37">
                  <c:v>0.29822539843931428</c:v>
                </c:pt>
                <c:pt idx="38">
                  <c:v>0.30223882141956226</c:v>
                </c:pt>
                <c:pt idx="39">
                  <c:v>0.30620004044218796</c:v>
                </c:pt>
                <c:pt idx="40">
                  <c:v>0.3101110509925753</c:v>
                </c:pt>
                <c:pt idx="41">
                  <c:v>0.31397372457813072</c:v>
                </c:pt>
                <c:pt idx="42">
                  <c:v>0.3177898192512712</c:v>
                </c:pt>
                <c:pt idx="43">
                  <c:v>0.3215609890111627</c:v>
                </c:pt>
                <c:pt idx="44">
                  <c:v>0.32528879222686363</c:v>
                </c:pt>
                <c:pt idx="45">
                  <c:v>0.32897469920355904</c:v>
                </c:pt>
                <c:pt idx="46">
                  <c:v>0.33262009899608513</c:v>
                </c:pt>
                <c:pt idx="47">
                  <c:v>0.33622630555929184</c:v>
                </c:pt>
                <c:pt idx="48">
                  <c:v>0.33979456331246638</c:v>
                </c:pt>
                <c:pt idx="49">
                  <c:v>0.34332605218463425</c:v>
                </c:pt>
                <c:pt idx="50">
                  <c:v>0.34682189219872989</c:v>
                </c:pt>
                <c:pt idx="51">
                  <c:v>0.35028314764512852</c:v>
                </c:pt>
                <c:pt idx="52">
                  <c:v>0.35371083088862026</c:v>
                </c:pt>
                <c:pt idx="53">
                  <c:v>0.35710590584742402</c:v>
                </c:pt>
                <c:pt idx="54">
                  <c:v>0.36046929117812593</c:v>
                </c:pt>
                <c:pt idx="55">
                  <c:v>0.36380186319636526</c:v>
                </c:pt>
                <c:pt idx="56">
                  <c:v>0.36710445855957907</c:v>
                </c:pt>
                <c:pt idx="57">
                  <c:v>0.3703778767350796</c:v>
                </c:pt>
                <c:pt idx="58">
                  <c:v>0.37362288227409174</c:v>
                </c:pt>
                <c:pt idx="59">
                  <c:v>0.37684020691007586</c:v>
                </c:pt>
                <c:pt idx="60">
                  <c:v>0.38003055149765264</c:v>
                </c:pt>
                <c:pt idx="61">
                  <c:v>0.38319458780668275</c:v>
                </c:pt>
                <c:pt idx="62">
                  <c:v>0.38633296018451196</c:v>
                </c:pt>
                <c:pt idx="63">
                  <c:v>0.38944628709803109</c:v>
                </c:pt>
                <c:pt idx="64">
                  <c:v>0.39242906882478895</c:v>
                </c:pt>
                <c:pt idx="65">
                  <c:v>0.38982415553238742</c:v>
                </c:pt>
                <c:pt idx="66">
                  <c:v>0.38727630528637996</c:v>
                </c:pt>
                <c:pt idx="67">
                  <c:v>0.38478500519132286</c:v>
                </c:pt>
                <c:pt idx="68">
                  <c:v>0.38234145879486481</c:v>
                </c:pt>
                <c:pt idx="69">
                  <c:v>0.38049791785015546</c:v>
                </c:pt>
                <c:pt idx="70">
                  <c:v>0.38087903083464952</c:v>
                </c:pt>
                <c:pt idx="71">
                  <c:v>0.38124721783959553</c:v>
                </c:pt>
                <c:pt idx="72">
                  <c:v>0.38159925576031906</c:v>
                </c:pt>
                <c:pt idx="73">
                  <c:v>0.38194265565003843</c:v>
                </c:pt>
                <c:pt idx="74">
                  <c:v>0.38227774627928707</c:v>
                </c:pt>
                <c:pt idx="75">
                  <c:v>0.38260483994375583</c:v>
                </c:pt>
                <c:pt idx="76">
                  <c:v>0.38292423348347698</c:v>
                </c:pt>
                <c:pt idx="77">
                  <c:v>0.38323620922727308</c:v>
                </c:pt>
                <c:pt idx="78">
                  <c:v>0.38354103586878768</c:v>
                </c:pt>
                <c:pt idx="79">
                  <c:v>0.3838389692798107</c:v>
                </c:pt>
                <c:pt idx="80">
                  <c:v>0.38413025326607292</c:v>
                </c:pt>
                <c:pt idx="81">
                  <c:v>0.38441512027020208</c:v>
                </c:pt>
                <c:pt idx="82">
                  <c:v>0.38469379202610193</c:v>
                </c:pt>
                <c:pt idx="83">
                  <c:v>0.38496648016862339</c:v>
                </c:pt>
                <c:pt idx="84">
                  <c:v>0.38523338680205432</c:v>
                </c:pt>
                <c:pt idx="85">
                  <c:v>0.38549470503063382</c:v>
                </c:pt>
                <c:pt idx="86">
                  <c:v>0.38575061945402128</c:v>
                </c:pt>
                <c:pt idx="87">
                  <c:v>0.38600130663038879</c:v>
                </c:pt>
                <c:pt idx="88">
                  <c:v>0.38624693550958145</c:v>
                </c:pt>
                <c:pt idx="89">
                  <c:v>0.38648766783857552</c:v>
                </c:pt>
                <c:pt idx="90">
                  <c:v>0.3867236585412821</c:v>
                </c:pt>
                <c:pt idx="91">
                  <c:v>0.38695505607456898</c:v>
                </c:pt>
                <c:pt idx="92">
                  <c:v>0.38718200276222053</c:v>
                </c:pt>
                <c:pt idx="93">
                  <c:v>0.38740463510841455</c:v>
                </c:pt>
                <c:pt idx="94">
                  <c:v>0.38762308409216589</c:v>
                </c:pt>
                <c:pt idx="95">
                  <c:v>0.38783747544407299</c:v>
                </c:pt>
                <c:pt idx="96">
                  <c:v>0.38804792990659465</c:v>
                </c:pt>
                <c:pt idx="97">
                  <c:v>0.38825456347899018</c:v>
                </c:pt>
                <c:pt idx="98">
                  <c:v>0.38845748764796717</c:v>
                </c:pt>
                <c:pt idx="99">
                  <c:v>0.38865680960499893</c:v>
                </c:pt>
                <c:pt idx="100">
                  <c:v>0.38885263245120372</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7.5789520694108797E-3</c:v>
                </c:pt>
                <c:pt idx="1">
                  <c:v>1.7301239080339679E-2</c:v>
                </c:pt>
                <c:pt idx="2">
                  <c:v>3.4602478160679358E-2</c:v>
                </c:pt>
                <c:pt idx="3">
                  <c:v>5.1903717241019033E-2</c:v>
                </c:pt>
                <c:pt idx="4">
                  <c:v>6.9204956321358715E-2</c:v>
                </c:pt>
                <c:pt idx="5">
                  <c:v>8.6506195401698405E-2</c:v>
                </c:pt>
                <c:pt idx="6">
                  <c:v>0.10380743448203807</c:v>
                </c:pt>
                <c:pt idx="7">
                  <c:v>0.12110867356237777</c:v>
                </c:pt>
                <c:pt idx="8">
                  <c:v>0.13840991264271743</c:v>
                </c:pt>
                <c:pt idx="9">
                  <c:v>0.15571115172305713</c:v>
                </c:pt>
                <c:pt idx="10">
                  <c:v>0.17301239080339681</c:v>
                </c:pt>
                <c:pt idx="11">
                  <c:v>0.19031362988373646</c:v>
                </c:pt>
                <c:pt idx="12">
                  <c:v>0.20761486896407613</c:v>
                </c:pt>
                <c:pt idx="13">
                  <c:v>0.223124006532675</c:v>
                </c:pt>
                <c:pt idx="14">
                  <c:v>0.23156216059980911</c:v>
                </c:pt>
                <c:pt idx="15">
                  <c:v>0.23970502615110306</c:v>
                </c:pt>
                <c:pt idx="16">
                  <c:v>0.24758168932069763</c:v>
                </c:pt>
                <c:pt idx="17">
                  <c:v>0.25521675336322763</c:v>
                </c:pt>
                <c:pt idx="18">
                  <c:v>0.26263125015527367</c:v>
                </c:pt>
                <c:pt idx="19">
                  <c:v>0.26984332640740005</c:v>
                </c:pt>
                <c:pt idx="20">
                  <c:v>0.27686876912233532</c:v>
                </c:pt>
                <c:pt idx="21">
                  <c:v>0.28372141406229173</c:v>
                </c:pt>
                <c:pt idx="22">
                  <c:v>0.29041346756874764</c:v>
                </c:pt>
                <c:pt idx="23">
                  <c:v>0.29695576319373024</c:v>
                </c:pt>
                <c:pt idx="24">
                  <c:v>0.30335796859008057</c:v>
                </c:pt>
                <c:pt idx="25">
                  <c:v>0.30962875395990935</c:v>
                </c:pt>
                <c:pt idx="26">
                  <c:v>0.31577593044677738</c:v>
                </c:pt>
                <c:pt idx="27">
                  <c:v>0.32180656477746655</c:v>
                </c:pt>
                <c:pt idx="28">
                  <c:v>0.32772707495287556</c:v>
                </c:pt>
                <c:pt idx="29">
                  <c:v>0.33354331068177745</c:v>
                </c:pt>
                <c:pt idx="30">
                  <c:v>0.33926062142933266</c:v>
                </c:pt>
                <c:pt idx="31">
                  <c:v>0.34488391433442761</c:v>
                </c:pt>
                <c:pt idx="32">
                  <c:v>0.35041770378056319</c:v>
                </c:pt>
                <c:pt idx="33">
                  <c:v>0.35586615404494032</c:v>
                </c:pt>
                <c:pt idx="34">
                  <c:v>0.36123311617162318</c:v>
                </c:pt>
                <c:pt idx="35">
                  <c:v>0.36652215999700383</c:v>
                </c:pt>
                <c:pt idx="36">
                  <c:v>0.371736602084483</c:v>
                </c:pt>
                <c:pt idx="37">
                  <c:v>0.37687953018945719</c:v>
                </c:pt>
                <c:pt idx="38">
                  <c:v>0.38195382476723994</c:v>
                </c:pt>
                <c:pt idx="39">
                  <c:v>0.38696217794937116</c:v>
                </c:pt>
                <c:pt idx="40">
                  <c:v>0.39190711034326475</c:v>
                </c:pt>
                <c:pt idx="41">
                  <c:v>0.39679098595278955</c:v>
                </c:pt>
                <c:pt idx="42">
                  <c:v>0.40161602547045</c:v>
                </c:pt>
                <c:pt idx="43">
                  <c:v>0.40638431815325537</c:v>
                </c:pt>
                <c:pt idx="44">
                  <c:v>0.41109783246246856</c:v>
                </c:pt>
                <c:pt idx="45">
                  <c:v>0.41575842562094401</c:v>
                </c:pt>
                <c:pt idx="46">
                  <c:v>0.42036785221967576</c:v>
                </c:pt>
                <c:pt idx="47">
                  <c:v>0.42492777198666792</c:v>
                </c:pt>
                <c:pt idx="48">
                  <c:v>0.42943975681567187</c:v>
                </c:pt>
                <c:pt idx="49">
                  <c:v>0.43390529713919096</c:v>
                </c:pt>
                <c:pt idx="50">
                  <c:v>0.43832580771900437</c:v>
                </c:pt>
                <c:pt idx="51">
                  <c:v>0.44270263291799111</c:v>
                </c:pt>
                <c:pt idx="52">
                  <c:v>0.44703705150893253</c:v>
                </c:pt>
                <c:pt idx="53">
                  <c:v>0.44485831567801593</c:v>
                </c:pt>
                <c:pt idx="54">
                  <c:v>0.44129676218241048</c:v>
                </c:pt>
                <c:pt idx="55">
                  <c:v>0.43782895400449268</c:v>
                </c:pt>
                <c:pt idx="56">
                  <c:v>0.434442020812639</c:v>
                </c:pt>
                <c:pt idx="57">
                  <c:v>0.43454381813134468</c:v>
                </c:pt>
                <c:pt idx="58">
                  <c:v>0.43506024276235206</c:v>
                </c:pt>
                <c:pt idx="59">
                  <c:v>0.43554889864019103</c:v>
                </c:pt>
                <c:pt idx="60">
                  <c:v>0.43602291702851081</c:v>
                </c:pt>
                <c:pt idx="61">
                  <c:v>0.43648297417239879</c:v>
                </c:pt>
                <c:pt idx="62">
                  <c:v>0.43692970529365754</c:v>
                </c:pt>
                <c:pt idx="63">
                  <c:v>0.43736370765509319</c:v>
                </c:pt>
                <c:pt idx="64">
                  <c:v>0.43778554335417774</c:v>
                </c:pt>
                <c:pt idx="65">
                  <c:v>0.43819574187356503</c:v>
                </c:pt>
                <c:pt idx="66">
                  <c:v>0.43859480241279547</c:v>
                </c:pt>
                <c:pt idx="67">
                  <c:v>0.43898319602278374</c:v>
                </c:pt>
                <c:pt idx="68">
                  <c:v>0.43936136756227701</c:v>
                </c:pt>
                <c:pt idx="69">
                  <c:v>0.43972973749337124</c:v>
                </c:pt>
                <c:pt idx="70">
                  <c:v>0.44008870353132401</c:v>
                </c:pt>
                <c:pt idx="71">
                  <c:v>0.44043864216227052</c:v>
                </c:pt>
                <c:pt idx="72">
                  <c:v>0.44077991004102263</c:v>
                </c:pt>
                <c:pt idx="73">
                  <c:v>0.44111284527986022</c:v>
                </c:pt>
                <c:pt idx="74">
                  <c:v>0.44143776863810547</c:v>
                </c:pt>
                <c:pt idx="75">
                  <c:v>0.44175498462127843</c:v>
                </c:pt>
                <c:pt idx="76">
                  <c:v>0.44206478249775211</c:v>
                </c:pt>
                <c:pt idx="77">
                  <c:v>0.44236743724003941</c:v>
                </c:pt>
                <c:pt idx="78">
                  <c:v>0.44266321039715761</c:v>
                </c:pt>
                <c:pt idx="79">
                  <c:v>0.44295235090387874</c:v>
                </c:pt>
                <c:pt idx="80">
                  <c:v>0.44323509583213505</c:v>
                </c:pt>
                <c:pt idx="81">
                  <c:v>0.44351167108934531</c:v>
                </c:pt>
                <c:pt idx="82">
                  <c:v>0.44378229206798608</c:v>
                </c:pt>
                <c:pt idx="83">
                  <c:v>0.4440471642503302</c:v>
                </c:pt>
                <c:pt idx="84">
                  <c:v>0.44430648377192733</c:v>
                </c:pt>
                <c:pt idx="85">
                  <c:v>0.44456043794706784</c:v>
                </c:pt>
                <c:pt idx="86">
                  <c:v>0.44480920575919264</c:v>
                </c:pt>
                <c:pt idx="87">
                  <c:v>0.44505295831894548</c:v>
                </c:pt>
                <c:pt idx="88">
                  <c:v>0.44529185929233372</c:v>
                </c:pt>
                <c:pt idx="89">
                  <c:v>0.44552606530124428</c:v>
                </c:pt>
                <c:pt idx="90">
                  <c:v>0.44575572629838095</c:v>
                </c:pt>
                <c:pt idx="91">
                  <c:v>0.44598098591850377</c:v>
                </c:pt>
                <c:pt idx="92">
                  <c:v>0.44620198180770226</c:v>
                </c:pt>
                <c:pt idx="93">
                  <c:v>0.44641884593228925</c:v>
                </c:pt>
                <c:pt idx="94">
                  <c:v>0.44663170486876863</c:v>
                </c:pt>
                <c:pt idx="95">
                  <c:v>0.44684068007622008</c:v>
                </c:pt>
                <c:pt idx="96">
                  <c:v>0.4470458881523301</c:v>
                </c:pt>
                <c:pt idx="97">
                  <c:v>0.44724744107420289</c:v>
                </c:pt>
                <c:pt idx="98">
                  <c:v>0.44744544642499884</c:v>
                </c:pt>
                <c:pt idx="99">
                  <c:v>0.44764000760736117</c:v>
                </c:pt>
                <c:pt idx="100">
                  <c:v>0.44783122404452397</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2.4000004714046135E-3</c:v>
                </c:pt>
                <c:pt idx="1">
                  <c:v>5.47385810283993E-3</c:v>
                </c:pt>
                <c:pt idx="2">
                  <c:v>1.094771620567986E-2</c:v>
                </c:pt>
                <c:pt idx="3">
                  <c:v>1.6421574308519791E-2</c:v>
                </c:pt>
                <c:pt idx="4">
                  <c:v>2.189543241135972E-2</c:v>
                </c:pt>
                <c:pt idx="5">
                  <c:v>2.7369290514199653E-2</c:v>
                </c:pt>
                <c:pt idx="6">
                  <c:v>3.2843148617039582E-2</c:v>
                </c:pt>
                <c:pt idx="7">
                  <c:v>3.8317006719879518E-2</c:v>
                </c:pt>
                <c:pt idx="8">
                  <c:v>4.379086482271944E-2</c:v>
                </c:pt>
                <c:pt idx="9">
                  <c:v>4.9264722925559376E-2</c:v>
                </c:pt>
                <c:pt idx="10">
                  <c:v>5.4738581028399305E-2</c:v>
                </c:pt>
                <c:pt idx="11">
                  <c:v>6.0212439131239227E-2</c:v>
                </c:pt>
                <c:pt idx="12">
                  <c:v>6.5686297234079163E-2</c:v>
                </c:pt>
                <c:pt idx="13">
                  <c:v>7.0592684049852333E-2</c:v>
                </c:pt>
                <c:pt idx="14">
                  <c:v>7.3259895074601095E-2</c:v>
                </c:pt>
                <c:pt idx="15">
                  <c:v>7.5833597478614345E-2</c:v>
                </c:pt>
                <c:pt idx="16">
                  <c:v>7.8323001891011088E-2</c:v>
                </c:pt>
                <c:pt idx="17">
                  <c:v>8.0735899360493607E-2</c:v>
                </c:pt>
                <c:pt idx="18">
                  <c:v>8.3078949997759111E-2</c:v>
                </c:pt>
                <c:pt idx="19">
                  <c:v>8.5357900276207335E-2</c:v>
                </c:pt>
                <c:pt idx="20">
                  <c:v>8.7577749427217202E-2</c:v>
                </c:pt>
                <c:pt idx="21">
                  <c:v>8.9742878788284186E-2</c:v>
                </c:pt>
                <c:pt idx="22">
                  <c:v>9.185715371274529E-2</c:v>
                </c:pt>
                <c:pt idx="23">
                  <c:v>9.3924004836458422E-2</c:v>
                </c:pt>
                <c:pt idx="24">
                  <c:v>9.5946493593143375E-2</c:v>
                </c:pt>
                <c:pt idx="25">
                  <c:v>9.7927365556469484E-2</c:v>
                </c:pt>
                <c:pt idx="26">
                  <c:v>9.9869094264312133E-2</c:v>
                </c:pt>
                <c:pt idx="27">
                  <c:v>0.10177391752203746</c:v>
                </c:pt>
                <c:pt idx="28">
                  <c:v>0.10364386770466844</c:v>
                </c:pt>
                <c:pt idx="29">
                  <c:v>0.10548079722761849</c:v>
                </c:pt>
                <c:pt idx="30">
                  <c:v>0.10728640009542502</c:v>
                </c:pt>
                <c:pt idx="31">
                  <c:v>0.10906223024227354</c:v>
                </c:pt>
                <c:pt idx="32">
                  <c:v>0.1108097172294755</c:v>
                </c:pt>
                <c:pt idx="33">
                  <c:v>0.11253017975103831</c:v>
                </c:pt>
                <c:pt idx="34">
                  <c:v>0.11422483731019076</c:v>
                </c:pt>
                <c:pt idx="35">
                  <c:v>0.11589482036080123</c:v>
                </c:pt>
                <c:pt idx="36">
                  <c:v>0.11754117915337904</c:v>
                </c:pt>
                <c:pt idx="37">
                  <c:v>0.1191648914823375</c:v>
                </c:pt>
                <c:pt idx="38">
                  <c:v>0.120766869496851</c:v>
                </c:pt>
                <c:pt idx="39">
                  <c:v>0.12234796571003398</c:v>
                </c:pt>
                <c:pt idx="40">
                  <c:v>0.123908978318842</c:v>
                </c:pt>
                <c:pt idx="41">
                  <c:v>0.12545065592893401</c:v>
                </c:pt>
                <c:pt idx="42">
                  <c:v>0.12697370176387368</c:v>
                </c:pt>
                <c:pt idx="43">
                  <c:v>0.12847877742583114</c:v>
                </c:pt>
                <c:pt idx="44">
                  <c:v>0.12996650626484549</c:v>
                </c:pt>
                <c:pt idx="45">
                  <c:v>0.13143747640532372</c:v>
                </c:pt>
                <c:pt idx="46">
                  <c:v>0.13289224347145501</c:v>
                </c:pt>
                <c:pt idx="47">
                  <c:v>0.13433133304736014</c:v>
                </c:pt>
                <c:pt idx="48">
                  <c:v>0.13575524290286475</c:v>
                </c:pt>
                <c:pt idx="49">
                  <c:v>0.13716444501162348</c:v>
                </c:pt>
                <c:pt idx="50">
                  <c:v>0.13855938738479162</c:v>
                </c:pt>
                <c:pt idx="51">
                  <c:v>0.13994049574044115</c:v>
                </c:pt>
                <c:pt idx="52">
                  <c:v>0.14130817502635293</c:v>
                </c:pt>
                <c:pt idx="53">
                  <c:v>0.14266281081162552</c:v>
                </c:pt>
                <c:pt idx="54">
                  <c:v>0.14400477056065278</c:v>
                </c:pt>
                <c:pt idx="55">
                  <c:v>0.14533440480140056</c:v>
                </c:pt>
                <c:pt idx="56">
                  <c:v>0.14665204819850725</c:v>
                </c:pt>
                <c:pt idx="57">
                  <c:v>0.14795802054051635</c:v>
                </c:pt>
                <c:pt idx="58">
                  <c:v>0.1492526276494936</c:v>
                </c:pt>
                <c:pt idx="59">
                  <c:v>0.15053616222035818</c:v>
                </c:pt>
                <c:pt idx="60">
                  <c:v>0.15180890459645399</c:v>
                </c:pt>
                <c:pt idx="61">
                  <c:v>0.15307112348718355</c:v>
                </c:pt>
                <c:pt idx="62">
                  <c:v>0.15432307663290731</c:v>
                </c:pt>
                <c:pt idx="63">
                  <c:v>0.15556501142176915</c:v>
                </c:pt>
                <c:pt idx="64">
                  <c:v>0.15679716546262962</c:v>
                </c:pt>
                <c:pt idx="65">
                  <c:v>0.15801976711786389</c:v>
                </c:pt>
                <c:pt idx="66">
                  <c:v>0.15923303599940972</c:v>
                </c:pt>
                <c:pt idx="67">
                  <c:v>0.16043718343111535</c:v>
                </c:pt>
                <c:pt idx="68">
                  <c:v>0.16163241288014529</c:v>
                </c:pt>
                <c:pt idx="69">
                  <c:v>0.1628189203599372</c:v>
                </c:pt>
                <c:pt idx="70">
                  <c:v>0.16399689480696991</c:v>
                </c:pt>
                <c:pt idx="71">
                  <c:v>0.1651665184333935</c:v>
                </c:pt>
                <c:pt idx="72">
                  <c:v>0.16632796705738478</c:v>
                </c:pt>
                <c:pt idx="73">
                  <c:v>0.16748141041292428</c:v>
                </c:pt>
                <c:pt idx="74">
                  <c:v>0.16862701244054001</c:v>
                </c:pt>
                <c:pt idx="75">
                  <c:v>0.16976493156042796</c:v>
                </c:pt>
                <c:pt idx="76">
                  <c:v>0.17089532092923815</c:v>
                </c:pt>
                <c:pt idx="77">
                  <c:v>0.17201832868170386</c:v>
                </c:pt>
                <c:pt idx="78">
                  <c:v>0.17313409815819383</c:v>
                </c:pt>
                <c:pt idx="79">
                  <c:v>0.17424276811917705</c:v>
                </c:pt>
                <c:pt idx="80">
                  <c:v>0.17534447294750802</c:v>
                </c:pt>
                <c:pt idx="81">
                  <c:v>0.17643934283936802</c:v>
                </c:pt>
                <c:pt idx="82">
                  <c:v>0.17752750398462969</c:v>
                </c:pt>
                <c:pt idx="83">
                  <c:v>0.17860907873735285</c:v>
                </c:pt>
                <c:pt idx="84">
                  <c:v>0.17968418577706349</c:v>
                </c:pt>
                <c:pt idx="85">
                  <c:v>0.18075294026141731</c:v>
                </c:pt>
                <c:pt idx="86">
                  <c:v>0.18181545397080379</c:v>
                </c:pt>
                <c:pt idx="87">
                  <c:v>0.18287183544540594</c:v>
                </c:pt>
                <c:pt idx="88">
                  <c:v>0.18392219011518926</c:v>
                </c:pt>
                <c:pt idx="89">
                  <c:v>0.18496662042326226</c:v>
                </c:pt>
                <c:pt idx="90">
                  <c:v>0.18600522594301708</c:v>
                </c:pt>
                <c:pt idx="91">
                  <c:v>0.18703810348942765</c:v>
                </c:pt>
                <c:pt idx="92">
                  <c:v>0.1880653472248599</c:v>
                </c:pt>
                <c:pt idx="93">
                  <c:v>0.18908704875971921</c:v>
                </c:pt>
                <c:pt idx="94">
                  <c:v>0.19010329724824093</c:v>
                </c:pt>
                <c:pt idx="95">
                  <c:v>0.1911141794797066</c:v>
                </c:pt>
                <c:pt idx="96">
                  <c:v>0.19211977996535118</c:v>
                </c:pt>
                <c:pt idx="97">
                  <c:v>0.19312018102120571</c:v>
                </c:pt>
                <c:pt idx="98">
                  <c:v>0.19411546284710726</c:v>
                </c:pt>
                <c:pt idx="99">
                  <c:v>0.19510570360208915</c:v>
                </c:pt>
                <c:pt idx="100">
                  <c:v>0.19609097947635354</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2.0554863678125965</c:v>
                </c:pt>
                <c:pt idx="55">
                  <c:v>2.0744828962351693</c:v>
                </c:pt>
                <c:pt idx="56">
                  <c:v>2.0933095851916934</c:v>
                </c:pt>
                <c:pt idx="57">
                  <c:v>2.1287268296444748</c:v>
                </c:pt>
                <c:pt idx="58">
                  <c:v>2.1661996549536782</c:v>
                </c:pt>
                <c:pt idx="59">
                  <c:v>2.2036330224359197</c:v>
                </c:pt>
                <c:pt idx="60">
                  <c:v>2.2410692850260086</c:v>
                </c:pt>
                <c:pt idx="61">
                  <c:v>2.2785084431480338</c:v>
                </c:pt>
                <c:pt idx="62">
                  <c:v>2.315950497226372</c:v>
                </c:pt>
                <c:pt idx="63">
                  <c:v>2.3533954476856729</c:v>
                </c:pt>
                <c:pt idx="64">
                  <c:v>2.3908432949508418</c:v>
                </c:pt>
                <c:pt idx="65">
                  <c:v>2.4282940394470276</c:v>
                </c:pt>
                <c:pt idx="66">
                  <c:v>2.4657476815996069</c:v>
                </c:pt>
                <c:pt idx="67">
                  <c:v>2.5032042218341766</c:v>
                </c:pt>
                <c:pt idx="68">
                  <c:v>2.5406636605765436</c:v>
                </c:pt>
                <c:pt idx="69">
                  <c:v>2.578125998252712</c:v>
                </c:pt>
                <c:pt idx="70">
                  <c:v>2.615591235288881</c:v>
                </c:pt>
                <c:pt idx="71">
                  <c:v>2.6530593721114282</c:v>
                </c:pt>
                <c:pt idx="72">
                  <c:v>2.6905304091469109</c:v>
                </c:pt>
                <c:pt idx="73">
                  <c:v>2.7280043468220549</c:v>
                </c:pt>
                <c:pt idx="74">
                  <c:v>2.7654811855637513</c:v>
                </c:pt>
                <c:pt idx="75">
                  <c:v>2.8029609257990478</c:v>
                </c:pt>
                <c:pt idx="76">
                  <c:v>2.8404435679551483</c:v>
                </c:pt>
                <c:pt idx="77">
                  <c:v>2.8779291124594026</c:v>
                </c:pt>
                <c:pt idx="78">
                  <c:v>2.9154175597393084</c:v>
                </c:pt>
                <c:pt idx="79">
                  <c:v>2.9529089102225017</c:v>
                </c:pt>
                <c:pt idx="80">
                  <c:v>2.9904031643367568</c:v>
                </c:pt>
                <c:pt idx="81">
                  <c:v>3.0279003225099834</c:v>
                </c:pt>
                <c:pt idx="82">
                  <c:v>3.065400385170217</c:v>
                </c:pt>
                <c:pt idx="83">
                  <c:v>3.1029033527456282</c:v>
                </c:pt>
                <c:pt idx="84">
                  <c:v>3.1404092256645093</c:v>
                </c:pt>
                <c:pt idx="85">
                  <c:v>3.1779180043552744</c:v>
                </c:pt>
                <c:pt idx="86">
                  <c:v>3.2154296892464616</c:v>
                </c:pt>
                <c:pt idx="87">
                  <c:v>3.2529442807667226</c:v>
                </c:pt>
                <c:pt idx="88">
                  <c:v>3.2904617793448319</c:v>
                </c:pt>
                <c:pt idx="89">
                  <c:v>3.3279821854096738</c:v>
                </c:pt>
                <c:pt idx="90">
                  <c:v>3.3655054993902498</c:v>
                </c:pt>
                <c:pt idx="91">
                  <c:v>3.4030317217156698</c:v>
                </c:pt>
                <c:pt idx="92">
                  <c:v>3.4405608528151546</c:v>
                </c:pt>
                <c:pt idx="93">
                  <c:v>3.4780928931180344</c:v>
                </c:pt>
                <c:pt idx="94">
                  <c:v>3.5156278430537458</c:v>
                </c:pt>
                <c:pt idx="95">
                  <c:v>3.5531657030518331</c:v>
                </c:pt>
                <c:pt idx="96">
                  <c:v>3.5907064735419434</c:v>
                </c:pt>
                <c:pt idx="97">
                  <c:v>3.628250154953832</c:v>
                </c:pt>
                <c:pt idx="98">
                  <c:v>3.6657967477173519</c:v>
                </c:pt>
                <c:pt idx="99">
                  <c:v>3.7033462522624618</c:v>
                </c:pt>
                <c:pt idx="100">
                  <c:v>3.7408986690192205</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2.2726459256632574</c:v>
                </c:pt>
                <c:pt idx="67">
                  <c:v>2.2898462523379277</c:v>
                </c:pt>
                <c:pt idx="68">
                  <c:v>2.3069201666584371</c:v>
                </c:pt>
                <c:pt idx="69">
                  <c:v>2.3273264418314712</c:v>
                </c:pt>
                <c:pt idx="70">
                  <c:v>2.3611324355894752</c:v>
                </c:pt>
                <c:pt idx="71">
                  <c:v>2.3949556060058117</c:v>
                </c:pt>
                <c:pt idx="72">
                  <c:v>2.4287524859753225</c:v>
                </c:pt>
                <c:pt idx="73">
                  <c:v>2.4625511801113587</c:v>
                </c:pt>
                <c:pt idx="74">
                  <c:v>2.4963516886042409</c:v>
                </c:pt>
                <c:pt idx="75">
                  <c:v>2.5301540116443721</c:v>
                </c:pt>
                <c:pt idx="76">
                  <c:v>2.5639581494222372</c:v>
                </c:pt>
                <c:pt idx="77">
                  <c:v>2.5977641021283993</c:v>
                </c:pt>
                <c:pt idx="78">
                  <c:v>2.6315718699534942</c:v>
                </c:pt>
                <c:pt idx="79">
                  <c:v>2.6653814530882287</c:v>
                </c:pt>
                <c:pt idx="80">
                  <c:v>2.6991928517233776</c:v>
                </c:pt>
                <c:pt idx="81">
                  <c:v>2.7330060660497812</c:v>
                </c:pt>
                <c:pt idx="82">
                  <c:v>2.7668210962583437</c:v>
                </c:pt>
                <c:pt idx="83">
                  <c:v>2.8006379425400287</c:v>
                </c:pt>
                <c:pt idx="84">
                  <c:v>2.8344566050858604</c:v>
                </c:pt>
                <c:pt idx="85">
                  <c:v>2.8682770840869192</c:v>
                </c:pt>
                <c:pt idx="86">
                  <c:v>2.9020993797343384</c:v>
                </c:pt>
                <c:pt idx="87">
                  <c:v>2.9359234922193078</c:v>
                </c:pt>
                <c:pt idx="88">
                  <c:v>2.9697494217330673</c:v>
                </c:pt>
                <c:pt idx="89">
                  <c:v>3.0035771684669084</c:v>
                </c:pt>
                <c:pt idx="90">
                  <c:v>3.0374067326121703</c:v>
                </c:pt>
                <c:pt idx="91">
                  <c:v>3.0712381143602414</c:v>
                </c:pt>
                <c:pt idx="92">
                  <c:v>3.1050713139025565</c:v>
                </c:pt>
                <c:pt idx="93">
                  <c:v>3.1389063314305958</c:v>
                </c:pt>
                <c:pt idx="94">
                  <c:v>3.172743167135883</c:v>
                </c:pt>
                <c:pt idx="95">
                  <c:v>3.2065818212099888</c:v>
                </c:pt>
                <c:pt idx="96">
                  <c:v>3.240422293844524</c:v>
                </c:pt>
                <c:pt idx="97">
                  <c:v>3.2742645852311414</c:v>
                </c:pt>
                <c:pt idx="98">
                  <c:v>3.3081086955615362</c:v>
                </c:pt>
                <c:pt idx="99">
                  <c:v>3.3419546250274439</c:v>
                </c:pt>
                <c:pt idx="100">
                  <c:v>3.3758023738206386</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2.272632230073965</c:v>
                </c:pt>
                <c:pt idx="67">
                  <c:v>2.2898021009058036</c:v>
                </c:pt>
                <c:pt idx="68">
                  <c:v>2.3068445712734049</c:v>
                </c:pt>
                <c:pt idx="69">
                  <c:v>2.3237624413739795</c:v>
                </c:pt>
                <c:pt idx="70">
                  <c:v>2.3405584103052113</c:v>
                </c:pt>
                <c:pt idx="71">
                  <c:v>2.3572350811028344</c:v>
                </c:pt>
                <c:pt idx="72">
                  <c:v>2.3737949654600015</c:v>
                </c:pt>
                <c:pt idx="73">
                  <c:v>2.3902404881526724</c:v>
                </c:pt>
                <c:pt idx="74">
                  <c:v>2.4065739911931003</c:v>
                </c:pt>
                <c:pt idx="75">
                  <c:v>2.4227977377315577</c:v>
                </c:pt>
                <c:pt idx="76">
                  <c:v>2.4389139157247088</c:v>
                </c:pt>
                <c:pt idx="77">
                  <c:v>2.4549246413874624</c:v>
                </c:pt>
                <c:pt idx="78">
                  <c:v>2.4708319624437181</c:v>
                </c:pt>
                <c:pt idx="79">
                  <c:v>2.4866378611901507</c:v>
                </c:pt>
                <c:pt idx="80">
                  <c:v>2.5023442573860066</c:v>
                </c:pt>
                <c:pt idx="81">
                  <c:v>2.5179530109808335</c:v>
                </c:pt>
                <c:pt idx="82">
                  <c:v>2.5334659246911246</c:v>
                </c:pt>
                <c:pt idx="83">
                  <c:v>2.5488847464359727</c:v>
                </c:pt>
                <c:pt idx="84">
                  <c:v>2.5642111716410576</c:v>
                </c:pt>
                <c:pt idx="85">
                  <c:v>2.5794468454195569</c:v>
                </c:pt>
                <c:pt idx="86">
                  <c:v>2.5945933646379222</c:v>
                </c:pt>
                <c:pt idx="87">
                  <c:v>2.6096522798738735</c:v>
                </c:pt>
                <c:pt idx="88">
                  <c:v>2.6246250972733884</c:v>
                </c:pt>
                <c:pt idx="89">
                  <c:v>2.6395132803130017</c:v>
                </c:pt>
                <c:pt idx="90">
                  <c:v>2.6543182514732324</c:v>
                </c:pt>
                <c:pt idx="91">
                  <c:v>2.6690413938285746</c:v>
                </c:pt>
                <c:pt idx="92">
                  <c:v>2.6836840525590593</c:v>
                </c:pt>
                <c:pt idx="93">
                  <c:v>2.6982475363880867</c:v>
                </c:pt>
                <c:pt idx="94">
                  <c:v>2.7127331189508572</c:v>
                </c:pt>
                <c:pt idx="95">
                  <c:v>2.7271420400974686</c:v>
                </c:pt>
                <c:pt idx="96">
                  <c:v>2.7414755071344414</c:v>
                </c:pt>
                <c:pt idx="97">
                  <c:v>2.7557346960081914</c:v>
                </c:pt>
                <c:pt idx="98">
                  <c:v>2.769920752433745</c:v>
                </c:pt>
                <c:pt idx="99">
                  <c:v>2.7840347929717417</c:v>
                </c:pt>
                <c:pt idx="100">
                  <c:v>2.7980779060566134</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1.0156331580418569</c:v>
                </c:pt>
                <c:pt idx="2">
                  <c:v>1.0312663160837139</c:v>
                </c:pt>
                <c:pt idx="3">
                  <c:v>1.0468994741255706</c:v>
                </c:pt>
                <c:pt idx="4">
                  <c:v>1.0625326321674275</c:v>
                </c:pt>
                <c:pt idx="5">
                  <c:v>1.0781657902092845</c:v>
                </c:pt>
                <c:pt idx="6">
                  <c:v>1.0937989482511414</c:v>
                </c:pt>
                <c:pt idx="7">
                  <c:v>1.1094321062929984</c:v>
                </c:pt>
                <c:pt idx="8">
                  <c:v>1.1250652643348551</c:v>
                </c:pt>
                <c:pt idx="9">
                  <c:v>1.140698422376712</c:v>
                </c:pt>
                <c:pt idx="10">
                  <c:v>1.156331580418569</c:v>
                </c:pt>
                <c:pt idx="11">
                  <c:v>1.1719647384604259</c:v>
                </c:pt>
                <c:pt idx="12">
                  <c:v>1.1875978965022829</c:v>
                </c:pt>
                <c:pt idx="13">
                  <c:v>1.2059620193802416</c:v>
                </c:pt>
                <c:pt idx="14">
                  <c:v>1.2341626352943458</c:v>
                </c:pt>
                <c:pt idx="15">
                  <c:v>1.26137374084176</c:v>
                </c:pt>
                <c:pt idx="16">
                  <c:v>1.2876928030363832</c:v>
                </c:pt>
                <c:pt idx="17">
                  <c:v>1.313202266873392</c:v>
                </c:pt>
                <c:pt idx="18">
                  <c:v>1.3379726097468512</c:v>
                </c:pt>
                <c:pt idx="19">
                  <c:v>1.3620646409285522</c:v>
                </c:pt>
                <c:pt idx="20">
                  <c:v>1.3855312623649523</c:v>
                </c:pt>
                <c:pt idx="21">
                  <c:v>1.4084188374408355</c:v>
                </c:pt>
                <c:pt idx="22">
                  <c:v>1.4307682693893473</c:v>
                </c:pt>
                <c:pt idx="23">
                  <c:v>1.4526158612570657</c:v>
                </c:pt>
                <c:pt idx="24">
                  <c:v>1.4739940091882087</c:v>
                </c:pt>
                <c:pt idx="25">
                  <c:v>1.4949317668913202</c:v>
                </c:pt>
                <c:pt idx="26">
                  <c:v>1.5154553093881482</c:v>
                </c:pt>
                <c:pt idx="27">
                  <c:v>1.5355883171754947</c:v>
                </c:pt>
                <c:pt idx="28">
                  <c:v>1.5553522968831588</c:v>
                </c:pt>
                <c:pt idx="29">
                  <c:v>1.5747668508055914</c:v>
                </c:pt>
                <c:pt idx="30">
                  <c:v>1.5938499049308974</c:v>
                </c:pt>
                <c:pt idx="31">
                  <c:v>1.6126179030205212</c:v>
                </c:pt>
                <c:pt idx="32">
                  <c:v>1.6310859727201805</c:v>
                </c:pt>
                <c:pt idx="33">
                  <c:v>1.649268068476005</c:v>
                </c:pt>
                <c:pt idx="34">
                  <c:v>1.6671770950956963</c:v>
                </c:pt>
                <c:pt idx="35">
                  <c:v>1.6848250150651645</c:v>
                </c:pt>
                <c:pt idx="36">
                  <c:v>1.7022229421570456</c:v>
                </c:pt>
                <c:pt idx="37">
                  <c:v>1.7193812234123547</c:v>
                </c:pt>
                <c:pt idx="38">
                  <c:v>1.7363095112130784</c:v>
                </c:pt>
                <c:pt idx="39">
                  <c:v>1.7530168268713961</c:v>
                </c:pt>
                <c:pt idx="40">
                  <c:v>1.7695116169249583</c:v>
                </c:pt>
                <c:pt idx="41">
                  <c:v>1.7858018031354466</c:v>
                </c:pt>
                <c:pt idx="42">
                  <c:v>1.8018948270304134</c:v>
                </c:pt>
                <c:pt idx="43">
                  <c:v>1.8177976896990817</c:v>
                </c:pt>
                <c:pt idx="44">
                  <c:v>1.8335169874459374</c:v>
                </c:pt>
                <c:pt idx="45">
                  <c:v>1.8490589438171874</c:v>
                </c:pt>
                <c:pt idx="46">
                  <c:v>1.8644294384411384</c:v>
                </c:pt>
                <c:pt idx="47">
                  <c:v>1.8796340330615373</c:v>
                </c:pt>
                <c:pt idx="48">
                  <c:v>1.8946779950907404</c:v>
                </c:pt>
                <c:pt idx="49">
                  <c:v>1.9095663189655363</c:v>
                </c:pt>
                <c:pt idx="50">
                  <c:v>1.9243037455510885</c:v>
                </c:pt>
                <c:pt idx="51">
                  <c:v>1.9388947798067251</c:v>
                </c:pt>
                <c:pt idx="52">
                  <c:v>1.9533437069001514</c:v>
                </c:pt>
                <c:pt idx="53">
                  <c:v>1.9676546069334764</c:v>
                </c:pt>
                <c:pt idx="54">
                  <c:v>1.9818417539352566</c:v>
                </c:pt>
                <c:pt idx="55">
                  <c:v>1.9959132564704958</c:v>
                </c:pt>
                <c:pt idx="56">
                  <c:v>2.0098589519938468</c:v>
                </c:pt>
                <c:pt idx="57">
                  <c:v>2.0360939478847961</c:v>
                </c:pt>
                <c:pt idx="58">
                  <c:v>2.0638515962619839</c:v>
                </c:pt>
                <c:pt idx="59">
                  <c:v>2.0915800166191998</c:v>
                </c:pt>
                <c:pt idx="60">
                  <c:v>2.1193105815007471</c:v>
                </c:pt>
                <c:pt idx="61">
                  <c:v>2.1470432912207658</c:v>
                </c:pt>
                <c:pt idx="62">
                  <c:v>2.1747781460936091</c:v>
                </c:pt>
                <c:pt idx="63">
                  <c:v>2.2025151464338317</c:v>
                </c:pt>
                <c:pt idx="64">
                  <c:v>2.2302542925561788</c:v>
                </c:pt>
                <c:pt idx="65">
                  <c:v>2.2579955847755757</c:v>
                </c:pt>
                <c:pt idx="66">
                  <c:v>2.2857390234071162</c:v>
                </c:pt>
                <c:pt idx="67">
                  <c:v>2.3134846087660565</c:v>
                </c:pt>
                <c:pt idx="68">
                  <c:v>2.3412323411678102</c:v>
                </c:pt>
                <c:pt idx="69">
                  <c:v>2.3689822209279345</c:v>
                </c:pt>
                <c:pt idx="70">
                  <c:v>2.3967342483621339</c:v>
                </c:pt>
                <c:pt idx="71">
                  <c:v>2.4244884237862432</c:v>
                </c:pt>
                <c:pt idx="72">
                  <c:v>2.4522447475162306</c:v>
                </c:pt>
                <c:pt idx="73">
                  <c:v>2.4800032198681885</c:v>
                </c:pt>
                <c:pt idx="74">
                  <c:v>2.5077638411583343</c:v>
                </c:pt>
                <c:pt idx="75">
                  <c:v>2.5355266117029984</c:v>
                </c:pt>
                <c:pt idx="76">
                  <c:v>2.5632915318186287</c:v>
                </c:pt>
                <c:pt idx="77">
                  <c:v>2.5910586018217794</c:v>
                </c:pt>
                <c:pt idx="78">
                  <c:v>2.6188278220291172</c:v>
                </c:pt>
                <c:pt idx="79">
                  <c:v>2.6465991927574084</c:v>
                </c:pt>
                <c:pt idx="80">
                  <c:v>2.6743727143235239</c:v>
                </c:pt>
                <c:pt idx="81">
                  <c:v>2.7021483870444323</c:v>
                </c:pt>
                <c:pt idx="82">
                  <c:v>2.7299262112371978</c:v>
                </c:pt>
                <c:pt idx="83">
                  <c:v>2.7577061872189841</c:v>
                </c:pt>
                <c:pt idx="84">
                  <c:v>2.785488315307044</c:v>
                </c:pt>
                <c:pt idx="85">
                  <c:v>2.8132725958187219</c:v>
                </c:pt>
                <c:pt idx="86">
                  <c:v>2.8410590290714532</c:v>
                </c:pt>
                <c:pt idx="87">
                  <c:v>2.8688476153827573</c:v>
                </c:pt>
                <c:pt idx="88">
                  <c:v>2.8966383550702455</c:v>
                </c:pt>
                <c:pt idx="89">
                  <c:v>2.9244312484516102</c:v>
                </c:pt>
                <c:pt idx="90">
                  <c:v>2.9522262958446293</c:v>
                </c:pt>
                <c:pt idx="91">
                  <c:v>2.9800234975671627</c:v>
                </c:pt>
                <c:pt idx="92">
                  <c:v>3.0078228539371517</c:v>
                </c:pt>
                <c:pt idx="93">
                  <c:v>3.0356243652726178</c:v>
                </c:pt>
                <c:pt idx="94">
                  <c:v>3.0634280318916636</c:v>
                </c:pt>
                <c:pt idx="95">
                  <c:v>3.0912338541124691</c:v>
                </c:pt>
                <c:pt idx="96">
                  <c:v>3.1190418322532913</c:v>
                </c:pt>
                <c:pt idx="97">
                  <c:v>3.1468519666324681</c:v>
                </c:pt>
                <c:pt idx="98">
                  <c:v>3.1746642575684083</c:v>
                </c:pt>
                <c:pt idx="99">
                  <c:v>3.2024787053796011</c:v>
                </c:pt>
                <c:pt idx="100">
                  <c:v>3.2302953103846077</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1.0156331580418569</c:v>
                </c:pt>
                <c:pt idx="2">
                  <c:v>1.0312663160837139</c:v>
                </c:pt>
                <c:pt idx="3">
                  <c:v>1.0468994741255706</c:v>
                </c:pt>
                <c:pt idx="4">
                  <c:v>1.0625326321674275</c:v>
                </c:pt>
                <c:pt idx="5">
                  <c:v>1.0781657902092845</c:v>
                </c:pt>
                <c:pt idx="6">
                  <c:v>1.0937989482511414</c:v>
                </c:pt>
                <c:pt idx="7">
                  <c:v>1.1094321062929984</c:v>
                </c:pt>
                <c:pt idx="8">
                  <c:v>1.1250652643348551</c:v>
                </c:pt>
                <c:pt idx="9">
                  <c:v>1.140698422376712</c:v>
                </c:pt>
                <c:pt idx="10">
                  <c:v>1.156331580418569</c:v>
                </c:pt>
                <c:pt idx="11">
                  <c:v>1.1719647384604259</c:v>
                </c:pt>
                <c:pt idx="12">
                  <c:v>1.1875978965022829</c:v>
                </c:pt>
                <c:pt idx="13">
                  <c:v>1.2059620193802416</c:v>
                </c:pt>
                <c:pt idx="14">
                  <c:v>1.2341626352943458</c:v>
                </c:pt>
                <c:pt idx="15">
                  <c:v>1.26137374084176</c:v>
                </c:pt>
                <c:pt idx="16">
                  <c:v>1.2876928030363832</c:v>
                </c:pt>
                <c:pt idx="17">
                  <c:v>1.313202266873392</c:v>
                </c:pt>
                <c:pt idx="18">
                  <c:v>1.3379726097468512</c:v>
                </c:pt>
                <c:pt idx="19">
                  <c:v>1.3620646409285522</c:v>
                </c:pt>
                <c:pt idx="20">
                  <c:v>1.3855312623649523</c:v>
                </c:pt>
                <c:pt idx="21">
                  <c:v>1.4084188374408355</c:v>
                </c:pt>
                <c:pt idx="22">
                  <c:v>1.4307682693893473</c:v>
                </c:pt>
                <c:pt idx="23">
                  <c:v>1.4526158612570657</c:v>
                </c:pt>
                <c:pt idx="24">
                  <c:v>1.4739940091882087</c:v>
                </c:pt>
                <c:pt idx="25">
                  <c:v>1.4949317668913202</c:v>
                </c:pt>
                <c:pt idx="26">
                  <c:v>1.5154553093881482</c:v>
                </c:pt>
                <c:pt idx="27">
                  <c:v>1.5355883171754947</c:v>
                </c:pt>
                <c:pt idx="28">
                  <c:v>1.5553522968831588</c:v>
                </c:pt>
                <c:pt idx="29">
                  <c:v>1.5747668508055914</c:v>
                </c:pt>
                <c:pt idx="30">
                  <c:v>1.5938499049308974</c:v>
                </c:pt>
                <c:pt idx="31">
                  <c:v>1.6126179030205212</c:v>
                </c:pt>
                <c:pt idx="32">
                  <c:v>1.6310859727201805</c:v>
                </c:pt>
                <c:pt idx="33">
                  <c:v>1.649268068476005</c:v>
                </c:pt>
                <c:pt idx="34">
                  <c:v>1.6671770950956963</c:v>
                </c:pt>
                <c:pt idx="35">
                  <c:v>1.6848250150651645</c:v>
                </c:pt>
                <c:pt idx="36">
                  <c:v>1.7022229421570456</c:v>
                </c:pt>
                <c:pt idx="37">
                  <c:v>1.7193812234123547</c:v>
                </c:pt>
                <c:pt idx="38">
                  <c:v>1.7363095112130784</c:v>
                </c:pt>
                <c:pt idx="39">
                  <c:v>1.7530168268713961</c:v>
                </c:pt>
                <c:pt idx="40">
                  <c:v>1.7695116169249583</c:v>
                </c:pt>
                <c:pt idx="41">
                  <c:v>1.7858018031354466</c:v>
                </c:pt>
                <c:pt idx="42">
                  <c:v>1.8018948270304134</c:v>
                </c:pt>
                <c:pt idx="43">
                  <c:v>1.8177976896990817</c:v>
                </c:pt>
                <c:pt idx="44">
                  <c:v>1.8335169874459374</c:v>
                </c:pt>
                <c:pt idx="45">
                  <c:v>1.8490589438171874</c:v>
                </c:pt>
                <c:pt idx="46">
                  <c:v>1.8644294384411384</c:v>
                </c:pt>
                <c:pt idx="47">
                  <c:v>1.8796340330615373</c:v>
                </c:pt>
                <c:pt idx="48">
                  <c:v>1.8946779950907404</c:v>
                </c:pt>
                <c:pt idx="49">
                  <c:v>1.9095663189655363</c:v>
                </c:pt>
                <c:pt idx="50">
                  <c:v>1.9243037455510885</c:v>
                </c:pt>
                <c:pt idx="51">
                  <c:v>1.9388947798067251</c:v>
                </c:pt>
                <c:pt idx="52">
                  <c:v>1.9533437069001514</c:v>
                </c:pt>
                <c:pt idx="53">
                  <c:v>1.9676546069334764</c:v>
                </c:pt>
                <c:pt idx="54">
                  <c:v>1.9818313684244679</c:v>
                </c:pt>
                <c:pt idx="55">
                  <c:v>1.9958777006692749</c:v>
                </c:pt>
                <c:pt idx="56">
                  <c:v>2.0097971450979952</c:v>
                </c:pt>
                <c:pt idx="57">
                  <c:v>2.0235930857215911</c:v>
                </c:pt>
                <c:pt idx="58">
                  <c:v>2.0372687587574703</c:v>
                </c:pt>
                <c:pt idx="59">
                  <c:v>2.0508272615113046</c:v>
                </c:pt>
                <c:pt idx="60">
                  <c:v>2.0642715605841402</c:v>
                </c:pt>
                <c:pt idx="61">
                  <c:v>2.0776044994664122</c:v>
                </c:pt>
                <c:pt idx="62">
                  <c:v>2.0908288055739188</c:v>
                </c:pt>
                <c:pt idx="63">
                  <c:v>2.1039470967750837</c:v>
                </c:pt>
                <c:pt idx="64">
                  <c:v>2.1169618874537415</c:v>
                </c:pt>
                <c:pt idx="65">
                  <c:v>2.1298755941472214</c:v>
                </c:pt>
                <c:pt idx="66">
                  <c:v>2.1427006856764867</c:v>
                </c:pt>
                <c:pt idx="67">
                  <c:v>2.1554416683984647</c:v>
                </c:pt>
                <c:pt idx="68">
                  <c:v>2.1680890123395828</c:v>
                </c:pt>
                <c:pt idx="69">
                  <c:v>2.1832047717270155</c:v>
                </c:pt>
                <c:pt idx="70">
                  <c:v>2.2082462485847962</c:v>
                </c:pt>
                <c:pt idx="71">
                  <c:v>2.2333004488931936</c:v>
                </c:pt>
                <c:pt idx="72">
                  <c:v>2.2583351747965352</c:v>
                </c:pt>
                <c:pt idx="73">
                  <c:v>2.2833712445269323</c:v>
                </c:pt>
                <c:pt idx="74">
                  <c:v>2.3084086582253636</c:v>
                </c:pt>
                <c:pt idx="75">
                  <c:v>2.3334474160328682</c:v>
                </c:pt>
                <c:pt idx="76">
                  <c:v>2.3584875180905458</c:v>
                </c:pt>
                <c:pt idx="77">
                  <c:v>2.383528964539555</c:v>
                </c:pt>
                <c:pt idx="78">
                  <c:v>2.4085717555211068</c:v>
                </c:pt>
                <c:pt idx="79">
                  <c:v>2.4336158911764656</c:v>
                </c:pt>
                <c:pt idx="80">
                  <c:v>2.4586613716469463</c:v>
                </c:pt>
                <c:pt idx="81">
                  <c:v>2.4837081970739119</c:v>
                </c:pt>
                <c:pt idx="82">
                  <c:v>2.5087563675987732</c:v>
                </c:pt>
                <c:pt idx="83">
                  <c:v>2.5338058833629842</c:v>
                </c:pt>
                <c:pt idx="84">
                  <c:v>2.558856744508045</c:v>
                </c:pt>
                <c:pt idx="85">
                  <c:v>2.5839089511754958</c:v>
                </c:pt>
                <c:pt idx="86">
                  <c:v>2.6089625035069171</c:v>
                </c:pt>
                <c:pt idx="87">
                  <c:v>2.6340174016439315</c:v>
                </c:pt>
                <c:pt idx="88">
                  <c:v>2.6590736457281983</c:v>
                </c:pt>
                <c:pt idx="89">
                  <c:v>2.6841312359014138</c:v>
                </c:pt>
                <c:pt idx="90">
                  <c:v>2.7091901723053113</c:v>
                </c:pt>
                <c:pt idx="91">
                  <c:v>2.7342504550816606</c:v>
                </c:pt>
                <c:pt idx="92">
                  <c:v>2.7593120843722643</c:v>
                </c:pt>
                <c:pt idx="93">
                  <c:v>2.7843750603189599</c:v>
                </c:pt>
                <c:pt idx="94">
                  <c:v>2.8094393830636166</c:v>
                </c:pt>
                <c:pt idx="95">
                  <c:v>2.8345050527481401</c:v>
                </c:pt>
                <c:pt idx="96">
                  <c:v>2.8595720695144622</c:v>
                </c:pt>
                <c:pt idx="97">
                  <c:v>2.8846404335045492</c:v>
                </c:pt>
                <c:pt idx="98">
                  <c:v>2.909710144860397</c:v>
                </c:pt>
                <c:pt idx="99">
                  <c:v>2.9347812037240324</c:v>
                </c:pt>
                <c:pt idx="100">
                  <c:v>2.9598536102375101</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1.0156331580418569</c:v>
                </c:pt>
                <c:pt idx="2">
                  <c:v>1.0312663160837139</c:v>
                </c:pt>
                <c:pt idx="3">
                  <c:v>1.0468994741255706</c:v>
                </c:pt>
                <c:pt idx="4">
                  <c:v>1.0625326321674275</c:v>
                </c:pt>
                <c:pt idx="5">
                  <c:v>1.0781657902092845</c:v>
                </c:pt>
                <c:pt idx="6">
                  <c:v>1.0937989482511414</c:v>
                </c:pt>
                <c:pt idx="7">
                  <c:v>1.1094321062929984</c:v>
                </c:pt>
                <c:pt idx="8">
                  <c:v>1.1250652643348551</c:v>
                </c:pt>
                <c:pt idx="9">
                  <c:v>1.140698422376712</c:v>
                </c:pt>
                <c:pt idx="10">
                  <c:v>1.156331580418569</c:v>
                </c:pt>
                <c:pt idx="11">
                  <c:v>1.1719647384604259</c:v>
                </c:pt>
                <c:pt idx="12">
                  <c:v>1.1875978965022829</c:v>
                </c:pt>
                <c:pt idx="13">
                  <c:v>1.2059620193802416</c:v>
                </c:pt>
                <c:pt idx="14">
                  <c:v>1.2341626352943458</c:v>
                </c:pt>
                <c:pt idx="15">
                  <c:v>1.26137374084176</c:v>
                </c:pt>
                <c:pt idx="16">
                  <c:v>1.2876928030363832</c:v>
                </c:pt>
                <c:pt idx="17">
                  <c:v>1.313202266873392</c:v>
                </c:pt>
                <c:pt idx="18">
                  <c:v>1.3379726097468512</c:v>
                </c:pt>
                <c:pt idx="19">
                  <c:v>1.3620646409285522</c:v>
                </c:pt>
                <c:pt idx="20">
                  <c:v>1.3855312623649523</c:v>
                </c:pt>
                <c:pt idx="21">
                  <c:v>1.4084188374408355</c:v>
                </c:pt>
                <c:pt idx="22">
                  <c:v>1.4307682693893473</c:v>
                </c:pt>
                <c:pt idx="23">
                  <c:v>1.4526158612570657</c:v>
                </c:pt>
                <c:pt idx="24">
                  <c:v>1.4739940091882087</c:v>
                </c:pt>
                <c:pt idx="25">
                  <c:v>1.4949317668913202</c:v>
                </c:pt>
                <c:pt idx="26">
                  <c:v>1.5154553093881482</c:v>
                </c:pt>
                <c:pt idx="27">
                  <c:v>1.5355883171754947</c:v>
                </c:pt>
                <c:pt idx="28">
                  <c:v>1.5553522968831588</c:v>
                </c:pt>
                <c:pt idx="29">
                  <c:v>1.5747668508055914</c:v>
                </c:pt>
                <c:pt idx="30">
                  <c:v>1.5938499049308974</c:v>
                </c:pt>
                <c:pt idx="31">
                  <c:v>1.6126179030205212</c:v>
                </c:pt>
                <c:pt idx="32">
                  <c:v>1.6310859727201805</c:v>
                </c:pt>
                <c:pt idx="33">
                  <c:v>1.649268068476005</c:v>
                </c:pt>
                <c:pt idx="34">
                  <c:v>1.6671770950956963</c:v>
                </c:pt>
                <c:pt idx="35">
                  <c:v>1.6848250150651645</c:v>
                </c:pt>
                <c:pt idx="36">
                  <c:v>1.7022229421570456</c:v>
                </c:pt>
                <c:pt idx="37">
                  <c:v>1.7193812234123547</c:v>
                </c:pt>
                <c:pt idx="38">
                  <c:v>1.7363095112130784</c:v>
                </c:pt>
                <c:pt idx="39">
                  <c:v>1.7530168268713961</c:v>
                </c:pt>
                <c:pt idx="40">
                  <c:v>1.7695116169249583</c:v>
                </c:pt>
                <c:pt idx="41">
                  <c:v>1.7858018031354466</c:v>
                </c:pt>
                <c:pt idx="42">
                  <c:v>1.8018948270304134</c:v>
                </c:pt>
                <c:pt idx="43">
                  <c:v>1.8177976896990817</c:v>
                </c:pt>
                <c:pt idx="44">
                  <c:v>1.8335169874459374</c:v>
                </c:pt>
                <c:pt idx="45">
                  <c:v>1.8490589438171874</c:v>
                </c:pt>
                <c:pt idx="46">
                  <c:v>1.8644294384411384</c:v>
                </c:pt>
                <c:pt idx="47">
                  <c:v>1.8796340330615373</c:v>
                </c:pt>
                <c:pt idx="48">
                  <c:v>1.8946779950907404</c:v>
                </c:pt>
                <c:pt idx="49">
                  <c:v>1.9095663189655363</c:v>
                </c:pt>
                <c:pt idx="50">
                  <c:v>1.9243037455510885</c:v>
                </c:pt>
                <c:pt idx="51">
                  <c:v>1.9388947798067251</c:v>
                </c:pt>
                <c:pt idx="52">
                  <c:v>1.9533437069001514</c:v>
                </c:pt>
                <c:pt idx="53">
                  <c:v>1.9676546069334764</c:v>
                </c:pt>
                <c:pt idx="54">
                  <c:v>1.9818313684244679</c:v>
                </c:pt>
                <c:pt idx="55">
                  <c:v>1.9958777006692749</c:v>
                </c:pt>
                <c:pt idx="56">
                  <c:v>2.0097971450979952</c:v>
                </c:pt>
                <c:pt idx="57">
                  <c:v>2.0235930857215911</c:v>
                </c:pt>
                <c:pt idx="58">
                  <c:v>2.0372687587574703</c:v>
                </c:pt>
                <c:pt idx="59">
                  <c:v>2.0508272615113046</c:v>
                </c:pt>
                <c:pt idx="60">
                  <c:v>2.0642715605841402</c:v>
                </c:pt>
                <c:pt idx="61">
                  <c:v>2.0776044994664122</c:v>
                </c:pt>
                <c:pt idx="62">
                  <c:v>2.0908288055739188</c:v>
                </c:pt>
                <c:pt idx="63">
                  <c:v>2.1039470967750837</c:v>
                </c:pt>
                <c:pt idx="64">
                  <c:v>2.1169618874537415</c:v>
                </c:pt>
                <c:pt idx="65">
                  <c:v>2.1298755941472214</c:v>
                </c:pt>
                <c:pt idx="66">
                  <c:v>2.1426905407955297</c:v>
                </c:pt>
                <c:pt idx="67">
                  <c:v>2.1554089636339286</c:v>
                </c:pt>
                <c:pt idx="68">
                  <c:v>2.1680330157580778</c:v>
                </c:pt>
                <c:pt idx="69">
                  <c:v>2.1805647713881329</c:v>
                </c:pt>
                <c:pt idx="70">
                  <c:v>2.1930062298557118</c:v>
                </c:pt>
                <c:pt idx="71">
                  <c:v>2.2053593193354328</c:v>
                </c:pt>
                <c:pt idx="72">
                  <c:v>2.2176259003407419</c:v>
                </c:pt>
                <c:pt idx="73">
                  <c:v>2.2298077690019795</c:v>
                </c:pt>
                <c:pt idx="74">
                  <c:v>2.2419066601430373</c:v>
                </c:pt>
                <c:pt idx="75">
                  <c:v>2.253924250171524</c:v>
                </c:pt>
                <c:pt idx="76">
                  <c:v>2.2658621597960806</c:v>
                </c:pt>
                <c:pt idx="77">
                  <c:v>2.2777219565833056</c:v>
                </c:pt>
                <c:pt idx="78">
                  <c:v>2.289505157365717</c:v>
                </c:pt>
                <c:pt idx="79">
                  <c:v>2.3012132305112227</c:v>
                </c:pt>
                <c:pt idx="80">
                  <c:v>2.3128475980637084</c:v>
                </c:pt>
                <c:pt idx="81">
                  <c:v>2.3244096377635803</c:v>
                </c:pt>
                <c:pt idx="82">
                  <c:v>2.3359006849563886</c:v>
                </c:pt>
                <c:pt idx="83">
                  <c:v>2.3473220343970169</c:v>
                </c:pt>
                <c:pt idx="84">
                  <c:v>2.3586749419563389</c:v>
                </c:pt>
                <c:pt idx="85">
                  <c:v>2.3699606262367086</c:v>
                </c:pt>
                <c:pt idx="86">
                  <c:v>2.3811802701021647</c:v>
                </c:pt>
                <c:pt idx="87">
                  <c:v>2.3923350221287949</c:v>
                </c:pt>
                <c:pt idx="88">
                  <c:v>2.4034259979802877</c:v>
                </c:pt>
                <c:pt idx="89">
                  <c:v>2.4144542817133345</c:v>
                </c:pt>
                <c:pt idx="90">
                  <c:v>2.4254209270172091</c:v>
                </c:pt>
                <c:pt idx="91">
                  <c:v>2.436326958391537</c:v>
                </c:pt>
                <c:pt idx="92">
                  <c:v>2.4471733722659699</c:v>
                </c:pt>
                <c:pt idx="93">
                  <c:v>2.4579611380652491</c:v>
                </c:pt>
                <c:pt idx="94">
                  <c:v>2.4686911992228575</c:v>
                </c:pt>
                <c:pt idx="95">
                  <c:v>2.4793644741462728</c:v>
                </c:pt>
                <c:pt idx="96">
                  <c:v>2.4899818571366232</c:v>
                </c:pt>
                <c:pt idx="97">
                  <c:v>2.5005442192653273</c:v>
                </c:pt>
                <c:pt idx="98">
                  <c:v>2.5110524092101816</c:v>
                </c:pt>
                <c:pt idx="99">
                  <c:v>2.5215072540531418</c:v>
                </c:pt>
                <c:pt idx="100">
                  <c:v>2.5319095600419361</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3.3031519490749649E-5</c:v>
                </c:pt>
                <c:pt idx="1">
                  <c:v>64.169659595023816</c:v>
                </c:pt>
                <c:pt idx="2">
                  <c:v>67.300262460166834</c:v>
                </c:pt>
                <c:pt idx="3">
                  <c:v>68.412620213883912</c:v>
                </c:pt>
                <c:pt idx="4">
                  <c:v>68.982566548797678</c:v>
                </c:pt>
                <c:pt idx="5">
                  <c:v>69.329005268548329</c:v>
                </c:pt>
                <c:pt idx="6">
                  <c:v>69.56181155819759</c:v>
                </c:pt>
                <c:pt idx="7">
                  <c:v>69.728981631873069</c:v>
                </c:pt>
                <c:pt idx="8">
                  <c:v>69.854817435484165</c:v>
                </c:pt>
                <c:pt idx="9">
                  <c:v>69.952941776190386</c:v>
                </c:pt>
                <c:pt idx="10">
                  <c:v>70.031583671260762</c:v>
                </c:pt>
                <c:pt idx="11">
                  <c:v>70.09600741715461</c:v>
                </c:pt>
                <c:pt idx="12">
                  <c:v>70.149737418950693</c:v>
                </c:pt>
                <c:pt idx="13">
                  <c:v>70.422086936302875</c:v>
                </c:pt>
                <c:pt idx="14">
                  <c:v>71.488402571861144</c:v>
                </c:pt>
                <c:pt idx="15">
                  <c:v>72.446367986530475</c:v>
                </c:pt>
                <c:pt idx="16">
                  <c:v>73.31225387997911</c:v>
                </c:pt>
                <c:pt idx="17">
                  <c:v>74.099178321416659</c:v>
                </c:pt>
                <c:pt idx="18">
                  <c:v>74.817841853766282</c:v>
                </c:pt>
                <c:pt idx="19">
                  <c:v>75.477064858037579</c:v>
                </c:pt>
                <c:pt idx="20">
                  <c:v>76.084186836874323</c:v>
                </c:pt>
                <c:pt idx="21">
                  <c:v>76.645367488211519</c:v>
                </c:pt>
                <c:pt idx="22">
                  <c:v>77.165816761080691</c:v>
                </c:pt>
                <c:pt idx="23">
                  <c:v>77.649972780851101</c:v>
                </c:pt>
                <c:pt idx="24">
                  <c:v>78.101640982215542</c:v>
                </c:pt>
                <c:pt idx="25">
                  <c:v>78.524104012974888</c:v>
                </c:pt>
                <c:pt idx="26">
                  <c:v>78.920209360481607</c:v>
                </c:pt>
                <c:pt idx="27">
                  <c:v>79.292439819057634</c:v>
                </c:pt>
                <c:pt idx="28">
                  <c:v>79.642970611194443</c:v>
                </c:pt>
                <c:pt idx="29">
                  <c:v>79.973716033807875</c:v>
                </c:pt>
                <c:pt idx="30">
                  <c:v>80.286367813667354</c:v>
                </c:pt>
                <c:pt idx="31">
                  <c:v>80.582426849055537</c:v>
                </c:pt>
                <c:pt idx="32">
                  <c:v>80.863229636679122</c:v>
                </c:pt>
                <c:pt idx="33">
                  <c:v>81.129970398291533</c:v>
                </c:pt>
                <c:pt idx="34">
                  <c:v>81.383719705360292</c:v>
                </c:pt>
                <c:pt idx="35">
                  <c:v>81.625440234568231</c:v>
                </c:pt>
                <c:pt idx="36">
                  <c:v>81.856000159132265</c:v>
                </c:pt>
                <c:pt idx="37">
                  <c:v>82.076184581515108</c:v>
                </c:pt>
                <c:pt idx="38">
                  <c:v>82.286705335235922</c:v>
                </c:pt>
                <c:pt idx="39">
                  <c:v>82.488209422085674</c:v>
                </c:pt>
                <c:pt idx="40">
                  <c:v>82.6812863023288</c:v>
                </c:pt>
                <c:pt idx="41">
                  <c:v>82.866474216579562</c:v>
                </c:pt>
                <c:pt idx="42">
                  <c:v>83.044265686817596</c:v>
                </c:pt>
                <c:pt idx="43">
                  <c:v>83.21511231880514</c:v>
                </c:pt>
                <c:pt idx="44">
                  <c:v>83.379429007722933</c:v>
                </c:pt>
                <c:pt idx="45">
                  <c:v>83.537597632173402</c:v>
                </c:pt>
                <c:pt idx="46">
                  <c:v>83.689970308047279</c:v>
                </c:pt>
                <c:pt idx="47">
                  <c:v>83.836872262517517</c:v>
                </c:pt>
                <c:pt idx="48">
                  <c:v>83.978604379144741</c:v>
                </c:pt>
                <c:pt idx="49">
                  <c:v>84.11544545737901</c:v>
                </c:pt>
                <c:pt idx="50">
                  <c:v>84.247654223331594</c:v>
                </c:pt>
                <c:pt idx="51">
                  <c:v>84.375471123329163</c:v>
                </c:pt>
                <c:pt idx="52">
                  <c:v>84.499119927267472</c:v>
                </c:pt>
                <c:pt idx="53">
                  <c:v>84.618809164994218</c:v>
                </c:pt>
                <c:pt idx="54">
                  <c:v>84.73473341575405</c:v>
                </c:pt>
                <c:pt idx="55">
                  <c:v>84.847074468018505</c:v>
                </c:pt>
                <c:pt idx="56">
                  <c:v>84.95600236472076</c:v>
                </c:pt>
                <c:pt idx="57">
                  <c:v>85.061676346951387</c:v>
                </c:pt>
                <c:pt idx="58">
                  <c:v>85.164245707493038</c:v>
                </c:pt>
                <c:pt idx="59">
                  <c:v>85.263850564132909</c:v>
                </c:pt>
                <c:pt idx="60">
                  <c:v>85.360622561454733</c:v>
                </c:pt>
                <c:pt idx="61">
                  <c:v>85.454685508746138</c:v>
                </c:pt>
                <c:pt idx="62">
                  <c:v>85.546155960736669</c:v>
                </c:pt>
                <c:pt idx="63">
                  <c:v>85.635143747083788</c:v>
                </c:pt>
                <c:pt idx="64">
                  <c:v>85.723853831412072</c:v>
                </c:pt>
                <c:pt idx="65">
                  <c:v>85.918749098002039</c:v>
                </c:pt>
                <c:pt idx="66">
                  <c:v>86.106692724479359</c:v>
                </c:pt>
                <c:pt idx="67">
                  <c:v>86.288006754445405</c:v>
                </c:pt>
                <c:pt idx="68">
                  <c:v>86.463029206660295</c:v>
                </c:pt>
                <c:pt idx="69">
                  <c:v>86.624185399335573</c:v>
                </c:pt>
                <c:pt idx="70">
                  <c:v>86.749792625243856</c:v>
                </c:pt>
                <c:pt idx="71">
                  <c:v>86.871030441670811</c:v>
                </c:pt>
                <c:pt idx="72">
                  <c:v>86.98809037765902</c:v>
                </c:pt>
                <c:pt idx="73">
                  <c:v>87.101136717158695</c:v>
                </c:pt>
                <c:pt idx="74">
                  <c:v>87.210344710262419</c:v>
                </c:pt>
                <c:pt idx="75">
                  <c:v>87.315879951280778</c:v>
                </c:pt>
                <c:pt idx="76">
                  <c:v>87.417899012690953</c:v>
                </c:pt>
                <c:pt idx="77">
                  <c:v>87.516550031190619</c:v>
                </c:pt>
                <c:pt idx="78">
                  <c:v>87.611973249917725</c:v>
                </c:pt>
                <c:pt idx="79">
                  <c:v>87.704301520518399</c:v>
                </c:pt>
                <c:pt idx="80">
                  <c:v>87.793660768403896</c:v>
                </c:pt>
                <c:pt idx="81">
                  <c:v>87.880170424231181</c:v>
                </c:pt>
                <c:pt idx="82">
                  <c:v>87.963943824365714</c:v>
                </c:pt>
                <c:pt idx="83">
                  <c:v>88.045088582836271</c:v>
                </c:pt>
                <c:pt idx="84">
                  <c:v>88.123706937067084</c:v>
                </c:pt>
                <c:pt idx="85">
                  <c:v>88.19989606947064</c:v>
                </c:pt>
                <c:pt idx="86">
                  <c:v>88.273748406800721</c:v>
                </c:pt>
                <c:pt idx="87">
                  <c:v>88.345351899000448</c:v>
                </c:pt>
                <c:pt idx="88">
                  <c:v>88.414790279130017</c:v>
                </c:pt>
                <c:pt idx="89">
                  <c:v>88.482143305823257</c:v>
                </c:pt>
                <c:pt idx="90">
                  <c:v>88.547486989599037</c:v>
                </c:pt>
                <c:pt idx="91">
                  <c:v>88.610893804242394</c:v>
                </c:pt>
                <c:pt idx="92">
                  <c:v>88.672432884368064</c:v>
                </c:pt>
                <c:pt idx="93">
                  <c:v>88.732170210188173</c:v>
                </c:pt>
                <c:pt idx="94">
                  <c:v>88.790168780420885</c:v>
                </c:pt>
                <c:pt idx="95">
                  <c:v>88.846488774201731</c:v>
                </c:pt>
                <c:pt idx="96">
                  <c:v>88.901187702788718</c:v>
                </c:pt>
                <c:pt idx="97">
                  <c:v>88.954320551790005</c:v>
                </c:pt>
                <c:pt idx="98">
                  <c:v>89.005939914584559</c:v>
                </c:pt>
                <c:pt idx="99">
                  <c:v>89.056096117553679</c:v>
                </c:pt>
                <c:pt idx="100">
                  <c:v>89.104837337692828</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1.8544646798551903E-2</c:v>
                </c:pt>
                <c:pt idx="1">
                  <c:v>4.2302898939255651E-2</c:v>
                </c:pt>
                <c:pt idx="2">
                  <c:v>8.4607633047168007E-2</c:v>
                </c:pt>
                <c:pt idx="3">
                  <c:v>0.12691420244315854</c:v>
                </c:pt>
                <c:pt idx="4">
                  <c:v>0.16922260724665916</c:v>
                </c:pt>
                <c:pt idx="5">
                  <c:v>0.21153284757711205</c:v>
                </c:pt>
                <c:pt idx="6">
                  <c:v>0.25384492355396976</c:v>
                </c:pt>
                <c:pt idx="7">
                  <c:v>0.29615883529669534</c:v>
                </c:pt>
                <c:pt idx="8">
                  <c:v>0.33847458292476201</c:v>
                </c:pt>
                <c:pt idx="9">
                  <c:v>0.38079216655765352</c:v>
                </c:pt>
                <c:pt idx="10">
                  <c:v>0.42311158631486401</c:v>
                </c:pt>
                <c:pt idx="11">
                  <c:v>0.46543284231589754</c:v>
                </c:pt>
                <c:pt idx="12">
                  <c:v>0.50775593468026947</c:v>
                </c:pt>
                <c:pt idx="13">
                  <c:v>0.54345345570390458</c:v>
                </c:pt>
                <c:pt idx="14">
                  <c:v>0.55349322699058234</c:v>
                </c:pt>
                <c:pt idx="15">
                  <c:v>0.5631957707020836</c:v>
                </c:pt>
                <c:pt idx="16">
                  <c:v>0.5725948388704063</c:v>
                </c:pt>
                <c:pt idx="17">
                  <c:v>0.58171896817285051</c:v>
                </c:pt>
                <c:pt idx="18">
                  <c:v>0.59059254155360486</c:v>
                </c:pt>
                <c:pt idx="19">
                  <c:v>0.59923658728861851</c:v>
                </c:pt>
                <c:pt idx="20">
                  <c:v>0.60766939073457849</c:v>
                </c:pt>
                <c:pt idx="21">
                  <c:v>0.6159069697778059</c:v>
                </c:pt>
                <c:pt idx="22">
                  <c:v>0.62396344935056824</c:v>
                </c:pt>
                <c:pt idx="23">
                  <c:v>0.63185136002371534</c:v>
                </c:pt>
                <c:pt idx="24">
                  <c:v>0.63958187867619187</c:v>
                </c:pt>
                <c:pt idx="25">
                  <c:v>0.64716502440638501</c:v>
                </c:pt>
                <c:pt idx="26">
                  <c:v>0.65460981945421171</c:v>
                </c:pt>
                <c:pt idx="27">
                  <c:v>0.66192442247914685</c:v>
                </c:pt>
                <c:pt idx="28">
                  <c:v>0.66911623978405077</c:v>
                </c:pt>
                <c:pt idx="29">
                  <c:v>0.67619201878622848</c:v>
                </c:pt>
                <c:pt idx="30">
                  <c:v>0.6831579270796464</c:v>
                </c:pt>
                <c:pt idx="31">
                  <c:v>0.69001961971253767</c:v>
                </c:pt>
                <c:pt idx="32">
                  <c:v>0.69678229675792691</c:v>
                </c:pt>
                <c:pt idx="33">
                  <c:v>0.70345075283523983</c:v>
                </c:pt>
                <c:pt idx="34">
                  <c:v>0.71002941991653401</c:v>
                </c:pt>
                <c:pt idx="35">
                  <c:v>0.71652240449743942</c:v>
                </c:pt>
                <c:pt idx="36">
                  <c:v>0.7229335200134559</c:v>
                </c:pt>
                <c:pt idx="37">
                  <c:v>0.72926631522411955</c:v>
                </c:pt>
                <c:pt idx="38">
                  <c:v>0.73552409916131301</c:v>
                </c:pt>
                <c:pt idx="39">
                  <c:v>0.7417099631365246</c:v>
                </c:pt>
                <c:pt idx="40">
                  <c:v>0.74782680021981407</c:v>
                </c:pt>
                <c:pt idx="41">
                  <c:v>0.75387732253649631</c:v>
                </c:pt>
                <c:pt idx="42">
                  <c:v>0.75986407667296607</c:v>
                </c:pt>
                <c:pt idx="43">
                  <c:v>0.76578945743818749</c:v>
                </c:pt>
                <c:pt idx="44">
                  <c:v>0.77165572019028317</c:v>
                </c:pt>
                <c:pt idx="45">
                  <c:v>0.77746499190684892</c:v>
                </c:pt>
                <c:pt idx="46">
                  <c:v>0.78321928115192696</c:v>
                </c:pt>
                <c:pt idx="47">
                  <c:v>0.78892048707105966</c:v>
                </c:pt>
                <c:pt idx="48">
                  <c:v>0.79457040752772823</c:v>
                </c:pt>
                <c:pt idx="49">
                  <c:v>0.80017074647921682</c:v>
                </c:pt>
                <c:pt idx="50">
                  <c:v>0.8057231206769655</c:v>
                </c:pt>
                <c:pt idx="51">
                  <c:v>0.81122906576547948</c:v>
                </c:pt>
                <c:pt idx="52">
                  <c:v>0.81669004184443805</c:v>
                </c:pt>
                <c:pt idx="53">
                  <c:v>0.82210743855060786</c:v>
                </c:pt>
                <c:pt idx="54">
                  <c:v>0.82748257970923855</c:v>
                </c:pt>
                <c:pt idx="55">
                  <c:v>0.8328167275986621</c:v>
                </c:pt>
                <c:pt idx="56">
                  <c:v>0.83811108686666813</c:v>
                </c:pt>
                <c:pt idx="57">
                  <c:v>0.84336680813276188</c:v>
                </c:pt>
                <c:pt idx="58">
                  <c:v>0.84858499130653298</c:v>
                </c:pt>
                <c:pt idx="59">
                  <c:v>0.85376668864899219</c:v>
                </c:pt>
                <c:pt idx="60">
                  <c:v>0.85891290760077188</c:v>
                </c:pt>
                <c:pt idx="61">
                  <c:v>0.86402461339851933</c:v>
                </c:pt>
                <c:pt idx="62">
                  <c:v>0.86910273149852879</c:v>
                </c:pt>
                <c:pt idx="63">
                  <c:v>0.87414814982468025</c:v>
                </c:pt>
                <c:pt idx="64">
                  <c:v>0.87892336046324737</c:v>
                </c:pt>
                <c:pt idx="65">
                  <c:v>0.87119454879690927</c:v>
                </c:pt>
                <c:pt idx="66">
                  <c:v>0.8636597264186967</c:v>
                </c:pt>
                <c:pt idx="67">
                  <c:v>0.8563128749000859</c:v>
                </c:pt>
                <c:pt idx="68">
                  <c:v>0.84913989969690207</c:v>
                </c:pt>
                <c:pt idx="69">
                  <c:v>0.84305201445572742</c:v>
                </c:pt>
                <c:pt idx="70">
                  <c:v>0.840689474164659</c:v>
                </c:pt>
                <c:pt idx="71">
                  <c:v>0.83840931742084657</c:v>
                </c:pt>
                <c:pt idx="72">
                  <c:v>0.83620779336166728</c:v>
                </c:pt>
                <c:pt idx="73">
                  <c:v>0.83408810003529654</c:v>
                </c:pt>
                <c:pt idx="74">
                  <c:v>0.83204747496193976</c:v>
                </c:pt>
                <c:pt idx="75">
                  <c:v>0.83008329458518648</c:v>
                </c:pt>
                <c:pt idx="76">
                  <c:v>0.82819306568327977</c:v>
                </c:pt>
                <c:pt idx="77">
                  <c:v>0.82637441741020257</c:v>
                </c:pt>
                <c:pt idx="78">
                  <c:v>0.82462509391335004</c:v>
                </c:pt>
                <c:pt idx="79">
                  <c:v>0.82294294747964558</c:v>
                </c:pt>
                <c:pt idx="80">
                  <c:v>0.8213259321664752</c:v>
                </c:pt>
                <c:pt idx="81">
                  <c:v>0.81977209787791627</c:v>
                </c:pt>
                <c:pt idx="82">
                  <c:v>0.81827958485034435</c:v>
                </c:pt>
                <c:pt idx="83">
                  <c:v>0.81684661851479679</c:v>
                </c:pt>
                <c:pt idx="84">
                  <c:v>0.81547150470640239</c:v>
                </c:pt>
                <c:pt idx="85">
                  <c:v>0.81415262519382015</c:v>
                </c:pt>
                <c:pt idx="86">
                  <c:v>0.81288843350404028</c:v>
                </c:pt>
                <c:pt idx="87">
                  <c:v>0.81167745102001254</c:v>
                </c:pt>
                <c:pt idx="88">
                  <c:v>0.81051826333054311</c:v>
                </c:pt>
                <c:pt idx="89">
                  <c:v>0.80940951681363016</c:v>
                </c:pt>
                <c:pt idx="90">
                  <c:v>0.80834991543600621</c:v>
                </c:pt>
                <c:pt idx="91">
                  <c:v>0.80733821775309733</c:v>
                </c:pt>
                <c:pt idx="92">
                  <c:v>0.80637323409490691</c:v>
                </c:pt>
                <c:pt idx="93">
                  <c:v>0.80545382392451881</c:v>
                </c:pt>
                <c:pt idx="94">
                  <c:v>0.80457889335699684</c:v>
                </c:pt>
                <c:pt idx="95">
                  <c:v>0.80374739282742924</c:v>
                </c:pt>
                <c:pt idx="96">
                  <c:v>0.80295831489776481</c:v>
                </c:pt>
                <c:pt idx="97">
                  <c:v>0.80221069219289931</c:v>
                </c:pt>
                <c:pt idx="98">
                  <c:v>0.80150359545721694</c:v>
                </c:pt>
                <c:pt idx="99">
                  <c:v>0.80083613172345591</c:v>
                </c:pt>
                <c:pt idx="100">
                  <c:v>0.8002074425864093</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12.469928182546042</c:v>
                </c:pt>
                <c:pt idx="1">
                  <c:v>14.948639612449909</c:v>
                </c:pt>
                <c:pt idx="2">
                  <c:v>17.487351282545951</c:v>
                </c:pt>
                <c:pt idx="3">
                  <c:v>20.026062952641979</c:v>
                </c:pt>
                <c:pt idx="4">
                  <c:v>22.56477462273801</c:v>
                </c:pt>
                <c:pt idx="5">
                  <c:v>25.103486292834038</c:v>
                </c:pt>
                <c:pt idx="6">
                  <c:v>27.642197962930076</c:v>
                </c:pt>
                <c:pt idx="7">
                  <c:v>30.180909633026111</c:v>
                </c:pt>
                <c:pt idx="8">
                  <c:v>32.719621303122146</c:v>
                </c:pt>
                <c:pt idx="9">
                  <c:v>35.258332973218167</c:v>
                </c:pt>
                <c:pt idx="10">
                  <c:v>37.797044643314202</c:v>
                </c:pt>
                <c:pt idx="11">
                  <c:v>40.335756313410236</c:v>
                </c:pt>
                <c:pt idx="12">
                  <c:v>42.874467983506257</c:v>
                </c:pt>
                <c:pt idx="13">
                  <c:v>45.614331244263276</c:v>
                </c:pt>
                <c:pt idx="14">
                  <c:v>49.126614033653148</c:v>
                </c:pt>
                <c:pt idx="15">
                  <c:v>52.639375719100585</c:v>
                </c:pt>
                <c:pt idx="16">
                  <c:v>56.152614514861519</c:v>
                </c:pt>
                <c:pt idx="17">
                  <c:v>59.666328815377945</c:v>
                </c:pt>
                <c:pt idx="18">
                  <c:v>63.180517168249473</c:v>
                </c:pt>
                <c:pt idx="19">
                  <c:v>66.695178252557824</c:v>
                </c:pt>
                <c:pt idx="20">
                  <c:v>70.210310861253504</c:v>
                </c:pt>
                <c:pt idx="21">
                  <c:v>73.725913886675741</c:v>
                </c:pt>
                <c:pt idx="22">
                  <c:v>77.241986308523934</c:v>
                </c:pt>
                <c:pt idx="23">
                  <c:v>80.758527183770923</c:v>
                </c:pt>
                <c:pt idx="24">
                  <c:v>84.275535638133618</c:v>
                </c:pt>
                <c:pt idx="25">
                  <c:v>87.793010858804379</c:v>
                </c:pt>
                <c:pt idx="26">
                  <c:v>91.310952088213753</c:v>
                </c:pt>
                <c:pt idx="27">
                  <c:v>94.82935861864334</c:v>
                </c:pt>
                <c:pt idx="28">
                  <c:v>98.348229787545904</c:v>
                </c:pt>
                <c:pt idx="29">
                  <c:v>101.86756497345721</c:v>
                </c:pt>
                <c:pt idx="30">
                  <c:v>105.38736359240741</c:v>
                </c:pt>
                <c:pt idx="31">
                  <c:v>108.90762509475555</c:v>
                </c:pt>
                <c:pt idx="32">
                  <c:v>112.42834896238554</c:v>
                </c:pt>
                <c:pt idx="33">
                  <c:v>115.9495347062123</c:v>
                </c:pt>
                <c:pt idx="34">
                  <c:v>119.47118186395488</c:v>
                </c:pt>
                <c:pt idx="35">
                  <c:v>122.99328999814155</c:v>
                </c:pt>
                <c:pt idx="36">
                  <c:v>126.51585869431625</c:v>
                </c:pt>
                <c:pt idx="37">
                  <c:v>130.03888755942111</c:v>
                </c:pt>
                <c:pt idx="38">
                  <c:v>133.56237622033362</c:v>
                </c:pt>
                <c:pt idx="39">
                  <c:v>137.08632432253972</c:v>
                </c:pt>
                <c:pt idx="40">
                  <c:v>140.61073152892723</c:v>
                </c:pt>
                <c:pt idx="41">
                  <c:v>144.13559751868578</c:v>
                </c:pt>
                <c:pt idx="42">
                  <c:v>147.66092198630159</c:v>
                </c:pt>
                <c:pt idx="43">
                  <c:v>151.18670464063666</c:v>
                </c:pt>
                <c:pt idx="44">
                  <c:v>154.71294520408355</c:v>
                </c:pt>
                <c:pt idx="45">
                  <c:v>158.23964341178848</c:v>
                </c:pt>
                <c:pt idx="46">
                  <c:v>161.76679901093473</c:v>
                </c:pt>
                <c:pt idx="47">
                  <c:v>165.29441176008154</c:v>
                </c:pt>
                <c:pt idx="48">
                  <c:v>168.82248142855241</c:v>
                </c:pt>
                <c:pt idx="49">
                  <c:v>172.35100779586853</c:v>
                </c:pt>
                <c:pt idx="50">
                  <c:v>175.87999065122287</c:v>
                </c:pt>
                <c:pt idx="51">
                  <c:v>179.40942979299169</c:v>
                </c:pt>
                <c:pt idx="52">
                  <c:v>182.93932502827963</c:v>
                </c:pt>
                <c:pt idx="53">
                  <c:v>186.46967617249561</c:v>
                </c:pt>
                <c:pt idx="54">
                  <c:v>190.00048304895725</c:v>
                </c:pt>
                <c:pt idx="55">
                  <c:v>193.53174548852101</c:v>
                </c:pt>
                <c:pt idx="56">
                  <c:v>197.06346332923593</c:v>
                </c:pt>
                <c:pt idx="57">
                  <c:v>200.5956364160194</c:v>
                </c:pt>
                <c:pt idx="58">
                  <c:v>204.12826460035305</c:v>
                </c:pt>
                <c:pt idx="59">
                  <c:v>207.66134773999673</c:v>
                </c:pt>
                <c:pt idx="60">
                  <c:v>211.19488569872013</c:v>
                </c:pt>
                <c:pt idx="61">
                  <c:v>214.72887834604998</c:v>
                </c:pt>
                <c:pt idx="62">
                  <c:v>218.26332555703155</c:v>
                </c:pt>
                <c:pt idx="63">
                  <c:v>221.79822721200441</c:v>
                </c:pt>
                <c:pt idx="64">
                  <c:v>225.33121438743632</c:v>
                </c:pt>
                <c:pt idx="65">
                  <c:v>228.73942735381172</c:v>
                </c:pt>
                <c:pt idx="66">
                  <c:v>232.14868282846228</c:v>
                </c:pt>
                <c:pt idx="67">
                  <c:v>235.55920227734478</c:v>
                </c:pt>
                <c:pt idx="68">
                  <c:v>238.97001477880187</c:v>
                </c:pt>
                <c:pt idx="69">
                  <c:v>242.61065396461839</c:v>
                </c:pt>
                <c:pt idx="70">
                  <c:v>247.16211170281704</c:v>
                </c:pt>
                <c:pt idx="71">
                  <c:v>251.74473202967062</c:v>
                </c:pt>
                <c:pt idx="72">
                  <c:v>256.35574005527354</c:v>
                </c:pt>
                <c:pt idx="73">
                  <c:v>260.99698384829264</c:v>
                </c:pt>
                <c:pt idx="74">
                  <c:v>265.66850451277224</c:v>
                </c:pt>
                <c:pt idx="75">
                  <c:v>270.37034354289949</c:v>
                </c:pt>
                <c:pt idx="76">
                  <c:v>275.10254282246007</c:v>
                </c:pt>
                <c:pt idx="77">
                  <c:v>279.8651446244271</c:v>
                </c:pt>
                <c:pt idx="78">
                  <c:v>284.65819161067225</c:v>
                </c:pt>
                <c:pt idx="79">
                  <c:v>289.48172683178939</c:v>
                </c:pt>
                <c:pt idx="80">
                  <c:v>294.33579372702496</c:v>
                </c:pt>
                <c:pt idx="81">
                  <c:v>299.22043612430309</c:v>
                </c:pt>
                <c:pt idx="82">
                  <c:v>304.13569824034346</c:v>
                </c:pt>
                <c:pt idx="83">
                  <c:v>309.08162468086232</c:v>
                </c:pt>
                <c:pt idx="84">
                  <c:v>314.05826044085188</c:v>
                </c:pt>
                <c:pt idx="85">
                  <c:v>319.0656509049341</c:v>
                </c:pt>
                <c:pt idx="86">
                  <c:v>324.10384184778161</c:v>
                </c:pt>
                <c:pt idx="87">
                  <c:v>329.17287943460519</c:v>
                </c:pt>
                <c:pt idx="88">
                  <c:v>334.27281022170013</c:v>
                </c:pt>
                <c:pt idx="89">
                  <c:v>339.40368115705002</c:v>
                </c:pt>
                <c:pt idx="90">
                  <c:v>344.56553958098465</c:v>
                </c:pt>
                <c:pt idx="91">
                  <c:v>349.75843322688837</c:v>
                </c:pt>
                <c:pt idx="92">
                  <c:v>354.98241022195691</c:v>
                </c:pt>
                <c:pt idx="93">
                  <c:v>360.23751908799886</c:v>
                </c:pt>
                <c:pt idx="94">
                  <c:v>365.52380874228101</c:v>
                </c:pt>
                <c:pt idx="95">
                  <c:v>370.84132849841581</c:v>
                </c:pt>
                <c:pt idx="96">
                  <c:v>376.19012806728534</c:v>
                </c:pt>
                <c:pt idx="97">
                  <c:v>381.57025755800606</c:v>
                </c:pt>
                <c:pt idx="98">
                  <c:v>386.981767478927</c:v>
                </c:pt>
                <c:pt idx="99">
                  <c:v>392.42470873866318</c:v>
                </c:pt>
                <c:pt idx="100">
                  <c:v>397.89913264716267</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73.220762248117254</c:v>
                </c:pt>
                <c:pt idx="1">
                  <c:v>72.420959567624351</c:v>
                </c:pt>
                <c:pt idx="2">
                  <c:v>71.621162857929164</c:v>
                </c:pt>
                <c:pt idx="3">
                  <c:v>70.821349546407589</c:v>
                </c:pt>
                <c:pt idx="4">
                  <c:v>70.022022884068136</c:v>
                </c:pt>
                <c:pt idx="5">
                  <c:v>69.22183570306737</c:v>
                </c:pt>
                <c:pt idx="6">
                  <c:v>68.421908937255651</c:v>
                </c:pt>
                <c:pt idx="7">
                  <c:v>67.621701293624668</c:v>
                </c:pt>
                <c:pt idx="8">
                  <c:v>66.821782808619957</c:v>
                </c:pt>
                <c:pt idx="9">
                  <c:v>66.021534941116059</c:v>
                </c:pt>
                <c:pt idx="10">
                  <c:v>65.221404782132112</c:v>
                </c:pt>
                <c:pt idx="11">
                  <c:v>64.421264765144542</c:v>
                </c:pt>
                <c:pt idx="12">
                  <c:v>63.620676737159762</c:v>
                </c:pt>
                <c:pt idx="13">
                  <c:v>62.82039334753734</c:v>
                </c:pt>
                <c:pt idx="14">
                  <c:v>62.019757034689206</c:v>
                </c:pt>
                <c:pt idx="15">
                  <c:v>61.219053943789</c:v>
                </c:pt>
                <c:pt idx="16">
                  <c:v>60.418193936899911</c:v>
                </c:pt>
                <c:pt idx="17">
                  <c:v>59.617260532418882</c:v>
                </c:pt>
                <c:pt idx="18">
                  <c:v>58.815984811696779</c:v>
                </c:pt>
                <c:pt idx="19">
                  <c:v>58.01453850207438</c:v>
                </c:pt>
                <c:pt idx="20">
                  <c:v>57.212709508700414</c:v>
                </c:pt>
                <c:pt idx="21">
                  <c:v>56.410598694179569</c:v>
                </c:pt>
                <c:pt idx="22">
                  <c:v>55.607959696955163</c:v>
                </c:pt>
                <c:pt idx="23">
                  <c:v>54.804901505423985</c:v>
                </c:pt>
                <c:pt idx="24">
                  <c:v>54.001112705763859</c:v>
                </c:pt>
                <c:pt idx="25">
                  <c:v>53.196589840779467</c:v>
                </c:pt>
                <c:pt idx="26">
                  <c:v>52.390992700181521</c:v>
                </c:pt>
                <c:pt idx="27">
                  <c:v>51.584395614043679</c:v>
                </c:pt>
                <c:pt idx="28">
                  <c:v>50.776550541556922</c:v>
                </c:pt>
                <c:pt idx="29">
                  <c:v>49.967702697987178</c:v>
                </c:pt>
                <c:pt idx="30">
                  <c:v>49.156176181039264</c:v>
                </c:pt>
                <c:pt idx="31">
                  <c:v>48.342738067758397</c:v>
                </c:pt>
                <c:pt idx="32">
                  <c:v>47.526403599788367</c:v>
                </c:pt>
                <c:pt idx="33">
                  <c:v>46.707242620999011</c:v>
                </c:pt>
                <c:pt idx="34">
                  <c:v>45.884018999509792</c:v>
                </c:pt>
                <c:pt idx="35">
                  <c:v>45.056484380458855</c:v>
                </c:pt>
                <c:pt idx="36">
                  <c:v>44.223681733239317</c:v>
                </c:pt>
                <c:pt idx="37">
                  <c:v>43.384189133657216</c:v>
                </c:pt>
                <c:pt idx="38">
                  <c:v>42.537683508023186</c:v>
                </c:pt>
                <c:pt idx="39">
                  <c:v>41.682194179534008</c:v>
                </c:pt>
                <c:pt idx="40">
                  <c:v>40.816571516142226</c:v>
                </c:pt>
                <c:pt idx="41">
                  <c:v>39.939085382015755</c:v>
                </c:pt>
                <c:pt idx="42">
                  <c:v>39.048016632338935</c:v>
                </c:pt>
                <c:pt idx="43">
                  <c:v>38.141085144033362</c:v>
                </c:pt>
                <c:pt idx="44">
                  <c:v>37.216363243625622</c:v>
                </c:pt>
                <c:pt idx="45">
                  <c:v>36.271388834167013</c:v>
                </c:pt>
                <c:pt idx="46">
                  <c:v>35.304031486390684</c:v>
                </c:pt>
                <c:pt idx="47">
                  <c:v>34.311797543992284</c:v>
                </c:pt>
                <c:pt idx="48">
                  <c:v>33.292786577835692</c:v>
                </c:pt>
                <c:pt idx="49">
                  <c:v>32.244850687458651</c:v>
                </c:pt>
                <c:pt idx="50">
                  <c:v>31.166644183240706</c:v>
                </c:pt>
                <c:pt idx="51">
                  <c:v>30.056914126983902</c:v>
                </c:pt>
                <c:pt idx="52">
                  <c:v>28.91563814049972</c:v>
                </c:pt>
                <c:pt idx="53">
                  <c:v>27.743117851915802</c:v>
                </c:pt>
                <c:pt idx="54">
                  <c:v>26.541212848459587</c:v>
                </c:pt>
                <c:pt idx="55">
                  <c:v>25.309743924460506</c:v>
                </c:pt>
                <c:pt idx="56">
                  <c:v>24.053013876117134</c:v>
                </c:pt>
                <c:pt idx="57">
                  <c:v>22.773459649038685</c:v>
                </c:pt>
                <c:pt idx="58">
                  <c:v>21.475864022332001</c:v>
                </c:pt>
                <c:pt idx="59">
                  <c:v>20.163569715363174</c:v>
                </c:pt>
                <c:pt idx="60">
                  <c:v>18.842006878474983</c:v>
                </c:pt>
                <c:pt idx="61">
                  <c:v>17.515903104365272</c:v>
                </c:pt>
                <c:pt idx="62">
                  <c:v>16.189582048516574</c:v>
                </c:pt>
                <c:pt idx="63">
                  <c:v>14.869335271852153</c:v>
                </c:pt>
                <c:pt idx="64">
                  <c:v>13.558997772634502</c:v>
                </c:pt>
                <c:pt idx="65">
                  <c:v>12.263717098298731</c:v>
                </c:pt>
                <c:pt idx="66">
                  <c:v>10.987655511968748</c:v>
                </c:pt>
                <c:pt idx="67">
                  <c:v>9.7347677429487334</c:v>
                </c:pt>
                <c:pt idx="68">
                  <c:v>8.5078700332320292</c:v>
                </c:pt>
                <c:pt idx="69">
                  <c:v>7.3097855388192556</c:v>
                </c:pt>
                <c:pt idx="70">
                  <c:v>6.1420188026303721</c:v>
                </c:pt>
                <c:pt idx="71">
                  <c:v>5.0057798254384602</c:v>
                </c:pt>
                <c:pt idx="72">
                  <c:v>3.9010442602804303</c:v>
                </c:pt>
                <c:pt idx="73">
                  <c:v>2.8276052816049368</c:v>
                </c:pt>
                <c:pt idx="74">
                  <c:v>1.7841035238937921</c:v>
                </c:pt>
                <c:pt idx="75">
                  <c:v>0.76912698906182231</c:v>
                </c:pt>
                <c:pt idx="76">
                  <c:v>-0.21949770028511603</c:v>
                </c:pt>
                <c:pt idx="77">
                  <c:v>-1.1836363638024945</c:v>
                </c:pt>
                <c:pt idx="78">
                  <c:v>-2.1256409172619812</c:v>
                </c:pt>
                <c:pt idx="79">
                  <c:v>-3.04728039733914</c:v>
                </c:pt>
                <c:pt idx="80">
                  <c:v>-3.9523812732137795</c:v>
                </c:pt>
                <c:pt idx="81">
                  <c:v>-4.841827083718389</c:v>
                </c:pt>
                <c:pt idx="82">
                  <c:v>-5.718237497363682</c:v>
                </c:pt>
                <c:pt idx="83">
                  <c:v>-6.5828299822920329</c:v>
                </c:pt>
                <c:pt idx="84">
                  <c:v>-7.4379306991255723</c:v>
                </c:pt>
                <c:pt idx="85">
                  <c:v>-8.2845340698441401</c:v>
                </c:pt>
                <c:pt idx="86">
                  <c:v>-9.1240794312318432</c:v>
                </c:pt>
                <c:pt idx="87">
                  <c:v>-9.9581642261387451</c:v>
                </c:pt>
                <c:pt idx="88">
                  <c:v>-10.787002239841607</c:v>
                </c:pt>
                <c:pt idx="89">
                  <c:v>-11.612147515865637</c:v>
                </c:pt>
                <c:pt idx="90">
                  <c:v>-12.434066627073253</c:v>
                </c:pt>
                <c:pt idx="91">
                  <c:v>-13.253523927654296</c:v>
                </c:pt>
                <c:pt idx="92">
                  <c:v>-14.071030938182137</c:v>
                </c:pt>
                <c:pt idx="93">
                  <c:v>-14.887399578275675</c:v>
                </c:pt>
                <c:pt idx="94">
                  <c:v>-15.091273123627678</c:v>
                </c:pt>
                <c:pt idx="95">
                  <c:v>-15.193826267813106</c:v>
                </c:pt>
                <c:pt idx="96">
                  <c:v>-15.295197066986015</c:v>
                </c:pt>
                <c:pt idx="97">
                  <c:v>-15.397723032812374</c:v>
                </c:pt>
                <c:pt idx="98">
                  <c:v>-15.499069085957458</c:v>
                </c:pt>
                <c:pt idx="99">
                  <c:v>-15.601597661637975</c:v>
                </c:pt>
                <c:pt idx="100">
                  <c:v>-15.702948110232098</c:v>
                </c:pt>
                <c:pt idx="101">
                  <c:v>-15.805429504734821</c:v>
                </c:pt>
                <c:pt idx="102">
                  <c:v>-15.9067357322765</c:v>
                </c:pt>
                <c:pt idx="103">
                  <c:v>-16.009272408380795</c:v>
                </c:pt>
                <c:pt idx="104">
                  <c:v>-16.110634583155548</c:v>
                </c:pt>
                <c:pt idx="105">
                  <c:v>-16.213173721345779</c:v>
                </c:pt>
                <c:pt idx="106">
                  <c:v>-16.314540274643626</c:v>
                </c:pt>
                <c:pt idx="107">
                  <c:v>-16.417032847550807</c:v>
                </c:pt>
                <c:pt idx="108">
                  <c:v>-16.518355913083223</c:v>
                </c:pt>
                <c:pt idx="109">
                  <c:v>-16.620825854595587</c:v>
                </c:pt>
                <c:pt idx="110">
                  <c:v>-16.72212887125713</c:v>
                </c:pt>
                <c:pt idx="111">
                  <c:v>-16.824665052572875</c:v>
                </c:pt>
                <c:pt idx="112">
                  <c:v>-16.926034935805351</c:v>
                </c:pt>
                <c:pt idx="113">
                  <c:v>-17.028584962658929</c:v>
                </c:pt>
                <c:pt idx="114">
                  <c:v>-17.129970565674668</c:v>
                </c:pt>
                <c:pt idx="115">
                  <c:v>-17.2325505718748</c:v>
                </c:pt>
                <c:pt idx="116">
                  <c:v>-17.333967728677084</c:v>
                </c:pt>
                <c:pt idx="117">
                  <c:v>-17.436591604364054</c:v>
                </c:pt>
                <c:pt idx="118">
                  <c:v>-17.538053961676052</c:v>
                </c:pt>
                <c:pt idx="119">
                  <c:v>-17.640671658196116</c:v>
                </c:pt>
                <c:pt idx="120">
                  <c:v>-17.742130365491811</c:v>
                </c:pt>
                <c:pt idx="121">
                  <c:v>-17.844755984271721</c:v>
                </c:pt>
                <c:pt idx="122">
                  <c:v>-17.94622489981473</c:v>
                </c:pt>
                <c:pt idx="123">
                  <c:v>-18.048929743194247</c:v>
                </c:pt>
                <c:pt idx="124">
                  <c:v>-18.150478653026141</c:v>
                </c:pt>
                <c:pt idx="125">
                  <c:v>-18.253211343396913</c:v>
                </c:pt>
                <c:pt idx="126">
                  <c:v>-18.354790107200337</c:v>
                </c:pt>
                <c:pt idx="127">
                  <c:v>-18.457559520875041</c:v>
                </c:pt>
                <c:pt idx="128">
                  <c:v>-18.559176906101985</c:v>
                </c:pt>
                <c:pt idx="129">
                  <c:v>-18.661990441269484</c:v>
                </c:pt>
                <c:pt idx="130">
                  <c:v>-18.763653775838943</c:v>
                </c:pt>
                <c:pt idx="131">
                  <c:v>-18.866517488452569</c:v>
                </c:pt>
                <c:pt idx="132">
                  <c:v>-18.917516994249443</c:v>
                </c:pt>
                <c:pt idx="133">
                  <c:v>-18.968232793466196</c:v>
                </c:pt>
                <c:pt idx="134">
                  <c:v>-19.019863762891575</c:v>
                </c:pt>
                <c:pt idx="135">
                  <c:v>-19.071204360093382</c:v>
                </c:pt>
                <c:pt idx="136">
                  <c:v>-19.122258025504252</c:v>
                </c:pt>
                <c:pt idx="137">
                  <c:v>-19.173028139489073</c:v>
                </c:pt>
                <c:pt idx="138">
                  <c:v>-19.22466110919407</c:v>
                </c:pt>
                <c:pt idx="139">
                  <c:v>-19.276004471034497</c:v>
                </c:pt>
                <c:pt idx="140">
                  <c:v>-19.32706165489229</c:v>
                </c:pt>
                <c:pt idx="141">
                  <c:v>-19.377836030840701</c:v>
                </c:pt>
                <c:pt idx="142">
                  <c:v>-19.429524951129945</c:v>
                </c:pt>
                <c:pt idx="143">
                  <c:v>-19.480924453056851</c:v>
                </c:pt>
                <c:pt idx="144">
                  <c:v>-19.53203796633214</c:v>
                </c:pt>
                <c:pt idx="145">
                  <c:v>-19.582868860874548</c:v>
                </c:pt>
                <c:pt idx="146">
                  <c:v>-19.634588147474002</c:v>
                </c:pt>
                <c:pt idx="147">
                  <c:v>-19.686018522132926</c:v>
                </c:pt>
                <c:pt idx="148">
                  <c:v>-19.737163408974862</c:v>
                </c:pt>
                <c:pt idx="149">
                  <c:v>-19.788026172472023</c:v>
                </c:pt>
                <c:pt idx="150">
                  <c:v>-19.839776418019529</c:v>
                </c:pt>
                <c:pt idx="151">
                  <c:v>-19.891238283073683</c:v>
                </c:pt>
                <c:pt idx="152">
                  <c:v>-19.942415185927757</c:v>
                </c:pt>
                <c:pt idx="153">
                  <c:v>-19.993310485368511</c:v>
                </c:pt>
                <c:pt idx="154">
                  <c:v>-20.045115704605855</c:v>
                </c:pt>
                <c:pt idx="155">
                  <c:v>-20.096632841542025</c:v>
                </c:pt>
                <c:pt idx="156">
                  <c:v>-20.147865312980294</c:v>
                </c:pt>
                <c:pt idx="157">
                  <c:v>-20.198816476260447</c:v>
                </c:pt>
                <c:pt idx="158">
                  <c:v>-20.250675064236844</c:v>
                </c:pt>
                <c:pt idx="159">
                  <c:v>-20.302245921806652</c:v>
                </c:pt>
                <c:pt idx="160">
                  <c:v>-20.353532463541455</c:v>
                </c:pt>
                <c:pt idx="161">
                  <c:v>-20.404538044607435</c:v>
                </c:pt>
                <c:pt idx="162">
                  <c:v>-20.456425484976041</c:v>
                </c:pt>
                <c:pt idx="163">
                  <c:v>-20.508025854574985</c:v>
                </c:pt>
                <c:pt idx="164">
                  <c:v>-20.559342560492937</c:v>
                </c:pt>
                <c:pt idx="165">
                  <c:v>-20.610378950591159</c:v>
                </c:pt>
                <c:pt idx="166">
                  <c:v>-20.662339285456337</c:v>
                </c:pt>
                <c:pt idx="167">
                  <c:v>-20.714012761400504</c:v>
                </c:pt>
                <c:pt idx="168">
                  <c:v>-20.765402786193196</c:v>
                </c:pt>
                <c:pt idx="169">
                  <c:v>-20.816512708364176</c:v>
                </c:pt>
                <c:pt idx="170">
                  <c:v>-20.868433648007326</c:v>
                </c:pt>
                <c:pt idx="171">
                  <c:v>-20.920069213838644</c:v>
                </c:pt>
                <c:pt idx="172">
                  <c:v>-20.971422791911056</c:v>
                </c:pt>
                <c:pt idx="173">
                  <c:v>-21.022497709540744</c:v>
                </c:pt>
                <c:pt idx="174">
                  <c:v>-21.074574366338869</c:v>
                </c:pt>
                <c:pt idx="175">
                  <c:v>-21.126365034469746</c:v>
                </c:pt>
                <c:pt idx="176">
                  <c:v>-21.177873115786376</c:v>
                </c:pt>
                <c:pt idx="177">
                  <c:v>-21.229101953039866</c:v>
                </c:pt>
                <c:pt idx="178">
                  <c:v>-21.281304322059583</c:v>
                </c:pt>
                <c:pt idx="179">
                  <c:v>-21.333220465099792</c:v>
                </c:pt>
                <c:pt idx="180">
                  <c:v>-21.384853793374536</c:v>
                </c:pt>
                <c:pt idx="181">
                  <c:v>-21.436207658777498</c:v>
                </c:pt>
                <c:pt idx="182">
                  <c:v>-21.488304114582878</c:v>
                </c:pt>
                <c:pt idx="183">
                  <c:v>-21.540116678909431</c:v>
                </c:pt>
                <c:pt idx="184">
                  <c:v>-21.591648726762411</c:v>
                </c:pt>
                <c:pt idx="185">
                  <c:v>-21.642903574658035</c:v>
                </c:pt>
                <c:pt idx="186">
                  <c:v>-21.695280125328335</c:v>
                </c:pt>
                <c:pt idx="187">
                  <c:v>-21.74737096267609</c:v>
                </c:pt>
                <c:pt idx="188">
                  <c:v>-21.799179499763085</c:v>
                </c:pt>
                <c:pt idx="189">
                  <c:v>-21.850709090277402</c:v>
                </c:pt>
                <c:pt idx="190">
                  <c:v>-21.902938499354811</c:v>
                </c:pt>
                <c:pt idx="191">
                  <c:v>-21.95488506337913</c:v>
                </c:pt>
                <c:pt idx="192">
                  <c:v>-22.006552150082349</c:v>
                </c:pt>
                <c:pt idx="193">
                  <c:v>-22.057943068860236</c:v>
                </c:pt>
                <c:pt idx="194">
                  <c:v>-22.11039760230776</c:v>
                </c:pt>
                <c:pt idx="195">
                  <c:v>-22.162568176204044</c:v>
                </c:pt>
                <c:pt idx="196">
                  <c:v>-22.21445818421082</c:v>
                </c:pt>
                <c:pt idx="197">
                  <c:v>-22.266070961044857</c:v>
                </c:pt>
                <c:pt idx="198">
                  <c:v>-22.3185309508413</c:v>
                </c:pt>
                <c:pt idx="199">
                  <c:v>-22.370708293486373</c:v>
                </c:pt>
                <c:pt idx="200">
                  <c:v>-22.422606365499153</c:v>
                </c:pt>
                <c:pt idx="201">
                  <c:v>-22.474228484836015</c:v>
                </c:pt>
                <c:pt idx="202">
                  <c:v>-22.526675296531312</c:v>
                </c:pt>
                <c:pt idx="203">
                  <c:v>-22.578841018731737</c:v>
                </c:pt>
                <c:pt idx="204">
                  <c:v>-22.630729006649702</c:v>
                </c:pt>
                <c:pt idx="205">
                  <c:v>-22.682342557409854</c:v>
                </c:pt>
                <c:pt idx="206">
                  <c:v>-22.734938169405837</c:v>
                </c:pt>
                <c:pt idx="207">
                  <c:v>-22.787252570353456</c:v>
                </c:pt>
                <c:pt idx="208">
                  <c:v>-22.839289124378908</c:v>
                </c:pt>
                <c:pt idx="209">
                  <c:v>-22.891051137296955</c:v>
                </c:pt>
                <c:pt idx="210">
                  <c:v>-22.943943973546702</c:v>
                </c:pt>
                <c:pt idx="211">
                  <c:v>-22.996553961530303</c:v>
                </c:pt>
                <c:pt idx="212">
                  <c:v>-23.048884501790145</c:v>
                </c:pt>
                <c:pt idx="213">
                  <c:v>-23.100938935694892</c:v>
                </c:pt>
                <c:pt idx="214">
                  <c:v>-23.153749987196335</c:v>
                </c:pt>
                <c:pt idx="215">
                  <c:v>-23.206280653966541</c:v>
                </c:pt>
                <c:pt idx="216">
                  <c:v>-23.258534299614205</c:v>
                </c:pt>
                <c:pt idx="217">
                  <c:v>-23.310514229402539</c:v>
                </c:pt>
                <c:pt idx="218">
                  <c:v>-23.363399606087725</c:v>
                </c:pt>
                <c:pt idx="219">
                  <c:v>-23.416005455574247</c:v>
                </c:pt>
                <c:pt idx="220">
                  <c:v>-23.468335133576566</c:v>
                </c:pt>
                <c:pt idx="221">
                  <c:v>-23.520391937617976</c:v>
                </c:pt>
                <c:pt idx="222">
                  <c:v>-23.573330551529668</c:v>
                </c:pt>
                <c:pt idx="223">
                  <c:v>-23.625990778304224</c:v>
                </c:pt>
                <c:pt idx="224">
                  <c:v>-23.678375960899643</c:v>
                </c:pt>
                <c:pt idx="225">
                  <c:v>-23.730489384345816</c:v>
                </c:pt>
                <c:pt idx="226">
                  <c:v>-23.783622959518095</c:v>
                </c:pt>
                <c:pt idx="227">
                  <c:v>-23.836477867805964</c:v>
                </c:pt>
                <c:pt idx="228">
                  <c:v>-23.889057465157645</c:v>
                </c:pt>
                <c:pt idx="229">
                  <c:v>-23.941365049258778</c:v>
                </c:pt>
                <c:pt idx="230">
                  <c:v>-24.047688214478995</c:v>
                </c:pt>
                <c:pt idx="231">
                  <c:v>-24.100435289405869</c:v>
                </c:pt>
                <c:pt idx="232">
                  <c:v>-24.15291045091665</c:v>
                </c:pt>
                <c:pt idx="233">
                  <c:v>-24.206353031034304</c:v>
                </c:pt>
                <c:pt idx="234">
                  <c:v>-24.259517460712807</c:v>
                </c:pt>
                <c:pt idx="235">
                  <c:v>-24.312407103298831</c:v>
                </c:pt>
                <c:pt idx="236">
                  <c:v>-24.36502526362392</c:v>
                </c:pt>
                <c:pt idx="237">
                  <c:v>-24.418434607657371</c:v>
                </c:pt>
                <c:pt idx="238">
                  <c:v>-24.471568111018009</c:v>
                </c:pt>
                <c:pt idx="239">
                  <c:v>-24.524429103991743</c:v>
                </c:pt>
                <c:pt idx="240">
                  <c:v>-24.577020859066089</c:v>
                </c:pt>
                <c:pt idx="241">
                  <c:v>-24.630681006404007</c:v>
                </c:pt>
                <c:pt idx="242">
                  <c:v>-24.684064763061933</c:v>
                </c:pt>
                <c:pt idx="243">
                  <c:v>-24.737175478146987</c:v>
                </c:pt>
                <c:pt idx="244">
                  <c:v>-24.790016442481285</c:v>
                </c:pt>
                <c:pt idx="245">
                  <c:v>-24.843752980468828</c:v>
                </c:pt>
                <c:pt idx="246">
                  <c:v>-24.897214451664507</c:v>
                </c:pt>
                <c:pt idx="247">
                  <c:v>-24.950404190284718</c:v>
                </c:pt>
                <c:pt idx="248">
                  <c:v>-25.003325472548813</c:v>
                </c:pt>
                <c:pt idx="249">
                  <c:v>-25.057262525091446</c:v>
                </c:pt>
                <c:pt idx="250">
                  <c:v>-25.110924645080559</c:v>
                </c:pt>
                <c:pt idx="251">
                  <c:v>-25.164315173593373</c:v>
                </c:pt>
                <c:pt idx="252">
                  <c:v>-25.217437393489508</c:v>
                </c:pt>
                <c:pt idx="253">
                  <c:v>-25.271410359014986</c:v>
                </c:pt>
                <c:pt idx="254">
                  <c:v>-25.325110277868163</c:v>
                </c:pt>
                <c:pt idx="255">
                  <c:v>-25.378540466330065</c:v>
                </c:pt>
                <c:pt idx="256">
                  <c:v>-25.43170418297095</c:v>
                </c:pt>
                <c:pt idx="257">
                  <c:v>-25.485971637650124</c:v>
                </c:pt>
                <c:pt idx="258">
                  <c:v>-25.539965402099995</c:v>
                </c:pt>
                <c:pt idx="259">
                  <c:v>-25.593688813954699</c:v>
                </c:pt>
                <c:pt idx="260">
                  <c:v>-25.647145152569728</c:v>
                </c:pt>
                <c:pt idx="261">
                  <c:v>-25.701543519000598</c:v>
                </c:pt>
                <c:pt idx="262">
                  <c:v>-25.755669291818947</c:v>
                </c:pt>
                <c:pt idx="263">
                  <c:v>-25.809525798487783</c:v>
                </c:pt>
                <c:pt idx="264">
                  <c:v>-25.863116308348321</c:v>
                </c:pt>
                <c:pt idx="265">
                  <c:v>-25.917626134077221</c:v>
                </c:pt>
                <c:pt idx="266">
                  <c:v>-25.971864737828465</c:v>
                </c:pt>
                <c:pt idx="267">
                  <c:v>-26.025835431962449</c:v>
                </c:pt>
                <c:pt idx="268">
                  <c:v>-26.079541470982889</c:v>
                </c:pt>
                <c:pt idx="269">
                  <c:v>-26.134273777154853</c:v>
                </c:pt>
                <c:pt idx="270">
                  <c:v>-26.188735217899715</c:v>
                </c:pt>
                <c:pt idx="271">
                  <c:v>-26.24292910910841</c:v>
                </c:pt>
                <c:pt idx="272">
                  <c:v>-26.296858708640801</c:v>
                </c:pt>
                <c:pt idx="273">
                  <c:v>-26.351789858578002</c:v>
                </c:pt>
                <c:pt idx="274">
                  <c:v>-26.406450829846779</c:v>
                </c:pt>
                <c:pt idx="275">
                  <c:v>-26.460844935919162</c:v>
                </c:pt>
                <c:pt idx="276">
                  <c:v>-26.514975432192664</c:v>
                </c:pt>
                <c:pt idx="277">
                  <c:v>-26.569959905289274</c:v>
                </c:pt>
                <c:pt idx="278">
                  <c:v>-26.62467639679474</c:v>
                </c:pt>
                <c:pt idx="279">
                  <c:v>-26.679128190094904</c:v>
                </c:pt>
                <c:pt idx="280">
                  <c:v>-26.733318511095021</c:v>
                </c:pt>
                <c:pt idx="281">
                  <c:v>-26.788707878170701</c:v>
                </c:pt>
                <c:pt idx="282">
                  <c:v>-26.843828133144839</c:v>
                </c:pt>
                <c:pt idx="283">
                  <c:v>-26.898682590411571</c:v>
                </c:pt>
                <c:pt idx="284">
                  <c:v>-26.953274506046117</c:v>
                </c:pt>
                <c:pt idx="285">
                  <c:v>-27.008679195147334</c:v>
                </c:pt>
                <c:pt idx="286">
                  <c:v>-27.06381751340156</c:v>
                </c:pt>
                <c:pt idx="287">
                  <c:v>-27.118692735025437</c:v>
                </c:pt>
                <c:pt idx="288">
                  <c:v>-27.173308076732269</c:v>
                </c:pt>
                <c:pt idx="289">
                  <c:v>-27.229069147916416</c:v>
                </c:pt>
                <c:pt idx="290">
                  <c:v>-27.284563401233189</c:v>
                </c:pt>
                <c:pt idx="291">
                  <c:v>-27.339794129333761</c:v>
                </c:pt>
                <c:pt idx="292">
                  <c:v>-27.394764566803062</c:v>
                </c:pt>
                <c:pt idx="293">
                  <c:v>-27.450739260540868</c:v>
                </c:pt>
                <c:pt idx="294">
                  <c:v>-27.506448163816586</c:v>
                </c:pt>
                <c:pt idx="295">
                  <c:v>-27.561894560492838</c:v>
                </c:pt>
                <c:pt idx="296">
                  <c:v>-27.617081676430718</c:v>
                </c:pt>
                <c:pt idx="297">
                  <c:v>-27.673250488770048</c:v>
                </c:pt>
                <c:pt idx="298">
                  <c:v>-27.729154817878236</c:v>
                </c:pt>
                <c:pt idx="299">
                  <c:v>-27.784797933510355</c:v>
                </c:pt>
                <c:pt idx="300">
                  <c:v>-27.840183047601052</c:v>
                </c:pt>
                <c:pt idx="301">
                  <c:v>-27.896528199379489</c:v>
                </c:pt>
                <c:pt idx="302">
                  <c:v>-27.952610431811852</c:v>
                </c:pt>
                <c:pt idx="303">
                  <c:v>-28.008432995597424</c:v>
                </c:pt>
                <c:pt idx="304">
                  <c:v>-28.063999083903759</c:v>
                </c:pt>
                <c:pt idx="305">
                  <c:v>-28.120721246092899</c:v>
                </c:pt>
                <c:pt idx="306">
                  <c:v>-28.177180287056601</c:v>
                </c:pt>
                <c:pt idx="307">
                  <c:v>-28.233379470898271</c:v>
                </c:pt>
                <c:pt idx="308">
                  <c:v>-28.28932200370356</c:v>
                </c:pt>
                <c:pt idx="309">
                  <c:v>-28.346181853751283</c:v>
                </c:pt>
                <c:pt idx="310">
                  <c:v>-28.402780698525383</c:v>
                </c:pt>
                <c:pt idx="311">
                  <c:v>-28.459121772308983</c:v>
                </c:pt>
                <c:pt idx="312">
                  <c:v>-28.515208251891909</c:v>
                </c:pt>
                <c:pt idx="313">
                  <c:v>-28.572401971699328</c:v>
                </c:pt>
                <c:pt idx="314">
                  <c:v>-28.629335095898352</c:v>
                </c:pt>
                <c:pt idx="315">
                  <c:v>-28.686010860241193</c:v>
                </c:pt>
                <c:pt idx="316">
                  <c:v>-28.742432442761551</c:v>
                </c:pt>
                <c:pt idx="317">
                  <c:v>-28.799937323828392</c:v>
                </c:pt>
                <c:pt idx="318">
                  <c:v>-28.8571823370145</c:v>
                </c:pt>
                <c:pt idx="319">
                  <c:v>-28.914170713268604</c:v>
                </c:pt>
                <c:pt idx="320">
                  <c:v>-28.970905625732822</c:v>
                </c:pt>
                <c:pt idx="321">
                  <c:v>-29.028700831567061</c:v>
                </c:pt>
                <c:pt idx="322">
                  <c:v>-29.08623718996602</c:v>
                </c:pt>
                <c:pt idx="323">
                  <c:v>-29.143517921180813</c:v>
                </c:pt>
                <c:pt idx="324">
                  <c:v>-29.200546187697221</c:v>
                </c:pt>
                <c:pt idx="325">
                  <c:v>-29.258612651268582</c:v>
                </c:pt>
                <c:pt idx="326">
                  <c:v>-29.316421555674857</c:v>
                </c:pt>
                <c:pt idx="327">
                  <c:v>-29.373976104958174</c:v>
                </c:pt>
                <c:pt idx="328">
                  <c:v>-29.431279445557848</c:v>
                </c:pt>
                <c:pt idx="329">
                  <c:v>-29.489697076950776</c:v>
                </c:pt>
                <c:pt idx="330">
                  <c:v>-29.547857829337609</c:v>
                </c:pt>
                <c:pt idx="331">
                  <c:v>-29.605764901271296</c:v>
                </c:pt>
                <c:pt idx="332">
                  <c:v>-29.663421433597531</c:v>
                </c:pt>
                <c:pt idx="333">
                  <c:v>-29.722073729896955</c:v>
                </c:pt>
                <c:pt idx="334">
                  <c:v>-29.780470943606062</c:v>
                </c:pt>
                <c:pt idx="335">
                  <c:v>-29.83861624634935</c:v>
                </c:pt>
                <c:pt idx="336">
                  <c:v>-29.896512752443538</c:v>
                </c:pt>
                <c:pt idx="337">
                  <c:v>-29.955573469472213</c:v>
                </c:pt>
                <c:pt idx="338">
                  <c:v>-30.014379483517509</c:v>
                </c:pt>
                <c:pt idx="339">
                  <c:v>-30.072933964890346</c:v>
                </c:pt>
                <c:pt idx="340">
                  <c:v>-30.131240026367681</c:v>
                </c:pt>
                <c:pt idx="341">
                  <c:v>-30.190686756157767</c:v>
                </c:pt>
                <c:pt idx="342">
                  <c:v>-30.249879463643499</c:v>
                </c:pt>
                <c:pt idx="343">
                  <c:v>-30.308821311408192</c:v>
                </c:pt>
                <c:pt idx="344">
                  <c:v>-30.367515404417702</c:v>
                </c:pt>
                <c:pt idx="345">
                  <c:v>-30.427236684825523</c:v>
                </c:pt>
                <c:pt idx="346">
                  <c:v>-30.486705663220643</c:v>
                </c:pt>
                <c:pt idx="347">
                  <c:v>-30.545925474218354</c:v>
                </c:pt>
                <c:pt idx="348">
                  <c:v>-30.604899195213658</c:v>
                </c:pt>
                <c:pt idx="349">
                  <c:v>-30.665059291206759</c:v>
                </c:pt>
                <c:pt idx="350">
                  <c:v>-30.724967505439533</c:v>
                </c:pt>
                <c:pt idx="351">
                  <c:v>-30.784626967743129</c:v>
                </c:pt>
                <c:pt idx="352">
                  <c:v>-30.84404075055361</c:v>
                </c:pt>
                <c:pt idx="353">
                  <c:v>-30.904617773247232</c:v>
                </c:pt>
                <c:pt idx="354">
                  <c:v>-30.964943617138374</c:v>
                </c:pt>
                <c:pt idx="355">
                  <c:v>-31.025021400945509</c:v>
                </c:pt>
                <c:pt idx="356">
                  <c:v>-31.0848541859609</c:v>
                </c:pt>
                <c:pt idx="357">
                  <c:v>-31.145741521933626</c:v>
                </c:pt>
                <c:pt idx="358">
                  <c:v>-31.206379343991895</c:v>
                </c:pt>
                <c:pt idx="359">
                  <c:v>-31.266770740751717</c:v>
                </c:pt>
                <c:pt idx="360">
                  <c:v>-31.32691874382903</c:v>
                </c:pt>
                <c:pt idx="361">
                  <c:v>-31.388272066311718</c:v>
                </c:pt>
                <c:pt idx="362">
                  <c:v>-31.449376340573743</c:v>
                </c:pt>
                <c:pt idx="363">
                  <c:v>-31.51023464610974</c:v>
                </c:pt>
                <c:pt idx="364">
                  <c:v>-31.570850005318761</c:v>
                </c:pt>
                <c:pt idx="365">
                  <c:v>-31.63256435662867</c:v>
                </c:pt>
                <c:pt idx="366">
                  <c:v>-31.694031053750457</c:v>
                </c:pt>
                <c:pt idx="367">
                  <c:v>-31.755253148584256</c:v>
                </c:pt>
                <c:pt idx="368">
                  <c:v>-31.816233636287819</c:v>
                </c:pt>
                <c:pt idx="369">
                  <c:v>-31.878458024883134</c:v>
                </c:pt>
                <c:pt idx="370">
                  <c:v>-31.940435030972342</c:v>
                </c:pt>
                <c:pt idx="371">
                  <c:v>-32.002167698146913</c:v>
                </c:pt>
                <c:pt idx="372">
                  <c:v>-32.063659013126966</c:v>
                </c:pt>
                <c:pt idx="373">
                  <c:v>-32.126290214595016</c:v>
                </c:pt>
                <c:pt idx="374">
                  <c:v>-32.188675197838556</c:v>
                </c:pt>
                <c:pt idx="375">
                  <c:v>-32.250816980228954</c:v>
                </c:pt>
                <c:pt idx="376">
                  <c:v>-32.312718522577768</c:v>
                </c:pt>
                <c:pt idx="377">
                  <c:v>-32.375899369275281</c:v>
                </c:pt>
                <c:pt idx="378">
                  <c:v>-32.438834106697016</c:v>
                </c:pt>
                <c:pt idx="379">
                  <c:v>-32.501525743758116</c:v>
                </c:pt>
                <c:pt idx="380">
                  <c:v>-32.56397723267979</c:v>
                </c:pt>
                <c:pt idx="381">
                  <c:v>-32.627527671227639</c:v>
                </c:pt>
                <c:pt idx="382">
                  <c:v>-32.690833567292913</c:v>
                </c:pt>
                <c:pt idx="383">
                  <c:v>-32.753897893077827</c:v>
                </c:pt>
                <c:pt idx="384">
                  <c:v>-32.816723564663448</c:v>
                </c:pt>
                <c:pt idx="385">
                  <c:v>-32.880861647438685</c:v>
                </c:pt>
                <c:pt idx="386">
                  <c:v>-32.944755125888598</c:v>
                </c:pt>
                <c:pt idx="387">
                  <c:v>-33.008406963432428</c:v>
                </c:pt>
                <c:pt idx="388">
                  <c:v>-33.071820067241397</c:v>
                </c:pt>
                <c:pt idx="389">
                  <c:v>-33.136446011807486</c:v>
                </c:pt>
                <c:pt idx="390">
                  <c:v>-33.200828106940463</c:v>
                </c:pt>
                <c:pt idx="391">
                  <c:v>-33.264969290660986</c:v>
                </c:pt>
                <c:pt idx="392">
                  <c:v>-33.328872445036019</c:v>
                </c:pt>
                <c:pt idx="393">
                  <c:v>-33.393967613519642</c:v>
                </c:pt>
                <c:pt idx="394">
                  <c:v>-33.458819861248507</c:v>
                </c:pt>
                <c:pt idx="395">
                  <c:v>-33.523432095951485</c:v>
                </c:pt>
                <c:pt idx="396">
                  <c:v>-33.587807169829297</c:v>
                </c:pt>
                <c:pt idx="397">
                  <c:v>-33.653502163412739</c:v>
                </c:pt>
                <c:pt idx="398">
                  <c:v>-33.718954225564268</c:v>
                </c:pt>
                <c:pt idx="399">
                  <c:v>-33.784166248666786</c:v>
                </c:pt>
                <c:pt idx="400">
                  <c:v>-33.849141069629397</c:v>
                </c:pt>
                <c:pt idx="401">
                  <c:v>-33.915340195628893</c:v>
                </c:pt>
                <c:pt idx="402">
                  <c:v>-33.981297117687234</c:v>
                </c:pt>
                <c:pt idx="403">
                  <c:v>-34.047014697779552</c:v>
                </c:pt>
                <c:pt idx="404">
                  <c:v>-34.112495742856282</c:v>
                </c:pt>
                <c:pt idx="405">
                  <c:v>-34.1792526094602</c:v>
                </c:pt>
                <c:pt idx="406">
                  <c:v>-34.24576762331175</c:v>
                </c:pt>
                <c:pt idx="407">
                  <c:v>-34.312043620760903</c:v>
                </c:pt>
                <c:pt idx="408">
                  <c:v>-34.378083383475207</c:v>
                </c:pt>
                <c:pt idx="409">
                  <c:v>-34.445448570219931</c:v>
                </c:pt>
                <c:pt idx="410">
                  <c:v>-34.512571906117444</c:v>
                </c:pt>
                <c:pt idx="411">
                  <c:v>-34.57945620605944</c:v>
                </c:pt>
                <c:pt idx="412">
                  <c:v>-34.646104230507902</c:v>
                </c:pt>
                <c:pt idx="413">
                  <c:v>-34.714055577735586</c:v>
                </c:pt>
                <c:pt idx="414">
                  <c:v>-34.78176524570884</c:v>
                </c:pt>
                <c:pt idx="415">
                  <c:v>-34.849236022946492</c:v>
                </c:pt>
                <c:pt idx="416">
                  <c:v>-34.916470643937679</c:v>
                </c:pt>
                <c:pt idx="417">
                  <c:v>-34.985056032279005</c:v>
                </c:pt>
                <c:pt idx="418">
                  <c:v>-35.053399575463352</c:v>
                </c:pt>
                <c:pt idx="419">
                  <c:v>-35.1215040395236</c:v>
                </c:pt>
                <c:pt idx="420">
                  <c:v>-35.189372136787661</c:v>
                </c:pt>
                <c:pt idx="421">
                  <c:v>-35.258500841869676</c:v>
                </c:pt>
                <c:pt idx="422">
                  <c:v>-35.327388165593142</c:v>
                </c:pt>
                <c:pt idx="423">
                  <c:v>-35.396036838925284</c:v>
                </c:pt>
                <c:pt idx="424">
                  <c:v>-35.464449539806424</c:v>
                </c:pt>
                <c:pt idx="425">
                  <c:v>-35.534303616544875</c:v>
                </c:pt>
                <c:pt idx="426">
                  <c:v>-35.603915491979372</c:v>
                </c:pt>
                <c:pt idx="427">
                  <c:v>-35.673287881919109</c:v>
                </c:pt>
                <c:pt idx="428">
                  <c:v>-35.742423449343129</c:v>
                </c:pt>
                <c:pt idx="429">
                  <c:v>-35.812910567994727</c:v>
                </c:pt>
                <c:pt idx="430">
                  <c:v>-35.883155293445711</c:v>
                </c:pt>
                <c:pt idx="431">
                  <c:v>-35.95316031396186</c:v>
                </c:pt>
                <c:pt idx="432">
                  <c:v>-36.022928265532485</c:v>
                </c:pt>
                <c:pt idx="433">
                  <c:v>-36.094026002742751</c:v>
                </c:pt>
                <c:pt idx="434">
                  <c:v>-36.164881278521577</c:v>
                </c:pt>
                <c:pt idx="435">
                  <c:v>-36.235496749988521</c:v>
                </c:pt>
                <c:pt idx="436">
                  <c:v>-36.305875022674535</c:v>
                </c:pt>
                <c:pt idx="437">
                  <c:v>-36.377690491841072</c:v>
                </c:pt>
                <c:pt idx="438">
                  <c:v>-36.449262668683389</c:v>
                </c:pt>
                <c:pt idx="439">
                  <c:v>-36.520594190168993</c:v>
                </c:pt>
                <c:pt idx="440">
                  <c:v>-36.591687642126765</c:v>
                </c:pt>
                <c:pt idx="441">
                  <c:v>-36.664195062763</c:v>
                </c:pt>
                <c:pt idx="442">
                  <c:v>-36.736458502005071</c:v>
                </c:pt>
                <c:pt idx="443">
                  <c:v>-36.808480572906326</c:v>
                </c:pt>
                <c:pt idx="444">
                  <c:v>-36.88026383797893</c:v>
                </c:pt>
                <c:pt idx="445">
                  <c:v>-36.953438419336081</c:v>
                </c:pt>
                <c:pt idx="446">
                  <c:v>-37.026368453555158</c:v>
                </c:pt>
                <c:pt idx="447">
                  <c:v>-37.099056526617744</c:v>
                </c:pt>
                <c:pt idx="448">
                  <c:v>-37.171505174697757</c:v>
                </c:pt>
                <c:pt idx="449">
                  <c:v>-37.24544658116907</c:v>
                </c:pt>
                <c:pt idx="450">
                  <c:v>-37.319142163673746</c:v>
                </c:pt>
                <c:pt idx="451">
                  <c:v>-37.392594491312124</c:v>
                </c:pt>
                <c:pt idx="452">
                  <c:v>-37.465806083909023</c:v>
                </c:pt>
                <c:pt idx="453">
                  <c:v>-37.540425449569256</c:v>
                </c:pt>
                <c:pt idx="454">
                  <c:v>-37.614798256168157</c:v>
                </c:pt>
                <c:pt idx="455">
                  <c:v>-37.688927046618275</c:v>
                </c:pt>
                <c:pt idx="456">
                  <c:v>-37.762814315390912</c:v>
                </c:pt>
                <c:pt idx="457">
                  <c:v>-37.838207414003818</c:v>
                </c:pt>
                <c:pt idx="458">
                  <c:v>-37.913352532038303</c:v>
                </c:pt>
                <c:pt idx="459">
                  <c:v>-37.988252196254571</c:v>
                </c:pt>
                <c:pt idx="460">
                  <c:v>-38.062908885620764</c:v>
                </c:pt>
                <c:pt idx="461">
                  <c:v>-38.139047273617841</c:v>
                </c:pt>
                <c:pt idx="462">
                  <c:v>-38.214936394010635</c:v>
                </c:pt>
                <c:pt idx="463">
                  <c:v>-38.290578754990122</c:v>
                </c:pt>
                <c:pt idx="464">
                  <c:v>-38.365976817740425</c:v>
                </c:pt>
                <c:pt idx="465">
                  <c:v>-38.442891588930621</c:v>
                </c:pt>
                <c:pt idx="466">
                  <c:v>-38.519555547019507</c:v>
                </c:pt>
                <c:pt idx="467">
                  <c:v>-38.59597118548492</c:v>
                </c:pt>
                <c:pt idx="468">
                  <c:v>-38.672140951566568</c:v>
                </c:pt>
                <c:pt idx="469">
                  <c:v>-38.749803184690379</c:v>
                </c:pt>
                <c:pt idx="470">
                  <c:v>-38.827213192230403</c:v>
                </c:pt>
                <c:pt idx="471">
                  <c:v>-38.904373451287192</c:v>
                </c:pt>
                <c:pt idx="472">
                  <c:v>-38.981286393616593</c:v>
                </c:pt>
                <c:pt idx="473">
                  <c:v>-39.059782309849595</c:v>
                </c:pt>
                <c:pt idx="474">
                  <c:v>-39.138023975254384</c:v>
                </c:pt>
                <c:pt idx="475">
                  <c:v>-39.216013860191808</c:v>
                </c:pt>
                <c:pt idx="476">
                  <c:v>-39.293754390427083</c:v>
                </c:pt>
                <c:pt idx="477">
                  <c:v>-39.373052449875829</c:v>
                </c:pt>
                <c:pt idx="478">
                  <c:v>-39.452094389213428</c:v>
                </c:pt>
                <c:pt idx="479">
                  <c:v>-39.530882670766317</c:v>
                </c:pt>
                <c:pt idx="480">
                  <c:v>-39.60941971314319</c:v>
                </c:pt>
                <c:pt idx="481">
                  <c:v>-39.689489356154915</c:v>
                </c:pt>
                <c:pt idx="482">
                  <c:v>-39.769301160051484</c:v>
                </c:pt>
                <c:pt idx="483">
                  <c:v>-39.848857578463509</c:v>
                </c:pt>
                <c:pt idx="484">
                  <c:v>-39.92816102229547</c:v>
                </c:pt>
                <c:pt idx="485">
                  <c:v>-40.009027607636789</c:v>
                </c:pt>
                <c:pt idx="486">
                  <c:v>-40.089634429995307</c:v>
                </c:pt>
                <c:pt idx="487">
                  <c:v>-40.16998393921088</c:v>
                </c:pt>
                <c:pt idx="488">
                  <c:v>-40.250078543379161</c:v>
                </c:pt>
                <c:pt idx="489">
                  <c:v>-40.331819844804912</c:v>
                </c:pt>
                <c:pt idx="490">
                  <c:v>-40.41329892942511</c:v>
                </c:pt>
                <c:pt idx="491">
                  <c:v>-40.4945182531808</c:v>
                </c:pt>
                <c:pt idx="492">
                  <c:v>-40.575480231140048</c:v>
                </c:pt>
                <c:pt idx="493">
                  <c:v>-40.658062376813284</c:v>
                </c:pt>
                <c:pt idx="494">
                  <c:v>-40.740380050116983</c:v>
                </c:pt>
                <c:pt idx="495">
                  <c:v>-40.822435713259615</c:v>
                </c:pt>
                <c:pt idx="496">
                  <c:v>-40.904231788565198</c:v>
                </c:pt>
                <c:pt idx="497">
                  <c:v>-40.987674942042609</c:v>
                </c:pt>
                <c:pt idx="498">
                  <c:v>-41.070851231452188</c:v>
                </c:pt>
                <c:pt idx="499">
                  <c:v>-41.153763130754641</c:v>
                </c:pt>
                <c:pt idx="500">
                  <c:v>-41.236413075023307</c:v>
                </c:pt>
                <c:pt idx="501">
                  <c:v>-41.320735880588245</c:v>
                </c:pt>
                <c:pt idx="502">
                  <c:v>-41.404789320475487</c:v>
                </c:pt>
                <c:pt idx="503">
                  <c:v>-41.488575886179653</c:v>
                </c:pt>
                <c:pt idx="504">
                  <c:v>-41.572098031319996</c:v>
                </c:pt>
                <c:pt idx="505">
                  <c:v>-41.657266173631797</c:v>
                </c:pt>
                <c:pt idx="506">
                  <c:v>-41.742162695121195</c:v>
                </c:pt>
                <c:pt idx="507">
                  <c:v>-41.826790106419466</c:v>
                </c:pt>
                <c:pt idx="508">
                  <c:v>-41.911150881404986</c:v>
                </c:pt>
                <c:pt idx="509">
                  <c:v>-41.997182307361527</c:v>
                </c:pt>
                <c:pt idx="510">
                  <c:v>-42.082939791541385</c:v>
                </c:pt>
                <c:pt idx="511">
                  <c:v>-42.168425870467033</c:v>
                </c:pt>
                <c:pt idx="512">
                  <c:v>-42.253643045048868</c:v>
                </c:pt>
                <c:pt idx="513">
                  <c:v>-42.340604811940537</c:v>
                </c:pt>
                <c:pt idx="514">
                  <c:v>-42.427289965744336</c:v>
                </c:pt>
                <c:pt idx="515">
                  <c:v>-42.513701080515041</c:v>
                </c:pt>
                <c:pt idx="516">
                  <c:v>-42.599840695785119</c:v>
                </c:pt>
                <c:pt idx="517">
                  <c:v>-42.687697047018361</c:v>
                </c:pt>
                <c:pt idx="518">
                  <c:v>-42.775274448957063</c:v>
                </c:pt>
                <c:pt idx="519">
                  <c:v>-42.862575516374633</c:v>
                </c:pt>
                <c:pt idx="520">
                  <c:v>-42.949602830737525</c:v>
                </c:pt>
                <c:pt idx="521">
                  <c:v>-43.038368758791378</c:v>
                </c:pt>
                <c:pt idx="522">
                  <c:v>-43.126853448275106</c:v>
                </c:pt>
                <c:pt idx="523">
                  <c:v>-43.215059563058816</c:v>
                </c:pt>
                <c:pt idx="524">
                  <c:v>-43.302989734972954</c:v>
                </c:pt>
                <c:pt idx="525">
                  <c:v>-43.392679612798268</c:v>
                </c:pt>
                <c:pt idx="526">
                  <c:v>-43.482086055287532</c:v>
                </c:pt>
                <c:pt idx="527">
                  <c:v>-43.571211784517899</c:v>
                </c:pt>
                <c:pt idx="528">
                  <c:v>-43.660059491862611</c:v>
                </c:pt>
                <c:pt idx="529">
                  <c:v>-43.750687294293094</c:v>
                </c:pt>
                <c:pt idx="530">
                  <c:v>-43.841029607724487</c:v>
                </c:pt>
                <c:pt idx="531">
                  <c:v>-43.931089222410613</c:v>
                </c:pt>
                <c:pt idx="532">
                  <c:v>-44.020868899325137</c:v>
                </c:pt>
                <c:pt idx="533">
                  <c:v>-44.112495654332875</c:v>
                </c:pt>
                <c:pt idx="534">
                  <c:v>-44.203834770894588</c:v>
                </c:pt>
                <c:pt idx="535">
                  <c:v>-44.294889122843557</c:v>
                </c:pt>
                <c:pt idx="536">
                  <c:v>-44.385661556211076</c:v>
                </c:pt>
                <c:pt idx="537">
                  <c:v>-44.478206216143221</c:v>
                </c:pt>
                <c:pt idx="538">
                  <c:v>-44.570461947332582</c:v>
                </c:pt>
                <c:pt idx="539">
                  <c:v>-44.662431710452012</c:v>
                </c:pt>
                <c:pt idx="540">
                  <c:v>-44.754118440106637</c:v>
                </c:pt>
                <c:pt idx="541">
                  <c:v>-44.847689232725841</c:v>
                </c:pt>
                <c:pt idx="542">
                  <c:v>-44.94096955382652</c:v>
                </c:pt>
                <c:pt idx="543">
                  <c:v>-45.033962473484564</c:v>
                </c:pt>
                <c:pt idx="544">
                  <c:v>-45.126671037512423</c:v>
                </c:pt>
                <c:pt idx="545">
                  <c:v>-45.221235954109879</c:v>
                </c:pt>
                <c:pt idx="546">
                  <c:v>-45.315509566406163</c:v>
                </c:pt>
                <c:pt idx="547">
                  <c:v>-45.409495064604393</c:v>
                </c:pt>
                <c:pt idx="548">
                  <c:v>-45.503195616721221</c:v>
                </c:pt>
                <c:pt idx="549">
                  <c:v>-45.598771032658654</c:v>
                </c:pt>
                <c:pt idx="550">
                  <c:v>-45.694054815942842</c:v>
                </c:pt>
                <c:pt idx="551">
                  <c:v>-45.789050294106389</c:v>
                </c:pt>
                <c:pt idx="552">
                  <c:v>-45.883760774847893</c:v>
                </c:pt>
                <c:pt idx="553">
                  <c:v>-45.980409079418123</c:v>
                </c:pt>
                <c:pt idx="554">
                  <c:v>-46.076765763704103</c:v>
                </c:pt>
                <c:pt idx="555">
                  <c:v>-46.172834316907732</c:v>
                </c:pt>
                <c:pt idx="556">
                  <c:v>-46.268618211058467</c:v>
                </c:pt>
                <c:pt idx="557">
                  <c:v>-46.463806841741551</c:v>
                </c:pt>
                <c:pt idx="558">
                  <c:v>-46.657846701214552</c:v>
                </c:pt>
                <c:pt idx="559">
                  <c:v>-46.855176113848174</c:v>
                </c:pt>
                <c:pt idx="560">
                  <c:v>-47.051365146919082</c:v>
                </c:pt>
                <c:pt idx="561">
                  <c:v>-47.251059915805477</c:v>
                </c:pt>
                <c:pt idx="562">
                  <c:v>-47.449624970872904</c:v>
                </c:pt>
                <c:pt idx="563">
                  <c:v>-47.651318978611513</c:v>
                </c:pt>
                <c:pt idx="564">
                  <c:v>-47.851903656165845</c:v>
                </c:pt>
                <c:pt idx="565">
                  <c:v>-48.056430117263098</c:v>
                </c:pt>
                <c:pt idx="566">
                  <c:v>-48.259865183847182</c:v>
                </c:pt>
                <c:pt idx="567">
                  <c:v>-48.46721035243057</c:v>
                </c:pt>
                <c:pt idx="568">
                  <c:v>-48.673490387129867</c:v>
                </c:pt>
                <c:pt idx="569">
                  <c:v>-48.882841310312799</c:v>
                </c:pt>
                <c:pt idx="570">
                  <c:v>-49.091170654664921</c:v>
                </c:pt>
                <c:pt idx="571">
                  <c:v>-49.304201286500728</c:v>
                </c:pt>
                <c:pt idx="572">
                  <c:v>-49.516248563640055</c:v>
                </c:pt>
                <c:pt idx="573">
                  <c:v>-49.731381539412027</c:v>
                </c:pt>
                <c:pt idx="574">
                  <c:v>-49.94559656047727</c:v>
                </c:pt>
                <c:pt idx="575">
                  <c:v>-50.164529143637495</c:v>
                </c:pt>
                <c:pt idx="576">
                  <c:v>-50.382609470463947</c:v>
                </c:pt>
                <c:pt idx="577">
                  <c:v>-51.297818653831612</c:v>
                </c:pt>
                <c:pt idx="578">
                  <c:v>-52.20362492983196</c:v>
                </c:pt>
                <c:pt idx="579">
                  <c:v>-54.182796650722871</c:v>
                </c:pt>
                <c:pt idx="580">
                  <c:v>-56.419532323406301</c:v>
                </c:pt>
                <c:pt idx="581">
                  <c:v>-59.119716058374117</c:v>
                </c:pt>
                <c:pt idx="582">
                  <c:v>-62.796862118771045</c:v>
                </c:pt>
                <c:pt idx="583">
                  <c:v>-69.05563564700185</c:v>
                </c:pt>
                <c:pt idx="584">
                  <c:v>-103.29448686684731</c:v>
                </c:pt>
                <c:pt idx="585">
                  <c:v>-71.978438542659674</c:v>
                </c:pt>
                <c:pt idx="586">
                  <c:v>-68.421141435983145</c:v>
                </c:pt>
                <c:pt idx="587">
                  <c:v>-67.928089252816292</c:v>
                </c:pt>
                <c:pt idx="588">
                  <c:v>-68.706027000594474</c:v>
                </c:pt>
                <c:pt idx="589">
                  <c:v>-70.314641481585213</c:v>
                </c:pt>
                <c:pt idx="590">
                  <c:v>-73.182220589171081</c:v>
                </c:pt>
                <c:pt idx="591">
                  <c:v>-80.911637558546587</c:v>
                </c:pt>
                <c:pt idx="592">
                  <c:v>-83.477407520844693</c:v>
                </c:pt>
                <c:pt idx="593">
                  <c:v>-77.154263744081476</c:v>
                </c:pt>
                <c:pt idx="594">
                  <c:v>-77.289909758482494</c:v>
                </c:pt>
                <c:pt idx="595">
                  <c:v>-80.361915650570168</c:v>
                </c:pt>
                <c:pt idx="596">
                  <c:v>-104.18677091103204</c:v>
                </c:pt>
                <c:pt idx="597">
                  <c:v>-82.066853962382794</c:v>
                </c:pt>
                <c:pt idx="598">
                  <c:v>-82.624875654751179</c:v>
                </c:pt>
                <c:pt idx="599">
                  <c:v>-101.96572816951367</c:v>
                </c:pt>
                <c:pt idx="600">
                  <c:v>-85.013378327661187</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91.012755378974916</c:v>
                </c:pt>
                <c:pt idx="1">
                  <c:v>90.855653983140442</c:v>
                </c:pt>
                <c:pt idx="2">
                  <c:v>90.705822640717784</c:v>
                </c:pt>
                <c:pt idx="3">
                  <c:v>90.561984877484818</c:v>
                </c:pt>
                <c:pt idx="4">
                  <c:v>90.423006337524768</c:v>
                </c:pt>
                <c:pt idx="5">
                  <c:v>90.287475869144629</c:v>
                </c:pt>
                <c:pt idx="6">
                  <c:v>90.154438093605307</c:v>
                </c:pt>
                <c:pt idx="7">
                  <c:v>90.022674369990725</c:v>
                </c:pt>
                <c:pt idx="8">
                  <c:v>89.891162303909724</c:v>
                </c:pt>
                <c:pt idx="9">
                  <c:v>89.758685951494044</c:v>
                </c:pt>
                <c:pt idx="10">
                  <c:v>89.624198123676749</c:v>
                </c:pt>
                <c:pt idx="11">
                  <c:v>89.486541059640501</c:v>
                </c:pt>
                <c:pt idx="12">
                  <c:v>89.344473696811136</c:v>
                </c:pt>
                <c:pt idx="13">
                  <c:v>89.196931294142473</c:v>
                </c:pt>
                <c:pt idx="14">
                  <c:v>89.042550260704587</c:v>
                </c:pt>
                <c:pt idx="15">
                  <c:v>88.880084565542944</c:v>
                </c:pt>
                <c:pt idx="16">
                  <c:v>88.708152592852585</c:v>
                </c:pt>
                <c:pt idx="17">
                  <c:v>88.525334523762481</c:v>
                </c:pt>
                <c:pt idx="18">
                  <c:v>88.330042172525467</c:v>
                </c:pt>
                <c:pt idx="19">
                  <c:v>88.120692511006311</c:v>
                </c:pt>
                <c:pt idx="20">
                  <c:v>87.895497156339644</c:v>
                </c:pt>
                <c:pt idx="21">
                  <c:v>87.652631080847598</c:v>
                </c:pt>
                <c:pt idx="22">
                  <c:v>87.390033414212255</c:v>
                </c:pt>
                <c:pt idx="23">
                  <c:v>87.105611028668477</c:v>
                </c:pt>
                <c:pt idx="24">
                  <c:v>86.796969469890513</c:v>
                </c:pt>
                <c:pt idx="25">
                  <c:v>86.461654657817121</c:v>
                </c:pt>
                <c:pt idx="26">
                  <c:v>86.096893824242827</c:v>
                </c:pt>
                <c:pt idx="27">
                  <c:v>85.699912454497124</c:v>
                </c:pt>
                <c:pt idx="28">
                  <c:v>85.267610037480395</c:v>
                </c:pt>
                <c:pt idx="29">
                  <c:v>84.796992397849607</c:v>
                </c:pt>
                <c:pt idx="30">
                  <c:v>84.283723322313179</c:v>
                </c:pt>
                <c:pt idx="31">
                  <c:v>83.724748863038172</c:v>
                </c:pt>
                <c:pt idx="32">
                  <c:v>83.115764155985744</c:v>
                </c:pt>
                <c:pt idx="33">
                  <c:v>82.453108038504638</c:v>
                </c:pt>
                <c:pt idx="34">
                  <c:v>81.732031196559589</c:v>
                </c:pt>
                <c:pt idx="35">
                  <c:v>80.948602555580365</c:v>
                </c:pt>
                <c:pt idx="36">
                  <c:v>80.098400370319709</c:v>
                </c:pt>
                <c:pt idx="37">
                  <c:v>79.176698151204917</c:v>
                </c:pt>
                <c:pt idx="38">
                  <c:v>78.180393879860546</c:v>
                </c:pt>
                <c:pt idx="39">
                  <c:v>77.105147090599715</c:v>
                </c:pt>
                <c:pt idx="40">
                  <c:v>75.948430566370405</c:v>
                </c:pt>
                <c:pt idx="41">
                  <c:v>74.708174061424643</c:v>
                </c:pt>
                <c:pt idx="42">
                  <c:v>73.383837662239486</c:v>
                </c:pt>
                <c:pt idx="43">
                  <c:v>71.975923154901707</c:v>
                </c:pt>
                <c:pt idx="44">
                  <c:v>70.487714268548004</c:v>
                </c:pt>
                <c:pt idx="45">
                  <c:v>68.924261935913776</c:v>
                </c:pt>
                <c:pt idx="46">
                  <c:v>67.294054817920241</c:v>
                </c:pt>
                <c:pt idx="47">
                  <c:v>65.608063295370556</c:v>
                </c:pt>
                <c:pt idx="48">
                  <c:v>63.88138420611412</c:v>
                </c:pt>
                <c:pt idx="49">
                  <c:v>62.131666970992669</c:v>
                </c:pt>
                <c:pt idx="50">
                  <c:v>60.38051338381679</c:v>
                </c:pt>
                <c:pt idx="51">
                  <c:v>58.651705866128211</c:v>
                </c:pt>
                <c:pt idx="52">
                  <c:v>56.972199898628944</c:v>
                </c:pt>
                <c:pt idx="53">
                  <c:v>55.369684180243596</c:v>
                </c:pt>
                <c:pt idx="54">
                  <c:v>53.873177531767581</c:v>
                </c:pt>
                <c:pt idx="55">
                  <c:v>52.507674489065352</c:v>
                </c:pt>
                <c:pt idx="56">
                  <c:v>51.300977492588146</c:v>
                </c:pt>
                <c:pt idx="57">
                  <c:v>50.275398175827405</c:v>
                </c:pt>
                <c:pt idx="58">
                  <c:v>49.451360593549651</c:v>
                </c:pt>
                <c:pt idx="59">
                  <c:v>48.843930174111648</c:v>
                </c:pt>
                <c:pt idx="60">
                  <c:v>48.464768674019126</c:v>
                </c:pt>
                <c:pt idx="61">
                  <c:v>48.320278277288878</c:v>
                </c:pt>
                <c:pt idx="62">
                  <c:v>48.412212009142536</c:v>
                </c:pt>
                <c:pt idx="63">
                  <c:v>48.737249578279489</c:v>
                </c:pt>
                <c:pt idx="64">
                  <c:v>49.287503540839907</c:v>
                </c:pt>
                <c:pt idx="65">
                  <c:v>50.050062104166386</c:v>
                </c:pt>
                <c:pt idx="66">
                  <c:v>51.007781478305731</c:v>
                </c:pt>
                <c:pt idx="67">
                  <c:v>52.13935503358276</c:v>
                </c:pt>
                <c:pt idx="68">
                  <c:v>53.420649202970083</c:v>
                </c:pt>
                <c:pt idx="69">
                  <c:v>54.824331091711088</c:v>
                </c:pt>
                <c:pt idx="70">
                  <c:v>56.322082226061724</c:v>
                </c:pt>
                <c:pt idx="71">
                  <c:v>57.884441592794005</c:v>
                </c:pt>
                <c:pt idx="72">
                  <c:v>59.4830615643681</c:v>
                </c:pt>
                <c:pt idx="73">
                  <c:v>61.090305488297417</c:v>
                </c:pt>
                <c:pt idx="74">
                  <c:v>62.681578431417961</c:v>
                </c:pt>
                <c:pt idx="75">
                  <c:v>64.234457769758691</c:v>
                </c:pt>
                <c:pt idx="76">
                  <c:v>65.730293755887544</c:v>
                </c:pt>
                <c:pt idx="77">
                  <c:v>67.152898318082606</c:v>
                </c:pt>
                <c:pt idx="78">
                  <c:v>68.489852848437664</c:v>
                </c:pt>
                <c:pt idx="79">
                  <c:v>69.730903379444669</c:v>
                </c:pt>
                <c:pt idx="80">
                  <c:v>70.871176860246337</c:v>
                </c:pt>
                <c:pt idx="81">
                  <c:v>71.904254119841397</c:v>
                </c:pt>
                <c:pt idx="82">
                  <c:v>72.827883243046031</c:v>
                </c:pt>
                <c:pt idx="83">
                  <c:v>73.63980903964206</c:v>
                </c:pt>
                <c:pt idx="84">
                  <c:v>74.340014778535945</c:v>
                </c:pt>
                <c:pt idx="85">
                  <c:v>74.928052697795607</c:v>
                </c:pt>
                <c:pt idx="86">
                  <c:v>75.404359215713797</c:v>
                </c:pt>
                <c:pt idx="87">
                  <c:v>75.769506675132021</c:v>
                </c:pt>
                <c:pt idx="88">
                  <c:v>76.023413982538699</c:v>
                </c:pt>
                <c:pt idx="89">
                  <c:v>76.166291817954544</c:v>
                </c:pt>
                <c:pt idx="90">
                  <c:v>76.197600272192034</c:v>
                </c:pt>
                <c:pt idx="91">
                  <c:v>76.116373442222041</c:v>
                </c:pt>
                <c:pt idx="92">
                  <c:v>75.921040829792972</c:v>
                </c:pt>
                <c:pt idx="93">
                  <c:v>75.609238669810466</c:v>
                </c:pt>
                <c:pt idx="94">
                  <c:v>75.512792779736813</c:v>
                </c:pt>
                <c:pt idx="95">
                  <c:v>75.461433475669438</c:v>
                </c:pt>
                <c:pt idx="96">
                  <c:v>75.408785386851378</c:v>
                </c:pt>
                <c:pt idx="97">
                  <c:v>75.35362781584125</c:v>
                </c:pt>
                <c:pt idx="98">
                  <c:v>75.297210232181328</c:v>
                </c:pt>
                <c:pt idx="99">
                  <c:v>75.238209720950564</c:v>
                </c:pt>
                <c:pt idx="100">
                  <c:v>75.177976870744644</c:v>
                </c:pt>
                <c:pt idx="101">
                  <c:v>75.115132742717847</c:v>
                </c:pt>
                <c:pt idx="102">
                  <c:v>75.051084755452422</c:v>
                </c:pt>
                <c:pt idx="103">
                  <c:v>74.984302177518416</c:v>
                </c:pt>
                <c:pt idx="104">
                  <c:v>74.916341477674777</c:v>
                </c:pt>
                <c:pt idx="105">
                  <c:v>74.845617430902308</c:v>
                </c:pt>
                <c:pt idx="106">
                  <c:v>74.773741891421622</c:v>
                </c:pt>
                <c:pt idx="107">
                  <c:v>74.699077517225319</c:v>
                </c:pt>
                <c:pt idx="108">
                  <c:v>74.623288995964884</c:v>
                </c:pt>
                <c:pt idx="109">
                  <c:v>74.5446352547564</c:v>
                </c:pt>
                <c:pt idx="110">
                  <c:v>74.464883799706982</c:v>
                </c:pt>
                <c:pt idx="111">
                  <c:v>74.382133788724047</c:v>
                </c:pt>
                <c:pt idx="112">
                  <c:v>74.298310288536385</c:v>
                </c:pt>
                <c:pt idx="113">
                  <c:v>74.211462910219012</c:v>
                </c:pt>
                <c:pt idx="114">
                  <c:v>74.123567069877325</c:v>
                </c:pt>
                <c:pt idx="115">
                  <c:v>74.032566918651824</c:v>
                </c:pt>
                <c:pt idx="116">
                  <c:v>73.94054269923619</c:v>
                </c:pt>
                <c:pt idx="117">
                  <c:v>73.845332715072914</c:v>
                </c:pt>
                <c:pt idx="118">
                  <c:v>73.74912249932089</c:v>
                </c:pt>
                <c:pt idx="119">
                  <c:v>73.649704788817786</c:v>
                </c:pt>
                <c:pt idx="120">
                  <c:v>73.549311357143068</c:v>
                </c:pt>
                <c:pt idx="121">
                  <c:v>73.445629687652385</c:v>
                </c:pt>
                <c:pt idx="122">
                  <c:v>73.340996231213694</c:v>
                </c:pt>
                <c:pt idx="123">
                  <c:v>73.23293018431103</c:v>
                </c:pt>
                <c:pt idx="124">
                  <c:v>73.123934717501072</c:v>
                </c:pt>
                <c:pt idx="125">
                  <c:v>73.011486332333121</c:v>
                </c:pt>
                <c:pt idx="126">
                  <c:v>72.898131586845082</c:v>
                </c:pt>
                <c:pt idx="127">
                  <c:v>72.781241338230615</c:v>
                </c:pt>
                <c:pt idx="128">
                  <c:v>72.663467386411398</c:v>
                </c:pt>
                <c:pt idx="129">
                  <c:v>72.54207494685113</c:v>
                </c:pt>
                <c:pt idx="130">
                  <c:v>72.419821107133814</c:v>
                </c:pt>
                <c:pt idx="131">
                  <c:v>72.293865499197977</c:v>
                </c:pt>
                <c:pt idx="132">
                  <c:v>72.230571039649874</c:v>
                </c:pt>
                <c:pt idx="133">
                  <c:v>72.167070483749725</c:v>
                </c:pt>
                <c:pt idx="134">
                  <c:v>72.101850714776617</c:v>
                </c:pt>
                <c:pt idx="135">
                  <c:v>72.036422592518846</c:v>
                </c:pt>
                <c:pt idx="136">
                  <c:v>71.970789862320828</c:v>
                </c:pt>
                <c:pt idx="137">
                  <c:v>71.90495618617426</c:v>
                </c:pt>
                <c:pt idx="138">
                  <c:v>71.837423724506408</c:v>
                </c:pt>
                <c:pt idx="139">
                  <c:v>71.769688579186251</c:v>
                </c:pt>
                <c:pt idx="140">
                  <c:v>71.701754411726697</c:v>
                </c:pt>
                <c:pt idx="141">
                  <c:v>71.633624802247752</c:v>
                </c:pt>
                <c:pt idx="142">
                  <c:v>71.563680812505027</c:v>
                </c:pt>
                <c:pt idx="143">
                  <c:v>71.493539342868075</c:v>
                </c:pt>
                <c:pt idx="144">
                  <c:v>71.423203983777711</c:v>
                </c:pt>
                <c:pt idx="145">
                  <c:v>71.352678245884988</c:v>
                </c:pt>
                <c:pt idx="146">
                  <c:v>71.280325376781079</c:v>
                </c:pt>
                <c:pt idx="147">
                  <c:v>71.207780396039226</c:v>
                </c:pt>
                <c:pt idx="148">
                  <c:v>71.135046818915029</c:v>
                </c:pt>
                <c:pt idx="149">
                  <c:v>71.062128082619296</c:v>
                </c:pt>
                <c:pt idx="150">
                  <c:v>70.987335238799929</c:v>
                </c:pt>
                <c:pt idx="151">
                  <c:v>70.912355612889044</c:v>
                </c:pt>
                <c:pt idx="152">
                  <c:v>70.837192646413911</c:v>
                </c:pt>
                <c:pt idx="153">
                  <c:v>70.76184970457804</c:v>
                </c:pt>
                <c:pt idx="154">
                  <c:v>70.684550207140248</c:v>
                </c:pt>
                <c:pt idx="155">
                  <c:v>70.607069059388721</c:v>
                </c:pt>
                <c:pt idx="156">
                  <c:v>70.529409635115783</c:v>
                </c:pt>
                <c:pt idx="157">
                  <c:v>70.451575233354561</c:v>
                </c:pt>
                <c:pt idx="158">
                  <c:v>70.371737093189907</c:v>
                </c:pt>
                <c:pt idx="159">
                  <c:v>70.291722431043169</c:v>
                </c:pt>
                <c:pt idx="160">
                  <c:v>70.211534553788994</c:v>
                </c:pt>
                <c:pt idx="161">
                  <c:v>70.131176695101345</c:v>
                </c:pt>
                <c:pt idx="162">
                  <c:v>70.048804352224408</c:v>
                </c:pt>
                <c:pt idx="163">
                  <c:v>69.966260765232619</c:v>
                </c:pt>
                <c:pt idx="164">
                  <c:v>69.883549170682684</c:v>
                </c:pt>
                <c:pt idx="165">
                  <c:v>69.800672733609503</c:v>
                </c:pt>
                <c:pt idx="166">
                  <c:v>69.715662459912338</c:v>
                </c:pt>
                <c:pt idx="167">
                  <c:v>69.630485920472935</c:v>
                </c:pt>
                <c:pt idx="168">
                  <c:v>69.545146290927079</c:v>
                </c:pt>
                <c:pt idx="169">
                  <c:v>69.45964667680947</c:v>
                </c:pt>
                <c:pt idx="170">
                  <c:v>69.372150293824618</c:v>
                </c:pt>
                <c:pt idx="171">
                  <c:v>69.284493321042603</c:v>
                </c:pt>
                <c:pt idx="172">
                  <c:v>69.196678854220352</c:v>
                </c:pt>
                <c:pt idx="173">
                  <c:v>69.108709921010799</c:v>
                </c:pt>
                <c:pt idx="174">
                  <c:v>69.018366026753085</c:v>
                </c:pt>
                <c:pt idx="175">
                  <c:v>68.927866012999132</c:v>
                </c:pt>
                <c:pt idx="176">
                  <c:v>68.837212931582286</c:v>
                </c:pt>
                <c:pt idx="177">
                  <c:v>68.746409767194081</c:v>
                </c:pt>
                <c:pt idx="178">
                  <c:v>68.653221126320801</c:v>
                </c:pt>
                <c:pt idx="179">
                  <c:v>68.559881066176189</c:v>
                </c:pt>
                <c:pt idx="180">
                  <c:v>68.466392589908125</c:v>
                </c:pt>
                <c:pt idx="181">
                  <c:v>68.372758634643844</c:v>
                </c:pt>
                <c:pt idx="182">
                  <c:v>68.27710510694115</c:v>
                </c:pt>
                <c:pt idx="183">
                  <c:v>68.181306193665137</c:v>
                </c:pt>
                <c:pt idx="184">
                  <c:v>68.085364811168361</c:v>
                </c:pt>
                <c:pt idx="185">
                  <c:v>67.989283812034415</c:v>
                </c:pt>
                <c:pt idx="186">
                  <c:v>67.890422809829246</c:v>
                </c:pt>
                <c:pt idx="187">
                  <c:v>67.791420326705236</c:v>
                </c:pt>
                <c:pt idx="188">
                  <c:v>67.692279257949053</c:v>
                </c:pt>
                <c:pt idx="189">
                  <c:v>67.593002435435551</c:v>
                </c:pt>
                <c:pt idx="190">
                  <c:v>67.491694220392873</c:v>
                </c:pt>
                <c:pt idx="191">
                  <c:v>67.390250765386867</c:v>
                </c:pt>
                <c:pt idx="192">
                  <c:v>67.288674875514303</c:v>
                </c:pt>
                <c:pt idx="193">
                  <c:v>67.186969294841703</c:v>
                </c:pt>
                <c:pt idx="194">
                  <c:v>67.082465255392108</c:v>
                </c:pt>
                <c:pt idx="195">
                  <c:v>66.977830301182735</c:v>
                </c:pt>
                <c:pt idx="196">
                  <c:v>66.873067208415861</c:v>
                </c:pt>
                <c:pt idx="197">
                  <c:v>66.768178692887929</c:v>
                </c:pt>
                <c:pt idx="198">
                  <c:v>66.660866540701122</c:v>
                </c:pt>
                <c:pt idx="199">
                  <c:v>66.553428961077032</c:v>
                </c:pt>
                <c:pt idx="200">
                  <c:v>66.445868667457987</c:v>
                </c:pt>
                <c:pt idx="201">
                  <c:v>66.338188314503057</c:v>
                </c:pt>
                <c:pt idx="202">
                  <c:v>66.228079279912066</c:v>
                </c:pt>
                <c:pt idx="203">
                  <c:v>66.11785040356834</c:v>
                </c:pt>
                <c:pt idx="204">
                  <c:v>66.007504334997122</c:v>
                </c:pt>
                <c:pt idx="205">
                  <c:v>65.897043666609918</c:v>
                </c:pt>
                <c:pt idx="206">
                  <c:v>65.783763225856475</c:v>
                </c:pt>
                <c:pt idx="207">
                  <c:v>65.67036783824247</c:v>
                </c:pt>
                <c:pt idx="208">
                  <c:v>65.556860115012157</c:v>
                </c:pt>
                <c:pt idx="209">
                  <c:v>65.44324261124649</c:v>
                </c:pt>
                <c:pt idx="210">
                  <c:v>65.326411232633689</c:v>
                </c:pt>
                <c:pt idx="211">
                  <c:v>65.209469288076804</c:v>
                </c:pt>
                <c:pt idx="212">
                  <c:v>65.09241937276704</c:v>
                </c:pt>
                <c:pt idx="213">
                  <c:v>64.975264026068572</c:v>
                </c:pt>
                <c:pt idx="214">
                  <c:v>64.855667328710084</c:v>
                </c:pt>
                <c:pt idx="215">
                  <c:v>64.735966119980773</c:v>
                </c:pt>
                <c:pt idx="216">
                  <c:v>64.616162924582042</c:v>
                </c:pt>
                <c:pt idx="217">
                  <c:v>64.496260213293297</c:v>
                </c:pt>
                <c:pt idx="218">
                  <c:v>64.373523138977262</c:v>
                </c:pt>
                <c:pt idx="219">
                  <c:v>64.250687020997802</c:v>
                </c:pt>
                <c:pt idx="220">
                  <c:v>64.127754337602497</c:v>
                </c:pt>
                <c:pt idx="221">
                  <c:v>64.004727514352282</c:v>
                </c:pt>
                <c:pt idx="222">
                  <c:v>63.878863215955008</c:v>
                </c:pt>
                <c:pt idx="223">
                  <c:v>63.752905497705839</c:v>
                </c:pt>
                <c:pt idx="224">
                  <c:v>63.62685678965795</c:v>
                </c:pt>
                <c:pt idx="225">
                  <c:v>63.500719470476952</c:v>
                </c:pt>
                <c:pt idx="226">
                  <c:v>63.371349027117915</c:v>
                </c:pt>
                <c:pt idx="227">
                  <c:v>63.241890401097749</c:v>
                </c:pt>
                <c:pt idx="228">
                  <c:v>63.11234599456985</c:v>
                </c:pt>
                <c:pt idx="229">
                  <c:v>62.982718159043984</c:v>
                </c:pt>
                <c:pt idx="230">
                  <c:v>62.71690751933609</c:v>
                </c:pt>
                <c:pt idx="231">
                  <c:v>62.583880523537701</c:v>
                </c:pt>
                <c:pt idx="232">
                  <c:v>62.450775522049696</c:v>
                </c:pt>
                <c:pt idx="233">
                  <c:v>62.314432325350978</c:v>
                </c:pt>
                <c:pt idx="234">
                  <c:v>62.178012144801997</c:v>
                </c:pt>
                <c:pt idx="235">
                  <c:v>62.041517317640469</c:v>
                </c:pt>
                <c:pt idx="236">
                  <c:v>61.904950132251727</c:v>
                </c:pt>
                <c:pt idx="237">
                  <c:v>61.765539768060179</c:v>
                </c:pt>
                <c:pt idx="238">
                  <c:v>61.626058742689821</c:v>
                </c:pt>
                <c:pt idx="239">
                  <c:v>61.486509338018266</c:v>
                </c:pt>
                <c:pt idx="240">
                  <c:v>61.34689378861809</c:v>
                </c:pt>
                <c:pt idx="241">
                  <c:v>61.203642112615128</c:v>
                </c:pt>
                <c:pt idx="242">
                  <c:v>61.060325479876596</c:v>
                </c:pt>
                <c:pt idx="243">
                  <c:v>60.916946154210606</c:v>
                </c:pt>
                <c:pt idx="244">
                  <c:v>60.773506352651708</c:v>
                </c:pt>
                <c:pt idx="245">
                  <c:v>60.626827589297022</c:v>
                </c:pt>
                <c:pt idx="246">
                  <c:v>60.480090180058937</c:v>
                </c:pt>
                <c:pt idx="247">
                  <c:v>60.333296349382096</c:v>
                </c:pt>
                <c:pt idx="248">
                  <c:v>60.18644827606326</c:v>
                </c:pt>
                <c:pt idx="249">
                  <c:v>60.035964529999305</c:v>
                </c:pt>
                <c:pt idx="250">
                  <c:v>59.885428350098607</c:v>
                </c:pt>
                <c:pt idx="251">
                  <c:v>59.734841937584108</c:v>
                </c:pt>
                <c:pt idx="252">
                  <c:v>59.584207448726119</c:v>
                </c:pt>
                <c:pt idx="253">
                  <c:v>59.430337510247938</c:v>
                </c:pt>
                <c:pt idx="254">
                  <c:v>59.276421845461982</c:v>
                </c:pt>
                <c:pt idx="255">
                  <c:v>59.122462613190962</c:v>
                </c:pt>
                <c:pt idx="256">
                  <c:v>58.96846192852631</c:v>
                </c:pt>
                <c:pt idx="257">
                  <c:v>58.810430683775976</c:v>
                </c:pt>
                <c:pt idx="258">
                  <c:v>58.652360184753562</c:v>
                </c:pt>
                <c:pt idx="259">
                  <c:v>58.494252579475656</c:v>
                </c:pt>
                <c:pt idx="260">
                  <c:v>58.336109972605456</c:v>
                </c:pt>
                <c:pt idx="261">
                  <c:v>58.174339160963171</c:v>
                </c:pt>
                <c:pt idx="262">
                  <c:v>58.012536057764478</c:v>
                </c:pt>
                <c:pt idx="263">
                  <c:v>57.850702781309408</c:v>
                </c:pt>
                <c:pt idx="264">
                  <c:v>57.688841407432847</c:v>
                </c:pt>
                <c:pt idx="265">
                  <c:v>57.523356191381936</c:v>
                </c:pt>
                <c:pt idx="266">
                  <c:v>57.357845870842098</c:v>
                </c:pt>
                <c:pt idx="267">
                  <c:v>57.192312532908105</c:v>
                </c:pt>
                <c:pt idx="268">
                  <c:v>57.026758223139367</c:v>
                </c:pt>
                <c:pt idx="269">
                  <c:v>56.857185374061473</c:v>
                </c:pt>
                <c:pt idx="270">
                  <c:v>56.687594742027159</c:v>
                </c:pt>
                <c:pt idx="271">
                  <c:v>56.51798839617507</c:v>
                </c:pt>
                <c:pt idx="272">
                  <c:v>56.348368364686465</c:v>
                </c:pt>
                <c:pt idx="273">
                  <c:v>56.174735762320083</c:v>
                </c:pt>
                <c:pt idx="274">
                  <c:v>56.001092994482335</c:v>
                </c:pt>
                <c:pt idx="275">
                  <c:v>55.827442110009258</c:v>
                </c:pt>
                <c:pt idx="276">
                  <c:v>55.653785117418593</c:v>
                </c:pt>
                <c:pt idx="277">
                  <c:v>55.476522688311093</c:v>
                </c:pt>
                <c:pt idx="278">
                  <c:v>55.299258000093346</c:v>
                </c:pt>
                <c:pt idx="279">
                  <c:v>55.121993065716225</c:v>
                </c:pt>
                <c:pt idx="280">
                  <c:v>54.944729858849541</c:v>
                </c:pt>
                <c:pt idx="281">
                  <c:v>54.762668770873631</c:v>
                </c:pt>
                <c:pt idx="282">
                  <c:v>54.580613602917822</c:v>
                </c:pt>
                <c:pt idx="283">
                  <c:v>54.39856637078293</c:v>
                </c:pt>
                <c:pt idx="284">
                  <c:v>54.216529051012429</c:v>
                </c:pt>
                <c:pt idx="285">
                  <c:v>54.030903210635998</c:v>
                </c:pt>
                <c:pt idx="286">
                  <c:v>53.845291710049182</c:v>
                </c:pt>
                <c:pt idx="287">
                  <c:v>53.659696525841198</c:v>
                </c:pt>
                <c:pt idx="288">
                  <c:v>53.474119596442137</c:v>
                </c:pt>
                <c:pt idx="289">
                  <c:v>53.283764225214256</c:v>
                </c:pt>
                <c:pt idx="290">
                  <c:v>53.093432078982616</c:v>
                </c:pt>
                <c:pt idx="291">
                  <c:v>52.90312513175914</c:v>
                </c:pt>
                <c:pt idx="292">
                  <c:v>52.712845319536896</c:v>
                </c:pt>
                <c:pt idx="293">
                  <c:v>52.518198347827393</c:v>
                </c:pt>
                <c:pt idx="294">
                  <c:v>52.323583761945599</c:v>
                </c:pt>
                <c:pt idx="295">
                  <c:v>52.129003517992615</c:v>
                </c:pt>
                <c:pt idx="296">
                  <c:v>51.934459534565605</c:v>
                </c:pt>
                <c:pt idx="297">
                  <c:v>51.735560792913788</c:v>
                </c:pt>
                <c:pt idx="298">
                  <c:v>51.53670391022797</c:v>
                </c:pt>
                <c:pt idx="299">
                  <c:v>51.337890822568681</c:v>
                </c:pt>
                <c:pt idx="300">
                  <c:v>51.139123429035777</c:v>
                </c:pt>
                <c:pt idx="301">
                  <c:v>50.93601474953698</c:v>
                </c:pt>
                <c:pt idx="302">
                  <c:v>50.732957702617114</c:v>
                </c:pt>
                <c:pt idx="303">
                  <c:v>50.52995420232088</c:v>
                </c:pt>
                <c:pt idx="304">
                  <c:v>50.32700612629597</c:v>
                </c:pt>
                <c:pt idx="305">
                  <c:v>50.118934195659989</c:v>
                </c:pt>
                <c:pt idx="306">
                  <c:v>49.910924443024783</c:v>
                </c:pt>
                <c:pt idx="307">
                  <c:v>49.702978780251215</c:v>
                </c:pt>
                <c:pt idx="308">
                  <c:v>49.495099082831587</c:v>
                </c:pt>
                <c:pt idx="309">
                  <c:v>49.282908755618166</c:v>
                </c:pt>
                <c:pt idx="310">
                  <c:v>49.070791043085535</c:v>
                </c:pt>
                <c:pt idx="311">
                  <c:v>48.858747830190708</c:v>
                </c:pt>
                <c:pt idx="312">
                  <c:v>48.646780966135424</c:v>
                </c:pt>
                <c:pt idx="313">
                  <c:v>48.429725239682142</c:v>
                </c:pt>
                <c:pt idx="314">
                  <c:v>48.212753448901424</c:v>
                </c:pt>
                <c:pt idx="315">
                  <c:v>47.995867470562956</c:v>
                </c:pt>
                <c:pt idx="316">
                  <c:v>47.779069145776361</c:v>
                </c:pt>
                <c:pt idx="317">
                  <c:v>47.557201650969631</c:v>
                </c:pt>
                <c:pt idx="318">
                  <c:v>47.335429828151121</c:v>
                </c:pt>
                <c:pt idx="319">
                  <c:v>47.113755542472688</c:v>
                </c:pt>
                <c:pt idx="320">
                  <c:v>46.89218062355485</c:v>
                </c:pt>
                <c:pt idx="321">
                  <c:v>46.665557531692968</c:v>
                </c:pt>
                <c:pt idx="322">
                  <c:v>46.439042247704066</c:v>
                </c:pt>
                <c:pt idx="323">
                  <c:v>46.212636621759401</c:v>
                </c:pt>
                <c:pt idx="324">
                  <c:v>45.986342468654158</c:v>
                </c:pt>
                <c:pt idx="325">
                  <c:v>45.755022423603776</c:v>
                </c:pt>
                <c:pt idx="326">
                  <c:v>45.523822705790479</c:v>
                </c:pt>
                <c:pt idx="327">
                  <c:v>45.292745147085952</c:v>
                </c:pt>
                <c:pt idx="328">
                  <c:v>45.061791544159263</c:v>
                </c:pt>
                <c:pt idx="329">
                  <c:v>44.825441127831795</c:v>
                </c:pt>
                <c:pt idx="330">
                  <c:v>44.589224374055703</c:v>
                </c:pt>
                <c:pt idx="331">
                  <c:v>44.353143102111915</c:v>
                </c:pt>
                <c:pt idx="332">
                  <c:v>44.117199096030646</c:v>
                </c:pt>
                <c:pt idx="333">
                  <c:v>43.876278022002509</c:v>
                </c:pt>
                <c:pt idx="334">
                  <c:v>43.635503892518699</c:v>
                </c:pt>
                <c:pt idx="335">
                  <c:v>43.394878501412819</c:v>
                </c:pt>
                <c:pt idx="336">
                  <c:v>43.154403607470215</c:v>
                </c:pt>
                <c:pt idx="337">
                  <c:v>42.908192599214573</c:v>
                </c:pt>
                <c:pt idx="338">
                  <c:v>42.662143183776919</c:v>
                </c:pt>
                <c:pt idx="339">
                  <c:v>42.416257143056868</c:v>
                </c:pt>
                <c:pt idx="340">
                  <c:v>42.170536223664243</c:v>
                </c:pt>
                <c:pt idx="341">
                  <c:v>41.919109695322078</c:v>
                </c:pt>
                <c:pt idx="342">
                  <c:v>41.667859879468921</c:v>
                </c:pt>
                <c:pt idx="343">
                  <c:v>41.416788541072776</c:v>
                </c:pt>
                <c:pt idx="344">
                  <c:v>41.16589740959563</c:v>
                </c:pt>
                <c:pt idx="345">
                  <c:v>40.9097230394257</c:v>
                </c:pt>
                <c:pt idx="346">
                  <c:v>40.653740362041049</c:v>
                </c:pt>
                <c:pt idx="347">
                  <c:v>40.397951112547503</c:v>
                </c:pt>
                <c:pt idx="348">
                  <c:v>40.142356990563286</c:v>
                </c:pt>
                <c:pt idx="349">
                  <c:v>39.880732930066785</c:v>
                </c:pt>
                <c:pt idx="350">
                  <c:v>39.619317131210636</c:v>
                </c:pt>
                <c:pt idx="351">
                  <c:v>39.35811131003743</c:v>
                </c:pt>
                <c:pt idx="352">
                  <c:v>39.097117146702146</c:v>
                </c:pt>
                <c:pt idx="353">
                  <c:v>38.830129831201248</c:v>
                </c:pt>
                <c:pt idx="354">
                  <c:v>38.563367824571429</c:v>
                </c:pt>
                <c:pt idx="355">
                  <c:v>38.296832817751493</c:v>
                </c:pt>
                <c:pt idx="356">
                  <c:v>38.030526465415534</c:v>
                </c:pt>
                <c:pt idx="357">
                  <c:v>37.758651886353647</c:v>
                </c:pt>
                <c:pt idx="358">
                  <c:v>37.487019421104833</c:v>
                </c:pt>
                <c:pt idx="359">
                  <c:v>37.215630722354206</c:v>
                </c:pt>
                <c:pt idx="360">
                  <c:v>36.944487406372303</c:v>
                </c:pt>
                <c:pt idx="361">
                  <c:v>36.667043288573865</c:v>
                </c:pt>
                <c:pt idx="362">
                  <c:v>36.389859882595744</c:v>
                </c:pt>
                <c:pt idx="363">
                  <c:v>36.112938810750904</c:v>
                </c:pt>
                <c:pt idx="364">
                  <c:v>35.83628165839113</c:v>
                </c:pt>
                <c:pt idx="365">
                  <c:v>35.553750964072321</c:v>
                </c:pt>
                <c:pt idx="366">
                  <c:v>35.271499284265587</c:v>
                </c:pt>
                <c:pt idx="367">
                  <c:v>34.989528197293737</c:v>
                </c:pt>
                <c:pt idx="368">
                  <c:v>34.707839244199505</c:v>
                </c:pt>
                <c:pt idx="369">
                  <c:v>34.419555299989071</c:v>
                </c:pt>
                <c:pt idx="370">
                  <c:v>34.131570615830128</c:v>
                </c:pt>
                <c:pt idx="371">
                  <c:v>33.843886731575651</c:v>
                </c:pt>
                <c:pt idx="372">
                  <c:v>33.556505149100502</c:v>
                </c:pt>
                <c:pt idx="373">
                  <c:v>33.262958269071277</c:v>
                </c:pt>
                <c:pt idx="374">
                  <c:v>32.969730533840107</c:v>
                </c:pt>
                <c:pt idx="375">
                  <c:v>32.676823430652661</c:v>
                </c:pt>
                <c:pt idx="376">
                  <c:v>32.384238408311887</c:v>
                </c:pt>
                <c:pt idx="377">
                  <c:v>32.084778679347949</c:v>
                </c:pt>
                <c:pt idx="378">
                  <c:v>31.785660060138781</c:v>
                </c:pt>
                <c:pt idx="379">
                  <c:v>31.486883988359722</c:v>
                </c:pt>
                <c:pt idx="380">
                  <c:v>31.188451862415263</c:v>
                </c:pt>
                <c:pt idx="381">
                  <c:v>30.88395432078363</c:v>
                </c:pt>
                <c:pt idx="382">
                  <c:v>30.579818514680852</c:v>
                </c:pt>
                <c:pt idx="383">
                  <c:v>30.276045812505572</c:v>
                </c:pt>
                <c:pt idx="384">
                  <c:v>29.972637542994107</c:v>
                </c:pt>
                <c:pt idx="385">
                  <c:v>29.662089302819567</c:v>
                </c:pt>
                <c:pt idx="386">
                  <c:v>29.351926483551978</c:v>
                </c:pt>
                <c:pt idx="387">
                  <c:v>29.042150390296911</c:v>
                </c:pt>
                <c:pt idx="388">
                  <c:v>28.732762287561286</c:v>
                </c:pt>
                <c:pt idx="389">
                  <c:v>28.416668855211412</c:v>
                </c:pt>
                <c:pt idx="390">
                  <c:v>28.100983996105214</c:v>
                </c:pt>
                <c:pt idx="391">
                  <c:v>27.78570893684531</c:v>
                </c:pt>
                <c:pt idx="392">
                  <c:v>27.470844862753893</c:v>
                </c:pt>
                <c:pt idx="393">
                  <c:v>27.149335499624556</c:v>
                </c:pt>
                <c:pt idx="394">
                  <c:v>26.828258166592889</c:v>
                </c:pt>
                <c:pt idx="395">
                  <c:v>26.507614001643446</c:v>
                </c:pt>
                <c:pt idx="396">
                  <c:v>26.187404100857293</c:v>
                </c:pt>
                <c:pt idx="397">
                  <c:v>25.859871626734105</c:v>
                </c:pt>
                <c:pt idx="398">
                  <c:v>25.532796954731225</c:v>
                </c:pt>
                <c:pt idx="399">
                  <c:v>25.206181130938546</c:v>
                </c:pt>
                <c:pt idx="400">
                  <c:v>24.880025158607424</c:v>
                </c:pt>
                <c:pt idx="401">
                  <c:v>24.546983289410576</c:v>
                </c:pt>
                <c:pt idx="402">
                  <c:v>24.214424254821779</c:v>
                </c:pt>
                <c:pt idx="403">
                  <c:v>23.882348993650083</c:v>
                </c:pt>
                <c:pt idx="404">
                  <c:v>23.550758401205513</c:v>
                </c:pt>
                <c:pt idx="405">
                  <c:v>23.211984473134152</c:v>
                </c:pt>
                <c:pt idx="406">
                  <c:v>22.873719702550545</c:v>
                </c:pt>
                <c:pt idx="407">
                  <c:v>22.535964912225239</c:v>
                </c:pt>
                <c:pt idx="408">
                  <c:v>22.198720880670493</c:v>
                </c:pt>
                <c:pt idx="409">
                  <c:v>21.854003067304774</c:v>
                </c:pt>
                <c:pt idx="410">
                  <c:v>21.509822056090144</c:v>
                </c:pt>
                <c:pt idx="411">
                  <c:v>21.166178543441816</c:v>
                </c:pt>
                <c:pt idx="412">
                  <c:v>20.823073180677085</c:v>
                </c:pt>
                <c:pt idx="413">
                  <c:v>20.472571488175845</c:v>
                </c:pt>
                <c:pt idx="414">
                  <c:v>20.122634424431965</c:v>
                </c:pt>
                <c:pt idx="415">
                  <c:v>19.773262545950701</c:v>
                </c:pt>
                <c:pt idx="416">
                  <c:v>19.424456363419893</c:v>
                </c:pt>
                <c:pt idx="417">
                  <c:v>19.067974476491742</c:v>
                </c:pt>
                <c:pt idx="418">
                  <c:v>18.712086341727655</c:v>
                </c:pt>
                <c:pt idx="419">
                  <c:v>18.356792363380123</c:v>
                </c:pt>
                <c:pt idx="420">
                  <c:v>18.002092899109641</c:v>
                </c:pt>
                <c:pt idx="421">
                  <c:v>17.640157665277599</c:v>
                </c:pt>
                <c:pt idx="422">
                  <c:v>17.278844163783162</c:v>
                </c:pt>
                <c:pt idx="423">
                  <c:v>16.918152631421634</c:v>
                </c:pt>
                <c:pt idx="424">
                  <c:v>16.558083257961329</c:v>
                </c:pt>
                <c:pt idx="425">
                  <c:v>16.189799370489709</c:v>
                </c:pt>
                <c:pt idx="426">
                  <c:v>15.82216889260809</c:v>
                </c:pt>
                <c:pt idx="427">
                  <c:v>15.455191880801522</c:v>
                </c:pt>
                <c:pt idx="428">
                  <c:v>15.088868343703183</c:v>
                </c:pt>
                <c:pt idx="429">
                  <c:v>14.714775513936416</c:v>
                </c:pt>
                <c:pt idx="430">
                  <c:v>14.341366506637428</c:v>
                </c:pt>
                <c:pt idx="431">
                  <c:v>13.968641181749717</c:v>
                </c:pt>
                <c:pt idx="432">
                  <c:v>13.596599350909031</c:v>
                </c:pt>
                <c:pt idx="433">
                  <c:v>13.216880004617792</c:v>
                </c:pt>
                <c:pt idx="434">
                  <c:v>12.837874756150626</c:v>
                </c:pt>
                <c:pt idx="435">
                  <c:v>12.459583253817016</c:v>
                </c:pt>
                <c:pt idx="436">
                  <c:v>12.08200509735795</c:v>
                </c:pt>
                <c:pt idx="437">
                  <c:v>11.696150847123647</c:v>
                </c:pt>
                <c:pt idx="438">
                  <c:v>11.311043410971507</c:v>
                </c:pt>
                <c:pt idx="439">
                  <c:v>10.926682207648724</c:v>
                </c:pt>
                <c:pt idx="440">
                  <c:v>10.543066606930154</c:v>
                </c:pt>
                <c:pt idx="441">
                  <c:v>10.151276886597174</c:v>
                </c:pt>
                <c:pt idx="442">
                  <c:v>9.7602664589699657</c:v>
                </c:pt>
                <c:pt idx="443">
                  <c:v>9.3700344962996667</c:v>
                </c:pt>
                <c:pt idx="444">
                  <c:v>8.9805801216990062</c:v>
                </c:pt>
                <c:pt idx="445">
                  <c:v>8.5830546430038908</c:v>
                </c:pt>
                <c:pt idx="446">
                  <c:v>8.1863405858167937</c:v>
                </c:pt>
                <c:pt idx="447">
                  <c:v>7.7904368595071674</c:v>
                </c:pt>
                <c:pt idx="448">
                  <c:v>7.3953423243847851</c:v>
                </c:pt>
                <c:pt idx="449">
                  <c:v>6.9916055346923542</c:v>
                </c:pt>
                <c:pt idx="450">
                  <c:v>6.5887146605893747</c:v>
                </c:pt>
                <c:pt idx="451">
                  <c:v>6.1866683258049591</c:v>
                </c:pt>
                <c:pt idx="452">
                  <c:v>5.7854651050202506</c:v>
                </c:pt>
                <c:pt idx="453">
                  <c:v>5.3760674097008518</c:v>
                </c:pt>
                <c:pt idx="454">
                  <c:v>4.9675481911236545</c:v>
                </c:pt>
                <c:pt idx="455">
                  <c:v>4.5599057736219493</c:v>
                </c:pt>
                <c:pt idx="456">
                  <c:v>4.1531384329339005</c:v>
                </c:pt>
                <c:pt idx="457">
                  <c:v>3.7376224811354462</c:v>
                </c:pt>
                <c:pt idx="458">
                  <c:v>3.3230198250333274</c:v>
                </c:pt>
                <c:pt idx="459">
                  <c:v>2.9093284642369213</c:v>
                </c:pt>
                <c:pt idx="460">
                  <c:v>2.4965463501864065</c:v>
                </c:pt>
                <c:pt idx="461">
                  <c:v>2.0751342677983757</c:v>
                </c:pt>
                <c:pt idx="462">
                  <c:v>1.6546695880210223</c:v>
                </c:pt>
                <c:pt idx="463">
                  <c:v>1.2351499679845688</c:v>
                </c:pt>
                <c:pt idx="464">
                  <c:v>0.81657301738275123</c:v>
                </c:pt>
                <c:pt idx="465">
                  <c:v>0.38915919579864067</c:v>
                </c:pt>
                <c:pt idx="466">
                  <c:v>-3.7272463590653615E-2</c:v>
                </c:pt>
                <c:pt idx="467">
                  <c:v>-0.46272466916616395</c:v>
                </c:pt>
                <c:pt idx="468">
                  <c:v>-0.88720017584446964</c:v>
                </c:pt>
                <c:pt idx="469">
                  <c:v>-1.3203889093535111</c:v>
                </c:pt>
                <c:pt idx="470">
                  <c:v>-1.7525616719643438</c:v>
                </c:pt>
                <c:pt idx="471">
                  <c:v>-2.1837215548577262</c:v>
                </c:pt>
                <c:pt idx="472">
                  <c:v>-2.6138716945274325</c:v>
                </c:pt>
                <c:pt idx="473">
                  <c:v>-3.0532511970857286</c:v>
                </c:pt>
                <c:pt idx="474">
                  <c:v>-3.4915789485177413</c:v>
                </c:pt>
                <c:pt idx="475">
                  <c:v>-3.9288584543810714</c:v>
                </c:pt>
                <c:pt idx="476">
                  <c:v>-4.3650932642624127</c:v>
                </c:pt>
                <c:pt idx="477">
                  <c:v>-4.8104248657677431</c:v>
                </c:pt>
                <c:pt idx="478">
                  <c:v>-5.2546701270288452</c:v>
                </c:pt>
                <c:pt idx="479">
                  <c:v>-5.6978329861672137</c:v>
                </c:pt>
                <c:pt idx="480">
                  <c:v>-6.139917423713058</c:v>
                </c:pt>
                <c:pt idx="481">
                  <c:v>-6.5909664809427682</c:v>
                </c:pt>
                <c:pt idx="482">
                  <c:v>-7.0408959503909045</c:v>
                </c:pt>
                <c:pt idx="483">
                  <c:v>-7.4897102197006404</c:v>
                </c:pt>
                <c:pt idx="484">
                  <c:v>-7.9374137169820074</c:v>
                </c:pt>
                <c:pt idx="485">
                  <c:v>-8.3942609685964555</c:v>
                </c:pt>
                <c:pt idx="486">
                  <c:v>-8.8499553074410642</c:v>
                </c:pt>
                <c:pt idx="487">
                  <c:v>-9.3045015963550384</c:v>
                </c:pt>
                <c:pt idx="488">
                  <c:v>-9.757904736500393</c:v>
                </c:pt>
                <c:pt idx="489">
                  <c:v>-10.220931367291314</c:v>
                </c:pt>
                <c:pt idx="490">
                  <c:v>-10.682770242069296</c:v>
                </c:pt>
                <c:pt idx="491">
                  <c:v>-11.143426736434691</c:v>
                </c:pt>
                <c:pt idx="492">
                  <c:v>-11.602906262054319</c:v>
                </c:pt>
                <c:pt idx="493">
                  <c:v>-12.071865772855489</c:v>
                </c:pt>
                <c:pt idx="494">
                  <c:v>-12.539604472770122</c:v>
                </c:pt>
                <c:pt idx="495">
                  <c:v>-13.006128268259545</c:v>
                </c:pt>
                <c:pt idx="496">
                  <c:v>-13.471443099288251</c:v>
                </c:pt>
                <c:pt idx="497">
                  <c:v>-13.946397004376394</c:v>
                </c:pt>
                <c:pt idx="498">
                  <c:v>-14.420097412897576</c:v>
                </c:pt>
                <c:pt idx="499">
                  <c:v>-14.892550791355063</c:v>
                </c:pt>
                <c:pt idx="500">
                  <c:v>-15.36376363699668</c:v>
                </c:pt>
                <c:pt idx="501">
                  <c:v>-15.844768467055047</c:v>
                </c:pt>
                <c:pt idx="502">
                  <c:v>-16.324487659057951</c:v>
                </c:pt>
                <c:pt idx="503">
                  <c:v>-16.802928270013211</c:v>
                </c:pt>
                <c:pt idx="504">
                  <c:v>-17.280097384727043</c:v>
                </c:pt>
                <c:pt idx="505">
                  <c:v>-17.766910698771397</c:v>
                </c:pt>
                <c:pt idx="506">
                  <c:v>-18.252408558641804</c:v>
                </c:pt>
                <c:pt idx="507">
                  <c:v>-18.736598629710244</c:v>
                </c:pt>
                <c:pt idx="508">
                  <c:v>-19.219488601972756</c:v>
                </c:pt>
                <c:pt idx="509">
                  <c:v>-19.712169080418022</c:v>
                </c:pt>
                <c:pt idx="510">
                  <c:v>-20.203505205641875</c:v>
                </c:pt>
                <c:pt idx="511">
                  <c:v>-20.693505283009529</c:v>
                </c:pt>
                <c:pt idx="512">
                  <c:v>-21.182177639211005</c:v>
                </c:pt>
                <c:pt idx="513">
                  <c:v>-21.681070171404315</c:v>
                </c:pt>
                <c:pt idx="514">
                  <c:v>-22.178588995813186</c:v>
                </c:pt>
                <c:pt idx="515">
                  <c:v>-22.674743106706643</c:v>
                </c:pt>
                <c:pt idx="516">
                  <c:v>-23.169541516328707</c:v>
                </c:pt>
                <c:pt idx="517">
                  <c:v>-23.674406477160829</c:v>
                </c:pt>
                <c:pt idx="518">
                  <c:v>-24.177871349103697</c:v>
                </c:pt>
                <c:pt idx="519">
                  <c:v>-24.67994583571928</c:v>
                </c:pt>
                <c:pt idx="520">
                  <c:v>-25.180639655086338</c:v>
                </c:pt>
                <c:pt idx="521">
                  <c:v>-25.691532215895336</c:v>
                </c:pt>
                <c:pt idx="522">
                  <c:v>-26.200999920619267</c:v>
                </c:pt>
                <c:pt idx="523">
                  <c:v>-26.709053219350068</c:v>
                </c:pt>
                <c:pt idx="524">
                  <c:v>-27.215702573231965</c:v>
                </c:pt>
                <c:pt idx="525">
                  <c:v>-27.732679114920188</c:v>
                </c:pt>
                <c:pt idx="526">
                  <c:v>-28.248207917480755</c:v>
                </c:pt>
                <c:pt idx="527">
                  <c:v>-28.762300217179614</c:v>
                </c:pt>
                <c:pt idx="528">
                  <c:v>-29.274967257915222</c:v>
                </c:pt>
                <c:pt idx="529">
                  <c:v>-29.798086744052483</c:v>
                </c:pt>
                <c:pt idx="530">
                  <c:v>-30.319737785174709</c:v>
                </c:pt>
                <c:pt idx="531">
                  <c:v>-30.839932446126795</c:v>
                </c:pt>
                <c:pt idx="532">
                  <c:v>-31.358682796079506</c:v>
                </c:pt>
                <c:pt idx="533">
                  <c:v>-31.8882811565868</c:v>
                </c:pt>
                <c:pt idx="534">
                  <c:v>-32.416391332678415</c:v>
                </c:pt>
                <c:pt idx="535">
                  <c:v>-32.943026283422199</c:v>
                </c:pt>
                <c:pt idx="536">
                  <c:v>-33.468198969095937</c:v>
                </c:pt>
                <c:pt idx="537">
                  <c:v>-34.003796146509245</c:v>
                </c:pt>
                <c:pt idx="538">
                  <c:v>-34.537891326480377</c:v>
                </c:pt>
                <c:pt idx="539">
                  <c:v>-35.070498371472723</c:v>
                </c:pt>
                <c:pt idx="540">
                  <c:v>-35.601631142314716</c:v>
                </c:pt>
                <c:pt idx="541">
                  <c:v>-36.143846228151887</c:v>
                </c:pt>
                <c:pt idx="542">
                  <c:v>-36.684545679316074</c:v>
                </c:pt>
                <c:pt idx="543">
                  <c:v>-37.223744357221193</c:v>
                </c:pt>
                <c:pt idx="544">
                  <c:v>-37.761457119170046</c:v>
                </c:pt>
                <c:pt idx="545">
                  <c:v>-38.310103071172961</c:v>
                </c:pt>
                <c:pt idx="546">
                  <c:v>-38.857224922500393</c:v>
                </c:pt>
                <c:pt idx="547">
                  <c:v>-39.402838571030145</c:v>
                </c:pt>
                <c:pt idx="548">
                  <c:v>-39.946959908551946</c:v>
                </c:pt>
                <c:pt idx="549">
                  <c:v>-40.502134187201506</c:v>
                </c:pt>
                <c:pt idx="550">
                  <c:v>-41.055779982869439</c:v>
                </c:pt>
                <c:pt idx="551">
                  <c:v>-41.607914294135554</c:v>
                </c:pt>
                <c:pt idx="552">
                  <c:v>-42.158554112139711</c:v>
                </c:pt>
                <c:pt idx="553">
                  <c:v>-42.720626308094154</c:v>
                </c:pt>
                <c:pt idx="554">
                  <c:v>-43.281168816428703</c:v>
                </c:pt>
                <c:pt idx="555">
                  <c:v>-43.840199832380961</c:v>
                </c:pt>
                <c:pt idx="556">
                  <c:v>-44.397737543152346</c:v>
                </c:pt>
                <c:pt idx="557">
                  <c:v>-45.534391336270431</c:v>
                </c:pt>
                <c:pt idx="558">
                  <c:v>-46.665020344019723</c:v>
                </c:pt>
                <c:pt idx="559">
                  <c:v>-47.815493696352377</c:v>
                </c:pt>
                <c:pt idx="560">
                  <c:v>-48.95999234381847</c:v>
                </c:pt>
                <c:pt idx="561">
                  <c:v>-50.125629920298053</c:v>
                </c:pt>
                <c:pt idx="562">
                  <c:v>-51.285358815447808</c:v>
                </c:pt>
                <c:pt idx="563">
                  <c:v>-52.464059886125796</c:v>
                </c:pt>
                <c:pt idx="564">
                  <c:v>-53.636972261250321</c:v>
                </c:pt>
                <c:pt idx="565">
                  <c:v>-54.83364348325108</c:v>
                </c:pt>
                <c:pt idx="566">
                  <c:v>-56.024635289676723</c:v>
                </c:pt>
                <c:pt idx="567">
                  <c:v>-57.239237614093213</c:v>
                </c:pt>
                <c:pt idx="568">
                  <c:v>-58.448313841103356</c:v>
                </c:pt>
                <c:pt idx="569">
                  <c:v>-59.676107830569777</c:v>
                </c:pt>
                <c:pt idx="570">
                  <c:v>-60.898617330407546</c:v>
                </c:pt>
                <c:pt idx="571">
                  <c:v>-62.149429189456754</c:v>
                </c:pt>
                <c:pt idx="572">
                  <c:v>-63.395166674109049</c:v>
                </c:pt>
                <c:pt idx="573">
                  <c:v>-64.659722741025263</c:v>
                </c:pt>
                <c:pt idx="574">
                  <c:v>-65.919547463908458</c:v>
                </c:pt>
                <c:pt idx="575">
                  <c:v>-67.207768721581971</c:v>
                </c:pt>
                <c:pt idx="576">
                  <c:v>-68.49159124694728</c:v>
                </c:pt>
                <c:pt idx="577">
                  <c:v>-73.884897705455813</c:v>
                </c:pt>
                <c:pt idx="578">
                  <c:v>-79.227623770446712</c:v>
                </c:pt>
                <c:pt idx="579">
                  <c:v>-90.874565705991756</c:v>
                </c:pt>
                <c:pt idx="580">
                  <c:v>-103.81963296894838</c:v>
                </c:pt>
                <c:pt idx="581">
                  <c:v>-118.6281878184588</c:v>
                </c:pt>
                <c:pt idx="582">
                  <c:v>-136.1643306805891</c:v>
                </c:pt>
                <c:pt idx="583">
                  <c:v>-157.3734995537497</c:v>
                </c:pt>
                <c:pt idx="584">
                  <c:v>-182.4367070927006</c:v>
                </c:pt>
                <c:pt idx="585">
                  <c:v>-29.284921464991811</c:v>
                </c:pt>
                <c:pt idx="586">
                  <c:v>-54.524646205565119</c:v>
                </c:pt>
                <c:pt idx="587">
                  <c:v>-76.626543543728189</c:v>
                </c:pt>
                <c:pt idx="588">
                  <c:v>-96.500388489279601</c:v>
                </c:pt>
                <c:pt idx="589">
                  <c:v>-116.46375546386844</c:v>
                </c:pt>
                <c:pt idx="590">
                  <c:v>-140.31801664455969</c:v>
                </c:pt>
                <c:pt idx="591">
                  <c:v>-174.54866461865282</c:v>
                </c:pt>
                <c:pt idx="592">
                  <c:v>-40.49495712923931</c:v>
                </c:pt>
                <c:pt idx="593">
                  <c:v>-80.512996212054929</c:v>
                </c:pt>
                <c:pt idx="594">
                  <c:v>-111.25253622666855</c:v>
                </c:pt>
                <c:pt idx="595">
                  <c:v>-145.706152580565</c:v>
                </c:pt>
                <c:pt idx="596">
                  <c:v>-23.663876936127167</c:v>
                </c:pt>
                <c:pt idx="597">
                  <c:v>-83.047824135899589</c:v>
                </c:pt>
                <c:pt idx="598">
                  <c:v>-125.44298766678759</c:v>
                </c:pt>
                <c:pt idx="599">
                  <c:v>-191.67894802964605</c:v>
                </c:pt>
                <c:pt idx="600">
                  <c:v>-88.549363130678273</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344.98108595439891</c:v>
                </c:pt>
                <c:pt idx="54">
                  <c:v>339.01529439852374</c:v>
                </c:pt>
                <c:pt idx="55">
                  <c:v>333.24725015666831</c:v>
                </c:pt>
                <c:pt idx="56">
                  <c:v>327.67152806565235</c:v>
                </c:pt>
                <c:pt idx="57">
                  <c:v>322.28644569875593</c:v>
                </c:pt>
                <c:pt idx="58">
                  <c:v>317.0625830731833</c:v>
                </c:pt>
                <c:pt idx="59">
                  <c:v>312.011349974734</c:v>
                </c:pt>
                <c:pt idx="60">
                  <c:v>307.1181208874421</c:v>
                </c:pt>
                <c:pt idx="61">
                  <c:v>302.37559630606489</c:v>
                </c:pt>
                <c:pt idx="62">
                  <c:v>297.77691953854452</c:v>
                </c:pt>
                <c:pt idx="63">
                  <c:v>293.31564362942459</c:v>
                </c:pt>
                <c:pt idx="64">
                  <c:v>288.98570120447118</c:v>
                </c:pt>
                <c:pt idx="65">
                  <c:v>284.78137693987554</c:v>
                </c:pt>
                <c:pt idx="66">
                  <c:v>280.69728239334552</c:v>
                </c:pt>
                <c:pt idx="67">
                  <c:v>276.72833296401939</c:v>
                </c:pt>
                <c:pt idx="68">
                  <c:v>272.86972677405231</c:v>
                </c:pt>
                <c:pt idx="69">
                  <c:v>269.11692528744993</c:v>
                </c:pt>
                <c:pt idx="70">
                  <c:v>265.46563550167309</c:v>
                </c:pt>
                <c:pt idx="71">
                  <c:v>261.91179356510355</c:v>
                </c:pt>
                <c:pt idx="72">
                  <c:v>258.45154968892814</c:v>
                </c:pt>
                <c:pt idx="73">
                  <c:v>255.08125423567679</c:v>
                </c:pt>
                <c:pt idx="74">
                  <c:v>251.79744487872864</c:v>
                </c:pt>
                <c:pt idx="75">
                  <c:v>248.59683473781826</c:v>
                </c:pt>
                <c:pt idx="76">
                  <c:v>245.47630140507243</c:v>
                </c:pt>
                <c:pt idx="77">
                  <c:v>242.43287678456159</c:v>
                </c:pt>
                <c:pt idx="78">
                  <c:v>239.46373767586405</c:v>
                </c:pt>
                <c:pt idx="79">
                  <c:v>236.56619703885005</c:v>
                </c:pt>
                <c:pt idx="80">
                  <c:v>233.73769588287243</c:v>
                </c:pt>
                <c:pt idx="81">
                  <c:v>230.9757957289076</c:v>
                </c:pt>
                <c:pt idx="82">
                  <c:v>228.27817159797462</c:v>
                </c:pt>
                <c:pt idx="83">
                  <c:v>225.64260548345857</c:v>
                </c:pt>
                <c:pt idx="84">
                  <c:v>223.06698026882015</c:v>
                </c:pt>
                <c:pt idx="85">
                  <c:v>220.54927405563436</c:v>
                </c:pt>
                <c:pt idx="86">
                  <c:v>218.08755487002182</c:v>
                </c:pt>
                <c:pt idx="87">
                  <c:v>215.67997571834786</c:v>
                </c:pt>
                <c:pt idx="88">
                  <c:v>213.32476996559342</c:v>
                </c:pt>
                <c:pt idx="89">
                  <c:v>211.02024701209689</c:v>
                </c:pt>
                <c:pt idx="90">
                  <c:v>208.76478824643164</c:v>
                </c:pt>
                <c:pt idx="91">
                  <c:v>206.55684325405946</c:v>
                </c:pt>
                <c:pt idx="92">
                  <c:v>204.39492626309755</c:v>
                </c:pt>
                <c:pt idx="93">
                  <c:v>202.27761281007605</c:v>
                </c:pt>
                <c:pt idx="94">
                  <c:v>200.20353660996395</c:v>
                </c:pt>
                <c:pt idx="95">
                  <c:v>198.17138661600902</c:v>
                </c:pt>
                <c:pt idx="96">
                  <c:v>196.17990425609864</c:v>
                </c:pt>
                <c:pt idx="97">
                  <c:v>194.22788083339756</c:v>
                </c:pt>
                <c:pt idx="98">
                  <c:v>192.31415507998463</c:v>
                </c:pt>
                <c:pt idx="99">
                  <c:v>190.43761085308063</c:v>
                </c:pt>
                <c:pt idx="100">
                  <c:v>188.59717496426779</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349.90540259073106</c:v>
                </c:pt>
                <c:pt idx="65">
                  <c:v>344.88978796581176</c:v>
                </c:pt>
                <c:pt idx="66">
                  <c:v>340.01455474909852</c:v>
                </c:pt>
                <c:pt idx="67">
                  <c:v>335.27357899318423</c:v>
                </c:pt>
                <c:pt idx="68">
                  <c:v>330.66278544098003</c:v>
                </c:pt>
                <c:pt idx="69">
                  <c:v>326.18058860196459</c:v>
                </c:pt>
                <c:pt idx="70">
                  <c:v>321.81303343594709</c:v>
                </c:pt>
                <c:pt idx="71">
                  <c:v>317.55852367454986</c:v>
                </c:pt>
                <c:pt idx="72">
                  <c:v>313.41773186797639</c:v>
                </c:pt>
                <c:pt idx="73">
                  <c:v>309.38335411508871</c:v>
                </c:pt>
                <c:pt idx="74">
                  <c:v>305.45134032893594</c:v>
                </c:pt>
                <c:pt idx="75">
                  <c:v>301.6178433745925</c:v>
                </c:pt>
                <c:pt idx="76">
                  <c:v>297.87920651390152</c:v>
                </c:pt>
                <c:pt idx="77">
                  <c:v>294.2319517708786</c:v>
                </c:pt>
                <c:pt idx="78">
                  <c:v>290.67276913996176</c:v>
                </c:pt>
                <c:pt idx="79">
                  <c:v>287.19850656672475</c:v>
                </c:pt>
                <c:pt idx="80">
                  <c:v>283.80616063730326</c:v>
                </c:pt>
                <c:pt idx="81">
                  <c:v>280.49286791873374</c:v>
                </c:pt>
                <c:pt idx="82">
                  <c:v>277.25589689772283</c:v>
                </c:pt>
                <c:pt idx="83">
                  <c:v>274.0926404701508</c:v>
                </c:pt>
                <c:pt idx="84">
                  <c:v>271.00060893790692</c:v>
                </c:pt>
                <c:pt idx="85">
                  <c:v>267.9774234735188</c:v>
                </c:pt>
                <c:pt idx="86">
                  <c:v>265.02081001652368</c:v>
                </c:pt>
                <c:pt idx="87">
                  <c:v>262.12859356866613</c:v>
                </c:pt>
                <c:pt idx="88">
                  <c:v>259.29869285784838</c:v>
                </c:pt>
                <c:pt idx="89">
                  <c:v>256.52911534331935</c:v>
                </c:pt>
                <c:pt idx="90">
                  <c:v>253.81795253691297</c:v>
                </c:pt>
                <c:pt idx="91">
                  <c:v>251.16337561724728</c:v>
                </c:pt>
                <c:pt idx="92">
                  <c:v>248.5636313157049</c:v>
                </c:pt>
                <c:pt idx="93">
                  <c:v>246.01703805474642</c:v>
                </c:pt>
                <c:pt idx="94">
                  <c:v>243.5219823206838</c:v>
                </c:pt>
                <c:pt idx="95">
                  <c:v>241.07691525447063</c:v>
                </c:pt>
                <c:pt idx="96">
                  <c:v>238.68034944537666</c:v>
                </c:pt>
                <c:pt idx="97">
                  <c:v>236.33085591359381</c:v>
                </c:pt>
                <c:pt idx="98">
                  <c:v>234.02706126891675</c:v>
                </c:pt>
                <c:pt idx="99">
                  <c:v>231.76764503362244</c:v>
                </c:pt>
                <c:pt idx="100">
                  <c:v>229.55133711858704</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2.0554863678125965</c:v>
                </c:pt>
                <c:pt idx="55">
                  <c:v>2.0744828962351693</c:v>
                </c:pt>
                <c:pt idx="56">
                  <c:v>2.0933095851916934</c:v>
                </c:pt>
                <c:pt idx="57">
                  <c:v>2.1287268296444748</c:v>
                </c:pt>
                <c:pt idx="58">
                  <c:v>2.1661996549536782</c:v>
                </c:pt>
                <c:pt idx="59">
                  <c:v>2.2036330224359197</c:v>
                </c:pt>
                <c:pt idx="60">
                  <c:v>2.2410692850260086</c:v>
                </c:pt>
                <c:pt idx="61">
                  <c:v>2.2785084431480338</c:v>
                </c:pt>
                <c:pt idx="62">
                  <c:v>2.315950497226372</c:v>
                </c:pt>
                <c:pt idx="63">
                  <c:v>2.3533954476856729</c:v>
                </c:pt>
                <c:pt idx="64">
                  <c:v>2.3908432949508418</c:v>
                </c:pt>
                <c:pt idx="65">
                  <c:v>2.4282940394470276</c:v>
                </c:pt>
                <c:pt idx="66">
                  <c:v>2.4657476815996069</c:v>
                </c:pt>
                <c:pt idx="67">
                  <c:v>2.5032042218341766</c:v>
                </c:pt>
                <c:pt idx="68">
                  <c:v>2.5406636605765436</c:v>
                </c:pt>
                <c:pt idx="69">
                  <c:v>2.578125998252712</c:v>
                </c:pt>
                <c:pt idx="70">
                  <c:v>2.615591235288881</c:v>
                </c:pt>
                <c:pt idx="71">
                  <c:v>2.6530593721114282</c:v>
                </c:pt>
                <c:pt idx="72">
                  <c:v>2.6905304091469109</c:v>
                </c:pt>
                <c:pt idx="73">
                  <c:v>2.7280043468220549</c:v>
                </c:pt>
                <c:pt idx="74">
                  <c:v>2.7654811855637513</c:v>
                </c:pt>
                <c:pt idx="75">
                  <c:v>2.8029609257990478</c:v>
                </c:pt>
                <c:pt idx="76">
                  <c:v>2.8404435679551483</c:v>
                </c:pt>
                <c:pt idx="77">
                  <c:v>2.8779291124594026</c:v>
                </c:pt>
                <c:pt idx="78">
                  <c:v>2.9154175597393084</c:v>
                </c:pt>
                <c:pt idx="79">
                  <c:v>2.9529089102225017</c:v>
                </c:pt>
                <c:pt idx="80">
                  <c:v>2.9904031643367568</c:v>
                </c:pt>
                <c:pt idx="81">
                  <c:v>3.0279003225099834</c:v>
                </c:pt>
                <c:pt idx="82">
                  <c:v>3.065400385170217</c:v>
                </c:pt>
                <c:pt idx="83">
                  <c:v>3.1029033527456282</c:v>
                </c:pt>
                <c:pt idx="84">
                  <c:v>3.1404092256645093</c:v>
                </c:pt>
                <c:pt idx="85">
                  <c:v>3.1779180043552744</c:v>
                </c:pt>
                <c:pt idx="86">
                  <c:v>3.2154296892464616</c:v>
                </c:pt>
                <c:pt idx="87">
                  <c:v>3.2529442807667226</c:v>
                </c:pt>
                <c:pt idx="88">
                  <c:v>3.2904617793448319</c:v>
                </c:pt>
                <c:pt idx="89">
                  <c:v>3.3279821854096738</c:v>
                </c:pt>
                <c:pt idx="90">
                  <c:v>3.3655054993902498</c:v>
                </c:pt>
                <c:pt idx="91">
                  <c:v>3.4030317217156698</c:v>
                </c:pt>
                <c:pt idx="92">
                  <c:v>3.4405608528151546</c:v>
                </c:pt>
                <c:pt idx="93">
                  <c:v>3.4780928931180344</c:v>
                </c:pt>
                <c:pt idx="94">
                  <c:v>3.5156278430537458</c:v>
                </c:pt>
                <c:pt idx="95">
                  <c:v>3.5531657030518331</c:v>
                </c:pt>
                <c:pt idx="96">
                  <c:v>3.5907064735419434</c:v>
                </c:pt>
                <c:pt idx="97">
                  <c:v>3.628250154953832</c:v>
                </c:pt>
                <c:pt idx="98">
                  <c:v>3.6657967477173519</c:v>
                </c:pt>
                <c:pt idx="99">
                  <c:v>3.7033462522624618</c:v>
                </c:pt>
                <c:pt idx="100">
                  <c:v>3.7408986690192205</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2.2726459256632574</c:v>
                </c:pt>
                <c:pt idx="67">
                  <c:v>2.2898462523379277</c:v>
                </c:pt>
                <c:pt idx="68">
                  <c:v>2.3069201666584371</c:v>
                </c:pt>
                <c:pt idx="69">
                  <c:v>2.3273264418314712</c:v>
                </c:pt>
                <c:pt idx="70">
                  <c:v>2.3611324355894752</c:v>
                </c:pt>
                <c:pt idx="71">
                  <c:v>2.3949556060058117</c:v>
                </c:pt>
                <c:pt idx="72">
                  <c:v>2.4287524859753225</c:v>
                </c:pt>
                <c:pt idx="73">
                  <c:v>2.4625511801113587</c:v>
                </c:pt>
                <c:pt idx="74">
                  <c:v>2.4963516886042409</c:v>
                </c:pt>
                <c:pt idx="75">
                  <c:v>2.5301540116443721</c:v>
                </c:pt>
                <c:pt idx="76">
                  <c:v>2.5639581494222372</c:v>
                </c:pt>
                <c:pt idx="77">
                  <c:v>2.5977641021283993</c:v>
                </c:pt>
                <c:pt idx="78">
                  <c:v>2.6315718699534942</c:v>
                </c:pt>
                <c:pt idx="79">
                  <c:v>2.6653814530882287</c:v>
                </c:pt>
                <c:pt idx="80">
                  <c:v>2.6991928517233776</c:v>
                </c:pt>
                <c:pt idx="81">
                  <c:v>2.7330060660497812</c:v>
                </c:pt>
                <c:pt idx="82">
                  <c:v>2.7668210962583437</c:v>
                </c:pt>
                <c:pt idx="83">
                  <c:v>2.8006379425400287</c:v>
                </c:pt>
                <c:pt idx="84">
                  <c:v>2.8344566050858604</c:v>
                </c:pt>
                <c:pt idx="85">
                  <c:v>2.8682770840869192</c:v>
                </c:pt>
                <c:pt idx="86">
                  <c:v>2.9020993797343384</c:v>
                </c:pt>
                <c:pt idx="87">
                  <c:v>2.9359234922193078</c:v>
                </c:pt>
                <c:pt idx="88">
                  <c:v>2.9697494217330673</c:v>
                </c:pt>
                <c:pt idx="89">
                  <c:v>3.0035771684669084</c:v>
                </c:pt>
                <c:pt idx="90">
                  <c:v>3.0374067326121703</c:v>
                </c:pt>
                <c:pt idx="91">
                  <c:v>3.0712381143602414</c:v>
                </c:pt>
                <c:pt idx="92">
                  <c:v>3.1050713139025565</c:v>
                </c:pt>
                <c:pt idx="93">
                  <c:v>3.1389063314305958</c:v>
                </c:pt>
                <c:pt idx="94">
                  <c:v>3.172743167135883</c:v>
                </c:pt>
                <c:pt idx="95">
                  <c:v>3.2065818212099888</c:v>
                </c:pt>
                <c:pt idx="96">
                  <c:v>3.240422293844524</c:v>
                </c:pt>
                <c:pt idx="97">
                  <c:v>3.2742645852311414</c:v>
                </c:pt>
                <c:pt idx="98">
                  <c:v>3.3081086955615362</c:v>
                </c:pt>
                <c:pt idx="99">
                  <c:v>3.3419546250274439</c:v>
                </c:pt>
                <c:pt idx="100">
                  <c:v>3.3758023738206386</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1.0080487261633262</c:v>
                </c:pt>
                <c:pt idx="14">
                  <c:v>1.0461195576473667</c:v>
                </c:pt>
                <c:pt idx="15">
                  <c:v>1.082854550136376</c:v>
                </c:pt>
                <c:pt idx="16">
                  <c:v>1.1183852840991175</c:v>
                </c:pt>
                <c:pt idx="17">
                  <c:v>1.1528230602790792</c:v>
                </c:pt>
                <c:pt idx="18">
                  <c:v>1.1862630231582492</c:v>
                </c:pt>
                <c:pt idx="19">
                  <c:v>1.2187872652535454</c:v>
                </c:pt>
                <c:pt idx="20">
                  <c:v>1.2504672041926856</c:v>
                </c:pt>
                <c:pt idx="21">
                  <c:v>1.2813654305451279</c:v>
                </c:pt>
                <c:pt idx="22">
                  <c:v>1.3115371636756188</c:v>
                </c:pt>
                <c:pt idx="23">
                  <c:v>1.3410314126970386</c:v>
                </c:pt>
                <c:pt idx="24">
                  <c:v>1.3698919124040816</c:v>
                </c:pt>
                <c:pt idx="25">
                  <c:v>1.3981578853032823</c:v>
                </c:pt>
                <c:pt idx="26">
                  <c:v>1.4258646676740001</c:v>
                </c:pt>
                <c:pt idx="27">
                  <c:v>1.453044228186918</c:v>
                </c:pt>
                <c:pt idx="28">
                  <c:v>1.4797256007922643</c:v>
                </c:pt>
                <c:pt idx="29">
                  <c:v>1.5059352485875486</c:v>
                </c:pt>
                <c:pt idx="30">
                  <c:v>1.5316973716567117</c:v>
                </c:pt>
                <c:pt idx="31">
                  <c:v>1.5570341690777036</c:v>
                </c:pt>
                <c:pt idx="32">
                  <c:v>1.5819660631722439</c:v>
                </c:pt>
                <c:pt idx="33">
                  <c:v>1.6065118924426067</c:v>
                </c:pt>
                <c:pt idx="34">
                  <c:v>1.6306890783791901</c:v>
                </c:pt>
                <c:pt idx="35">
                  <c:v>1.654513770337972</c:v>
                </c:pt>
                <c:pt idx="36">
                  <c:v>1.6780009719120117</c:v>
                </c:pt>
                <c:pt idx="37">
                  <c:v>1.7011646516066787</c:v>
                </c:pt>
                <c:pt idx="38">
                  <c:v>1.7240178401376558</c:v>
                </c:pt>
                <c:pt idx="39">
                  <c:v>1.7465727162763849</c:v>
                </c:pt>
                <c:pt idx="40">
                  <c:v>1.7688406828486936</c:v>
                </c:pt>
                <c:pt idx="41">
                  <c:v>1.790832434232853</c:v>
                </c:pt>
                <c:pt idx="42">
                  <c:v>1.812558016491058</c:v>
                </c:pt>
                <c:pt idx="43">
                  <c:v>1.8340268810937603</c:v>
                </c:pt>
                <c:pt idx="44">
                  <c:v>1.8552479330520155</c:v>
                </c:pt>
                <c:pt idx="45">
                  <c:v>1.8762295741532029</c:v>
                </c:pt>
                <c:pt idx="46">
                  <c:v>1.896979741895537</c:v>
                </c:pt>
                <c:pt idx="47">
                  <c:v>1.9175059446330753</c:v>
                </c:pt>
                <c:pt idx="48">
                  <c:v>1.9378152933724997</c:v>
                </c:pt>
                <c:pt idx="49">
                  <c:v>1.957914530603474</c:v>
                </c:pt>
                <c:pt idx="50">
                  <c:v>1.9778100564939696</c:v>
                </c:pt>
                <c:pt idx="51">
                  <c:v>1.9975079527390789</c:v>
                </c:pt>
                <c:pt idx="52">
                  <c:v>2.0170140043152043</c:v>
                </c:pt>
                <c:pt idx="53">
                  <c:v>2.0363337193601931</c:v>
                </c:pt>
                <c:pt idx="54">
                  <c:v>2.0554723473730316</c:v>
                </c:pt>
                <c:pt idx="55">
                  <c:v>2.0744348959035213</c:v>
                </c:pt>
                <c:pt idx="56">
                  <c:v>2.0932261458822938</c:v>
                </c:pt>
                <c:pt idx="57">
                  <c:v>2.1118506657241483</c:v>
                </c:pt>
                <c:pt idx="58">
                  <c:v>2.1303128243225848</c:v>
                </c:pt>
                <c:pt idx="59">
                  <c:v>2.148616803040261</c:v>
                </c:pt>
                <c:pt idx="60">
                  <c:v>2.1667666067885896</c:v>
                </c:pt>
                <c:pt idx="61">
                  <c:v>2.1847660742796569</c:v>
                </c:pt>
                <c:pt idx="62">
                  <c:v>2.2026188875247907</c:v>
                </c:pt>
                <c:pt idx="63">
                  <c:v>2.2203285806463628</c:v>
                </c:pt>
                <c:pt idx="64">
                  <c:v>2.2378985480625513</c:v>
                </c:pt>
                <c:pt idx="65">
                  <c:v>2.255332052098749</c:v>
                </c:pt>
                <c:pt idx="66">
                  <c:v>2.272632230073965</c:v>
                </c:pt>
                <c:pt idx="67">
                  <c:v>2.2898021009058036</c:v>
                </c:pt>
                <c:pt idx="68">
                  <c:v>2.3068445712734049</c:v>
                </c:pt>
                <c:pt idx="69">
                  <c:v>2.3237624413739795</c:v>
                </c:pt>
                <c:pt idx="70">
                  <c:v>2.3405584103052113</c:v>
                </c:pt>
                <c:pt idx="71">
                  <c:v>2.3572350811028344</c:v>
                </c:pt>
                <c:pt idx="72">
                  <c:v>2.3737949654600015</c:v>
                </c:pt>
                <c:pt idx="73">
                  <c:v>2.3902404881526724</c:v>
                </c:pt>
                <c:pt idx="74">
                  <c:v>2.4065739911931003</c:v>
                </c:pt>
                <c:pt idx="75">
                  <c:v>2.4227977377315577</c:v>
                </c:pt>
                <c:pt idx="76">
                  <c:v>2.4389139157247088</c:v>
                </c:pt>
                <c:pt idx="77">
                  <c:v>2.4549246413874624</c:v>
                </c:pt>
                <c:pt idx="78">
                  <c:v>2.4708319624437181</c:v>
                </c:pt>
                <c:pt idx="79">
                  <c:v>2.4866378611901507</c:v>
                </c:pt>
                <c:pt idx="80">
                  <c:v>2.5023442573860066</c:v>
                </c:pt>
                <c:pt idx="81">
                  <c:v>2.5179530109808335</c:v>
                </c:pt>
                <c:pt idx="82">
                  <c:v>2.5334659246911246</c:v>
                </c:pt>
                <c:pt idx="83">
                  <c:v>2.5488847464359727</c:v>
                </c:pt>
                <c:pt idx="84">
                  <c:v>2.5642111716410576</c:v>
                </c:pt>
                <c:pt idx="85">
                  <c:v>2.5794468454195569</c:v>
                </c:pt>
                <c:pt idx="86">
                  <c:v>2.5945933646379222</c:v>
                </c:pt>
                <c:pt idx="87">
                  <c:v>2.6096522798738735</c:v>
                </c:pt>
                <c:pt idx="88">
                  <c:v>2.6246250972733884</c:v>
                </c:pt>
                <c:pt idx="89">
                  <c:v>2.6395132803130017</c:v>
                </c:pt>
                <c:pt idx="90">
                  <c:v>2.6543182514732324</c:v>
                </c:pt>
                <c:pt idx="91">
                  <c:v>2.6690413938285746</c:v>
                </c:pt>
                <c:pt idx="92">
                  <c:v>2.6836840525590593</c:v>
                </c:pt>
                <c:pt idx="93">
                  <c:v>2.6982475363880867</c:v>
                </c:pt>
                <c:pt idx="94">
                  <c:v>2.7127331189508572</c:v>
                </c:pt>
                <c:pt idx="95">
                  <c:v>2.7271420400974686</c:v>
                </c:pt>
                <c:pt idx="96">
                  <c:v>2.7414755071344414</c:v>
                </c:pt>
                <c:pt idx="97">
                  <c:v>2.7557346960081914</c:v>
                </c:pt>
                <c:pt idx="98">
                  <c:v>2.769920752433745</c:v>
                </c:pt>
                <c:pt idx="99">
                  <c:v>2.7840347929717417</c:v>
                </c:pt>
                <c:pt idx="100">
                  <c:v>2.7980779060566134</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5.0000046833337166E-3</c:v>
                </c:pt>
                <c:pt idx="1">
                  <c:v>1.3948635618490055E-2</c:v>
                </c:pt>
                <c:pt idx="2">
                  <c:v>2.789727123698011E-2</c:v>
                </c:pt>
                <c:pt idx="3">
                  <c:v>4.1845906855470162E-2</c:v>
                </c:pt>
                <c:pt idx="4">
                  <c:v>5.5794542473960221E-2</c:v>
                </c:pt>
                <c:pt idx="5">
                  <c:v>6.9743178092450286E-2</c:v>
                </c:pt>
                <c:pt idx="6">
                  <c:v>8.3691813710940324E-2</c:v>
                </c:pt>
                <c:pt idx="7">
                  <c:v>9.7640449329430404E-2</c:v>
                </c:pt>
                <c:pt idx="8">
                  <c:v>0.11158908494792044</c:v>
                </c:pt>
                <c:pt idx="9">
                  <c:v>0.12553772056641049</c:v>
                </c:pt>
                <c:pt idx="10">
                  <c:v>0.13948635618490057</c:v>
                </c:pt>
                <c:pt idx="11">
                  <c:v>0.1534349918033906</c:v>
                </c:pt>
                <c:pt idx="12">
                  <c:v>0.1697579818649943</c:v>
                </c:pt>
                <c:pt idx="13">
                  <c:v>0.18499358824053466</c:v>
                </c:pt>
                <c:pt idx="14">
                  <c:v>0.19198727871039278</c:v>
                </c:pt>
                <c:pt idx="15">
                  <c:v>0.19873606089200599</c:v>
                </c:pt>
                <c:pt idx="16">
                  <c:v>0.20526405842168904</c:v>
                </c:pt>
                <c:pt idx="17">
                  <c:v>0.21159167689792693</c:v>
                </c:pt>
                <c:pt idx="18">
                  <c:v>0.21773635986796064</c:v>
                </c:pt>
                <c:pt idx="19">
                  <c:v>0.22371315796248056</c:v>
                </c:pt>
                <c:pt idx="20">
                  <c:v>0.22953516470331506</c:v>
                </c:pt>
                <c:pt idx="21">
                  <c:v>0.23521385528053193</c:v>
                </c:pt>
                <c:pt idx="22">
                  <c:v>0.24075935346528154</c:v>
                </c:pt>
                <c:pt idx="23">
                  <c:v>0.24618064445620816</c:v>
                </c:pt>
                <c:pt idx="24">
                  <c:v>0.25148574647135513</c:v>
                </c:pt>
                <c:pt idx="25">
                  <c:v>0.25668185045696928</c:v>
                </c:pt>
                <c:pt idx="26">
                  <c:v>0.26177543486804966</c:v>
                </c:pt>
                <c:pt idx="27">
                  <c:v>0.2667723607506377</c:v>
                </c:pt>
                <c:pt idx="28">
                  <c:v>0.27167795110651499</c:v>
                </c:pt>
                <c:pt idx="29">
                  <c:v>0.2764970576038448</c:v>
                </c:pt>
                <c:pt idx="30">
                  <c:v>0.28123411701566203</c:v>
                </c:pt>
                <c:pt idx="31">
                  <c:v>0.28589319925570983</c:v>
                </c:pt>
                <c:pt idx="32">
                  <c:v>0.290478048491846</c:v>
                </c:pt>
                <c:pt idx="33">
                  <c:v>0.29499211851860246</c:v>
                </c:pt>
                <c:pt idx="34">
                  <c:v>0.29943860333927541</c:v>
                </c:pt>
                <c:pt idx="35">
                  <c:v>0.30382046372740062</c:v>
                </c:pt>
                <c:pt idx="36">
                  <c:v>0.30814045039539106</c:v>
                </c:pt>
                <c:pt idx="37">
                  <c:v>0.31240112428545797</c:v>
                </c:pt>
                <c:pt idx="38">
                  <c:v>0.31660487440798202</c:v>
                </c:pt>
                <c:pt idx="39">
                  <c:v>0.32075393358020177</c:v>
                </c:pt>
                <c:pt idx="40">
                  <c:v>0.32485039235960922</c:v>
                </c:pt>
                <c:pt idx="41">
                  <c:v>0.3288962114188721</c:v>
                </c:pt>
                <c:pt idx="42">
                  <c:v>0.33289323257018527</c:v>
                </c:pt>
                <c:pt idx="43">
                  <c:v>0.33684318861495216</c:v>
                </c:pt>
                <c:pt idx="44">
                  <c:v>0.34074771216824512</c:v>
                </c:pt>
                <c:pt idx="45">
                  <c:v>0.34460834358552922</c:v>
                </c:pt>
                <c:pt idx="46">
                  <c:v>0.34842653810081492</c:v>
                </c:pt>
                <c:pt idx="47">
                  <c:v>0.352203672270051</c:v>
                </c:pt>
                <c:pt idx="48">
                  <c:v>0.35594104980066305</c:v>
                </c:pt>
                <c:pt idx="49">
                  <c:v>0.35963990683723418</c:v>
                </c:pt>
                <c:pt idx="50">
                  <c:v>0.36330141676408739</c:v>
                </c:pt>
                <c:pt idx="51">
                  <c:v>0.36692669457766242</c:v>
                </c:pt>
                <c:pt idx="52">
                  <c:v>0.37051680087487021</c:v>
                </c:pt>
                <c:pt idx="53">
                  <c:v>0.37407274549786401</c:v>
                </c:pt>
                <c:pt idx="54">
                  <c:v>0.37759549087072103</c:v>
                </c:pt>
                <c:pt idx="55">
                  <c:v>0.38108595505928261</c:v>
                </c:pt>
                <c:pt idx="56">
                  <c:v>0.38454501458171686</c:v>
                </c:pt>
                <c:pt idx="57">
                  <c:v>0.3879735069941862</c:v>
                </c:pt>
                <c:pt idx="58">
                  <c:v>0.39137223327322895</c:v>
                </c:pt>
                <c:pt idx="59">
                  <c:v>0.39474196001405581</c:v>
                </c:pt>
                <c:pt idx="60">
                  <c:v>0.39582538982635479</c:v>
                </c:pt>
                <c:pt idx="61">
                  <c:v>0.39302523548708368</c:v>
                </c:pt>
                <c:pt idx="62">
                  <c:v>0.39028337266512747</c:v>
                </c:pt>
                <c:pt idx="63">
                  <c:v>0.38759782600090309</c:v>
                </c:pt>
                <c:pt idx="64">
                  <c:v>0.38497157071334565</c:v>
                </c:pt>
                <c:pt idx="65">
                  <c:v>0.38240194016380769</c:v>
                </c:pt>
                <c:pt idx="66">
                  <c:v>0.37988317472919403</c:v>
                </c:pt>
                <c:pt idx="67">
                  <c:v>0.3774136349645833</c:v>
                </c:pt>
                <c:pt idx="68">
                  <c:v>0.37499175371625781</c:v>
                </c:pt>
                <c:pt idx="69">
                  <c:v>0.38653270377710014</c:v>
                </c:pt>
                <c:pt idx="70">
                  <c:v>0.38688886181188059</c:v>
                </c:pt>
                <c:pt idx="71">
                  <c:v>0.38723610645039186</c:v>
                </c:pt>
                <c:pt idx="72">
                  <c:v>0.38757478730992151</c:v>
                </c:pt>
                <c:pt idx="73">
                  <c:v>0.38790523596060278</c:v>
                </c:pt>
                <c:pt idx="74">
                  <c:v>0.38822776707506579</c:v>
                </c:pt>
                <c:pt idx="75">
                  <c:v>0.38854267949131127</c:v>
                </c:pt>
                <c:pt idx="76">
                  <c:v>0.38885025719635224</c:v>
                </c:pt>
                <c:pt idx="77">
                  <c:v>0.389150770237434</c:v>
                </c:pt>
                <c:pt idx="78">
                  <c:v>0.38944447556697248</c:v>
                </c:pt>
                <c:pt idx="79">
                  <c:v>0.38973161782677285</c:v>
                </c:pt>
                <c:pt idx="80">
                  <c:v>0.39001243007655628</c:v>
                </c:pt>
                <c:pt idx="81">
                  <c:v>0.39028713447135693</c:v>
                </c:pt>
                <c:pt idx="82">
                  <c:v>0.39055594289192452</c:v>
                </c:pt>
                <c:pt idx="83">
                  <c:v>0.390819057531896</c:v>
                </c:pt>
                <c:pt idx="84">
                  <c:v>0.3910766714451529</c:v>
                </c:pt>
                <c:pt idx="85">
                  <c:v>0.39132896905648173</c:v>
                </c:pt>
                <c:pt idx="86">
                  <c:v>0.39157612663837305</c:v>
                </c:pt>
                <c:pt idx="87">
                  <c:v>0.3918183127565521</c:v>
                </c:pt>
                <c:pt idx="88">
                  <c:v>0.39205568868660712</c:v>
                </c:pt>
                <c:pt idx="89">
                  <c:v>0.39228840880387961</c:v>
                </c:pt>
                <c:pt idx="90">
                  <c:v>0.39251662094859546</c:v>
                </c:pt>
                <c:pt idx="91">
                  <c:v>0.39274046676805524</c:v>
                </c:pt>
                <c:pt idx="92">
                  <c:v>0.39296008203754462</c:v>
                </c:pt>
                <c:pt idx="93">
                  <c:v>0.39317559696149612</c:v>
                </c:pt>
                <c:pt idx="94">
                  <c:v>0.39338713645630152</c:v>
                </c:pt>
                <c:pt idx="95">
                  <c:v>0.39359482041607158</c:v>
                </c:pt>
                <c:pt idx="96">
                  <c:v>0.39379876396252528</c:v>
                </c:pt>
                <c:pt idx="97">
                  <c:v>0.39399907768010684</c:v>
                </c:pt>
                <c:pt idx="98">
                  <c:v>0.39419586783733906</c:v>
                </c:pt>
                <c:pt idx="99">
                  <c:v>0.39438923659534209</c:v>
                </c:pt>
                <c:pt idx="100">
                  <c:v>0.39457928220437921</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6.3173581400100673E-3</c:v>
                </c:pt>
                <c:pt idx="1">
                  <c:v>1.7625849929722395E-2</c:v>
                </c:pt>
                <c:pt idx="2">
                  <c:v>5.2877549789167172E-2</c:v>
                </c:pt>
                <c:pt idx="3">
                  <c:v>5.2877549789167172E-2</c:v>
                </c:pt>
                <c:pt idx="4">
                  <c:v>7.0503399718889581E-2</c:v>
                </c:pt>
                <c:pt idx="5">
                  <c:v>8.812924964861199E-2</c:v>
                </c:pt>
                <c:pt idx="6">
                  <c:v>0.10575509957833434</c:v>
                </c:pt>
                <c:pt idx="7">
                  <c:v>0.12338094950805677</c:v>
                </c:pt>
                <c:pt idx="8">
                  <c:v>0.14100679943777916</c:v>
                </c:pt>
                <c:pt idx="9">
                  <c:v>0.15863264936750154</c:v>
                </c:pt>
                <c:pt idx="10">
                  <c:v>0.17625849929722398</c:v>
                </c:pt>
                <c:pt idx="11">
                  <c:v>0.19388434922694631</c:v>
                </c:pt>
                <c:pt idx="12">
                  <c:v>0.21451049368288133</c:v>
                </c:pt>
                <c:pt idx="13">
                  <c:v>0.23376404492761507</c:v>
                </c:pt>
                <c:pt idx="14">
                  <c:v>0.24260495593852682</c:v>
                </c:pt>
                <c:pt idx="15">
                  <c:v>0.25113651033107204</c:v>
                </c:pt>
                <c:pt idx="16">
                  <c:v>0.25938918002579398</c:v>
                </c:pt>
                <c:pt idx="17">
                  <c:v>0.26738874047832289</c:v>
                </c:pt>
                <c:pt idx="18">
                  <c:v>0.27515722560921302</c:v>
                </c:pt>
                <c:pt idx="19">
                  <c:v>0.28271364671045207</c:v>
                </c:pt>
                <c:pt idx="20">
                  <c:v>0.29007454293900109</c:v>
                </c:pt>
                <c:pt idx="21">
                  <c:v>0.2972544092454496</c:v>
                </c:pt>
                <c:pt idx="22">
                  <c:v>0.30426603352681864</c:v>
                </c:pt>
                <c:pt idx="23">
                  <c:v>0.31112076548496664</c:v>
                </c:pt>
                <c:pt idx="24">
                  <c:v>0.31782873337407314</c:v>
                </c:pt>
                <c:pt idx="25">
                  <c:v>0.3243990204747596</c:v>
                </c:pt>
                <c:pt idx="26">
                  <c:v>0.33083981007991053</c:v>
                </c:pt>
                <c:pt idx="27">
                  <c:v>0.33715850559850091</c:v>
                </c:pt>
                <c:pt idx="28">
                  <c:v>0.34336183080563909</c:v>
                </c:pt>
                <c:pt idx="29">
                  <c:v>0.34945591410855142</c:v>
                </c:pt>
                <c:pt idx="30">
                  <c:v>0.35544635983722767</c:v>
                </c:pt>
                <c:pt idx="31">
                  <c:v>0.36133830892119845</c:v>
                </c:pt>
                <c:pt idx="32">
                  <c:v>0.36713649082219846</c:v>
                </c:pt>
                <c:pt idx="33">
                  <c:v>0.37284526821523917</c:v>
                </c:pt>
                <c:pt idx="34">
                  <c:v>0.37846867561856873</c:v>
                </c:pt>
                <c:pt idx="35">
                  <c:v>0.38401045294496666</c:v>
                </c:pt>
                <c:pt idx="36">
                  <c:v>0.38947407476735108</c:v>
                </c:pt>
                <c:pt idx="37">
                  <c:v>0.39486277594938118</c:v>
                </c:pt>
                <c:pt idx="38">
                  <c:v>0.40017957417810429</c:v>
                </c:pt>
                <c:pt idx="39">
                  <c:v>0.40542728984437598</c:v>
                </c:pt>
                <c:pt idx="40">
                  <c:v>0.41060856364291182</c:v>
                </c:pt>
                <c:pt idx="41">
                  <c:v>0.41572587220374396</c:v>
                </c:pt>
                <c:pt idx="42">
                  <c:v>0.42078154201769635</c:v>
                </c:pt>
                <c:pt idx="43">
                  <c:v>0.42577776187806693</c:v>
                </c:pt>
                <c:pt idx="44">
                  <c:v>0.43071659402729595</c:v>
                </c:pt>
                <c:pt idx="45">
                  <c:v>0.43559998416965323</c:v>
                </c:pt>
                <c:pt idx="46">
                  <c:v>0.44042977048783527</c:v>
                </c:pt>
                <c:pt idx="47">
                  <c:v>0.44520769178197483</c:v>
                </c:pt>
                <c:pt idx="48">
                  <c:v>0.4499353948332539</c:v>
                </c:pt>
                <c:pt idx="49">
                  <c:v>0.45046787600487886</c:v>
                </c:pt>
                <c:pt idx="50">
                  <c:v>0.4371793817837874</c:v>
                </c:pt>
                <c:pt idx="51">
                  <c:v>0.4377763736387123</c:v>
                </c:pt>
                <c:pt idx="52">
                  <c:v>0.43835551025140401</c:v>
                </c:pt>
                <c:pt idx="53">
                  <c:v>0.43892409207295779</c:v>
                </c:pt>
                <c:pt idx="54">
                  <c:v>0.43947385627325608</c:v>
                </c:pt>
                <c:pt idx="55">
                  <c:v>0.44000576532131397</c:v>
                </c:pt>
                <c:pt idx="56">
                  <c:v>0.44052071715326419</c:v>
                </c:pt>
                <c:pt idx="57">
                  <c:v>0.44101955049179797</c:v>
                </c:pt>
                <c:pt idx="58">
                  <c:v>0.44150304964796278</c:v>
                </c:pt>
                <c:pt idx="59">
                  <c:v>0.44197194886314517</c:v>
                </c:pt>
                <c:pt idx="60">
                  <c:v>0.4424269362418049</c:v>
                </c:pt>
                <c:pt idx="61">
                  <c:v>0.44286865731926428</c:v>
                </c:pt>
                <c:pt idx="62">
                  <c:v>0.44329771830346093</c:v>
                </c:pt>
                <c:pt idx="63">
                  <c:v>0.44371468902490396</c:v>
                </c:pt>
                <c:pt idx="64">
                  <c:v>0.44412010562502241</c:v>
                </c:pt>
                <c:pt idx="65">
                  <c:v>0.44451447300957719</c:v>
                </c:pt>
                <c:pt idx="66">
                  <c:v>0.44489826709074903</c:v>
                </c:pt>
                <c:pt idx="67">
                  <c:v>0.4452719368388337</c:v>
                </c:pt>
                <c:pt idx="68">
                  <c:v>0.44563590616214716</c:v>
                </c:pt>
                <c:pt idx="69">
                  <c:v>0.44599057563168931</c:v>
                </c:pt>
                <c:pt idx="70">
                  <c:v>0.44633632406532003</c:v>
                </c:pt>
                <c:pt idx="71">
                  <c:v>0.44667350998461941</c:v>
                </c:pt>
                <c:pt idx="72">
                  <c:v>0.4470024729562137</c:v>
                </c:pt>
                <c:pt idx="73">
                  <c:v>0.44732353482811316</c:v>
                </c:pt>
                <c:pt idx="74">
                  <c:v>0.44763700087053004</c:v>
                </c:pt>
                <c:pt idx="75">
                  <c:v>0.44794316082967295</c:v>
                </c:pt>
                <c:pt idx="76">
                  <c:v>0.44824228990216847</c:v>
                </c:pt>
                <c:pt idx="77">
                  <c:v>0.44853464963699563</c:v>
                </c:pt>
                <c:pt idx="78">
                  <c:v>0.44882048877115016</c:v>
                </c:pt>
                <c:pt idx="79">
                  <c:v>0.4491000440046467</c:v>
                </c:pt>
                <c:pt idx="80">
                  <c:v>0.44937354071993968</c:v>
                </c:pt>
                <c:pt idx="81">
                  <c:v>0.44964119365035399</c:v>
                </c:pt>
                <c:pt idx="82">
                  <c:v>0.44990320750169538</c:v>
                </c:pt>
                <c:pt idx="83">
                  <c:v>0.45015977753082259</c:v>
                </c:pt>
                <c:pt idx="84">
                  <c:v>0.45041109008461594</c:v>
                </c:pt>
                <c:pt idx="85">
                  <c:v>0.45065732310247103</c:v>
                </c:pt>
                <c:pt idx="86">
                  <c:v>0.45089864658516599</c:v>
                </c:pt>
                <c:pt idx="87">
                  <c:v>0.45113522303269549</c:v>
                </c:pt>
                <c:pt idx="88">
                  <c:v>0.45136720785344586</c:v>
                </c:pt>
                <c:pt idx="89">
                  <c:v>0.45159474974687314</c:v>
                </c:pt>
                <c:pt idx="90">
                  <c:v>0.45181799106166559</c:v>
                </c:pt>
                <c:pt idx="91">
                  <c:v>0.45203706813120376</c:v>
                </c:pt>
                <c:pt idx="92">
                  <c:v>0.4522521115879794</c:v>
                </c:pt>
                <c:pt idx="93">
                  <c:v>0.4524632466584968</c:v>
                </c:pt>
                <c:pt idx="94">
                  <c:v>0.45267059344005506</c:v>
                </c:pt>
                <c:pt idx="95">
                  <c:v>0.45287426716069878</c:v>
                </c:pt>
                <c:pt idx="96">
                  <c:v>0.45307437842351639</c:v>
                </c:pt>
                <c:pt idx="97">
                  <c:v>0.45327103343637803</c:v>
                </c:pt>
                <c:pt idx="98">
                  <c:v>0.45346433422811289</c:v>
                </c:pt>
                <c:pt idx="99">
                  <c:v>0.45365437885205151</c:v>
                </c:pt>
                <c:pt idx="100">
                  <c:v>0.45384126157778765</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2.0001525871268734E-3</c:v>
                </c:pt>
                <c:pt idx="1">
                  <c:v>5.5746381448567861E-3</c:v>
                </c:pt>
                <c:pt idx="2">
                  <c:v>1.1149276289713572E-2</c:v>
                </c:pt>
                <c:pt idx="3">
                  <c:v>1.6723914434570358E-2</c:v>
                </c:pt>
                <c:pt idx="4">
                  <c:v>2.2298552579427144E-2</c:v>
                </c:pt>
                <c:pt idx="5">
                  <c:v>2.7873190724283927E-2</c:v>
                </c:pt>
                <c:pt idx="6">
                  <c:v>3.3447828869140717E-2</c:v>
                </c:pt>
                <c:pt idx="7">
                  <c:v>3.9022467013997496E-2</c:v>
                </c:pt>
                <c:pt idx="8">
                  <c:v>4.4597105158854289E-2</c:v>
                </c:pt>
                <c:pt idx="9">
                  <c:v>5.0171743303711068E-2</c:v>
                </c:pt>
                <c:pt idx="10">
                  <c:v>5.5746381448567854E-2</c:v>
                </c:pt>
                <c:pt idx="11">
                  <c:v>6.132101959342464E-2</c:v>
                </c:pt>
                <c:pt idx="12">
                  <c:v>6.7844579712445396E-2</c:v>
                </c:pt>
                <c:pt idx="13">
                  <c:v>7.3933310727135756E-2</c:v>
                </c:pt>
                <c:pt idx="14">
                  <c:v>7.6725849065317223E-2</c:v>
                </c:pt>
                <c:pt idx="15">
                  <c:v>7.9420423541373353E-2</c:v>
                </c:pt>
                <c:pt idx="16">
                  <c:v>8.2026683628312197E-2</c:v>
                </c:pt>
                <c:pt idx="17">
                  <c:v>8.4552791582245768E-2</c:v>
                </c:pt>
                <c:pt idx="18">
                  <c:v>8.7005724837288412E-2</c:v>
                </c:pt>
                <c:pt idx="19">
                  <c:v>8.9391503659645988E-2</c:v>
                </c:pt>
                <c:pt idx="20">
                  <c:v>9.1715365470863369E-2</c:v>
                </c:pt>
                <c:pt idx="21">
                  <c:v>9.3981900358806686E-2</c:v>
                </c:pt>
                <c:pt idx="22">
                  <c:v>9.6195157842918239E-2</c:v>
                </c:pt>
                <c:pt idx="23">
                  <c:v>9.8358732012879507E-2</c:v>
                </c:pt>
                <c:pt idx="24">
                  <c:v>0.10047583016545694</c:v>
                </c:pt>
                <c:pt idx="25">
                  <c:v>0.10254932868809451</c:v>
                </c:pt>
                <c:pt idx="26">
                  <c:v>0.10458181897119455</c:v>
                </c:pt>
                <c:pt idx="27">
                  <c:v>0.10657564544108658</c:v>
                </c:pt>
                <c:pt idx="28">
                  <c:v>0.1085329373059519</c:v>
                </c:pt>
                <c:pt idx="29">
                  <c:v>0.11045563524012068</c:v>
                </c:pt>
                <c:pt idx="30">
                  <c:v>0.11234551395950275</c:v>
                </c:pt>
                <c:pt idx="31">
                  <c:v>0.1142042014359535</c:v>
                </c:pt>
                <c:pt idx="32">
                  <c:v>0.11603319534266389</c:v>
                </c:pt>
                <c:pt idx="33">
                  <c:v>0.11783387720320854</c:v>
                </c:pt>
                <c:pt idx="34">
                  <c:v>0.11960752462440379</c:v>
                </c:pt>
                <c:pt idx="35">
                  <c:v>0.12135532192091736</c:v>
                </c:pt>
                <c:pt idx="36">
                  <c:v>0.12307836938274097</c:v>
                </c:pt>
                <c:pt idx="37">
                  <c:v>0.12477769139157462</c:v>
                </c:pt>
                <c:pt idx="38">
                  <c:v>0.12645424355618948</c:v>
                </c:pt>
                <c:pt idx="39">
                  <c:v>0.12810891900791629</c:v>
                </c:pt>
                <c:pt idx="40">
                  <c:v>0.12974255397401538</c:v>
                </c:pt>
                <c:pt idx="41">
                  <c:v>0.13135593272765642</c:v>
                </c:pt>
                <c:pt idx="42">
                  <c:v>0.13294979199766885</c:v>
                </c:pt>
                <c:pt idx="43">
                  <c:v>0.13452482490842363</c:v>
                </c:pt>
                <c:pt idx="44">
                  <c:v>0.13608168450962538</c:v>
                </c:pt>
                <c:pt idx="45">
                  <c:v>0.13762098694700997</c:v>
                </c:pt>
                <c:pt idx="46">
                  <c:v>0.13914331431761226</c:v>
                </c:pt>
                <c:pt idx="47">
                  <c:v>0.14064921724712992</c:v>
                </c:pt>
                <c:pt idx="48">
                  <c:v>0.14213921722174491</c:v>
                </c:pt>
                <c:pt idx="49">
                  <c:v>0.14361380870240131</c:v>
                </c:pt>
                <c:pt idx="50">
                  <c:v>0.14507346104584332</c:v>
                </c:pt>
                <c:pt idx="51">
                  <c:v>0.14651862025357087</c:v>
                </c:pt>
                <c:pt idx="52">
                  <c:v>0.1479497105671862</c:v>
                </c:pt>
                <c:pt idx="53">
                  <c:v>0.14936713592630588</c:v>
                </c:pt>
                <c:pt idx="54">
                  <c:v>0.1507712813032378</c:v>
                </c:pt>
                <c:pt idx="55">
                  <c:v>0.15216251392692084</c:v>
                </c:pt>
                <c:pt idx="56">
                  <c:v>0.15354118440715331</c:v>
                </c:pt>
                <c:pt idx="57">
                  <c:v>0.15490762776886294</c:v>
                </c:pt>
                <c:pt idx="58">
                  <c:v>0.15626216440506285</c:v>
                </c:pt>
                <c:pt idx="59">
                  <c:v>0.15760510095617294</c:v>
                </c:pt>
                <c:pt idx="60">
                  <c:v>0.15893673112254358</c:v>
                </c:pt>
                <c:pt idx="61">
                  <c:v>0.16025733641628137</c:v>
                </c:pt>
                <c:pt idx="62">
                  <c:v>0.1615671868578277</c:v>
                </c:pt>
                <c:pt idx="63">
                  <c:v>0.16286654162217346</c:v>
                </c:pt>
                <c:pt idx="64">
                  <c:v>0.16415564963908935</c:v>
                </c:pt>
                <c:pt idx="65">
                  <c:v>0.16543475015130968</c:v>
                </c:pt>
                <c:pt idx="66">
                  <c:v>0.1667040732342141</c:v>
                </c:pt>
                <c:pt idx="67">
                  <c:v>0.16796384028020489</c:v>
                </c:pt>
                <c:pt idx="68">
                  <c:v>0.1692142644506667</c:v>
                </c:pt>
                <c:pt idx="69">
                  <c:v>0.1704555510981226</c:v>
                </c:pt>
                <c:pt idx="70">
                  <c:v>0.17168789816095345</c:v>
                </c:pt>
                <c:pt idx="71">
                  <c:v>0.17291149653282892</c:v>
                </c:pt>
                <c:pt idx="72">
                  <c:v>0.17412653040880294</c:v>
                </c:pt>
                <c:pt idx="73">
                  <c:v>0.17533317760985026</c:v>
                </c:pt>
                <c:pt idx="74">
                  <c:v>0.17653160988746255</c:v>
                </c:pt>
                <c:pt idx="75">
                  <c:v>0.17772199320978205</c:v>
                </c:pt>
                <c:pt idx="76">
                  <c:v>0.17890448803062203</c:v>
                </c:pt>
                <c:pt idx="77">
                  <c:v>0.18007924954260865</c:v>
                </c:pt>
                <c:pt idx="78">
                  <c:v>0.18124642791557491</c:v>
                </c:pt>
                <c:pt idx="79">
                  <c:v>0.18240616852124378</c:v>
                </c:pt>
                <c:pt idx="80">
                  <c:v>0.1835586121451511</c:v>
                </c:pt>
                <c:pt idx="81">
                  <c:v>0.18470389518668481</c:v>
                </c:pt>
                <c:pt idx="82">
                  <c:v>0.18584214984804248</c:v>
                </c:pt>
                <c:pt idx="83">
                  <c:v>0.18697350431285101</c:v>
                </c:pt>
                <c:pt idx="84">
                  <c:v>0.18809808291512928</c:v>
                </c:pt>
                <c:pt idx="85">
                  <c:v>0.18921600629922553</c:v>
                </c:pt>
                <c:pt idx="86">
                  <c:v>0.1903273915713117</c:v>
                </c:pt>
                <c:pt idx="87">
                  <c:v>0.19143235244297246</c:v>
                </c:pt>
                <c:pt idx="88">
                  <c:v>0.19253099936738821</c:v>
                </c:pt>
                <c:pt idx="89">
                  <c:v>0.19362343966857318</c:v>
                </c:pt>
                <c:pt idx="90">
                  <c:v>0.19470977766409656</c:v>
                </c:pt>
                <c:pt idx="91">
                  <c:v>0.19579011478168443</c:v>
                </c:pt>
                <c:pt idx="92">
                  <c:v>0.19686454967007055</c:v>
                </c:pt>
                <c:pt idx="93">
                  <c:v>0.19793317830443952</c:v>
                </c:pt>
                <c:pt idx="94">
                  <c:v>0.19899609408678129</c:v>
                </c:pt>
                <c:pt idx="95">
                  <c:v>0.20005338794145358</c:v>
                </c:pt>
                <c:pt idx="96">
                  <c:v>0.20110514840622909</c:v>
                </c:pt>
                <c:pt idx="97">
                  <c:v>0.2021514617190861</c:v>
                </c:pt>
                <c:pt idx="98">
                  <c:v>0.20319241190098236</c:v>
                </c:pt>
                <c:pt idx="99">
                  <c:v>0.20422808083483748</c:v>
                </c:pt>
                <c:pt idx="100">
                  <c:v>0.20525854834093446</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5.0000046833337166E-3</c:v>
                </c:pt>
                <c:pt idx="1">
                  <c:v>1.3948635618490055E-2</c:v>
                </c:pt>
                <c:pt idx="2">
                  <c:v>2.789727123698011E-2</c:v>
                </c:pt>
                <c:pt idx="3">
                  <c:v>4.1845906855470162E-2</c:v>
                </c:pt>
                <c:pt idx="4">
                  <c:v>5.5794542473960221E-2</c:v>
                </c:pt>
                <c:pt idx="5">
                  <c:v>6.9743178092450286E-2</c:v>
                </c:pt>
                <c:pt idx="6">
                  <c:v>8.3691813710940324E-2</c:v>
                </c:pt>
                <c:pt idx="7">
                  <c:v>9.7640449329430404E-2</c:v>
                </c:pt>
                <c:pt idx="8">
                  <c:v>0.11158908494792044</c:v>
                </c:pt>
                <c:pt idx="9">
                  <c:v>0.12553772056641049</c:v>
                </c:pt>
                <c:pt idx="10">
                  <c:v>0.13948635618490057</c:v>
                </c:pt>
                <c:pt idx="11">
                  <c:v>0.1534349918033906</c:v>
                </c:pt>
                <c:pt idx="12">
                  <c:v>0.1697579818649943</c:v>
                </c:pt>
                <c:pt idx="13">
                  <c:v>0.18499358824053466</c:v>
                </c:pt>
                <c:pt idx="14">
                  <c:v>0.19198727871039278</c:v>
                </c:pt>
                <c:pt idx="15">
                  <c:v>0.19873606089200599</c:v>
                </c:pt>
                <c:pt idx="16">
                  <c:v>0.20526405842168904</c:v>
                </c:pt>
                <c:pt idx="17">
                  <c:v>0.21159167689792693</c:v>
                </c:pt>
                <c:pt idx="18">
                  <c:v>0.21773635986796064</c:v>
                </c:pt>
                <c:pt idx="19">
                  <c:v>0.22371315796248056</c:v>
                </c:pt>
                <c:pt idx="20">
                  <c:v>0.22953516470331506</c:v>
                </c:pt>
                <c:pt idx="21">
                  <c:v>0.23521385528053193</c:v>
                </c:pt>
                <c:pt idx="22">
                  <c:v>0.24075935346528154</c:v>
                </c:pt>
                <c:pt idx="23">
                  <c:v>0.24618064445620816</c:v>
                </c:pt>
                <c:pt idx="24">
                  <c:v>0.25148574647135513</c:v>
                </c:pt>
                <c:pt idx="25">
                  <c:v>0.25668185045696928</c:v>
                </c:pt>
                <c:pt idx="26">
                  <c:v>0.26177543486804966</c:v>
                </c:pt>
                <c:pt idx="27">
                  <c:v>0.2667723607506377</c:v>
                </c:pt>
                <c:pt idx="28">
                  <c:v>0.27167795110651499</c:v>
                </c:pt>
                <c:pt idx="29">
                  <c:v>0.2764970576038448</c:v>
                </c:pt>
                <c:pt idx="30">
                  <c:v>0.28123411701566203</c:v>
                </c:pt>
                <c:pt idx="31">
                  <c:v>0.28589319925570983</c:v>
                </c:pt>
                <c:pt idx="32">
                  <c:v>0.290478048491846</c:v>
                </c:pt>
                <c:pt idx="33">
                  <c:v>0.29499211851860246</c:v>
                </c:pt>
                <c:pt idx="34">
                  <c:v>0.29943860333927541</c:v>
                </c:pt>
                <c:pt idx="35">
                  <c:v>0.30382046372740062</c:v>
                </c:pt>
                <c:pt idx="36">
                  <c:v>0.30814045039539106</c:v>
                </c:pt>
                <c:pt idx="37">
                  <c:v>0.31240112428545797</c:v>
                </c:pt>
                <c:pt idx="38">
                  <c:v>0.31660487440798202</c:v>
                </c:pt>
                <c:pt idx="39">
                  <c:v>0.32075393358020177</c:v>
                </c:pt>
                <c:pt idx="40">
                  <c:v>0.32485039235960922</c:v>
                </c:pt>
                <c:pt idx="41">
                  <c:v>0.3288962114188721</c:v>
                </c:pt>
                <c:pt idx="42">
                  <c:v>0.33289323257018527</c:v>
                </c:pt>
                <c:pt idx="43">
                  <c:v>0.33684318861495216</c:v>
                </c:pt>
                <c:pt idx="44">
                  <c:v>0.34074771216824512</c:v>
                </c:pt>
                <c:pt idx="45">
                  <c:v>0.34460834358552922</c:v>
                </c:pt>
                <c:pt idx="46">
                  <c:v>0.34842653810081492</c:v>
                </c:pt>
                <c:pt idx="47">
                  <c:v>0.352203672270051</c:v>
                </c:pt>
                <c:pt idx="48">
                  <c:v>0.35594104980066305</c:v>
                </c:pt>
                <c:pt idx="49">
                  <c:v>0.35963990683723418</c:v>
                </c:pt>
                <c:pt idx="50">
                  <c:v>0.36330141676408739</c:v>
                </c:pt>
                <c:pt idx="51">
                  <c:v>0.36692669457766242</c:v>
                </c:pt>
                <c:pt idx="52">
                  <c:v>0.37051680087487021</c:v>
                </c:pt>
                <c:pt idx="53">
                  <c:v>0.37407274549786401</c:v>
                </c:pt>
                <c:pt idx="54">
                  <c:v>0.37759549087072103</c:v>
                </c:pt>
                <c:pt idx="55">
                  <c:v>0.38108595505928261</c:v>
                </c:pt>
                <c:pt idx="56">
                  <c:v>0.38454501458171686</c:v>
                </c:pt>
                <c:pt idx="57">
                  <c:v>0.3879735069941862</c:v>
                </c:pt>
                <c:pt idx="58">
                  <c:v>0.39137223327322895</c:v>
                </c:pt>
                <c:pt idx="59">
                  <c:v>0.39474196001405581</c:v>
                </c:pt>
                <c:pt idx="60">
                  <c:v>0.39582538982635479</c:v>
                </c:pt>
                <c:pt idx="61">
                  <c:v>0.39302523548708368</c:v>
                </c:pt>
                <c:pt idx="62">
                  <c:v>0.39028337266512747</c:v>
                </c:pt>
                <c:pt idx="63">
                  <c:v>0.38759782600090309</c:v>
                </c:pt>
                <c:pt idx="64">
                  <c:v>0.38497157071334565</c:v>
                </c:pt>
                <c:pt idx="65">
                  <c:v>0.38240194016380769</c:v>
                </c:pt>
                <c:pt idx="66">
                  <c:v>0.37988317472919403</c:v>
                </c:pt>
                <c:pt idx="67">
                  <c:v>0.3774136349645833</c:v>
                </c:pt>
                <c:pt idx="68">
                  <c:v>0.37499175371625781</c:v>
                </c:pt>
                <c:pt idx="69">
                  <c:v>0.38653270377710014</c:v>
                </c:pt>
                <c:pt idx="70">
                  <c:v>0.38688886181188059</c:v>
                </c:pt>
                <c:pt idx="71">
                  <c:v>0.38723610645039186</c:v>
                </c:pt>
                <c:pt idx="72">
                  <c:v>0.38757478730992151</c:v>
                </c:pt>
                <c:pt idx="73">
                  <c:v>0.38790523596060278</c:v>
                </c:pt>
                <c:pt idx="74">
                  <c:v>0.38822776707506579</c:v>
                </c:pt>
                <c:pt idx="75">
                  <c:v>0.38854267949131127</c:v>
                </c:pt>
                <c:pt idx="76">
                  <c:v>0.38885025719635224</c:v>
                </c:pt>
                <c:pt idx="77">
                  <c:v>0.389150770237434</c:v>
                </c:pt>
                <c:pt idx="78">
                  <c:v>0.38944447556697248</c:v>
                </c:pt>
                <c:pt idx="79">
                  <c:v>0.38973161782677285</c:v>
                </c:pt>
                <c:pt idx="80">
                  <c:v>0.39001243007655628</c:v>
                </c:pt>
                <c:pt idx="81">
                  <c:v>0.39028713447135693</c:v>
                </c:pt>
                <c:pt idx="82">
                  <c:v>0.39055594289192452</c:v>
                </c:pt>
                <c:pt idx="83">
                  <c:v>0.390819057531896</c:v>
                </c:pt>
                <c:pt idx="84">
                  <c:v>0.3910766714451529</c:v>
                </c:pt>
                <c:pt idx="85">
                  <c:v>0.39132896905648173</c:v>
                </c:pt>
                <c:pt idx="86">
                  <c:v>0.39157612663837305</c:v>
                </c:pt>
                <c:pt idx="87">
                  <c:v>0.3918183127565521</c:v>
                </c:pt>
                <c:pt idx="88">
                  <c:v>0.39205568868660712</c:v>
                </c:pt>
                <c:pt idx="89">
                  <c:v>0.39228840880387961</c:v>
                </c:pt>
                <c:pt idx="90">
                  <c:v>0.39251662094859546</c:v>
                </c:pt>
                <c:pt idx="91">
                  <c:v>0.39274046676805524</c:v>
                </c:pt>
                <c:pt idx="92">
                  <c:v>0.39296008203754462</c:v>
                </c:pt>
                <c:pt idx="93">
                  <c:v>0.39317559696149612</c:v>
                </c:pt>
                <c:pt idx="94">
                  <c:v>0.39338713645630152</c:v>
                </c:pt>
                <c:pt idx="95">
                  <c:v>0.39359482041607158</c:v>
                </c:pt>
                <c:pt idx="96">
                  <c:v>0.39379876396252528</c:v>
                </c:pt>
                <c:pt idx="97">
                  <c:v>0.39399907768010684</c:v>
                </c:pt>
                <c:pt idx="98">
                  <c:v>0.39419586783733906</c:v>
                </c:pt>
                <c:pt idx="99">
                  <c:v>0.39438923659534209</c:v>
                </c:pt>
                <c:pt idx="100">
                  <c:v>0.39457928220437921</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6.3173581400100673E-3</c:v>
                </c:pt>
                <c:pt idx="1">
                  <c:v>1.7625849929722395E-2</c:v>
                </c:pt>
                <c:pt idx="2">
                  <c:v>5.2877549789167172E-2</c:v>
                </c:pt>
                <c:pt idx="3">
                  <c:v>5.2877549789167172E-2</c:v>
                </c:pt>
                <c:pt idx="4">
                  <c:v>7.0503399718889581E-2</c:v>
                </c:pt>
                <c:pt idx="5">
                  <c:v>8.812924964861199E-2</c:v>
                </c:pt>
                <c:pt idx="6">
                  <c:v>0.10575509957833434</c:v>
                </c:pt>
                <c:pt idx="7">
                  <c:v>0.12338094950805677</c:v>
                </c:pt>
                <c:pt idx="8">
                  <c:v>0.14100679943777916</c:v>
                </c:pt>
                <c:pt idx="9">
                  <c:v>0.15863264936750154</c:v>
                </c:pt>
                <c:pt idx="10">
                  <c:v>0.17625849929722398</c:v>
                </c:pt>
                <c:pt idx="11">
                  <c:v>0.19388434922694631</c:v>
                </c:pt>
                <c:pt idx="12">
                  <c:v>0.21451049368288133</c:v>
                </c:pt>
                <c:pt idx="13">
                  <c:v>0.23376404492761507</c:v>
                </c:pt>
                <c:pt idx="14">
                  <c:v>0.24260495593852682</c:v>
                </c:pt>
                <c:pt idx="15">
                  <c:v>0.25113651033107204</c:v>
                </c:pt>
                <c:pt idx="16">
                  <c:v>0.25938918002579398</c:v>
                </c:pt>
                <c:pt idx="17">
                  <c:v>0.26738874047832289</c:v>
                </c:pt>
                <c:pt idx="18">
                  <c:v>0.27515722560921302</c:v>
                </c:pt>
                <c:pt idx="19">
                  <c:v>0.28271364671045207</c:v>
                </c:pt>
                <c:pt idx="20">
                  <c:v>0.29007454293900109</c:v>
                </c:pt>
                <c:pt idx="21">
                  <c:v>0.2972544092454496</c:v>
                </c:pt>
                <c:pt idx="22">
                  <c:v>0.30426603352681864</c:v>
                </c:pt>
                <c:pt idx="23">
                  <c:v>0.31112076548496664</c:v>
                </c:pt>
                <c:pt idx="24">
                  <c:v>0.31782873337407314</c:v>
                </c:pt>
                <c:pt idx="25">
                  <c:v>0.3243990204747596</c:v>
                </c:pt>
                <c:pt idx="26">
                  <c:v>0.33083981007991053</c:v>
                </c:pt>
                <c:pt idx="27">
                  <c:v>0.33715850559850091</c:v>
                </c:pt>
                <c:pt idx="28">
                  <c:v>0.34336183080563909</c:v>
                </c:pt>
                <c:pt idx="29">
                  <c:v>0.34945591410855142</c:v>
                </c:pt>
                <c:pt idx="30">
                  <c:v>0.35544635983722767</c:v>
                </c:pt>
                <c:pt idx="31">
                  <c:v>0.36133830892119845</c:v>
                </c:pt>
                <c:pt idx="32">
                  <c:v>0.36713649082219846</c:v>
                </c:pt>
                <c:pt idx="33">
                  <c:v>0.37284526821523917</c:v>
                </c:pt>
                <c:pt idx="34">
                  <c:v>0.37846867561856873</c:v>
                </c:pt>
                <c:pt idx="35">
                  <c:v>0.38401045294496666</c:v>
                </c:pt>
                <c:pt idx="36">
                  <c:v>0.38947407476735108</c:v>
                </c:pt>
                <c:pt idx="37">
                  <c:v>0.39486277594938118</c:v>
                </c:pt>
                <c:pt idx="38">
                  <c:v>0.40017957417810429</c:v>
                </c:pt>
                <c:pt idx="39">
                  <c:v>0.40542728984437598</c:v>
                </c:pt>
                <c:pt idx="40">
                  <c:v>0.41060856364291182</c:v>
                </c:pt>
                <c:pt idx="41">
                  <c:v>0.41572587220374396</c:v>
                </c:pt>
                <c:pt idx="42">
                  <c:v>0.42078154201769635</c:v>
                </c:pt>
                <c:pt idx="43">
                  <c:v>0.42577776187806693</c:v>
                </c:pt>
                <c:pt idx="44">
                  <c:v>0.43071659402729595</c:v>
                </c:pt>
                <c:pt idx="45">
                  <c:v>0.43559998416965323</c:v>
                </c:pt>
                <c:pt idx="46">
                  <c:v>0.44042977048783527</c:v>
                </c:pt>
                <c:pt idx="47">
                  <c:v>0.44520769178197483</c:v>
                </c:pt>
                <c:pt idx="48">
                  <c:v>0.4499353948332539</c:v>
                </c:pt>
                <c:pt idx="49">
                  <c:v>0.45046787600487886</c:v>
                </c:pt>
                <c:pt idx="50">
                  <c:v>0.4371793817837874</c:v>
                </c:pt>
                <c:pt idx="51">
                  <c:v>0.4377763736387123</c:v>
                </c:pt>
                <c:pt idx="52">
                  <c:v>0.43835551025140401</c:v>
                </c:pt>
                <c:pt idx="53">
                  <c:v>0.43892409207295779</c:v>
                </c:pt>
                <c:pt idx="54">
                  <c:v>0.43947385627325608</c:v>
                </c:pt>
                <c:pt idx="55">
                  <c:v>0.44000576532131397</c:v>
                </c:pt>
                <c:pt idx="56">
                  <c:v>0.44052071715326419</c:v>
                </c:pt>
                <c:pt idx="57">
                  <c:v>0.44101955049179797</c:v>
                </c:pt>
                <c:pt idx="58">
                  <c:v>0.44150304964796278</c:v>
                </c:pt>
                <c:pt idx="59">
                  <c:v>0.44197194886314517</c:v>
                </c:pt>
                <c:pt idx="60">
                  <c:v>0.4424269362418049</c:v>
                </c:pt>
                <c:pt idx="61">
                  <c:v>0.44286865731926428</c:v>
                </c:pt>
                <c:pt idx="62">
                  <c:v>0.44329771830346093</c:v>
                </c:pt>
                <c:pt idx="63">
                  <c:v>0.44371468902490396</c:v>
                </c:pt>
                <c:pt idx="64">
                  <c:v>0.44412010562502241</c:v>
                </c:pt>
                <c:pt idx="65">
                  <c:v>0.44451447300957719</c:v>
                </c:pt>
                <c:pt idx="66">
                  <c:v>0.44489826709074903</c:v>
                </c:pt>
                <c:pt idx="67">
                  <c:v>0.4452719368388337</c:v>
                </c:pt>
                <c:pt idx="68">
                  <c:v>0.44563590616214716</c:v>
                </c:pt>
                <c:pt idx="69">
                  <c:v>0.44599057563168931</c:v>
                </c:pt>
                <c:pt idx="70">
                  <c:v>0.44633632406532003</c:v>
                </c:pt>
                <c:pt idx="71">
                  <c:v>0.44667350998461941</c:v>
                </c:pt>
                <c:pt idx="72">
                  <c:v>0.4470024729562137</c:v>
                </c:pt>
                <c:pt idx="73">
                  <c:v>0.44732353482811316</c:v>
                </c:pt>
                <c:pt idx="74">
                  <c:v>0.44763700087053004</c:v>
                </c:pt>
                <c:pt idx="75">
                  <c:v>0.44794316082967295</c:v>
                </c:pt>
                <c:pt idx="76">
                  <c:v>0.44824228990216847</c:v>
                </c:pt>
                <c:pt idx="77">
                  <c:v>0.44853464963699563</c:v>
                </c:pt>
                <c:pt idx="78">
                  <c:v>0.44882048877115016</c:v>
                </c:pt>
                <c:pt idx="79">
                  <c:v>0.4491000440046467</c:v>
                </c:pt>
                <c:pt idx="80">
                  <c:v>0.44937354071993968</c:v>
                </c:pt>
                <c:pt idx="81">
                  <c:v>0.44964119365035399</c:v>
                </c:pt>
                <c:pt idx="82">
                  <c:v>0.44990320750169538</c:v>
                </c:pt>
                <c:pt idx="83">
                  <c:v>0.45015977753082259</c:v>
                </c:pt>
                <c:pt idx="84">
                  <c:v>0.45041109008461594</c:v>
                </c:pt>
                <c:pt idx="85">
                  <c:v>0.45065732310247103</c:v>
                </c:pt>
                <c:pt idx="86">
                  <c:v>0.45089864658516599</c:v>
                </c:pt>
                <c:pt idx="87">
                  <c:v>0.45113522303269549</c:v>
                </c:pt>
                <c:pt idx="88">
                  <c:v>0.45136720785344586</c:v>
                </c:pt>
                <c:pt idx="89">
                  <c:v>0.45159474974687314</c:v>
                </c:pt>
                <c:pt idx="90">
                  <c:v>0.45181799106166559</c:v>
                </c:pt>
                <c:pt idx="91">
                  <c:v>0.45203706813120376</c:v>
                </c:pt>
                <c:pt idx="92">
                  <c:v>0.4522521115879794</c:v>
                </c:pt>
                <c:pt idx="93">
                  <c:v>0.4524632466584968</c:v>
                </c:pt>
                <c:pt idx="94">
                  <c:v>0.45267059344005506</c:v>
                </c:pt>
                <c:pt idx="95">
                  <c:v>0.45287426716069878</c:v>
                </c:pt>
                <c:pt idx="96">
                  <c:v>0.45307437842351639</c:v>
                </c:pt>
                <c:pt idx="97">
                  <c:v>0.45327103343637803</c:v>
                </c:pt>
                <c:pt idx="98">
                  <c:v>0.45346433422811289</c:v>
                </c:pt>
                <c:pt idx="99">
                  <c:v>0.45365437885205151</c:v>
                </c:pt>
                <c:pt idx="100">
                  <c:v>0.45384126157778765</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2.0001525871268734E-3</c:v>
                </c:pt>
                <c:pt idx="1">
                  <c:v>5.5746381448567861E-3</c:v>
                </c:pt>
                <c:pt idx="2">
                  <c:v>1.1149276289713572E-2</c:v>
                </c:pt>
                <c:pt idx="3">
                  <c:v>1.6723914434570358E-2</c:v>
                </c:pt>
                <c:pt idx="4">
                  <c:v>2.2298552579427144E-2</c:v>
                </c:pt>
                <c:pt idx="5">
                  <c:v>2.7873190724283927E-2</c:v>
                </c:pt>
                <c:pt idx="6">
                  <c:v>3.3447828869140717E-2</c:v>
                </c:pt>
                <c:pt idx="7">
                  <c:v>3.9022467013997496E-2</c:v>
                </c:pt>
                <c:pt idx="8">
                  <c:v>4.4597105158854289E-2</c:v>
                </c:pt>
                <c:pt idx="9">
                  <c:v>5.0171743303711068E-2</c:v>
                </c:pt>
                <c:pt idx="10">
                  <c:v>5.5746381448567854E-2</c:v>
                </c:pt>
                <c:pt idx="11">
                  <c:v>6.132101959342464E-2</c:v>
                </c:pt>
                <c:pt idx="12">
                  <c:v>6.7844579712445396E-2</c:v>
                </c:pt>
                <c:pt idx="13">
                  <c:v>7.3933310727135756E-2</c:v>
                </c:pt>
                <c:pt idx="14">
                  <c:v>7.6725849065317223E-2</c:v>
                </c:pt>
                <c:pt idx="15">
                  <c:v>7.9420423541373353E-2</c:v>
                </c:pt>
                <c:pt idx="16">
                  <c:v>8.2026683628312197E-2</c:v>
                </c:pt>
                <c:pt idx="17">
                  <c:v>8.4552791582245768E-2</c:v>
                </c:pt>
                <c:pt idx="18">
                  <c:v>8.7005724837288412E-2</c:v>
                </c:pt>
                <c:pt idx="19">
                  <c:v>8.9391503659645988E-2</c:v>
                </c:pt>
                <c:pt idx="20">
                  <c:v>9.1715365470863369E-2</c:v>
                </c:pt>
                <c:pt idx="21">
                  <c:v>9.3981900358806686E-2</c:v>
                </c:pt>
                <c:pt idx="22">
                  <c:v>9.6195157842918239E-2</c:v>
                </c:pt>
                <c:pt idx="23">
                  <c:v>9.8358732012879507E-2</c:v>
                </c:pt>
                <c:pt idx="24">
                  <c:v>0.10047583016545694</c:v>
                </c:pt>
                <c:pt idx="25">
                  <c:v>0.10254932868809451</c:v>
                </c:pt>
                <c:pt idx="26">
                  <c:v>0.10458181897119455</c:v>
                </c:pt>
                <c:pt idx="27">
                  <c:v>0.10657564544108658</c:v>
                </c:pt>
                <c:pt idx="28">
                  <c:v>0.1085329373059519</c:v>
                </c:pt>
                <c:pt idx="29">
                  <c:v>0.11045563524012068</c:v>
                </c:pt>
                <c:pt idx="30">
                  <c:v>0.11234551395950275</c:v>
                </c:pt>
                <c:pt idx="31">
                  <c:v>0.1142042014359535</c:v>
                </c:pt>
                <c:pt idx="32">
                  <c:v>0.11603319534266389</c:v>
                </c:pt>
                <c:pt idx="33">
                  <c:v>0.11783387720320854</c:v>
                </c:pt>
                <c:pt idx="34">
                  <c:v>0.11960752462440379</c:v>
                </c:pt>
                <c:pt idx="35">
                  <c:v>0.12135532192091736</c:v>
                </c:pt>
                <c:pt idx="36">
                  <c:v>0.12307836938274097</c:v>
                </c:pt>
                <c:pt idx="37">
                  <c:v>0.12477769139157462</c:v>
                </c:pt>
                <c:pt idx="38">
                  <c:v>0.12645424355618948</c:v>
                </c:pt>
                <c:pt idx="39">
                  <c:v>0.12810891900791629</c:v>
                </c:pt>
                <c:pt idx="40">
                  <c:v>0.12974255397401538</c:v>
                </c:pt>
                <c:pt idx="41">
                  <c:v>0.13135593272765642</c:v>
                </c:pt>
                <c:pt idx="42">
                  <c:v>0.13294979199766885</c:v>
                </c:pt>
                <c:pt idx="43">
                  <c:v>0.13452482490842363</c:v>
                </c:pt>
                <c:pt idx="44">
                  <c:v>0.13608168450962538</c:v>
                </c:pt>
                <c:pt idx="45">
                  <c:v>0.13762098694700997</c:v>
                </c:pt>
                <c:pt idx="46">
                  <c:v>0.13914331431761226</c:v>
                </c:pt>
                <c:pt idx="47">
                  <c:v>0.14064921724712992</c:v>
                </c:pt>
                <c:pt idx="48">
                  <c:v>0.14213921722174491</c:v>
                </c:pt>
                <c:pt idx="49">
                  <c:v>0.14361380870240131</c:v>
                </c:pt>
                <c:pt idx="50">
                  <c:v>0.14507346104584332</c:v>
                </c:pt>
                <c:pt idx="51">
                  <c:v>0.14651862025357087</c:v>
                </c:pt>
                <c:pt idx="52">
                  <c:v>0.1479497105671862</c:v>
                </c:pt>
                <c:pt idx="53">
                  <c:v>0.14936713592630588</c:v>
                </c:pt>
                <c:pt idx="54">
                  <c:v>0.1507712813032378</c:v>
                </c:pt>
                <c:pt idx="55">
                  <c:v>0.15216251392692084</c:v>
                </c:pt>
                <c:pt idx="56">
                  <c:v>0.15354118440715331</c:v>
                </c:pt>
                <c:pt idx="57">
                  <c:v>0.15490762776886294</c:v>
                </c:pt>
                <c:pt idx="58">
                  <c:v>0.15626216440506285</c:v>
                </c:pt>
                <c:pt idx="59">
                  <c:v>0.15760510095617294</c:v>
                </c:pt>
                <c:pt idx="60">
                  <c:v>0.15893673112254358</c:v>
                </c:pt>
                <c:pt idx="61">
                  <c:v>0.16025733641628137</c:v>
                </c:pt>
                <c:pt idx="62">
                  <c:v>0.1615671868578277</c:v>
                </c:pt>
                <c:pt idx="63">
                  <c:v>0.16286654162217346</c:v>
                </c:pt>
                <c:pt idx="64">
                  <c:v>0.16415564963908935</c:v>
                </c:pt>
                <c:pt idx="65">
                  <c:v>0.16543475015130968</c:v>
                </c:pt>
                <c:pt idx="66">
                  <c:v>0.1667040732342141</c:v>
                </c:pt>
                <c:pt idx="67">
                  <c:v>0.16796384028020489</c:v>
                </c:pt>
                <c:pt idx="68">
                  <c:v>0.1692142644506667</c:v>
                </c:pt>
                <c:pt idx="69">
                  <c:v>0.1704555510981226</c:v>
                </c:pt>
                <c:pt idx="70">
                  <c:v>0.17168789816095345</c:v>
                </c:pt>
                <c:pt idx="71">
                  <c:v>0.17291149653282892</c:v>
                </c:pt>
                <c:pt idx="72">
                  <c:v>0.17412653040880294</c:v>
                </c:pt>
                <c:pt idx="73">
                  <c:v>0.17533317760985026</c:v>
                </c:pt>
                <c:pt idx="74">
                  <c:v>0.17653160988746255</c:v>
                </c:pt>
                <c:pt idx="75">
                  <c:v>0.17772199320978205</c:v>
                </c:pt>
                <c:pt idx="76">
                  <c:v>0.17890448803062203</c:v>
                </c:pt>
                <c:pt idx="77">
                  <c:v>0.18007924954260865</c:v>
                </c:pt>
                <c:pt idx="78">
                  <c:v>0.18124642791557491</c:v>
                </c:pt>
                <c:pt idx="79">
                  <c:v>0.18240616852124378</c:v>
                </c:pt>
                <c:pt idx="80">
                  <c:v>0.1835586121451511</c:v>
                </c:pt>
                <c:pt idx="81">
                  <c:v>0.18470389518668481</c:v>
                </c:pt>
                <c:pt idx="82">
                  <c:v>0.18584214984804248</c:v>
                </c:pt>
                <c:pt idx="83">
                  <c:v>0.18697350431285101</c:v>
                </c:pt>
                <c:pt idx="84">
                  <c:v>0.18809808291512928</c:v>
                </c:pt>
                <c:pt idx="85">
                  <c:v>0.18921600629922553</c:v>
                </c:pt>
                <c:pt idx="86">
                  <c:v>0.1903273915713117</c:v>
                </c:pt>
                <c:pt idx="87">
                  <c:v>0.19143235244297246</c:v>
                </c:pt>
                <c:pt idx="88">
                  <c:v>0.19253099936738821</c:v>
                </c:pt>
                <c:pt idx="89">
                  <c:v>0.19362343966857318</c:v>
                </c:pt>
                <c:pt idx="90">
                  <c:v>0.19470977766409656</c:v>
                </c:pt>
                <c:pt idx="91">
                  <c:v>0.19579011478168443</c:v>
                </c:pt>
                <c:pt idx="92">
                  <c:v>0.19686454967007055</c:v>
                </c:pt>
                <c:pt idx="93">
                  <c:v>0.19793317830443952</c:v>
                </c:pt>
                <c:pt idx="94">
                  <c:v>0.19899609408678129</c:v>
                </c:pt>
                <c:pt idx="95">
                  <c:v>0.20005338794145358</c:v>
                </c:pt>
                <c:pt idx="96">
                  <c:v>0.20110514840622909</c:v>
                </c:pt>
                <c:pt idx="97">
                  <c:v>0.2021514617190861</c:v>
                </c:pt>
                <c:pt idx="98">
                  <c:v>0.20319241190098236</c:v>
                </c:pt>
                <c:pt idx="99">
                  <c:v>0.20422808083483748</c:v>
                </c:pt>
                <c:pt idx="100">
                  <c:v>0.20525854834093446</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1.0141851056742199</c:v>
                </c:pt>
                <c:pt idx="13">
                  <c:v>1.0555973258234952</c:v>
                </c:pt>
                <c:pt idx="14">
                  <c:v>1.0954451150103324</c:v>
                </c:pt>
                <c:pt idx="15">
                  <c:v>1.1338934190276817</c:v>
                </c:pt>
                <c:pt idx="16">
                  <c:v>1.1710800875382397</c:v>
                </c:pt>
                <c:pt idx="17">
                  <c:v>1.2071217242444348</c:v>
                </c:pt>
                <c:pt idx="18">
                  <c:v>1.2421180068162376</c:v>
                </c:pt>
                <c:pt idx="19">
                  <c:v>1.2761549390929883</c:v>
                </c:pt>
                <c:pt idx="20">
                  <c:v>1.3093073414159542</c:v>
                </c:pt>
                <c:pt idx="21">
                  <c:v>1.3416407864998738</c:v>
                </c:pt>
                <c:pt idx="22">
                  <c:v>1.3732131246511903</c:v>
                </c:pt>
                <c:pt idx="23">
                  <c:v>1.4040757000349275</c:v>
                </c:pt>
                <c:pt idx="24">
                  <c:v>1.4342743312012725</c:v>
                </c:pt>
                <c:pt idx="25">
                  <c:v>1.4638501094227998</c:v>
                </c:pt>
                <c:pt idx="26">
                  <c:v>1.4928400545843576</c:v>
                </c:pt>
                <c:pt idx="27">
                  <c:v>1.5212776585113299</c:v>
                </c:pt>
                <c:pt idx="28">
                  <c:v>1.5491933384829668</c:v>
                </c:pt>
                <c:pt idx="29">
                  <c:v>1.5766148184367308</c:v>
                </c:pt>
                <c:pt idx="30">
                  <c:v>1.6035674514745462</c:v>
                </c:pt>
                <c:pt idx="31">
                  <c:v>1.6300744943538186</c:v>
                </c:pt>
                <c:pt idx="32">
                  <c:v>1.65615734242165</c:v>
                </c:pt>
                <c:pt idx="33">
                  <c:v>1.6818357317441643</c:v>
                </c:pt>
                <c:pt idx="34">
                  <c:v>1.7071279138616748</c:v>
                </c:pt>
                <c:pt idx="35">
                  <c:v>1.7320508075688772</c:v>
                </c:pt>
                <c:pt idx="36">
                  <c:v>1.7566201313073597</c:v>
                </c:pt>
                <c:pt idx="37">
                  <c:v>1.7808505191139909</c:v>
                </c:pt>
                <c:pt idx="38">
                  <c:v>1.804755622554715</c:v>
                </c:pt>
                <c:pt idx="39">
                  <c:v>1.8283482006601322</c:v>
                </c:pt>
                <c:pt idx="40">
                  <c:v>1.8516401995451028</c:v>
                </c:pt>
                <c:pt idx="41">
                  <c:v>1.8746428231227714</c:v>
                </c:pt>
                <c:pt idx="42">
                  <c:v>1.8973665961010275</c:v>
                </c:pt>
                <c:pt idx="43">
                  <c:v>1.9198214202665531</c:v>
                </c:pt>
                <c:pt idx="44">
                  <c:v>1.9420166249104489</c:v>
                </c:pt>
                <c:pt idx="45">
                  <c:v>1.9639610121239313</c:v>
                </c:pt>
                <c:pt idx="46">
                  <c:v>1.9856628975878921</c:v>
                </c:pt>
                <c:pt idx="47">
                  <c:v>2.0071301473923975</c:v>
                </c:pt>
                <c:pt idx="48">
                  <c:v>2.0283702113484399</c:v>
                </c:pt>
                <c:pt idx="49">
                  <c:v>2.0493901531919199</c:v>
                </c:pt>
                <c:pt idx="50">
                  <c:v>2.0266648339144213</c:v>
                </c:pt>
                <c:pt idx="51">
                  <c:v>2.0672130256697119</c:v>
                </c:pt>
                <c:pt idx="52">
                  <c:v>2.1077655316540866</c:v>
                </c:pt>
                <c:pt idx="53">
                  <c:v>2.1483300857565202</c:v>
                </c:pt>
                <c:pt idx="54">
                  <c:v>2.1888958074541955</c:v>
                </c:pt>
                <c:pt idx="55">
                  <c:v>2.22946269746111</c:v>
                </c:pt>
                <c:pt idx="56">
                  <c:v>2.2700307564913977</c:v>
                </c:pt>
                <c:pt idx="57">
                  <c:v>2.3105999852593229</c:v>
                </c:pt>
                <c:pt idx="58">
                  <c:v>2.3511703844792873</c:v>
                </c:pt>
                <c:pt idx="59">
                  <c:v>2.3917419548658252</c:v>
                </c:pt>
                <c:pt idx="60">
                  <c:v>2.4323146971336058</c:v>
                </c:pt>
                <c:pt idx="61">
                  <c:v>2.4728886119974303</c:v>
                </c:pt>
                <c:pt idx="62">
                  <c:v>2.5134637001722369</c:v>
                </c:pt>
                <c:pt idx="63">
                  <c:v>2.5540399623730954</c:v>
                </c:pt>
                <c:pt idx="64">
                  <c:v>2.5946173993152137</c:v>
                </c:pt>
                <c:pt idx="65">
                  <c:v>2.6351960117139308</c:v>
                </c:pt>
                <c:pt idx="66">
                  <c:v>2.675775800284721</c:v>
                </c:pt>
                <c:pt idx="67">
                  <c:v>2.7163567657431935</c:v>
                </c:pt>
                <c:pt idx="68">
                  <c:v>2.7569389088050928</c:v>
                </c:pt>
                <c:pt idx="69">
                  <c:v>2.7975222301862961</c:v>
                </c:pt>
                <c:pt idx="70">
                  <c:v>2.8381067306028185</c:v>
                </c:pt>
                <c:pt idx="71">
                  <c:v>2.8786924107708063</c:v>
                </c:pt>
                <c:pt idx="72">
                  <c:v>2.9192792714065425</c:v>
                </c:pt>
                <c:pt idx="73">
                  <c:v>2.9598673132264457</c:v>
                </c:pt>
                <c:pt idx="74">
                  <c:v>3.0004565369470666</c:v>
                </c:pt>
                <c:pt idx="75">
                  <c:v>3.0410469432850942</c:v>
                </c:pt>
                <c:pt idx="76">
                  <c:v>3.0816385329573515</c:v>
                </c:pt>
                <c:pt idx="77">
                  <c:v>3.1222313066807956</c:v>
                </c:pt>
                <c:pt idx="78">
                  <c:v>3.162825265172521</c:v>
                </c:pt>
                <c:pt idx="79">
                  <c:v>3.2034204091497522</c:v>
                </c:pt>
                <c:pt idx="80">
                  <c:v>3.2440167393298567</c:v>
                </c:pt>
                <c:pt idx="81">
                  <c:v>3.2846142564303316</c:v>
                </c:pt>
                <c:pt idx="82">
                  <c:v>3.3252129611688108</c:v>
                </c:pt>
                <c:pt idx="83">
                  <c:v>3.3658128542630656</c:v>
                </c:pt>
                <c:pt idx="84">
                  <c:v>3.4064139364310013</c:v>
                </c:pt>
                <c:pt idx="85">
                  <c:v>3.4470162083906577</c:v>
                </c:pt>
                <c:pt idx="86">
                  <c:v>3.4876196708602123</c:v>
                </c:pt>
                <c:pt idx="87">
                  <c:v>3.5282243245579767</c:v>
                </c:pt>
                <c:pt idx="88">
                  <c:v>3.568830170202399</c:v>
                </c:pt>
                <c:pt idx="89">
                  <c:v>3.6094372085120643</c:v>
                </c:pt>
                <c:pt idx="90">
                  <c:v>3.6500454402056914</c:v>
                </c:pt>
                <c:pt idx="91">
                  <c:v>3.6906548660021361</c:v>
                </c:pt>
                <c:pt idx="92">
                  <c:v>3.731265486620392</c:v>
                </c:pt>
                <c:pt idx="93">
                  <c:v>3.7718773027795849</c:v>
                </c:pt>
                <c:pt idx="94">
                  <c:v>3.8124903151989775</c:v>
                </c:pt>
                <c:pt idx="95">
                  <c:v>3.853104524597974</c:v>
                </c:pt>
                <c:pt idx="96">
                  <c:v>3.8937199316961095</c:v>
                </c:pt>
                <c:pt idx="97">
                  <c:v>3.9343365372130541</c:v>
                </c:pt>
                <c:pt idx="98">
                  <c:v>3.97495434186862</c:v>
                </c:pt>
                <c:pt idx="99">
                  <c:v>4.0155733463827508</c:v>
                </c:pt>
                <c:pt idx="100">
                  <c:v>4.0561935514755287</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1.0141851056742199</c:v>
                </c:pt>
                <c:pt idx="13">
                  <c:v>1.0555973258234952</c:v>
                </c:pt>
                <c:pt idx="14">
                  <c:v>1.0954451150103324</c:v>
                </c:pt>
                <c:pt idx="15">
                  <c:v>1.1338934190276817</c:v>
                </c:pt>
                <c:pt idx="16">
                  <c:v>1.1710800875382397</c:v>
                </c:pt>
                <c:pt idx="17">
                  <c:v>1.2071217242444348</c:v>
                </c:pt>
                <c:pt idx="18">
                  <c:v>1.2421180068162376</c:v>
                </c:pt>
                <c:pt idx="19">
                  <c:v>1.2761549390929883</c:v>
                </c:pt>
                <c:pt idx="20">
                  <c:v>1.3093073414159542</c:v>
                </c:pt>
                <c:pt idx="21">
                  <c:v>1.3416407864998738</c:v>
                </c:pt>
                <c:pt idx="22">
                  <c:v>1.3732131246511903</c:v>
                </c:pt>
                <c:pt idx="23">
                  <c:v>1.4040757000349275</c:v>
                </c:pt>
                <c:pt idx="24">
                  <c:v>1.4342743312012725</c:v>
                </c:pt>
                <c:pt idx="25">
                  <c:v>1.4638501094227998</c:v>
                </c:pt>
                <c:pt idx="26">
                  <c:v>1.4928400545843576</c:v>
                </c:pt>
                <c:pt idx="27">
                  <c:v>1.5212776585113299</c:v>
                </c:pt>
                <c:pt idx="28">
                  <c:v>1.5491933384829668</c:v>
                </c:pt>
                <c:pt idx="29">
                  <c:v>1.5766148184367308</c:v>
                </c:pt>
                <c:pt idx="30">
                  <c:v>1.6035674514745462</c:v>
                </c:pt>
                <c:pt idx="31">
                  <c:v>1.6300744943538186</c:v>
                </c:pt>
                <c:pt idx="32">
                  <c:v>1.65615734242165</c:v>
                </c:pt>
                <c:pt idx="33">
                  <c:v>1.6818357317441643</c:v>
                </c:pt>
                <c:pt idx="34">
                  <c:v>1.7071279138616748</c:v>
                </c:pt>
                <c:pt idx="35">
                  <c:v>1.7320508075688772</c:v>
                </c:pt>
                <c:pt idx="36">
                  <c:v>1.7566201313073597</c:v>
                </c:pt>
                <c:pt idx="37">
                  <c:v>1.7808505191139909</c:v>
                </c:pt>
                <c:pt idx="38">
                  <c:v>1.804755622554715</c:v>
                </c:pt>
                <c:pt idx="39">
                  <c:v>1.8283482006601322</c:v>
                </c:pt>
                <c:pt idx="40">
                  <c:v>1.8516401995451028</c:v>
                </c:pt>
                <c:pt idx="41">
                  <c:v>1.8746428231227714</c:v>
                </c:pt>
                <c:pt idx="42">
                  <c:v>1.8973665961010275</c:v>
                </c:pt>
                <c:pt idx="43">
                  <c:v>1.9198214202665531</c:v>
                </c:pt>
                <c:pt idx="44">
                  <c:v>1.9420166249104489</c:v>
                </c:pt>
                <c:pt idx="45">
                  <c:v>1.9639610121239313</c:v>
                </c:pt>
                <c:pt idx="46">
                  <c:v>1.9856628975878921</c:v>
                </c:pt>
                <c:pt idx="47">
                  <c:v>2.0071301473923975</c:v>
                </c:pt>
                <c:pt idx="48">
                  <c:v>2.0283702113484399</c:v>
                </c:pt>
                <c:pt idx="49">
                  <c:v>2.0493901531919199</c:v>
                </c:pt>
                <c:pt idx="50">
                  <c:v>2.0701966780270626</c:v>
                </c:pt>
                <c:pt idx="51">
                  <c:v>2.0907961573115088</c:v>
                </c:pt>
                <c:pt idx="52">
                  <c:v>2.1111946516469904</c:v>
                </c:pt>
                <c:pt idx="53">
                  <c:v>2.1313979316066587</c:v>
                </c:pt>
                <c:pt idx="54">
                  <c:v>2.1514114968019085</c:v>
                </c:pt>
                <c:pt idx="55">
                  <c:v>2.1712405933672376</c:v>
                </c:pt>
                <c:pt idx="56">
                  <c:v>2.1908902300206647</c:v>
                </c:pt>
                <c:pt idx="57">
                  <c:v>2.2103651928390216</c:v>
                </c:pt>
                <c:pt idx="58">
                  <c:v>2.2296700588716192</c:v>
                </c:pt>
                <c:pt idx="59">
                  <c:v>2.2488092087019869</c:v>
                </c:pt>
                <c:pt idx="60">
                  <c:v>2.2677868380553634</c:v>
                </c:pt>
                <c:pt idx="61">
                  <c:v>2.2866069685390684</c:v>
                </c:pt>
                <c:pt idx="62">
                  <c:v>2.3052734575936351</c:v>
                </c:pt>
                <c:pt idx="63">
                  <c:v>2.3237900077244502</c:v>
                </c:pt>
                <c:pt idx="64">
                  <c:v>2.3421601750764793</c:v>
                </c:pt>
                <c:pt idx="65">
                  <c:v>2.3603873774083297</c:v>
                </c:pt>
                <c:pt idx="66">
                  <c:v>2.3784749015162756</c:v>
                </c:pt>
                <c:pt idx="67">
                  <c:v>2.3964259101539405</c:v>
                </c:pt>
                <c:pt idx="68">
                  <c:v>2.4142434484888695</c:v>
                </c:pt>
                <c:pt idx="69">
                  <c:v>2.522759546688663</c:v>
                </c:pt>
                <c:pt idx="70">
                  <c:v>2.5593264830422506</c:v>
                </c:pt>
                <c:pt idx="71">
                  <c:v>2.5958935764112439</c:v>
                </c:pt>
                <c:pt idx="72">
                  <c:v>2.6324608271483685</c:v>
                </c:pt>
                <c:pt idx="73">
                  <c:v>2.6690282356063815</c:v>
                </c:pt>
                <c:pt idx="74">
                  <c:v>2.7055958021380673</c:v>
                </c:pt>
                <c:pt idx="75">
                  <c:v>2.7421635270962388</c:v>
                </c:pt>
                <c:pt idx="76">
                  <c:v>2.7787314108337391</c:v>
                </c:pt>
                <c:pt idx="77">
                  <c:v>2.815299453703441</c:v>
                </c:pt>
                <c:pt idx="78">
                  <c:v>2.8518676560582437</c:v>
                </c:pt>
                <c:pt idx="79">
                  <c:v>2.8884360182510771</c:v>
                </c:pt>
                <c:pt idx="80">
                  <c:v>2.9250045406349003</c:v>
                </c:pt>
                <c:pt idx="81">
                  <c:v>2.9615732235627017</c:v>
                </c:pt>
                <c:pt idx="82">
                  <c:v>2.9981420673874974</c:v>
                </c:pt>
                <c:pt idx="83">
                  <c:v>3.0347110724623341</c:v>
                </c:pt>
                <c:pt idx="84">
                  <c:v>3.0712802391402878</c:v>
                </c:pt>
                <c:pt idx="85">
                  <c:v>3.1078495677744611</c:v>
                </c:pt>
                <c:pt idx="86">
                  <c:v>3.1444190587179897</c:v>
                </c:pt>
                <c:pt idx="87">
                  <c:v>3.1809887123240346</c:v>
                </c:pt>
                <c:pt idx="88">
                  <c:v>3.217558528945788</c:v>
                </c:pt>
                <c:pt idx="89">
                  <c:v>3.2541285089364709</c:v>
                </c:pt>
                <c:pt idx="90">
                  <c:v>3.2906986526493345</c:v>
                </c:pt>
                <c:pt idx="91">
                  <c:v>3.3272689604376571</c:v>
                </c:pt>
                <c:pt idx="92">
                  <c:v>3.3638394326547489</c:v>
                </c:pt>
                <c:pt idx="93">
                  <c:v>3.4004100696539457</c:v>
                </c:pt>
                <c:pt idx="94">
                  <c:v>3.4369808717886157</c:v>
                </c:pt>
                <c:pt idx="95">
                  <c:v>3.4735518394121558</c:v>
                </c:pt>
                <c:pt idx="96">
                  <c:v>3.5101229728779924</c:v>
                </c:pt>
                <c:pt idx="97">
                  <c:v>3.5466942725395794</c:v>
                </c:pt>
                <c:pt idx="98">
                  <c:v>3.5832657387504021</c:v>
                </c:pt>
                <c:pt idx="99">
                  <c:v>3.6198373718639729</c:v>
                </c:pt>
                <c:pt idx="100">
                  <c:v>3.6564091722338357</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1.0141851056742199</c:v>
                </c:pt>
                <c:pt idx="13">
                  <c:v>1.0555973258234952</c:v>
                </c:pt>
                <c:pt idx="14">
                  <c:v>1.0954451150103324</c:v>
                </c:pt>
                <c:pt idx="15">
                  <c:v>1.1338934190276817</c:v>
                </c:pt>
                <c:pt idx="16">
                  <c:v>1.1710800875382397</c:v>
                </c:pt>
                <c:pt idx="17">
                  <c:v>1.2071217242444348</c:v>
                </c:pt>
                <c:pt idx="18">
                  <c:v>1.2421180068162376</c:v>
                </c:pt>
                <c:pt idx="19">
                  <c:v>1.2761549390929883</c:v>
                </c:pt>
                <c:pt idx="20">
                  <c:v>1.3093073414159542</c:v>
                </c:pt>
                <c:pt idx="21">
                  <c:v>1.3416407864998738</c:v>
                </c:pt>
                <c:pt idx="22">
                  <c:v>1.3732131246511903</c:v>
                </c:pt>
                <c:pt idx="23">
                  <c:v>1.4040757000349275</c:v>
                </c:pt>
                <c:pt idx="24">
                  <c:v>1.4342743312012725</c:v>
                </c:pt>
                <c:pt idx="25">
                  <c:v>1.4638501094227998</c:v>
                </c:pt>
                <c:pt idx="26">
                  <c:v>1.4928400545843576</c:v>
                </c:pt>
                <c:pt idx="27">
                  <c:v>1.5212776585113299</c:v>
                </c:pt>
                <c:pt idx="28">
                  <c:v>1.5491933384829668</c:v>
                </c:pt>
                <c:pt idx="29">
                  <c:v>1.5766148184367308</c:v>
                </c:pt>
                <c:pt idx="30">
                  <c:v>1.6035674514745462</c:v>
                </c:pt>
                <c:pt idx="31">
                  <c:v>1.6300744943538186</c:v>
                </c:pt>
                <c:pt idx="32">
                  <c:v>1.65615734242165</c:v>
                </c:pt>
                <c:pt idx="33">
                  <c:v>1.6818357317441643</c:v>
                </c:pt>
                <c:pt idx="34">
                  <c:v>1.7071279138616748</c:v>
                </c:pt>
                <c:pt idx="35">
                  <c:v>1.7320508075688772</c:v>
                </c:pt>
                <c:pt idx="36">
                  <c:v>1.7566201313073597</c:v>
                </c:pt>
                <c:pt idx="37">
                  <c:v>1.7808505191139909</c:v>
                </c:pt>
                <c:pt idx="38">
                  <c:v>1.804755622554715</c:v>
                </c:pt>
                <c:pt idx="39">
                  <c:v>1.8283482006601322</c:v>
                </c:pt>
                <c:pt idx="40">
                  <c:v>1.8516401995451028</c:v>
                </c:pt>
                <c:pt idx="41">
                  <c:v>1.8746428231227714</c:v>
                </c:pt>
                <c:pt idx="42">
                  <c:v>1.8973665961010275</c:v>
                </c:pt>
                <c:pt idx="43">
                  <c:v>1.9198214202665531</c:v>
                </c:pt>
                <c:pt idx="44">
                  <c:v>1.9420166249104489</c:v>
                </c:pt>
                <c:pt idx="45">
                  <c:v>1.9639610121239313</c:v>
                </c:pt>
                <c:pt idx="46">
                  <c:v>1.9856628975878921</c:v>
                </c:pt>
                <c:pt idx="47">
                  <c:v>2.0071301473923975</c:v>
                </c:pt>
                <c:pt idx="48">
                  <c:v>2.0283702113484399</c:v>
                </c:pt>
                <c:pt idx="49">
                  <c:v>2.0493901531919199</c:v>
                </c:pt>
                <c:pt idx="50">
                  <c:v>2.0701966780270626</c:v>
                </c:pt>
                <c:pt idx="51">
                  <c:v>2.0907961573115088</c:v>
                </c:pt>
                <c:pt idx="52">
                  <c:v>2.1111946516469904</c:v>
                </c:pt>
                <c:pt idx="53">
                  <c:v>2.1313979316066587</c:v>
                </c:pt>
                <c:pt idx="54">
                  <c:v>2.1514114968019085</c:v>
                </c:pt>
                <c:pt idx="55">
                  <c:v>2.1712405933672376</c:v>
                </c:pt>
                <c:pt idx="56">
                  <c:v>2.1908902300206647</c:v>
                </c:pt>
                <c:pt idx="57">
                  <c:v>2.2103651928390216</c:v>
                </c:pt>
                <c:pt idx="58">
                  <c:v>2.2296700588716192</c:v>
                </c:pt>
                <c:pt idx="59">
                  <c:v>2.2488092087019869</c:v>
                </c:pt>
                <c:pt idx="60">
                  <c:v>2.2677868380553634</c:v>
                </c:pt>
                <c:pt idx="61">
                  <c:v>2.2866069685390684</c:v>
                </c:pt>
                <c:pt idx="62">
                  <c:v>2.3052734575936351</c:v>
                </c:pt>
                <c:pt idx="63">
                  <c:v>2.3237900077244502</c:v>
                </c:pt>
                <c:pt idx="64">
                  <c:v>2.3421601750764793</c:v>
                </c:pt>
                <c:pt idx="65">
                  <c:v>2.3603873774083297</c:v>
                </c:pt>
                <c:pt idx="66">
                  <c:v>2.3784749015162756</c:v>
                </c:pt>
                <c:pt idx="67">
                  <c:v>2.3964259101539405</c:v>
                </c:pt>
                <c:pt idx="68">
                  <c:v>2.4142434484888695</c:v>
                </c:pt>
                <c:pt idx="69">
                  <c:v>2.4319304501333323</c:v>
                </c:pt>
                <c:pt idx="70">
                  <c:v>2.4494897427831779</c:v>
                </c:pt>
                <c:pt idx="71">
                  <c:v>2.4669240534954224</c:v>
                </c:pt>
                <c:pt idx="72">
                  <c:v>2.4842360136324753</c:v>
                </c:pt>
                <c:pt idx="73">
                  <c:v>2.5014281634983759</c:v>
                </c:pt>
                <c:pt idx="74">
                  <c:v>2.5185029566901727</c:v>
                </c:pt>
                <c:pt idx="75">
                  <c:v>2.5354627641855494</c:v>
                </c:pt>
                <c:pt idx="76">
                  <c:v>2.5523098781859765</c:v>
                </c:pt>
                <c:pt idx="77">
                  <c:v>2.5690465157330258</c:v>
                </c:pt>
                <c:pt idx="78">
                  <c:v>2.585674822114004</c:v>
                </c:pt>
                <c:pt idx="79">
                  <c:v>2.6021968740717085</c:v>
                </c:pt>
                <c:pt idx="80">
                  <c:v>2.6186146828319083</c:v>
                </c:pt>
                <c:pt idx="81">
                  <c:v>2.6349301969610397</c:v>
                </c:pt>
                <c:pt idx="82">
                  <c:v>2.6511453050656102</c:v>
                </c:pt>
                <c:pt idx="83">
                  <c:v>2.6672618383439062</c:v>
                </c:pt>
                <c:pt idx="84">
                  <c:v>2.6832815729997477</c:v>
                </c:pt>
                <c:pt idx="85">
                  <c:v>2.6992062325273118</c:v>
                </c:pt>
                <c:pt idx="86">
                  <c:v>2.7150374898753369</c:v>
                </c:pt>
                <c:pt idx="87">
                  <c:v>2.7307769694983985</c:v>
                </c:pt>
                <c:pt idx="88">
                  <c:v>2.7464262493023806</c:v>
                </c:pt>
                <c:pt idx="89">
                  <c:v>2.7619868624907373</c:v>
                </c:pt>
                <c:pt idx="90">
                  <c:v>2.7774602993176543</c:v>
                </c:pt>
                <c:pt idx="91">
                  <c:v>2.7928480087537881</c:v>
                </c:pt>
                <c:pt idx="92">
                  <c:v>2.8081514000698551</c:v>
                </c:pt>
                <c:pt idx="93">
                  <c:v>2.8233718443429607</c:v>
                </c:pt>
                <c:pt idx="94">
                  <c:v>2.8385106758902379</c:v>
                </c:pt>
                <c:pt idx="95">
                  <c:v>2.8535691936340255</c:v>
                </c:pt>
                <c:pt idx="96">
                  <c:v>2.8685486624025449</c:v>
                </c:pt>
                <c:pt idx="97">
                  <c:v>2.8834503141697647</c:v>
                </c:pt>
                <c:pt idx="98">
                  <c:v>2.8982753492378879</c:v>
                </c:pt>
                <c:pt idx="99">
                  <c:v>2.9130249373656736</c:v>
                </c:pt>
                <c:pt idx="100">
                  <c:v>2.9277002188455996</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1.0159189187227498</c:v>
                </c:pt>
                <c:pt idx="2">
                  <c:v>1.047756756168249</c:v>
                </c:pt>
                <c:pt idx="3">
                  <c:v>1.047756756168249</c:v>
                </c:pt>
                <c:pt idx="4">
                  <c:v>1.0636756748909988</c:v>
                </c:pt>
                <c:pt idx="5">
                  <c:v>1.0795945936137485</c:v>
                </c:pt>
                <c:pt idx="6">
                  <c:v>1.0955135123364981</c:v>
                </c:pt>
                <c:pt idx="7">
                  <c:v>1.1114324310592478</c:v>
                </c:pt>
                <c:pt idx="8">
                  <c:v>1.1273513497819976</c:v>
                </c:pt>
                <c:pt idx="9">
                  <c:v>1.1432702685047473</c:v>
                </c:pt>
                <c:pt idx="10">
                  <c:v>1.1591891872274971</c:v>
                </c:pt>
                <c:pt idx="11">
                  <c:v>1.1751081059502466</c:v>
                </c:pt>
                <c:pt idx="12">
                  <c:v>1.1910270246729964</c:v>
                </c:pt>
                <c:pt idx="13">
                  <c:v>1.2411832043137001</c:v>
                </c:pt>
                <c:pt idx="14">
                  <c:v>1.2707000851928387</c:v>
                </c:pt>
                <c:pt idx="15">
                  <c:v>1.2991803103908752</c:v>
                </c:pt>
                <c:pt idx="16">
                  <c:v>1.3267259907690663</c:v>
                </c:pt>
                <c:pt idx="17">
                  <c:v>1.353423499440322</c:v>
                </c:pt>
                <c:pt idx="18">
                  <c:v>1.3793466717157314</c:v>
                </c:pt>
                <c:pt idx="19">
                  <c:v>1.4045592141429544</c:v>
                </c:pt>
                <c:pt idx="20">
                  <c:v>1.429116549197003</c:v>
                </c:pt>
                <c:pt idx="21">
                  <c:v>1.4530672492591656</c:v>
                </c:pt>
                <c:pt idx="22">
                  <c:v>1.4764541664082891</c:v>
                </c:pt>
                <c:pt idx="23">
                  <c:v>1.4993153333592055</c:v>
                </c:pt>
                <c:pt idx="24">
                  <c:v>1.5216846897787204</c:v>
                </c:pt>
                <c:pt idx="25">
                  <c:v>1.5435926736465184</c:v>
                </c:pt>
                <c:pt idx="26">
                  <c:v>1.5650667070995241</c:v>
                </c:pt>
                <c:pt idx="27">
                  <c:v>1.5861315988972813</c:v>
                </c:pt>
                <c:pt idx="28">
                  <c:v>1.6068098803577531</c:v>
                </c:pt>
                <c:pt idx="29">
                  <c:v>1.6271220877309116</c:v>
                </c:pt>
                <c:pt idx="30">
                  <c:v>1.6470870010922565</c:v>
                </c:pt>
                <c:pt idx="31">
                  <c:v>1.6667218476694952</c:v>
                </c:pt>
                <c:pt idx="32">
                  <c:v>1.6860424758678889</c:v>
                </c:pt>
                <c:pt idx="33">
                  <c:v>1.7050635049956773</c:v>
                </c:pt>
                <c:pt idx="34">
                  <c:v>1.7237984547123517</c:v>
                </c:pt>
                <c:pt idx="35">
                  <c:v>1.7422598574584276</c:v>
                </c:pt>
                <c:pt idx="36">
                  <c:v>1.7604593565239701</c:v>
                </c:pt>
                <c:pt idx="37">
                  <c:v>1.7784077919362895</c:v>
                </c:pt>
                <c:pt idx="38">
                  <c:v>1.7961152759664554</c:v>
                </c:pt>
                <c:pt idx="39">
                  <c:v>1.813591259748246</c:v>
                </c:pt>
                <c:pt idx="40">
                  <c:v>1.8308445922556316</c:v>
                </c:pt>
                <c:pt idx="41">
                  <c:v>1.8478835726835343</c:v>
                </c:pt>
                <c:pt idx="42">
                  <c:v>1.8647159971118721</c:v>
                </c:pt>
                <c:pt idx="43">
                  <c:v>1.8813492001974468</c:v>
                </c:pt>
                <c:pt idx="44">
                  <c:v>1.8977900925262583</c:v>
                </c:pt>
                <c:pt idx="45">
                  <c:v>1.9140451941658749</c:v>
                </c:pt>
                <c:pt idx="46">
                  <c:v>1.9301206648799201</c:v>
                </c:pt>
                <c:pt idx="47">
                  <c:v>1.9460223314017759</c:v>
                </c:pt>
                <c:pt idx="48">
                  <c:v>1.9617557121099554</c:v>
                </c:pt>
                <c:pt idx="49">
                  <c:v>1.977326039401422</c:v>
                </c:pt>
                <c:pt idx="50">
                  <c:v>1.960492469566238</c:v>
                </c:pt>
                <c:pt idx="51">
                  <c:v>1.9905281671627495</c:v>
                </c:pt>
                <c:pt idx="52">
                  <c:v>2.0205670604845087</c:v>
                </c:pt>
                <c:pt idx="53">
                  <c:v>2.050614878338163</c:v>
                </c:pt>
                <c:pt idx="54">
                  <c:v>2.080663561077182</c:v>
                </c:pt>
                <c:pt idx="55">
                  <c:v>2.1107131092304519</c:v>
                </c:pt>
                <c:pt idx="56">
                  <c:v>2.1407635233269611</c:v>
                </c:pt>
                <c:pt idx="57">
                  <c:v>2.1708148038957944</c:v>
                </c:pt>
                <c:pt idx="58">
                  <c:v>2.2008669514661388</c:v>
                </c:pt>
                <c:pt idx="59">
                  <c:v>2.2309199665672779</c:v>
                </c:pt>
                <c:pt idx="60">
                  <c:v>2.2609738497285967</c:v>
                </c:pt>
                <c:pt idx="61">
                  <c:v>2.291028601479578</c:v>
                </c:pt>
                <c:pt idx="62">
                  <c:v>2.3210842223498052</c:v>
                </c:pt>
                <c:pt idx="63">
                  <c:v>2.3511407128689594</c:v>
                </c:pt>
                <c:pt idx="64">
                  <c:v>2.381198073566825</c:v>
                </c:pt>
                <c:pt idx="65">
                  <c:v>2.411256304973282</c:v>
                </c:pt>
                <c:pt idx="66">
                  <c:v>2.4413154076183119</c:v>
                </c:pt>
                <c:pt idx="67">
                  <c:v>2.4713753820319955</c:v>
                </c:pt>
                <c:pt idx="68">
                  <c:v>2.5014362287445131</c:v>
                </c:pt>
                <c:pt idx="69">
                  <c:v>2.5314979482861455</c:v>
                </c:pt>
                <c:pt idx="70">
                  <c:v>2.5615605411872728</c:v>
                </c:pt>
                <c:pt idx="71">
                  <c:v>2.5916240079783748</c:v>
                </c:pt>
                <c:pt idx="72">
                  <c:v>2.6216883491900314</c:v>
                </c:pt>
                <c:pt idx="73">
                  <c:v>2.6517535653529229</c:v>
                </c:pt>
                <c:pt idx="74">
                  <c:v>2.6818196569978268</c:v>
                </c:pt>
                <c:pt idx="75">
                  <c:v>2.7118866246556252</c:v>
                </c:pt>
                <c:pt idx="76">
                  <c:v>2.7419544688572977</c:v>
                </c:pt>
                <c:pt idx="77">
                  <c:v>2.7720231901339227</c:v>
                </c:pt>
                <c:pt idx="78">
                  <c:v>2.8020927890166822</c:v>
                </c:pt>
                <c:pt idx="79">
                  <c:v>2.8321632660368534</c:v>
                </c:pt>
                <c:pt idx="80">
                  <c:v>2.8622346217258201</c:v>
                </c:pt>
                <c:pt idx="81">
                  <c:v>2.8923068566150603</c:v>
                </c:pt>
                <c:pt idx="82">
                  <c:v>2.9223799712361562</c:v>
                </c:pt>
                <c:pt idx="83">
                  <c:v>2.9524539661207894</c:v>
                </c:pt>
                <c:pt idx="84">
                  <c:v>2.9825288418007418</c:v>
                </c:pt>
                <c:pt idx="85">
                  <c:v>3.0126045988078944</c:v>
                </c:pt>
                <c:pt idx="86">
                  <c:v>3.0426812376742314</c:v>
                </c:pt>
                <c:pt idx="87">
                  <c:v>3.072758758931835</c:v>
                </c:pt>
                <c:pt idx="88">
                  <c:v>3.1028371631128882</c:v>
                </c:pt>
                <c:pt idx="89">
                  <c:v>3.1329164507496774</c:v>
                </c:pt>
                <c:pt idx="90">
                  <c:v>3.1629966223745862</c:v>
                </c:pt>
                <c:pt idx="91">
                  <c:v>3.1930776785201012</c:v>
                </c:pt>
                <c:pt idx="92">
                  <c:v>3.2231596197188086</c:v>
                </c:pt>
                <c:pt idx="93">
                  <c:v>3.2532424465033962</c:v>
                </c:pt>
                <c:pt idx="94">
                  <c:v>3.2833261594066503</c:v>
                </c:pt>
                <c:pt idx="95">
                  <c:v>3.3134107589614619</c:v>
                </c:pt>
                <c:pt idx="96">
                  <c:v>3.3434962457008215</c:v>
                </c:pt>
                <c:pt idx="97">
                  <c:v>3.3735826201578174</c:v>
                </c:pt>
                <c:pt idx="98">
                  <c:v>3.4036698828656444</c:v>
                </c:pt>
                <c:pt idx="99">
                  <c:v>3.4337580343575933</c:v>
                </c:pt>
                <c:pt idx="100">
                  <c:v>3.4638470751670578</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1.0159189187227498</c:v>
                </c:pt>
                <c:pt idx="2">
                  <c:v>1.0318378374454995</c:v>
                </c:pt>
                <c:pt idx="3">
                  <c:v>1.047756756168249</c:v>
                </c:pt>
                <c:pt idx="4">
                  <c:v>1.0636756748909988</c:v>
                </c:pt>
                <c:pt idx="5">
                  <c:v>1.0795945936137485</c:v>
                </c:pt>
                <c:pt idx="6">
                  <c:v>1.0955135123364981</c:v>
                </c:pt>
                <c:pt idx="7">
                  <c:v>1.1114324310592478</c:v>
                </c:pt>
                <c:pt idx="8">
                  <c:v>1.1273513497819976</c:v>
                </c:pt>
                <c:pt idx="9">
                  <c:v>1.1432702685047473</c:v>
                </c:pt>
                <c:pt idx="10">
                  <c:v>1.1591891872274971</c:v>
                </c:pt>
                <c:pt idx="11">
                  <c:v>1.1751081059502466</c:v>
                </c:pt>
                <c:pt idx="12">
                  <c:v>1.1910270246729964</c:v>
                </c:pt>
                <c:pt idx="13">
                  <c:v>1.2411832043137001</c:v>
                </c:pt>
                <c:pt idx="14">
                  <c:v>1.2707000851928387</c:v>
                </c:pt>
                <c:pt idx="15">
                  <c:v>1.2991803103908752</c:v>
                </c:pt>
                <c:pt idx="16">
                  <c:v>1.3267259907690663</c:v>
                </c:pt>
                <c:pt idx="17">
                  <c:v>1.353423499440322</c:v>
                </c:pt>
                <c:pt idx="18">
                  <c:v>1.3793466717157314</c:v>
                </c:pt>
                <c:pt idx="19">
                  <c:v>1.4045592141429544</c:v>
                </c:pt>
                <c:pt idx="20">
                  <c:v>1.429116549197003</c:v>
                </c:pt>
                <c:pt idx="21">
                  <c:v>1.4530672492591656</c:v>
                </c:pt>
                <c:pt idx="22">
                  <c:v>1.4764541664082891</c:v>
                </c:pt>
                <c:pt idx="23">
                  <c:v>1.4993153333592055</c:v>
                </c:pt>
                <c:pt idx="24">
                  <c:v>1.5216846897787204</c:v>
                </c:pt>
                <c:pt idx="25">
                  <c:v>1.5435926736465184</c:v>
                </c:pt>
                <c:pt idx="26">
                  <c:v>1.5650667070995241</c:v>
                </c:pt>
                <c:pt idx="27">
                  <c:v>1.5861315988972813</c:v>
                </c:pt>
                <c:pt idx="28">
                  <c:v>1.6068098803577531</c:v>
                </c:pt>
                <c:pt idx="29">
                  <c:v>1.6271220877309116</c:v>
                </c:pt>
                <c:pt idx="30">
                  <c:v>1.6470870010922565</c:v>
                </c:pt>
                <c:pt idx="31">
                  <c:v>1.6667218476694952</c:v>
                </c:pt>
                <c:pt idx="32">
                  <c:v>1.6860424758678889</c:v>
                </c:pt>
                <c:pt idx="33">
                  <c:v>1.7050635049956773</c:v>
                </c:pt>
                <c:pt idx="34">
                  <c:v>1.7237984547123517</c:v>
                </c:pt>
                <c:pt idx="35">
                  <c:v>1.7422598574584276</c:v>
                </c:pt>
                <c:pt idx="36">
                  <c:v>1.7604593565239701</c:v>
                </c:pt>
                <c:pt idx="37">
                  <c:v>1.7784077919362895</c:v>
                </c:pt>
                <c:pt idx="38">
                  <c:v>1.7961152759664554</c:v>
                </c:pt>
                <c:pt idx="39">
                  <c:v>1.813591259748246</c:v>
                </c:pt>
                <c:pt idx="40">
                  <c:v>1.8308445922556316</c:v>
                </c:pt>
                <c:pt idx="41">
                  <c:v>1.8478835726835343</c:v>
                </c:pt>
                <c:pt idx="42">
                  <c:v>1.8647159971118721</c:v>
                </c:pt>
                <c:pt idx="43">
                  <c:v>1.8813492001974468</c:v>
                </c:pt>
                <c:pt idx="44">
                  <c:v>1.8977900925262583</c:v>
                </c:pt>
                <c:pt idx="45">
                  <c:v>1.9140451941658749</c:v>
                </c:pt>
                <c:pt idx="46">
                  <c:v>1.9301206648799201</c:v>
                </c:pt>
                <c:pt idx="47">
                  <c:v>1.9460223314017759</c:v>
                </c:pt>
                <c:pt idx="48">
                  <c:v>1.9617557121099554</c:v>
                </c:pt>
                <c:pt idx="49">
                  <c:v>1.977326039401422</c:v>
                </c:pt>
                <c:pt idx="50">
                  <c:v>1.9927382800200464</c:v>
                </c:pt>
                <c:pt idx="51">
                  <c:v>2.0079971535640806</c:v>
                </c:pt>
                <c:pt idx="52">
                  <c:v>2.023107149368141</c:v>
                </c:pt>
                <c:pt idx="53">
                  <c:v>2.0380725419308581</c:v>
                </c:pt>
                <c:pt idx="54">
                  <c:v>2.0528974050384505</c:v>
                </c:pt>
                <c:pt idx="55">
                  <c:v>2.0675856247164721</c:v>
                </c:pt>
                <c:pt idx="56">
                  <c:v>2.0821409111264182</c:v>
                </c:pt>
                <c:pt idx="57">
                  <c:v>2.0965668095103864</c:v>
                </c:pt>
                <c:pt idx="58">
                  <c:v>2.1108667102752734</c:v>
                </c:pt>
                <c:pt idx="59">
                  <c:v>2.1250438582977678</c:v>
                </c:pt>
                <c:pt idx="60">
                  <c:v>2.1391013615224912</c:v>
                </c:pt>
                <c:pt idx="61">
                  <c:v>2.1530421989178286</c:v>
                </c:pt>
                <c:pt idx="62">
                  <c:v>2.1668692278471369</c:v>
                </c:pt>
                <c:pt idx="63">
                  <c:v>2.1805851909070002</c:v>
                </c:pt>
                <c:pt idx="64">
                  <c:v>2.1941927222788733</c:v>
                </c:pt>
                <c:pt idx="65">
                  <c:v>2.2076943536357998</c:v>
                </c:pt>
                <c:pt idx="66">
                  <c:v>2.2210925196416857</c:v>
                </c:pt>
                <c:pt idx="67">
                  <c:v>2.2343895630769928</c:v>
                </c:pt>
                <c:pt idx="68">
                  <c:v>2.2475877396213848</c:v>
                </c:pt>
                <c:pt idx="69">
                  <c:v>2.3279700345841947</c:v>
                </c:pt>
                <c:pt idx="70">
                  <c:v>2.355056654105371</c:v>
                </c:pt>
                <c:pt idx="71">
                  <c:v>2.3821433899342548</c:v>
                </c:pt>
                <c:pt idx="72">
                  <c:v>2.409230242332125</c:v>
                </c:pt>
                <c:pt idx="73">
                  <c:v>2.4363172115602829</c:v>
                </c:pt>
                <c:pt idx="74">
                  <c:v>2.4634042978800501</c:v>
                </c:pt>
                <c:pt idx="75">
                  <c:v>2.4904915015527695</c:v>
                </c:pt>
                <c:pt idx="76">
                  <c:v>2.5175788228398064</c:v>
                </c:pt>
                <c:pt idx="77">
                  <c:v>2.5446662620025489</c:v>
                </c:pt>
                <c:pt idx="78">
                  <c:v>2.571753819302403</c:v>
                </c:pt>
                <c:pt idx="79">
                  <c:v>2.5988414950007979</c:v>
                </c:pt>
                <c:pt idx="80">
                  <c:v>2.6259292893591857</c:v>
                </c:pt>
                <c:pt idx="81">
                  <c:v>2.6530172026390382</c:v>
                </c:pt>
                <c:pt idx="82">
                  <c:v>2.6801052351018502</c:v>
                </c:pt>
                <c:pt idx="83">
                  <c:v>2.707193387009136</c:v>
                </c:pt>
                <c:pt idx="84">
                  <c:v>2.7342816586224354</c:v>
                </c:pt>
                <c:pt idx="85">
                  <c:v>2.7613700502033045</c:v>
                </c:pt>
                <c:pt idx="86">
                  <c:v>2.788458562013326</c:v>
                </c:pt>
                <c:pt idx="87">
                  <c:v>2.8155471943140995</c:v>
                </c:pt>
                <c:pt idx="88">
                  <c:v>2.84263594736725</c:v>
                </c:pt>
                <c:pt idx="89">
                  <c:v>2.8697248214344229</c:v>
                </c:pt>
                <c:pt idx="90">
                  <c:v>2.8968138167772848</c:v>
                </c:pt>
                <c:pt idx="91">
                  <c:v>2.9239029336575237</c:v>
                </c:pt>
                <c:pt idx="92">
                  <c:v>2.9509921723368508</c:v>
                </c:pt>
                <c:pt idx="93">
                  <c:v>2.9780815330769972</c:v>
                </c:pt>
                <c:pt idx="94">
                  <c:v>3.0051710161397152</c:v>
                </c:pt>
                <c:pt idx="95">
                  <c:v>3.032260621786782</c:v>
                </c:pt>
                <c:pt idx="96">
                  <c:v>3.0593503502799941</c:v>
                </c:pt>
                <c:pt idx="97">
                  <c:v>3.0864402018811701</c:v>
                </c:pt>
                <c:pt idx="98">
                  <c:v>3.1135301768521497</c:v>
                </c:pt>
                <c:pt idx="99">
                  <c:v>3.1406202754547943</c:v>
                </c:pt>
                <c:pt idx="100">
                  <c:v>3.1677104979509894</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1.0159187450128828</c:v>
                </c:pt>
                <c:pt idx="2">
                  <c:v>1.0318374900257656</c:v>
                </c:pt>
                <c:pt idx="3">
                  <c:v>1.0477562350386485</c:v>
                </c:pt>
                <c:pt idx="4">
                  <c:v>1.0636749800515313</c:v>
                </c:pt>
                <c:pt idx="5">
                  <c:v>1.0795937250644141</c:v>
                </c:pt>
                <c:pt idx="6">
                  <c:v>1.0955124700772969</c:v>
                </c:pt>
                <c:pt idx="7">
                  <c:v>1.1114312150901797</c:v>
                </c:pt>
                <c:pt idx="8">
                  <c:v>1.1273499601030625</c:v>
                </c:pt>
                <c:pt idx="9">
                  <c:v>1.1432687051159456</c:v>
                </c:pt>
                <c:pt idx="10">
                  <c:v>1.1591874501288284</c:v>
                </c:pt>
                <c:pt idx="11">
                  <c:v>1.1751061951417112</c:v>
                </c:pt>
                <c:pt idx="12">
                  <c:v>1.191024940154594</c:v>
                </c:pt>
                <c:pt idx="13">
                  <c:v>1.2411832043137001</c:v>
                </c:pt>
                <c:pt idx="14">
                  <c:v>1.2707000851928387</c:v>
                </c:pt>
                <c:pt idx="15">
                  <c:v>1.2991803103908752</c:v>
                </c:pt>
                <c:pt idx="16">
                  <c:v>1.3267259907690663</c:v>
                </c:pt>
                <c:pt idx="17">
                  <c:v>1.353423499440322</c:v>
                </c:pt>
                <c:pt idx="18">
                  <c:v>1.3793466717157314</c:v>
                </c:pt>
                <c:pt idx="19">
                  <c:v>1.4045592141429544</c:v>
                </c:pt>
                <c:pt idx="20">
                  <c:v>1.429116549197003</c:v>
                </c:pt>
                <c:pt idx="21">
                  <c:v>1.4530672492591656</c:v>
                </c:pt>
                <c:pt idx="22">
                  <c:v>1.4764541664082891</c:v>
                </c:pt>
                <c:pt idx="23">
                  <c:v>1.4993153333592055</c:v>
                </c:pt>
                <c:pt idx="24">
                  <c:v>1.5216846897787204</c:v>
                </c:pt>
                <c:pt idx="25">
                  <c:v>1.5435926736465184</c:v>
                </c:pt>
                <c:pt idx="26">
                  <c:v>1.5650667070995241</c:v>
                </c:pt>
                <c:pt idx="27">
                  <c:v>1.5861315988972813</c:v>
                </c:pt>
                <c:pt idx="28">
                  <c:v>1.6068098803577531</c:v>
                </c:pt>
                <c:pt idx="29">
                  <c:v>1.6271220877309116</c:v>
                </c:pt>
                <c:pt idx="30">
                  <c:v>1.6470870010922565</c:v>
                </c:pt>
                <c:pt idx="31">
                  <c:v>1.6667218476694952</c:v>
                </c:pt>
                <c:pt idx="32">
                  <c:v>1.6860424758678889</c:v>
                </c:pt>
                <c:pt idx="33">
                  <c:v>1.7050635049956773</c:v>
                </c:pt>
                <c:pt idx="34">
                  <c:v>1.7237984547123517</c:v>
                </c:pt>
                <c:pt idx="35">
                  <c:v>1.7422598574584276</c:v>
                </c:pt>
                <c:pt idx="36">
                  <c:v>1.7604593565239701</c:v>
                </c:pt>
                <c:pt idx="37">
                  <c:v>1.7784077919362895</c:v>
                </c:pt>
                <c:pt idx="38">
                  <c:v>1.7961152759664554</c:v>
                </c:pt>
                <c:pt idx="39">
                  <c:v>1.813591259748246</c:v>
                </c:pt>
                <c:pt idx="40">
                  <c:v>1.8308445922556316</c:v>
                </c:pt>
                <c:pt idx="41">
                  <c:v>1.8478835726835343</c:v>
                </c:pt>
                <c:pt idx="42">
                  <c:v>1.8647159971118721</c:v>
                </c:pt>
                <c:pt idx="43">
                  <c:v>1.8813492001974468</c:v>
                </c:pt>
                <c:pt idx="44">
                  <c:v>1.8977900925262583</c:v>
                </c:pt>
                <c:pt idx="45">
                  <c:v>1.9140451941658749</c:v>
                </c:pt>
                <c:pt idx="46">
                  <c:v>1.9301206648799201</c:v>
                </c:pt>
                <c:pt idx="47">
                  <c:v>1.9460223314017759</c:v>
                </c:pt>
                <c:pt idx="48">
                  <c:v>1.9617557121099554</c:v>
                </c:pt>
                <c:pt idx="49">
                  <c:v>1.977326039401422</c:v>
                </c:pt>
                <c:pt idx="50">
                  <c:v>1.9927382800200464</c:v>
                </c:pt>
                <c:pt idx="51">
                  <c:v>2.0079971535640806</c:v>
                </c:pt>
                <c:pt idx="52">
                  <c:v>2.023107149368141</c:v>
                </c:pt>
                <c:pt idx="53">
                  <c:v>2.0380725419308581</c:v>
                </c:pt>
                <c:pt idx="54">
                  <c:v>2.0528974050384505</c:v>
                </c:pt>
                <c:pt idx="55">
                  <c:v>2.0675856247164721</c:v>
                </c:pt>
                <c:pt idx="56">
                  <c:v>2.0821409111264182</c:v>
                </c:pt>
                <c:pt idx="57">
                  <c:v>2.0965668095103864</c:v>
                </c:pt>
                <c:pt idx="58">
                  <c:v>2.1108667102752734</c:v>
                </c:pt>
                <c:pt idx="59">
                  <c:v>2.1250438582977678</c:v>
                </c:pt>
                <c:pt idx="60">
                  <c:v>2.1391013615224912</c:v>
                </c:pt>
                <c:pt idx="61">
                  <c:v>2.1530421989178286</c:v>
                </c:pt>
                <c:pt idx="62">
                  <c:v>2.1668692278471369</c:v>
                </c:pt>
                <c:pt idx="63">
                  <c:v>2.1805851909070002</c:v>
                </c:pt>
                <c:pt idx="64">
                  <c:v>2.1941927222788733</c:v>
                </c:pt>
                <c:pt idx="65">
                  <c:v>2.2076943536357998</c:v>
                </c:pt>
                <c:pt idx="66">
                  <c:v>2.2210925196416857</c:v>
                </c:pt>
                <c:pt idx="67">
                  <c:v>2.2343895630769928</c:v>
                </c:pt>
                <c:pt idx="68">
                  <c:v>2.2475877396213848</c:v>
                </c:pt>
                <c:pt idx="69">
                  <c:v>2.2606892223209867</c:v>
                </c:pt>
                <c:pt idx="70">
                  <c:v>2.2736961057653167</c:v>
                </c:pt>
                <c:pt idx="71">
                  <c:v>2.2866104099966091</c:v>
                </c:pt>
                <c:pt idx="72">
                  <c:v>2.2994340841722041</c:v>
                </c:pt>
                <c:pt idx="73">
                  <c:v>2.3121690099987968</c:v>
                </c:pt>
                <c:pt idx="74">
                  <c:v>2.3248170049556833</c:v>
                </c:pt>
                <c:pt idx="75">
                  <c:v>2.3373798253226292</c:v>
                </c:pt>
                <c:pt idx="76">
                  <c:v>2.349859169026649</c:v>
                </c:pt>
                <c:pt idx="77">
                  <c:v>2.3622566783207599</c:v>
                </c:pt>
                <c:pt idx="78">
                  <c:v>2.3745739423066694</c:v>
                </c:pt>
                <c:pt idx="79">
                  <c:v>2.3868124993123767</c:v>
                </c:pt>
                <c:pt idx="80">
                  <c:v>2.3989738391347468</c:v>
                </c:pt>
                <c:pt idx="81">
                  <c:v>2.4110594051563257</c:v>
                </c:pt>
                <c:pt idx="82">
                  <c:v>2.4230705963448962</c:v>
                </c:pt>
                <c:pt idx="83">
                  <c:v>2.435008769143634</c:v>
                </c:pt>
                <c:pt idx="84">
                  <c:v>2.4468752392590725</c:v>
                </c:pt>
                <c:pt idx="85">
                  <c:v>2.4586712833535644</c:v>
                </c:pt>
                <c:pt idx="86">
                  <c:v>2.4703981406483977</c:v>
                </c:pt>
                <c:pt idx="87">
                  <c:v>2.4820570144432583</c:v>
                </c:pt>
                <c:pt idx="88">
                  <c:v>2.4936490735573189</c:v>
                </c:pt>
                <c:pt idx="89">
                  <c:v>2.5051754536968422</c:v>
                </c:pt>
                <c:pt idx="90">
                  <c:v>2.5166372587538177</c:v>
                </c:pt>
                <c:pt idx="91">
                  <c:v>2.5280355620398431</c:v>
                </c:pt>
                <c:pt idx="92">
                  <c:v>2.5393714074591518</c:v>
                </c:pt>
                <c:pt idx="93">
                  <c:v>2.5506458106244154</c:v>
                </c:pt>
                <c:pt idx="94">
                  <c:v>2.5618597599186947</c:v>
                </c:pt>
                <c:pt idx="95">
                  <c:v>2.5730142175066852</c:v>
                </c:pt>
                <c:pt idx="96">
                  <c:v>2.5841101202981811</c:v>
                </c:pt>
                <c:pt idx="97">
                  <c:v>2.5951483808664921</c:v>
                </c:pt>
                <c:pt idx="98">
                  <c:v>2.6061298883243613</c:v>
                </c:pt>
                <c:pt idx="99">
                  <c:v>2.6170555091597585</c:v>
                </c:pt>
                <c:pt idx="100">
                  <c:v>2.6279260880337771</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8.5020718447975004E-5</c:v>
                </c:pt>
                <c:pt idx="1">
                  <c:v>73.859127258502994</c:v>
                </c:pt>
                <c:pt idx="2">
                  <c:v>75.688914450241683</c:v>
                </c:pt>
                <c:pt idx="3">
                  <c:v>76.202509091569752</c:v>
                </c:pt>
                <c:pt idx="4">
                  <c:v>76.354073175995964</c:v>
                </c:pt>
                <c:pt idx="5">
                  <c:v>76.345617108165314</c:v>
                </c:pt>
                <c:pt idx="6">
                  <c:v>76.247321072918368</c:v>
                </c:pt>
                <c:pt idx="7">
                  <c:v>76.090611444346024</c:v>
                </c:pt>
                <c:pt idx="8">
                  <c:v>75.892030689915501</c:v>
                </c:pt>
                <c:pt idx="9">
                  <c:v>75.661346984401519</c:v>
                </c:pt>
                <c:pt idx="10">
                  <c:v>75.404853469833711</c:v>
                </c:pt>
                <c:pt idx="11">
                  <c:v>75.126892976632291</c:v>
                </c:pt>
                <c:pt idx="12">
                  <c:v>74.632550105438881</c:v>
                </c:pt>
                <c:pt idx="13">
                  <c:v>74.430459746410534</c:v>
                </c:pt>
                <c:pt idx="14">
                  <c:v>75.095144011320244</c:v>
                </c:pt>
                <c:pt idx="15">
                  <c:v>75.683488039046821</c:v>
                </c:pt>
                <c:pt idx="16">
                  <c:v>76.20789777033238</c:v>
                </c:pt>
                <c:pt idx="17">
                  <c:v>76.678204670821486</c:v>
                </c:pt>
                <c:pt idx="18">
                  <c:v>77.102304974659816</c:v>
                </c:pt>
                <c:pt idx="19">
                  <c:v>77.486616596590125</c:v>
                </c:pt>
                <c:pt idx="20">
                  <c:v>77.836411836014747</c:v>
                </c:pt>
                <c:pt idx="21">
                  <c:v>78.156063689757417</c:v>
                </c:pt>
                <c:pt idx="22">
                  <c:v>78.449230946775756</c:v>
                </c:pt>
                <c:pt idx="23">
                  <c:v>78.71899916880993</c:v>
                </c:pt>
                <c:pt idx="24">
                  <c:v>78.967989395280767</c:v>
                </c:pt>
                <c:pt idx="25">
                  <c:v>79.198442904859917</c:v>
                </c:pt>
                <c:pt idx="26">
                  <c:v>79.412287988916134</c:v>
                </c:pt>
                <c:pt idx="27">
                  <c:v>79.61119305305921</c:v>
                </c:pt>
                <c:pt idx="28">
                  <c:v>79.796609215615604</c:v>
                </c:pt>
                <c:pt idx="29">
                  <c:v>79.969804757268832</c:v>
                </c:pt>
                <c:pt idx="30">
                  <c:v>80.131893190211045</c:v>
                </c:pt>
                <c:pt idx="31">
                  <c:v>80.283856288677612</c:v>
                </c:pt>
                <c:pt idx="32">
                  <c:v>80.42656310881317</c:v>
                </c:pt>
                <c:pt idx="33">
                  <c:v>80.56078579233278</c:v>
                </c:pt>
                <c:pt idx="34">
                  <c:v>80.687212773088675</c:v>
                </c:pt>
                <c:pt idx="35">
                  <c:v>80.80645987275966</c:v>
                </c:pt>
                <c:pt idx="36">
                  <c:v>80.91907967030177</c:v>
                </c:pt>
                <c:pt idx="37">
                  <c:v>81.025569451534636</c:v>
                </c:pt>
                <c:pt idx="38">
                  <c:v>81.126377984479419</c:v>
                </c:pt>
                <c:pt idx="39">
                  <c:v>81.221911318559506</c:v>
                </c:pt>
                <c:pt idx="40">
                  <c:v>81.312537768383592</c:v>
                </c:pt>
                <c:pt idx="41">
                  <c:v>81.398592213210236</c:v>
                </c:pt>
                <c:pt idx="42">
                  <c:v>81.480379819588109</c:v>
                </c:pt>
                <c:pt idx="43">
                  <c:v>81.558179275746312</c:v>
                </c:pt>
                <c:pt idx="44">
                  <c:v>81.632245611061961</c:v>
                </c:pt>
                <c:pt idx="45">
                  <c:v>81.702812661582101</c:v>
                </c:pt>
                <c:pt idx="46">
                  <c:v>81.77009523252147</c:v>
                </c:pt>
                <c:pt idx="47">
                  <c:v>81.8342910004353</c:v>
                </c:pt>
                <c:pt idx="48">
                  <c:v>81.895582191009865</c:v>
                </c:pt>
                <c:pt idx="49">
                  <c:v>81.954137062838271</c:v>
                </c:pt>
                <c:pt idx="50">
                  <c:v>82.010111222931641</c:v>
                </c:pt>
                <c:pt idx="51">
                  <c:v>82.063648795872609</c:v>
                </c:pt>
                <c:pt idx="52">
                  <c:v>82.11488346531209</c:v>
                </c:pt>
                <c:pt idx="53">
                  <c:v>82.163939403821445</c:v>
                </c:pt>
                <c:pt idx="54">
                  <c:v>82.210932104852773</c:v>
                </c:pt>
                <c:pt idx="55">
                  <c:v>82.255969128653007</c:v>
                </c:pt>
                <c:pt idx="56">
                  <c:v>82.299150772363902</c:v>
                </c:pt>
                <c:pt idx="57">
                  <c:v>82.340570673169609</c:v>
                </c:pt>
                <c:pt idx="58">
                  <c:v>82.380316352186597</c:v>
                </c:pt>
                <c:pt idx="59">
                  <c:v>82.418469705794578</c:v>
                </c:pt>
                <c:pt idx="60">
                  <c:v>82.566816738599385</c:v>
                </c:pt>
                <c:pt idx="61">
                  <c:v>82.899545998939161</c:v>
                </c:pt>
                <c:pt idx="62">
                  <c:v>83.21978209789485</c:v>
                </c:pt>
                <c:pt idx="63">
                  <c:v>83.528116152906449</c:v>
                </c:pt>
                <c:pt idx="64">
                  <c:v>83.825153737975597</c:v>
                </c:pt>
                <c:pt idx="65">
                  <c:v>84.111412736853438</c:v>
                </c:pt>
                <c:pt idx="66">
                  <c:v>84.387352975535862</c:v>
                </c:pt>
                <c:pt idx="67">
                  <c:v>84.653446881905808</c:v>
                </c:pt>
                <c:pt idx="68">
                  <c:v>84.910141488130336</c:v>
                </c:pt>
                <c:pt idx="69">
                  <c:v>84.564593167920492</c:v>
                </c:pt>
                <c:pt idx="70">
                  <c:v>84.696755914266419</c:v>
                </c:pt>
                <c:pt idx="71">
                  <c:v>84.825157267857222</c:v>
                </c:pt>
                <c:pt idx="72">
                  <c:v>84.949942368800919</c:v>
                </c:pt>
                <c:pt idx="73">
                  <c:v>85.071248986616794</c:v>
                </c:pt>
                <c:pt idx="74">
                  <c:v>85.189207981039814</c:v>
                </c:pt>
                <c:pt idx="75">
                  <c:v>85.303943728761382</c:v>
                </c:pt>
                <c:pt idx="76">
                  <c:v>85.415574519001041</c:v>
                </c:pt>
                <c:pt idx="77">
                  <c:v>85.524212920525926</c:v>
                </c:pt>
                <c:pt idx="78">
                  <c:v>85.629966122488668</c:v>
                </c:pt>
                <c:pt idx="79">
                  <c:v>85.732936251231436</c:v>
                </c:pt>
                <c:pt idx="80">
                  <c:v>85.833220665006223</c:v>
                </c:pt>
                <c:pt idx="81">
                  <c:v>85.930912228382624</c:v>
                </c:pt>
                <c:pt idx="82">
                  <c:v>86.026099567954546</c:v>
                </c:pt>
                <c:pt idx="83">
                  <c:v>86.118867310812931</c:v>
                </c:pt>
                <c:pt idx="84">
                  <c:v>86.209296307122159</c:v>
                </c:pt>
                <c:pt idx="85">
                  <c:v>86.29746383801978</c:v>
                </c:pt>
                <c:pt idx="86">
                  <c:v>86.383443809955196</c:v>
                </c:pt>
                <c:pt idx="87">
                  <c:v>86.467306936485699</c:v>
                </c:pt>
                <c:pt idx="88">
                  <c:v>86.549120908462783</c:v>
                </c:pt>
                <c:pt idx="89">
                  <c:v>86.628950553463241</c:v>
                </c:pt>
                <c:pt idx="90">
                  <c:v>86.706857985248433</c:v>
                </c:pt>
                <c:pt idx="91">
                  <c:v>86.782902743970652</c:v>
                </c:pt>
                <c:pt idx="92">
                  <c:v>86.857141927787126</c:v>
                </c:pt>
                <c:pt idx="93">
                  <c:v>86.929630316488954</c:v>
                </c:pt>
                <c:pt idx="94">
                  <c:v>87.000420487703423</c:v>
                </c:pt>
                <c:pt idx="95">
                  <c:v>87.069562926184645</c:v>
                </c:pt>
                <c:pt idx="96">
                  <c:v>87.137106126666637</c:v>
                </c:pt>
                <c:pt idx="97">
                  <c:v>87.203096690716151</c:v>
                </c:pt>
                <c:pt idx="98">
                  <c:v>87.267579417989666</c:v>
                </c:pt>
                <c:pt idx="99">
                  <c:v>87.330597392267066</c:v>
                </c:pt>
                <c:pt idx="100">
                  <c:v>86.849498355212845</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15.628411860512617</c:v>
                </c:pt>
                <c:pt idx="1">
                  <c:v>43.508009772374955</c:v>
                </c:pt>
                <c:pt idx="2">
                  <c:v>87.01794221723479</c:v>
                </c:pt>
                <c:pt idx="3">
                  <c:v>130.52979746203016</c:v>
                </c:pt>
                <c:pt idx="4">
                  <c:v>174.0435756342232</c:v>
                </c:pt>
                <c:pt idx="5">
                  <c:v>217.55927686128692</c:v>
                </c:pt>
                <c:pt idx="6">
                  <c:v>261.07690127070606</c:v>
                </c:pt>
                <c:pt idx="7">
                  <c:v>304.59644898997618</c:v>
                </c:pt>
                <c:pt idx="8">
                  <c:v>348.1179201466046</c:v>
                </c:pt>
                <c:pt idx="9">
                  <c:v>391.64131486810925</c:v>
                </c:pt>
                <c:pt idx="10">
                  <c:v>435.16663328202009</c:v>
                </c:pt>
                <c:pt idx="11">
                  <c:v>478.69387551587778</c:v>
                </c:pt>
                <c:pt idx="12">
                  <c:v>525.81181977415565</c:v>
                </c:pt>
                <c:pt idx="13">
                  <c:v>561.49342231810817</c:v>
                </c:pt>
                <c:pt idx="14">
                  <c:v>572.06337110381787</c:v>
                </c:pt>
                <c:pt idx="15">
                  <c:v>582.27881931347395</c:v>
                </c:pt>
                <c:pt idx="16">
                  <c:v>592.17530411286839</c:v>
                </c:pt>
                <c:pt idx="17">
                  <c:v>601.78287018804133</c:v>
                </c:pt>
                <c:pt idx="18">
                  <c:v>611.12718789411201</c:v>
                </c:pt>
                <c:pt idx="19">
                  <c:v>620.230394851303</c:v>
                </c:pt>
                <c:pt idx="20">
                  <c:v>629.11174024275681</c:v>
                </c:pt>
                <c:pt idx="21">
                  <c:v>637.78808555076569</c:v>
                </c:pt>
                <c:pt idx="22">
                  <c:v>646.27429898471974</c:v>
                </c:pt>
                <c:pt idx="23">
                  <c:v>654.58356994283668</c:v>
                </c:pt>
                <c:pt idx="24">
                  <c:v>662.72766246756623</c:v>
                </c:pt>
                <c:pt idx="25">
                  <c:v>670.7171215610723</c:v>
                </c:pt>
                <c:pt idx="26">
                  <c:v>678.56144265009686</c:v>
                </c:pt>
                <c:pt idx="27">
                  <c:v>686.26921193656813</c:v>
                </c:pt>
                <c:pt idx="28">
                  <c:v>693.84822352145432</c:v>
                </c:pt>
                <c:pt idx="29">
                  <c:v>701.30557783225765</c:v>
                </c:pt>
                <c:pt idx="30">
                  <c:v>708.64776487603206</c:v>
                </c:pt>
                <c:pt idx="31">
                  <c:v>715.88073508178752</c:v>
                </c:pt>
                <c:pt idx="32">
                  <c:v>723.00995992031301</c:v>
                </c:pt>
                <c:pt idx="33">
                  <c:v>730.04048404777427</c:v>
                </c:pt>
                <c:pt idx="34">
                  <c:v>736.97697037751789</c:v>
                </c:pt>
                <c:pt idx="35">
                  <c:v>743.82373921758722</c:v>
                </c:pt>
                <c:pt idx="36">
                  <c:v>750.58480240139011</c:v>
                </c:pt>
                <c:pt idx="37">
                  <c:v>757.26389317242683</c:v>
                </c:pt>
                <c:pt idx="38">
                  <c:v>763.86449245101801</c:v>
                </c:pt>
                <c:pt idx="39">
                  <c:v>770.38985200411673</c:v>
                </c:pt>
                <c:pt idx="40">
                  <c:v>776.84301495287514</c:v>
                </c:pt>
                <c:pt idx="41">
                  <c:v>783.22683398234733</c:v>
                </c:pt>
                <c:pt idx="42">
                  <c:v>789.54398756020873</c:v>
                </c:pt>
                <c:pt idx="43">
                  <c:v>795.79699442410129</c:v>
                </c:pt>
                <c:pt idx="44">
                  <c:v>801.98822655814661</c:v>
                </c:pt>
                <c:pt idx="45">
                  <c:v>808.11992084671897</c:v>
                </c:pt>
                <c:pt idx="46">
                  <c:v>814.19418956653237</c:v>
                </c:pt>
                <c:pt idx="47">
                  <c:v>820.21302985541172</c:v>
                </c:pt>
                <c:pt idx="48">
                  <c:v>826.17833227707388</c:v>
                </c:pt>
                <c:pt idx="49">
                  <c:v>832.09188858514028</c:v>
                </c:pt>
                <c:pt idx="50">
                  <c:v>837.95539877595559</c:v>
                </c:pt>
                <c:pt idx="51">
                  <c:v>843.77047750820282</c:v>
                </c:pt>
                <c:pt idx="52">
                  <c:v>849.53865995737635</c:v>
                </c:pt>
                <c:pt idx="53">
                  <c:v>855.26140716471491</c:v>
                </c:pt>
                <c:pt idx="54">
                  <c:v>860.94011093290499</c:v>
                </c:pt>
                <c:pt idx="55">
                  <c:v>866.57609831458399</c:v>
                </c:pt>
                <c:pt idx="56">
                  <c:v>872.17063573425582</c:v>
                </c:pt>
                <c:pt idx="57">
                  <c:v>877.7249327795314</c:v>
                </c:pt>
                <c:pt idx="58">
                  <c:v>883.2401456935213</c:v>
                </c:pt>
                <c:pt idx="59">
                  <c:v>888.71738059665108</c:v>
                </c:pt>
                <c:pt idx="60">
                  <c:v>889.06939659025602</c:v>
                </c:pt>
                <c:pt idx="61">
                  <c:v>880.73835040788117</c:v>
                </c:pt>
                <c:pt idx="62">
                  <c:v>872.62284783422763</c:v>
                </c:pt>
                <c:pt idx="63">
                  <c:v>864.71419559636661</c:v>
                </c:pt>
                <c:pt idx="64">
                  <c:v>856.99860166864687</c:v>
                </c:pt>
                <c:pt idx="65">
                  <c:v>849.46934382599727</c:v>
                </c:pt>
                <c:pt idx="66">
                  <c:v>842.1237041879607</c:v>
                </c:pt>
                <c:pt idx="67">
                  <c:v>834.95469407093526</c:v>
                </c:pt>
                <c:pt idx="68">
                  <c:v>827.95568383267766</c:v>
                </c:pt>
                <c:pt idx="69">
                  <c:v>844.29337232245291</c:v>
                </c:pt>
                <c:pt idx="70">
                  <c:v>842.15456500987818</c:v>
                </c:pt>
                <c:pt idx="71">
                  <c:v>840.10186983015399</c:v>
                </c:pt>
                <c:pt idx="72">
                  <c:v>838.13233864376321</c:v>
                </c:pt>
                <c:pt idx="73">
                  <c:v>836.24317609221498</c:v>
                </c:pt>
                <c:pt idx="74">
                  <c:v>834.4317298733705</c:v>
                </c:pt>
                <c:pt idx="75">
                  <c:v>832.69548175082116</c:v>
                </c:pt>
                <c:pt idx="76">
                  <c:v>831.03203923348588</c:v>
                </c:pt>
                <c:pt idx="77">
                  <c:v>829.43912786785336</c:v>
                </c:pt>
                <c:pt idx="78">
                  <c:v>827.91458409088227</c:v>
                </c:pt>
                <c:pt idx="79">
                  <c:v>826.45634859654922</c:v>
                </c:pt>
                <c:pt idx="80">
                  <c:v>825.06246017349542</c:v>
                </c:pt>
                <c:pt idx="81">
                  <c:v>823.73104997519295</c:v>
                </c:pt>
                <c:pt idx="82">
                  <c:v>822.46033618762567</c:v>
                </c:pt>
                <c:pt idx="83">
                  <c:v>821.24861906268359</c:v>
                </c:pt>
                <c:pt idx="84">
                  <c:v>820.09427628833532</c:v>
                </c:pt>
                <c:pt idx="85">
                  <c:v>818.99575866924602</c:v>
                </c:pt>
                <c:pt idx="86">
                  <c:v>817.95158609381076</c:v>
                </c:pt>
                <c:pt idx="87">
                  <c:v>816.96034376570606</c:v>
                </c:pt>
                <c:pt idx="88">
                  <c:v>816.02067867992616</c:v>
                </c:pt>
                <c:pt idx="89">
                  <c:v>815.13129632500988</c:v>
                </c:pt>
                <c:pt idx="90">
                  <c:v>814.29095759469192</c:v>
                </c:pt>
                <c:pt idx="91">
                  <c:v>813.49847589363469</c:v>
                </c:pt>
                <c:pt idx="92">
                  <c:v>812.75271442315591</c:v>
                </c:pt>
                <c:pt idx="93">
                  <c:v>812.0525836340322</c:v>
                </c:pt>
                <c:pt idx="94">
                  <c:v>811.39703883449783</c:v>
                </c:pt>
                <c:pt idx="95">
                  <c:v>810.78507794253039</c:v>
                </c:pt>
                <c:pt idx="96">
                  <c:v>810.2157393723586</c:v>
                </c:pt>
                <c:pt idx="97">
                  <c:v>809.68810004595002</c:v>
                </c:pt>
                <c:pt idx="98">
                  <c:v>809.201273520928</c:v>
                </c:pt>
                <c:pt idx="99">
                  <c:v>808.75440822705775</c:v>
                </c:pt>
                <c:pt idx="100">
                  <c:v>808.34668580401467</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12.599976616635734</c:v>
                </c:pt>
                <c:pt idx="1">
                  <c:v>12.877300353181209</c:v>
                </c:pt>
                <c:pt idx="2">
                  <c:v>13.969386144532431</c:v>
                </c:pt>
                <c:pt idx="3">
                  <c:v>16.1426610308663</c:v>
                </c:pt>
                <c:pt idx="4">
                  <c:v>19.644158103997441</c:v>
                </c:pt>
                <c:pt idx="5">
                  <c:v>24.680945653779062</c:v>
                </c:pt>
                <c:pt idx="6">
                  <c:v>31.435055917062325</c:v>
                </c:pt>
                <c:pt idx="7">
                  <c:v>40.070882006865851</c:v>
                </c:pt>
                <c:pt idx="8">
                  <c:v>50.739507091564455</c:v>
                </c:pt>
                <c:pt idx="9">
                  <c:v>63.581502772284928</c:v>
                </c:pt>
                <c:pt idx="10">
                  <c:v>78.728863574919558</c:v>
                </c:pt>
                <c:pt idx="11">
                  <c:v>96.306411066697052</c:v>
                </c:pt>
                <c:pt idx="12">
                  <c:v>120.50522648067535</c:v>
                </c:pt>
                <c:pt idx="13">
                  <c:v>147.19637459018509</c:v>
                </c:pt>
                <c:pt idx="14">
                  <c:v>161.17332762815553</c:v>
                </c:pt>
                <c:pt idx="15">
                  <c:v>175.38190953930976</c:v>
                </c:pt>
                <c:pt idx="16">
                  <c:v>189.81056534708105</c:v>
                </c:pt>
                <c:pt idx="17">
                  <c:v>204.44901885617304</c:v>
                </c:pt>
                <c:pt idx="18">
                  <c:v>219.28806359403725</c:v>
                </c:pt>
                <c:pt idx="19">
                  <c:v>234.31939775901972</c:v>
                </c:pt>
                <c:pt idx="20">
                  <c:v>249.53549206023837</c:v>
                </c:pt>
                <c:pt idx="21">
                  <c:v>264.92948256245302</c:v>
                </c:pt>
                <c:pt idx="22">
                  <c:v>280.4950828292242</c:v>
                </c:pt>
                <c:pt idx="23">
                  <c:v>296.22651116249671</c:v>
                </c:pt>
                <c:pt idx="24">
                  <c:v>312.11842979601425</c:v>
                </c:pt>
                <c:pt idx="25">
                  <c:v>328.16589365885625</c:v>
                </c:pt>
                <c:pt idx="26">
                  <c:v>344.36430687773986</c:v>
                </c:pt>
                <c:pt idx="27">
                  <c:v>360.70938559463008</c:v>
                </c:pt>
                <c:pt idx="28">
                  <c:v>377.19712598139006</c:v>
                </c:pt>
                <c:pt idx="29">
                  <c:v>393.82377656434255</c:v>
                </c:pt>
                <c:pt idx="30">
                  <c:v>410.58581414858236</c:v>
                </c:pt>
                <c:pt idx="31">
                  <c:v>427.47992276881217</c:v>
                </c:pt>
                <c:pt idx="32">
                  <c:v>444.50297520039288</c:v>
                </c:pt>
                <c:pt idx="33">
                  <c:v>461.65201664855653</c:v>
                </c:pt>
                <c:pt idx="34">
                  <c:v>478.92425030063907</c:v>
                </c:pt>
                <c:pt idx="35">
                  <c:v>496.31702447976915</c:v>
                </c:pt>
                <c:pt idx="36">
                  <c:v>513.82782118161992</c:v>
                </c:pt>
                <c:pt idx="37">
                  <c:v>531.45424581088707</c:v>
                </c:pt>
                <c:pt idx="38">
                  <c:v>549.19401796277202</c:v>
                </c:pt>
                <c:pt idx="39">
                  <c:v>567.04496311827347</c:v>
                </c:pt>
                <c:pt idx="40">
                  <c:v>585.00500514150644</c:v>
                </c:pt>
                <c:pt idx="41">
                  <c:v>603.07215948341468</c:v>
                </c:pt>
                <c:pt idx="42">
                  <c:v>621.24452700970141</c:v>
                </c:pt>
                <c:pt idx="43">
                  <c:v>639.52028838210435</c:v>
                </c:pt>
                <c:pt idx="44">
                  <c:v>657.89769893164964</c:v>
                </c:pt>
                <c:pt idx="45">
                  <c:v>676.37508397057081</c:v>
                </c:pt>
                <c:pt idx="46">
                  <c:v>694.95083449642391</c:v>
                </c:pt>
                <c:pt idx="47">
                  <c:v>713.62340324774073</c:v>
                </c:pt>
                <c:pt idx="48">
                  <c:v>732.39130107558049</c:v>
                </c:pt>
                <c:pt idx="49">
                  <c:v>751.25309359959374</c:v>
                </c:pt>
                <c:pt idx="50">
                  <c:v>770.20739812093802</c:v>
                </c:pt>
                <c:pt idx="51">
                  <c:v>789.25288076755373</c:v>
                </c:pt>
                <c:pt idx="52">
                  <c:v>808.38825385008863</c:v>
                </c:pt>
                <c:pt idx="53">
                  <c:v>827.61227340916719</c:v>
                </c:pt>
                <c:pt idx="54">
                  <c:v>846.9237369368027</c:v>
                </c:pt>
                <c:pt idx="55">
                  <c:v>866.32148125658046</c:v>
                </c:pt>
                <c:pt idx="56">
                  <c:v>885.80438054886474</c:v>
                </c:pt>
                <c:pt idx="57">
                  <c:v>905.37134450868268</c:v>
                </c:pt>
                <c:pt idx="58">
                  <c:v>925.02131662520515</c:v>
                </c:pt>
                <c:pt idx="59">
                  <c:v>944.75327257282504</c:v>
                </c:pt>
                <c:pt idx="60">
                  <c:v>951.93344872822036</c:v>
                </c:pt>
                <c:pt idx="61">
                  <c:v>937.57315178728197</c:v>
                </c:pt>
                <c:pt idx="62">
                  <c:v>923.69393901659294</c:v>
                </c:pt>
                <c:pt idx="63">
                  <c:v>910.27459681023697</c:v>
                </c:pt>
                <c:pt idx="64">
                  <c:v>897.29298432203234</c:v>
                </c:pt>
                <c:pt idx="65">
                  <c:v>884.73062944684898</c:v>
                </c:pt>
                <c:pt idx="66">
                  <c:v>872.57145621256711</c:v>
                </c:pt>
                <c:pt idx="67">
                  <c:v>860.7985778123475</c:v>
                </c:pt>
                <c:pt idx="68">
                  <c:v>849.39601549316694</c:v>
                </c:pt>
                <c:pt idx="69">
                  <c:v>917.49512581520969</c:v>
                </c:pt>
                <c:pt idx="70">
                  <c:v>921.91703003207817</c:v>
                </c:pt>
                <c:pt idx="71">
                  <c:v>926.33006921501726</c:v>
                </c:pt>
                <c:pt idx="72">
                  <c:v>930.73597182203082</c:v>
                </c:pt>
                <c:pt idx="73">
                  <c:v>935.13638369147213</c:v>
                </c:pt>
                <c:pt idx="74">
                  <c:v>939.53287306562333</c:v>
                </c:pt>
                <c:pt idx="75">
                  <c:v>943.92693525527818</c:v>
                </c:pt>
                <c:pt idx="76">
                  <c:v>948.31999697481172</c:v>
                </c:pt>
                <c:pt idx="77">
                  <c:v>952.7134203745951</c:v>
                </c:pt>
                <c:pt idx="78">
                  <c:v>957.10850679499561</c:v>
                </c:pt>
                <c:pt idx="79">
                  <c:v>961.50650026415246</c:v>
                </c:pt>
                <c:pt idx="80">
                  <c:v>965.90859075965352</c:v>
                </c:pt>
                <c:pt idx="81">
                  <c:v>970.31591725244391</c:v>
                </c:pt>
                <c:pt idx="82">
                  <c:v>974.72957054976337</c:v>
                </c:pt>
                <c:pt idx="83">
                  <c:v>979.15059595235516</c:v>
                </c:pt>
                <c:pt idx="84">
                  <c:v>983.57999573997336</c:v>
                </c:pt>
                <c:pt idx="85">
                  <c:v>988.01873149796097</c:v>
                </c:pt>
                <c:pt idx="86">
                  <c:v>992.467726296617</c:v>
                </c:pt>
                <c:pt idx="87">
                  <c:v>996.92786673408955</c:v>
                </c:pt>
                <c:pt idx="88">
                  <c:v>1001.4000048526772</c:v>
                </c:pt>
                <c:pt idx="89">
                  <c:v>1005.8849599375869</c:v>
                </c:pt>
                <c:pt idx="90">
                  <c:v>1010.3835202064266</c:v>
                </c:pt>
                <c:pt idx="91">
                  <c:v>1014.8964443971664</c:v>
                </c:pt>
                <c:pt idx="92">
                  <c:v>1019.4244632615586</c:v>
                </c:pt>
                <c:pt idx="93">
                  <c:v>1023.9682809705344</c:v>
                </c:pt>
                <c:pt idx="94">
                  <c:v>1028.5285764375897</c:v>
                </c:pt>
                <c:pt idx="95">
                  <c:v>1033.1060045656588</c:v>
                </c:pt>
                <c:pt idx="96">
                  <c:v>1037.701197422595</c:v>
                </c:pt>
                <c:pt idx="97">
                  <c:v>1042.3147653500339</c:v>
                </c:pt>
                <c:pt idx="98">
                  <c:v>1046.9472980099083</c:v>
                </c:pt>
                <c:pt idx="99">
                  <c:v>1051.5993653727744</c:v>
                </c:pt>
                <c:pt idx="100">
                  <c:v>1056.2715186516118</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5.0000046833337166E-3</c:v>
                </c:pt>
                <c:pt idx="1">
                  <c:v>1.3948635618490055E-2</c:v>
                </c:pt>
                <c:pt idx="2">
                  <c:v>2.789727123698011E-2</c:v>
                </c:pt>
                <c:pt idx="3">
                  <c:v>4.1845906855470162E-2</c:v>
                </c:pt>
                <c:pt idx="4">
                  <c:v>5.5794542473960221E-2</c:v>
                </c:pt>
                <c:pt idx="5">
                  <c:v>6.9743178092450286E-2</c:v>
                </c:pt>
                <c:pt idx="6">
                  <c:v>8.3691813710940324E-2</c:v>
                </c:pt>
                <c:pt idx="7">
                  <c:v>9.7640449329430404E-2</c:v>
                </c:pt>
                <c:pt idx="8">
                  <c:v>0.11158908494792044</c:v>
                </c:pt>
                <c:pt idx="9">
                  <c:v>0.12553772056641049</c:v>
                </c:pt>
                <c:pt idx="10">
                  <c:v>0.13948635618490057</c:v>
                </c:pt>
                <c:pt idx="11">
                  <c:v>0.1534349918033906</c:v>
                </c:pt>
                <c:pt idx="12">
                  <c:v>0.1697579818649943</c:v>
                </c:pt>
                <c:pt idx="13">
                  <c:v>0.18499358824053466</c:v>
                </c:pt>
                <c:pt idx="14">
                  <c:v>0.19198727871039278</c:v>
                </c:pt>
                <c:pt idx="15">
                  <c:v>0.19873606089200599</c:v>
                </c:pt>
                <c:pt idx="16">
                  <c:v>0.20526405842168904</c:v>
                </c:pt>
                <c:pt idx="17">
                  <c:v>0.21159167689792693</c:v>
                </c:pt>
                <c:pt idx="18">
                  <c:v>0.21773635986796064</c:v>
                </c:pt>
                <c:pt idx="19">
                  <c:v>0.22371315796248056</c:v>
                </c:pt>
                <c:pt idx="20">
                  <c:v>0.22953516470331506</c:v>
                </c:pt>
                <c:pt idx="21">
                  <c:v>0.23521385528053193</c:v>
                </c:pt>
                <c:pt idx="22">
                  <c:v>0.24075935346528154</c:v>
                </c:pt>
                <c:pt idx="23">
                  <c:v>0.24618064445620816</c:v>
                </c:pt>
                <c:pt idx="24">
                  <c:v>0.25148574647135513</c:v>
                </c:pt>
                <c:pt idx="25">
                  <c:v>0.25668185045696928</c:v>
                </c:pt>
                <c:pt idx="26">
                  <c:v>0.26177543486804966</c:v>
                </c:pt>
                <c:pt idx="27">
                  <c:v>0.2667723607506377</c:v>
                </c:pt>
                <c:pt idx="28">
                  <c:v>0.27167795110651499</c:v>
                </c:pt>
                <c:pt idx="29">
                  <c:v>0.2764970576038448</c:v>
                </c:pt>
                <c:pt idx="30">
                  <c:v>0.28123411701566203</c:v>
                </c:pt>
                <c:pt idx="31">
                  <c:v>0.28589319925570983</c:v>
                </c:pt>
                <c:pt idx="32">
                  <c:v>0.290478048491846</c:v>
                </c:pt>
                <c:pt idx="33">
                  <c:v>0.29499211851860246</c:v>
                </c:pt>
                <c:pt idx="34">
                  <c:v>0.29943860333927541</c:v>
                </c:pt>
                <c:pt idx="35">
                  <c:v>0.30382046372740062</c:v>
                </c:pt>
                <c:pt idx="36">
                  <c:v>0.30814045039539106</c:v>
                </c:pt>
                <c:pt idx="37">
                  <c:v>0.31240112428545797</c:v>
                </c:pt>
                <c:pt idx="38">
                  <c:v>0.31660487440798202</c:v>
                </c:pt>
                <c:pt idx="39">
                  <c:v>0.32075393358020177</c:v>
                </c:pt>
                <c:pt idx="40">
                  <c:v>0.32485039235960922</c:v>
                </c:pt>
                <c:pt idx="41">
                  <c:v>0.3288962114188721</c:v>
                </c:pt>
                <c:pt idx="42">
                  <c:v>0.33289323257018527</c:v>
                </c:pt>
                <c:pt idx="43">
                  <c:v>0.33684318861495216</c:v>
                </c:pt>
                <c:pt idx="44">
                  <c:v>0.34074771216824512</c:v>
                </c:pt>
                <c:pt idx="45">
                  <c:v>0.34460834358552922</c:v>
                </c:pt>
                <c:pt idx="46">
                  <c:v>0.34842653810081492</c:v>
                </c:pt>
                <c:pt idx="47">
                  <c:v>0.352203672270051</c:v>
                </c:pt>
                <c:pt idx="48">
                  <c:v>0.35594104980066305</c:v>
                </c:pt>
                <c:pt idx="49">
                  <c:v>0.35963990683723418</c:v>
                </c:pt>
                <c:pt idx="50">
                  <c:v>0.36330141676408739</c:v>
                </c:pt>
                <c:pt idx="51">
                  <c:v>0.36692669457766242</c:v>
                </c:pt>
                <c:pt idx="52">
                  <c:v>0.37051680087487021</c:v>
                </c:pt>
                <c:pt idx="53">
                  <c:v>0.37407274549786401</c:v>
                </c:pt>
                <c:pt idx="54">
                  <c:v>0.37759549087072103</c:v>
                </c:pt>
                <c:pt idx="55">
                  <c:v>0.38108595505928261</c:v>
                </c:pt>
                <c:pt idx="56">
                  <c:v>0.38454501458171686</c:v>
                </c:pt>
                <c:pt idx="57">
                  <c:v>0.3879735069941862</c:v>
                </c:pt>
                <c:pt idx="58">
                  <c:v>0.39137223327322895</c:v>
                </c:pt>
                <c:pt idx="59">
                  <c:v>0.39474196001405581</c:v>
                </c:pt>
                <c:pt idx="60">
                  <c:v>0.39582538982635479</c:v>
                </c:pt>
                <c:pt idx="61">
                  <c:v>0.39302523548708368</c:v>
                </c:pt>
                <c:pt idx="62">
                  <c:v>0.39028337266512747</c:v>
                </c:pt>
                <c:pt idx="63">
                  <c:v>0.38759782600090309</c:v>
                </c:pt>
                <c:pt idx="64">
                  <c:v>0.38497157071334565</c:v>
                </c:pt>
                <c:pt idx="65">
                  <c:v>0.38240194016380769</c:v>
                </c:pt>
                <c:pt idx="66">
                  <c:v>0.37988317472919403</c:v>
                </c:pt>
                <c:pt idx="67">
                  <c:v>0.3774136349645833</c:v>
                </c:pt>
                <c:pt idx="68">
                  <c:v>0.37499175371625781</c:v>
                </c:pt>
                <c:pt idx="69">
                  <c:v>0.38653270377710014</c:v>
                </c:pt>
                <c:pt idx="70">
                  <c:v>0.38688886181188059</c:v>
                </c:pt>
                <c:pt idx="71">
                  <c:v>0.38723610645039186</c:v>
                </c:pt>
                <c:pt idx="72">
                  <c:v>0.38757478730992151</c:v>
                </c:pt>
                <c:pt idx="73">
                  <c:v>0.38790523596060278</c:v>
                </c:pt>
                <c:pt idx="74">
                  <c:v>0.38822776707506579</c:v>
                </c:pt>
                <c:pt idx="75">
                  <c:v>0.38854267949131127</c:v>
                </c:pt>
                <c:pt idx="76">
                  <c:v>0.38885025719635224</c:v>
                </c:pt>
                <c:pt idx="77">
                  <c:v>0.389150770237434</c:v>
                </c:pt>
                <c:pt idx="78">
                  <c:v>0.38944447556697248</c:v>
                </c:pt>
                <c:pt idx="79">
                  <c:v>0.38973161782677285</c:v>
                </c:pt>
                <c:pt idx="80">
                  <c:v>0.39001243007655628</c:v>
                </c:pt>
                <c:pt idx="81">
                  <c:v>0.39028713447135693</c:v>
                </c:pt>
                <c:pt idx="82">
                  <c:v>0.39055594289192452</c:v>
                </c:pt>
                <c:pt idx="83">
                  <c:v>0.390819057531896</c:v>
                </c:pt>
                <c:pt idx="84">
                  <c:v>0.3910766714451529</c:v>
                </c:pt>
                <c:pt idx="85">
                  <c:v>0.39132896905648173</c:v>
                </c:pt>
                <c:pt idx="86">
                  <c:v>0.39157612663837305</c:v>
                </c:pt>
                <c:pt idx="87">
                  <c:v>0.3918183127565521</c:v>
                </c:pt>
                <c:pt idx="88">
                  <c:v>0.39205568868660712</c:v>
                </c:pt>
                <c:pt idx="89">
                  <c:v>0.39228840880387961</c:v>
                </c:pt>
                <c:pt idx="90">
                  <c:v>0.39251662094859546</c:v>
                </c:pt>
                <c:pt idx="91">
                  <c:v>0.39274046676805524</c:v>
                </c:pt>
                <c:pt idx="92">
                  <c:v>0.39296008203754462</c:v>
                </c:pt>
                <c:pt idx="93">
                  <c:v>0.39317559696149612</c:v>
                </c:pt>
                <c:pt idx="94">
                  <c:v>0.39338713645630152</c:v>
                </c:pt>
                <c:pt idx="95">
                  <c:v>0.39359482041607158</c:v>
                </c:pt>
                <c:pt idx="96">
                  <c:v>0.39379876396252528</c:v>
                </c:pt>
                <c:pt idx="97">
                  <c:v>0.39399907768010684</c:v>
                </c:pt>
                <c:pt idx="98">
                  <c:v>0.39419586783733906</c:v>
                </c:pt>
                <c:pt idx="99">
                  <c:v>0.39438923659534209</c:v>
                </c:pt>
                <c:pt idx="100">
                  <c:v>0.39457928220437921</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6.3173581400100673E-3</c:v>
                </c:pt>
                <c:pt idx="1">
                  <c:v>1.7625849929722395E-2</c:v>
                </c:pt>
                <c:pt idx="2">
                  <c:v>5.2877549789167172E-2</c:v>
                </c:pt>
                <c:pt idx="3">
                  <c:v>5.2877549789167172E-2</c:v>
                </c:pt>
                <c:pt idx="4">
                  <c:v>7.0503399718889581E-2</c:v>
                </c:pt>
                <c:pt idx="5">
                  <c:v>8.812924964861199E-2</c:v>
                </c:pt>
                <c:pt idx="6">
                  <c:v>0.10575509957833434</c:v>
                </c:pt>
                <c:pt idx="7">
                  <c:v>0.12338094950805677</c:v>
                </c:pt>
                <c:pt idx="8">
                  <c:v>0.14100679943777916</c:v>
                </c:pt>
                <c:pt idx="9">
                  <c:v>0.15863264936750154</c:v>
                </c:pt>
                <c:pt idx="10">
                  <c:v>0.17625849929722398</c:v>
                </c:pt>
                <c:pt idx="11">
                  <c:v>0.19388434922694631</c:v>
                </c:pt>
                <c:pt idx="12">
                  <c:v>0.21451049368288133</c:v>
                </c:pt>
                <c:pt idx="13">
                  <c:v>0.23376404492761507</c:v>
                </c:pt>
                <c:pt idx="14">
                  <c:v>0.24260495593852682</c:v>
                </c:pt>
                <c:pt idx="15">
                  <c:v>0.25113651033107204</c:v>
                </c:pt>
                <c:pt idx="16">
                  <c:v>0.25938918002579398</c:v>
                </c:pt>
                <c:pt idx="17">
                  <c:v>0.26738874047832289</c:v>
                </c:pt>
                <c:pt idx="18">
                  <c:v>0.27515722560921302</c:v>
                </c:pt>
                <c:pt idx="19">
                  <c:v>0.28271364671045207</c:v>
                </c:pt>
                <c:pt idx="20">
                  <c:v>0.29007454293900109</c:v>
                </c:pt>
                <c:pt idx="21">
                  <c:v>0.2972544092454496</c:v>
                </c:pt>
                <c:pt idx="22">
                  <c:v>0.30426603352681864</c:v>
                </c:pt>
                <c:pt idx="23">
                  <c:v>0.31112076548496664</c:v>
                </c:pt>
                <c:pt idx="24">
                  <c:v>0.31782873337407314</c:v>
                </c:pt>
                <c:pt idx="25">
                  <c:v>0.3243990204747596</c:v>
                </c:pt>
                <c:pt idx="26">
                  <c:v>0.33083981007991053</c:v>
                </c:pt>
                <c:pt idx="27">
                  <c:v>0.33715850559850091</c:v>
                </c:pt>
                <c:pt idx="28">
                  <c:v>0.34336183080563909</c:v>
                </c:pt>
                <c:pt idx="29">
                  <c:v>0.34945591410855142</c:v>
                </c:pt>
                <c:pt idx="30">
                  <c:v>0.35544635983722767</c:v>
                </c:pt>
                <c:pt idx="31">
                  <c:v>0.36133830892119845</c:v>
                </c:pt>
                <c:pt idx="32">
                  <c:v>0.36713649082219846</c:v>
                </c:pt>
                <c:pt idx="33">
                  <c:v>0.37284526821523917</c:v>
                </c:pt>
                <c:pt idx="34">
                  <c:v>0.37846867561856873</c:v>
                </c:pt>
                <c:pt idx="35">
                  <c:v>0.38401045294496666</c:v>
                </c:pt>
                <c:pt idx="36">
                  <c:v>0.38947407476735108</c:v>
                </c:pt>
                <c:pt idx="37">
                  <c:v>0.39486277594938118</c:v>
                </c:pt>
                <c:pt idx="38">
                  <c:v>0.40017957417810429</c:v>
                </c:pt>
                <c:pt idx="39">
                  <c:v>0.40542728984437598</c:v>
                </c:pt>
                <c:pt idx="40">
                  <c:v>0.41060856364291182</c:v>
                </c:pt>
                <c:pt idx="41">
                  <c:v>0.41572587220374396</c:v>
                </c:pt>
                <c:pt idx="42">
                  <c:v>0.42078154201769635</c:v>
                </c:pt>
                <c:pt idx="43">
                  <c:v>0.42577776187806693</c:v>
                </c:pt>
                <c:pt idx="44">
                  <c:v>0.43071659402729595</c:v>
                </c:pt>
                <c:pt idx="45">
                  <c:v>0.43559998416965323</c:v>
                </c:pt>
                <c:pt idx="46">
                  <c:v>0.44042977048783527</c:v>
                </c:pt>
                <c:pt idx="47">
                  <c:v>0.44520769178197483</c:v>
                </c:pt>
                <c:pt idx="48">
                  <c:v>0.4499353948332539</c:v>
                </c:pt>
                <c:pt idx="49">
                  <c:v>0.45046787600487886</c:v>
                </c:pt>
                <c:pt idx="50">
                  <c:v>0.4371793817837874</c:v>
                </c:pt>
                <c:pt idx="51">
                  <c:v>0.4377763736387123</c:v>
                </c:pt>
                <c:pt idx="52">
                  <c:v>0.43835551025140401</c:v>
                </c:pt>
                <c:pt idx="53">
                  <c:v>0.43892409207295779</c:v>
                </c:pt>
                <c:pt idx="54">
                  <c:v>0.43947385627325608</c:v>
                </c:pt>
                <c:pt idx="55">
                  <c:v>0.44000576532131397</c:v>
                </c:pt>
                <c:pt idx="56">
                  <c:v>0.44052071715326419</c:v>
                </c:pt>
                <c:pt idx="57">
                  <c:v>0.44101955049179797</c:v>
                </c:pt>
                <c:pt idx="58">
                  <c:v>0.44150304964796278</c:v>
                </c:pt>
                <c:pt idx="59">
                  <c:v>0.44197194886314517</c:v>
                </c:pt>
                <c:pt idx="60">
                  <c:v>0.4424269362418049</c:v>
                </c:pt>
                <c:pt idx="61">
                  <c:v>0.44286865731926428</c:v>
                </c:pt>
                <c:pt idx="62">
                  <c:v>0.44329771830346093</c:v>
                </c:pt>
                <c:pt idx="63">
                  <c:v>0.44371468902490396</c:v>
                </c:pt>
                <c:pt idx="64">
                  <c:v>0.44412010562502241</c:v>
                </c:pt>
                <c:pt idx="65">
                  <c:v>0.44451447300957719</c:v>
                </c:pt>
                <c:pt idx="66">
                  <c:v>0.44489826709074903</c:v>
                </c:pt>
                <c:pt idx="67">
                  <c:v>0.4452719368388337</c:v>
                </c:pt>
                <c:pt idx="68">
                  <c:v>0.44563590616214716</c:v>
                </c:pt>
                <c:pt idx="69">
                  <c:v>0.44599057563168931</c:v>
                </c:pt>
                <c:pt idx="70">
                  <c:v>0.44633632406532003</c:v>
                </c:pt>
                <c:pt idx="71">
                  <c:v>0.44667350998461941</c:v>
                </c:pt>
                <c:pt idx="72">
                  <c:v>0.4470024729562137</c:v>
                </c:pt>
                <c:pt idx="73">
                  <c:v>0.44732353482811316</c:v>
                </c:pt>
                <c:pt idx="74">
                  <c:v>0.44763700087053004</c:v>
                </c:pt>
                <c:pt idx="75">
                  <c:v>0.44794316082967295</c:v>
                </c:pt>
                <c:pt idx="76">
                  <c:v>0.44824228990216847</c:v>
                </c:pt>
                <c:pt idx="77">
                  <c:v>0.44853464963699563</c:v>
                </c:pt>
                <c:pt idx="78">
                  <c:v>0.44882048877115016</c:v>
                </c:pt>
                <c:pt idx="79">
                  <c:v>0.4491000440046467</c:v>
                </c:pt>
                <c:pt idx="80">
                  <c:v>0.44937354071993968</c:v>
                </c:pt>
                <c:pt idx="81">
                  <c:v>0.44964119365035399</c:v>
                </c:pt>
                <c:pt idx="82">
                  <c:v>0.44990320750169538</c:v>
                </c:pt>
                <c:pt idx="83">
                  <c:v>0.45015977753082259</c:v>
                </c:pt>
                <c:pt idx="84">
                  <c:v>0.45041109008461594</c:v>
                </c:pt>
                <c:pt idx="85">
                  <c:v>0.45065732310247103</c:v>
                </c:pt>
                <c:pt idx="86">
                  <c:v>0.45089864658516599</c:v>
                </c:pt>
                <c:pt idx="87">
                  <c:v>0.45113522303269549</c:v>
                </c:pt>
                <c:pt idx="88">
                  <c:v>0.45136720785344586</c:v>
                </c:pt>
                <c:pt idx="89">
                  <c:v>0.45159474974687314</c:v>
                </c:pt>
                <c:pt idx="90">
                  <c:v>0.45181799106166559</c:v>
                </c:pt>
                <c:pt idx="91">
                  <c:v>0.45203706813120376</c:v>
                </c:pt>
                <c:pt idx="92">
                  <c:v>0.4522521115879794</c:v>
                </c:pt>
                <c:pt idx="93">
                  <c:v>0.4524632466584968</c:v>
                </c:pt>
                <c:pt idx="94">
                  <c:v>0.45267059344005506</c:v>
                </c:pt>
                <c:pt idx="95">
                  <c:v>0.45287426716069878</c:v>
                </c:pt>
                <c:pt idx="96">
                  <c:v>0.45307437842351639</c:v>
                </c:pt>
                <c:pt idx="97">
                  <c:v>0.45327103343637803</c:v>
                </c:pt>
                <c:pt idx="98">
                  <c:v>0.45346433422811289</c:v>
                </c:pt>
                <c:pt idx="99">
                  <c:v>0.45365437885205151</c:v>
                </c:pt>
                <c:pt idx="100">
                  <c:v>0.45384126157778765</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2.0001525871268734E-3</c:v>
                </c:pt>
                <c:pt idx="1">
                  <c:v>5.5746381448567861E-3</c:v>
                </c:pt>
                <c:pt idx="2">
                  <c:v>1.1149276289713572E-2</c:v>
                </c:pt>
                <c:pt idx="3">
                  <c:v>1.6723914434570358E-2</c:v>
                </c:pt>
                <c:pt idx="4">
                  <c:v>2.2298552579427144E-2</c:v>
                </c:pt>
                <c:pt idx="5">
                  <c:v>2.7873190724283927E-2</c:v>
                </c:pt>
                <c:pt idx="6">
                  <c:v>3.3447828869140717E-2</c:v>
                </c:pt>
                <c:pt idx="7">
                  <c:v>3.9022467013997496E-2</c:v>
                </c:pt>
                <c:pt idx="8">
                  <c:v>4.4597105158854289E-2</c:v>
                </c:pt>
                <c:pt idx="9">
                  <c:v>5.0171743303711068E-2</c:v>
                </c:pt>
                <c:pt idx="10">
                  <c:v>5.5746381448567854E-2</c:v>
                </c:pt>
                <c:pt idx="11">
                  <c:v>6.132101959342464E-2</c:v>
                </c:pt>
                <c:pt idx="12">
                  <c:v>6.7844579712445396E-2</c:v>
                </c:pt>
                <c:pt idx="13">
                  <c:v>7.3933310727135756E-2</c:v>
                </c:pt>
                <c:pt idx="14">
                  <c:v>7.6725849065317223E-2</c:v>
                </c:pt>
                <c:pt idx="15">
                  <c:v>7.9420423541373353E-2</c:v>
                </c:pt>
                <c:pt idx="16">
                  <c:v>8.2026683628312197E-2</c:v>
                </c:pt>
                <c:pt idx="17">
                  <c:v>8.4552791582245768E-2</c:v>
                </c:pt>
                <c:pt idx="18">
                  <c:v>8.7005724837288412E-2</c:v>
                </c:pt>
                <c:pt idx="19">
                  <c:v>8.9391503659645988E-2</c:v>
                </c:pt>
                <c:pt idx="20">
                  <c:v>9.1715365470863369E-2</c:v>
                </c:pt>
                <c:pt idx="21">
                  <c:v>9.3981900358806686E-2</c:v>
                </c:pt>
                <c:pt idx="22">
                  <c:v>9.6195157842918239E-2</c:v>
                </c:pt>
                <c:pt idx="23">
                  <c:v>9.8358732012879507E-2</c:v>
                </c:pt>
                <c:pt idx="24">
                  <c:v>0.10047583016545694</c:v>
                </c:pt>
                <c:pt idx="25">
                  <c:v>0.10254932868809451</c:v>
                </c:pt>
                <c:pt idx="26">
                  <c:v>0.10458181897119455</c:v>
                </c:pt>
                <c:pt idx="27">
                  <c:v>0.10657564544108658</c:v>
                </c:pt>
                <c:pt idx="28">
                  <c:v>0.1085329373059519</c:v>
                </c:pt>
                <c:pt idx="29">
                  <c:v>0.11045563524012068</c:v>
                </c:pt>
                <c:pt idx="30">
                  <c:v>0.11234551395950275</c:v>
                </c:pt>
                <c:pt idx="31">
                  <c:v>0.1142042014359535</c:v>
                </c:pt>
                <c:pt idx="32">
                  <c:v>0.11603319534266389</c:v>
                </c:pt>
                <c:pt idx="33">
                  <c:v>0.11783387720320854</c:v>
                </c:pt>
                <c:pt idx="34">
                  <c:v>0.11960752462440379</c:v>
                </c:pt>
                <c:pt idx="35">
                  <c:v>0.12135532192091736</c:v>
                </c:pt>
                <c:pt idx="36">
                  <c:v>0.12307836938274097</c:v>
                </c:pt>
                <c:pt idx="37">
                  <c:v>0.12477769139157462</c:v>
                </c:pt>
                <c:pt idx="38">
                  <c:v>0.12645424355618948</c:v>
                </c:pt>
                <c:pt idx="39">
                  <c:v>0.12810891900791629</c:v>
                </c:pt>
                <c:pt idx="40">
                  <c:v>0.12974255397401538</c:v>
                </c:pt>
                <c:pt idx="41">
                  <c:v>0.13135593272765642</c:v>
                </c:pt>
                <c:pt idx="42">
                  <c:v>0.13294979199766885</c:v>
                </c:pt>
                <c:pt idx="43">
                  <c:v>0.13452482490842363</c:v>
                </c:pt>
                <c:pt idx="44">
                  <c:v>0.13608168450962538</c:v>
                </c:pt>
                <c:pt idx="45">
                  <c:v>0.13762098694700997</c:v>
                </c:pt>
                <c:pt idx="46">
                  <c:v>0.13914331431761226</c:v>
                </c:pt>
                <c:pt idx="47">
                  <c:v>0.14064921724712992</c:v>
                </c:pt>
                <c:pt idx="48">
                  <c:v>0.14213921722174491</c:v>
                </c:pt>
                <c:pt idx="49">
                  <c:v>0.14361380870240131</c:v>
                </c:pt>
                <c:pt idx="50">
                  <c:v>0.14507346104584332</c:v>
                </c:pt>
                <c:pt idx="51">
                  <c:v>0.14651862025357087</c:v>
                </c:pt>
                <c:pt idx="52">
                  <c:v>0.1479497105671862</c:v>
                </c:pt>
                <c:pt idx="53">
                  <c:v>0.14936713592630588</c:v>
                </c:pt>
                <c:pt idx="54">
                  <c:v>0.1507712813032378</c:v>
                </c:pt>
                <c:pt idx="55">
                  <c:v>0.15216251392692084</c:v>
                </c:pt>
                <c:pt idx="56">
                  <c:v>0.15354118440715331</c:v>
                </c:pt>
                <c:pt idx="57">
                  <c:v>0.15490762776886294</c:v>
                </c:pt>
                <c:pt idx="58">
                  <c:v>0.15626216440506285</c:v>
                </c:pt>
                <c:pt idx="59">
                  <c:v>0.15760510095617294</c:v>
                </c:pt>
                <c:pt idx="60">
                  <c:v>0.15893673112254358</c:v>
                </c:pt>
                <c:pt idx="61">
                  <c:v>0.16025733641628137</c:v>
                </c:pt>
                <c:pt idx="62">
                  <c:v>0.1615671868578277</c:v>
                </c:pt>
                <c:pt idx="63">
                  <c:v>0.16286654162217346</c:v>
                </c:pt>
                <c:pt idx="64">
                  <c:v>0.16415564963908935</c:v>
                </c:pt>
                <c:pt idx="65">
                  <c:v>0.16543475015130968</c:v>
                </c:pt>
                <c:pt idx="66">
                  <c:v>0.1667040732342141</c:v>
                </c:pt>
                <c:pt idx="67">
                  <c:v>0.16796384028020489</c:v>
                </c:pt>
                <c:pt idx="68">
                  <c:v>0.1692142644506667</c:v>
                </c:pt>
                <c:pt idx="69">
                  <c:v>0.1704555510981226</c:v>
                </c:pt>
                <c:pt idx="70">
                  <c:v>0.17168789816095345</c:v>
                </c:pt>
                <c:pt idx="71">
                  <c:v>0.17291149653282892</c:v>
                </c:pt>
                <c:pt idx="72">
                  <c:v>0.17412653040880294</c:v>
                </c:pt>
                <c:pt idx="73">
                  <c:v>0.17533317760985026</c:v>
                </c:pt>
                <c:pt idx="74">
                  <c:v>0.17653160988746255</c:v>
                </c:pt>
                <c:pt idx="75">
                  <c:v>0.17772199320978205</c:v>
                </c:pt>
                <c:pt idx="76">
                  <c:v>0.17890448803062203</c:v>
                </c:pt>
                <c:pt idx="77">
                  <c:v>0.18007924954260865</c:v>
                </c:pt>
                <c:pt idx="78">
                  <c:v>0.18124642791557491</c:v>
                </c:pt>
                <c:pt idx="79">
                  <c:v>0.18240616852124378</c:v>
                </c:pt>
                <c:pt idx="80">
                  <c:v>0.1835586121451511</c:v>
                </c:pt>
                <c:pt idx="81">
                  <c:v>0.18470389518668481</c:v>
                </c:pt>
                <c:pt idx="82">
                  <c:v>0.18584214984804248</c:v>
                </c:pt>
                <c:pt idx="83">
                  <c:v>0.18697350431285101</c:v>
                </c:pt>
                <c:pt idx="84">
                  <c:v>0.18809808291512928</c:v>
                </c:pt>
                <c:pt idx="85">
                  <c:v>0.18921600629922553</c:v>
                </c:pt>
                <c:pt idx="86">
                  <c:v>0.1903273915713117</c:v>
                </c:pt>
                <c:pt idx="87">
                  <c:v>0.19143235244297246</c:v>
                </c:pt>
                <c:pt idx="88">
                  <c:v>0.19253099936738821</c:v>
                </c:pt>
                <c:pt idx="89">
                  <c:v>0.19362343966857318</c:v>
                </c:pt>
                <c:pt idx="90">
                  <c:v>0.19470977766409656</c:v>
                </c:pt>
                <c:pt idx="91">
                  <c:v>0.19579011478168443</c:v>
                </c:pt>
                <c:pt idx="92">
                  <c:v>0.19686454967007055</c:v>
                </c:pt>
                <c:pt idx="93">
                  <c:v>0.19793317830443952</c:v>
                </c:pt>
                <c:pt idx="94">
                  <c:v>0.19899609408678129</c:v>
                </c:pt>
                <c:pt idx="95">
                  <c:v>0.20005338794145358</c:v>
                </c:pt>
                <c:pt idx="96">
                  <c:v>0.20110514840622909</c:v>
                </c:pt>
                <c:pt idx="97">
                  <c:v>0.2021514617190861</c:v>
                </c:pt>
                <c:pt idx="98">
                  <c:v>0.20319241190098236</c:v>
                </c:pt>
                <c:pt idx="99">
                  <c:v>0.20422808083483748</c:v>
                </c:pt>
                <c:pt idx="100">
                  <c:v>0.20525854834093446</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5.0000046833337166E-3</c:v>
                </c:pt>
                <c:pt idx="1">
                  <c:v>1.3948635618490055E-2</c:v>
                </c:pt>
                <c:pt idx="2">
                  <c:v>2.789727123698011E-2</c:v>
                </c:pt>
                <c:pt idx="3">
                  <c:v>4.1845906855470162E-2</c:v>
                </c:pt>
                <c:pt idx="4">
                  <c:v>5.5794542473960221E-2</c:v>
                </c:pt>
                <c:pt idx="5">
                  <c:v>6.9743178092450286E-2</c:v>
                </c:pt>
                <c:pt idx="6">
                  <c:v>8.3691813710940324E-2</c:v>
                </c:pt>
                <c:pt idx="7">
                  <c:v>9.7640449329430404E-2</c:v>
                </c:pt>
                <c:pt idx="8">
                  <c:v>0.11158908494792044</c:v>
                </c:pt>
                <c:pt idx="9">
                  <c:v>0.12553772056641049</c:v>
                </c:pt>
                <c:pt idx="10">
                  <c:v>0.13948635618490057</c:v>
                </c:pt>
                <c:pt idx="11">
                  <c:v>0.1534349918033906</c:v>
                </c:pt>
                <c:pt idx="12">
                  <c:v>0.1697579818649943</c:v>
                </c:pt>
                <c:pt idx="13">
                  <c:v>0.18499358824053466</c:v>
                </c:pt>
                <c:pt idx="14">
                  <c:v>0.19198727871039278</c:v>
                </c:pt>
                <c:pt idx="15">
                  <c:v>0.19873606089200599</c:v>
                </c:pt>
                <c:pt idx="16">
                  <c:v>0.20526405842168904</c:v>
                </c:pt>
                <c:pt idx="17">
                  <c:v>0.21159167689792693</c:v>
                </c:pt>
                <c:pt idx="18">
                  <c:v>0.21773635986796064</c:v>
                </c:pt>
                <c:pt idx="19">
                  <c:v>0.22371315796248056</c:v>
                </c:pt>
                <c:pt idx="20">
                  <c:v>0.22953516470331506</c:v>
                </c:pt>
                <c:pt idx="21">
                  <c:v>0.23521385528053193</c:v>
                </c:pt>
                <c:pt idx="22">
                  <c:v>0.24075935346528154</c:v>
                </c:pt>
                <c:pt idx="23">
                  <c:v>0.24618064445620816</c:v>
                </c:pt>
                <c:pt idx="24">
                  <c:v>0.25148574647135513</c:v>
                </c:pt>
                <c:pt idx="25">
                  <c:v>0.25668185045696928</c:v>
                </c:pt>
                <c:pt idx="26">
                  <c:v>0.26177543486804966</c:v>
                </c:pt>
                <c:pt idx="27">
                  <c:v>0.2667723607506377</c:v>
                </c:pt>
                <c:pt idx="28">
                  <c:v>0.27167795110651499</c:v>
                </c:pt>
                <c:pt idx="29">
                  <c:v>0.2764970576038448</c:v>
                </c:pt>
                <c:pt idx="30">
                  <c:v>0.28123411701566203</c:v>
                </c:pt>
                <c:pt idx="31">
                  <c:v>0.28589319925570983</c:v>
                </c:pt>
                <c:pt idx="32">
                  <c:v>0.290478048491846</c:v>
                </c:pt>
                <c:pt idx="33">
                  <c:v>0.29499211851860246</c:v>
                </c:pt>
                <c:pt idx="34">
                  <c:v>0.29943860333927541</c:v>
                </c:pt>
                <c:pt idx="35">
                  <c:v>0.30382046372740062</c:v>
                </c:pt>
                <c:pt idx="36">
                  <c:v>0.30814045039539106</c:v>
                </c:pt>
                <c:pt idx="37">
                  <c:v>0.31240112428545797</c:v>
                </c:pt>
                <c:pt idx="38">
                  <c:v>0.31660487440798202</c:v>
                </c:pt>
                <c:pt idx="39">
                  <c:v>0.32075393358020177</c:v>
                </c:pt>
                <c:pt idx="40">
                  <c:v>0.32485039235960922</c:v>
                </c:pt>
                <c:pt idx="41">
                  <c:v>0.3288962114188721</c:v>
                </c:pt>
                <c:pt idx="42">
                  <c:v>0.33289323257018527</c:v>
                </c:pt>
                <c:pt idx="43">
                  <c:v>0.33684318861495216</c:v>
                </c:pt>
                <c:pt idx="44">
                  <c:v>0.34074771216824512</c:v>
                </c:pt>
                <c:pt idx="45">
                  <c:v>0.34460834358552922</c:v>
                </c:pt>
                <c:pt idx="46">
                  <c:v>0.34842653810081492</c:v>
                </c:pt>
                <c:pt idx="47">
                  <c:v>0.352203672270051</c:v>
                </c:pt>
                <c:pt idx="48">
                  <c:v>0.35594104980066305</c:v>
                </c:pt>
                <c:pt idx="49">
                  <c:v>0.35963990683723418</c:v>
                </c:pt>
                <c:pt idx="50">
                  <c:v>0.36330141676408739</c:v>
                </c:pt>
                <c:pt idx="51">
                  <c:v>0.36692669457766242</c:v>
                </c:pt>
                <c:pt idx="52">
                  <c:v>0.37051680087487021</c:v>
                </c:pt>
                <c:pt idx="53">
                  <c:v>0.37407274549786401</c:v>
                </c:pt>
                <c:pt idx="54">
                  <c:v>0.37759549087072103</c:v>
                </c:pt>
                <c:pt idx="55">
                  <c:v>0.38108595505928261</c:v>
                </c:pt>
                <c:pt idx="56">
                  <c:v>0.38454501458171686</c:v>
                </c:pt>
                <c:pt idx="57">
                  <c:v>0.3879735069941862</c:v>
                </c:pt>
                <c:pt idx="58">
                  <c:v>0.39137223327322895</c:v>
                </c:pt>
                <c:pt idx="59">
                  <c:v>0.39474196001405581</c:v>
                </c:pt>
                <c:pt idx="60">
                  <c:v>0.39582538982635479</c:v>
                </c:pt>
                <c:pt idx="61">
                  <c:v>0.39302523548708368</c:v>
                </c:pt>
                <c:pt idx="62">
                  <c:v>0.39028337266512747</c:v>
                </c:pt>
                <c:pt idx="63">
                  <c:v>0.38759782600090309</c:v>
                </c:pt>
                <c:pt idx="64">
                  <c:v>0.38497157071334565</c:v>
                </c:pt>
                <c:pt idx="65">
                  <c:v>0.38240194016380769</c:v>
                </c:pt>
                <c:pt idx="66">
                  <c:v>0.37988317472919403</c:v>
                </c:pt>
                <c:pt idx="67">
                  <c:v>0.3774136349645833</c:v>
                </c:pt>
                <c:pt idx="68">
                  <c:v>0.37499175371625781</c:v>
                </c:pt>
                <c:pt idx="69">
                  <c:v>0.38653270377710014</c:v>
                </c:pt>
                <c:pt idx="70">
                  <c:v>0.38688886181188059</c:v>
                </c:pt>
                <c:pt idx="71">
                  <c:v>0.38723610645039186</c:v>
                </c:pt>
                <c:pt idx="72">
                  <c:v>0.38757478730992151</c:v>
                </c:pt>
                <c:pt idx="73">
                  <c:v>0.38790523596060278</c:v>
                </c:pt>
                <c:pt idx="74">
                  <c:v>0.38822776707506579</c:v>
                </c:pt>
                <c:pt idx="75">
                  <c:v>0.38854267949131127</c:v>
                </c:pt>
                <c:pt idx="76">
                  <c:v>0.38885025719635224</c:v>
                </c:pt>
                <c:pt idx="77">
                  <c:v>0.389150770237434</c:v>
                </c:pt>
                <c:pt idx="78">
                  <c:v>0.38944447556697248</c:v>
                </c:pt>
                <c:pt idx="79">
                  <c:v>0.38973161782677285</c:v>
                </c:pt>
                <c:pt idx="80">
                  <c:v>0.39001243007655628</c:v>
                </c:pt>
                <c:pt idx="81">
                  <c:v>0.39028713447135693</c:v>
                </c:pt>
                <c:pt idx="82">
                  <c:v>0.39055594289192452</c:v>
                </c:pt>
                <c:pt idx="83">
                  <c:v>0.390819057531896</c:v>
                </c:pt>
                <c:pt idx="84">
                  <c:v>0.3910766714451529</c:v>
                </c:pt>
                <c:pt idx="85">
                  <c:v>0.39132896905648173</c:v>
                </c:pt>
                <c:pt idx="86">
                  <c:v>0.39157612663837305</c:v>
                </c:pt>
                <c:pt idx="87">
                  <c:v>0.3918183127565521</c:v>
                </c:pt>
                <c:pt idx="88">
                  <c:v>0.39205568868660712</c:v>
                </c:pt>
                <c:pt idx="89">
                  <c:v>0.39228840880387961</c:v>
                </c:pt>
                <c:pt idx="90">
                  <c:v>0.39251662094859546</c:v>
                </c:pt>
                <c:pt idx="91">
                  <c:v>0.39274046676805524</c:v>
                </c:pt>
                <c:pt idx="92">
                  <c:v>0.39296008203754462</c:v>
                </c:pt>
                <c:pt idx="93">
                  <c:v>0.39317559696149612</c:v>
                </c:pt>
                <c:pt idx="94">
                  <c:v>0.39338713645630152</c:v>
                </c:pt>
                <c:pt idx="95">
                  <c:v>0.39359482041607158</c:v>
                </c:pt>
                <c:pt idx="96">
                  <c:v>0.39379876396252528</c:v>
                </c:pt>
                <c:pt idx="97">
                  <c:v>0.39399907768010684</c:v>
                </c:pt>
                <c:pt idx="98">
                  <c:v>0.39419586783733906</c:v>
                </c:pt>
                <c:pt idx="99">
                  <c:v>0.39438923659534209</c:v>
                </c:pt>
                <c:pt idx="100">
                  <c:v>0.39457928220437921</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6.3173581400100673E-3</c:v>
                </c:pt>
                <c:pt idx="1">
                  <c:v>1.7625849929722395E-2</c:v>
                </c:pt>
                <c:pt idx="2">
                  <c:v>5.2877549789167172E-2</c:v>
                </c:pt>
                <c:pt idx="3">
                  <c:v>5.2877549789167172E-2</c:v>
                </c:pt>
                <c:pt idx="4">
                  <c:v>7.0503399718889581E-2</c:v>
                </c:pt>
                <c:pt idx="5">
                  <c:v>8.812924964861199E-2</c:v>
                </c:pt>
                <c:pt idx="6">
                  <c:v>0.10575509957833434</c:v>
                </c:pt>
                <c:pt idx="7">
                  <c:v>0.12338094950805677</c:v>
                </c:pt>
                <c:pt idx="8">
                  <c:v>0.14100679943777916</c:v>
                </c:pt>
                <c:pt idx="9">
                  <c:v>0.15863264936750154</c:v>
                </c:pt>
                <c:pt idx="10">
                  <c:v>0.17625849929722398</c:v>
                </c:pt>
                <c:pt idx="11">
                  <c:v>0.19388434922694631</c:v>
                </c:pt>
                <c:pt idx="12">
                  <c:v>0.21451049368288133</c:v>
                </c:pt>
                <c:pt idx="13">
                  <c:v>0.23376404492761507</c:v>
                </c:pt>
                <c:pt idx="14">
                  <c:v>0.24260495593852682</c:v>
                </c:pt>
                <c:pt idx="15">
                  <c:v>0.25113651033107204</c:v>
                </c:pt>
                <c:pt idx="16">
                  <c:v>0.25938918002579398</c:v>
                </c:pt>
                <c:pt idx="17">
                  <c:v>0.26738874047832289</c:v>
                </c:pt>
                <c:pt idx="18">
                  <c:v>0.27515722560921302</c:v>
                </c:pt>
                <c:pt idx="19">
                  <c:v>0.28271364671045207</c:v>
                </c:pt>
                <c:pt idx="20">
                  <c:v>0.29007454293900109</c:v>
                </c:pt>
                <c:pt idx="21">
                  <c:v>0.2972544092454496</c:v>
                </c:pt>
                <c:pt idx="22">
                  <c:v>0.30426603352681864</c:v>
                </c:pt>
                <c:pt idx="23">
                  <c:v>0.31112076548496664</c:v>
                </c:pt>
                <c:pt idx="24">
                  <c:v>0.31782873337407314</c:v>
                </c:pt>
                <c:pt idx="25">
                  <c:v>0.3243990204747596</c:v>
                </c:pt>
                <c:pt idx="26">
                  <c:v>0.33083981007991053</c:v>
                </c:pt>
                <c:pt idx="27">
                  <c:v>0.33715850559850091</c:v>
                </c:pt>
                <c:pt idx="28">
                  <c:v>0.34336183080563909</c:v>
                </c:pt>
                <c:pt idx="29">
                  <c:v>0.34945591410855142</c:v>
                </c:pt>
                <c:pt idx="30">
                  <c:v>0.35544635983722767</c:v>
                </c:pt>
                <c:pt idx="31">
                  <c:v>0.36133830892119845</c:v>
                </c:pt>
                <c:pt idx="32">
                  <c:v>0.36713649082219846</c:v>
                </c:pt>
                <c:pt idx="33">
                  <c:v>0.37284526821523917</c:v>
                </c:pt>
                <c:pt idx="34">
                  <c:v>0.37846867561856873</c:v>
                </c:pt>
                <c:pt idx="35">
                  <c:v>0.38401045294496666</c:v>
                </c:pt>
                <c:pt idx="36">
                  <c:v>0.38947407476735108</c:v>
                </c:pt>
                <c:pt idx="37">
                  <c:v>0.39486277594938118</c:v>
                </c:pt>
                <c:pt idx="38">
                  <c:v>0.40017957417810429</c:v>
                </c:pt>
                <c:pt idx="39">
                  <c:v>0.40542728984437598</c:v>
                </c:pt>
                <c:pt idx="40">
                  <c:v>0.41060856364291182</c:v>
                </c:pt>
                <c:pt idx="41">
                  <c:v>0.41572587220374396</c:v>
                </c:pt>
                <c:pt idx="42">
                  <c:v>0.42078154201769635</c:v>
                </c:pt>
                <c:pt idx="43">
                  <c:v>0.42577776187806693</c:v>
                </c:pt>
                <c:pt idx="44">
                  <c:v>0.43071659402729595</c:v>
                </c:pt>
                <c:pt idx="45">
                  <c:v>0.43559998416965323</c:v>
                </c:pt>
                <c:pt idx="46">
                  <c:v>0.44042977048783527</c:v>
                </c:pt>
                <c:pt idx="47">
                  <c:v>0.44520769178197483</c:v>
                </c:pt>
                <c:pt idx="48">
                  <c:v>0.4499353948332539</c:v>
                </c:pt>
                <c:pt idx="49">
                  <c:v>0.45046787600487886</c:v>
                </c:pt>
                <c:pt idx="50">
                  <c:v>0.4371793817837874</c:v>
                </c:pt>
                <c:pt idx="51">
                  <c:v>0.4377763736387123</c:v>
                </c:pt>
                <c:pt idx="52">
                  <c:v>0.43835551025140401</c:v>
                </c:pt>
                <c:pt idx="53">
                  <c:v>0.43892409207295779</c:v>
                </c:pt>
                <c:pt idx="54">
                  <c:v>0.43947385627325608</c:v>
                </c:pt>
                <c:pt idx="55">
                  <c:v>0.44000576532131397</c:v>
                </c:pt>
                <c:pt idx="56">
                  <c:v>0.44052071715326419</c:v>
                </c:pt>
                <c:pt idx="57">
                  <c:v>0.44101955049179797</c:v>
                </c:pt>
                <c:pt idx="58">
                  <c:v>0.44150304964796278</c:v>
                </c:pt>
                <c:pt idx="59">
                  <c:v>0.44197194886314517</c:v>
                </c:pt>
                <c:pt idx="60">
                  <c:v>0.4424269362418049</c:v>
                </c:pt>
                <c:pt idx="61">
                  <c:v>0.44286865731926428</c:v>
                </c:pt>
                <c:pt idx="62">
                  <c:v>0.44329771830346093</c:v>
                </c:pt>
                <c:pt idx="63">
                  <c:v>0.44371468902490396</c:v>
                </c:pt>
                <c:pt idx="64">
                  <c:v>0.44412010562502241</c:v>
                </c:pt>
                <c:pt idx="65">
                  <c:v>0.44451447300957719</c:v>
                </c:pt>
                <c:pt idx="66">
                  <c:v>0.44489826709074903</c:v>
                </c:pt>
                <c:pt idx="67">
                  <c:v>0.4452719368388337</c:v>
                </c:pt>
                <c:pt idx="68">
                  <c:v>0.44563590616214716</c:v>
                </c:pt>
                <c:pt idx="69">
                  <c:v>0.44599057563168931</c:v>
                </c:pt>
                <c:pt idx="70">
                  <c:v>0.44633632406532003</c:v>
                </c:pt>
                <c:pt idx="71">
                  <c:v>0.44667350998461941</c:v>
                </c:pt>
                <c:pt idx="72">
                  <c:v>0.4470024729562137</c:v>
                </c:pt>
                <c:pt idx="73">
                  <c:v>0.44732353482811316</c:v>
                </c:pt>
                <c:pt idx="74">
                  <c:v>0.44763700087053004</c:v>
                </c:pt>
                <c:pt idx="75">
                  <c:v>0.44794316082967295</c:v>
                </c:pt>
                <c:pt idx="76">
                  <c:v>0.44824228990216847</c:v>
                </c:pt>
                <c:pt idx="77">
                  <c:v>0.44853464963699563</c:v>
                </c:pt>
                <c:pt idx="78">
                  <c:v>0.44882048877115016</c:v>
                </c:pt>
                <c:pt idx="79">
                  <c:v>0.4491000440046467</c:v>
                </c:pt>
                <c:pt idx="80">
                  <c:v>0.44937354071993968</c:v>
                </c:pt>
                <c:pt idx="81">
                  <c:v>0.44964119365035399</c:v>
                </c:pt>
                <c:pt idx="82">
                  <c:v>0.44990320750169538</c:v>
                </c:pt>
                <c:pt idx="83">
                  <c:v>0.45015977753082259</c:v>
                </c:pt>
                <c:pt idx="84">
                  <c:v>0.45041109008461594</c:v>
                </c:pt>
                <c:pt idx="85">
                  <c:v>0.45065732310247103</c:v>
                </c:pt>
                <c:pt idx="86">
                  <c:v>0.45089864658516599</c:v>
                </c:pt>
                <c:pt idx="87">
                  <c:v>0.45113522303269549</c:v>
                </c:pt>
                <c:pt idx="88">
                  <c:v>0.45136720785344586</c:v>
                </c:pt>
                <c:pt idx="89">
                  <c:v>0.45159474974687314</c:v>
                </c:pt>
                <c:pt idx="90">
                  <c:v>0.45181799106166559</c:v>
                </c:pt>
                <c:pt idx="91">
                  <c:v>0.45203706813120376</c:v>
                </c:pt>
                <c:pt idx="92">
                  <c:v>0.4522521115879794</c:v>
                </c:pt>
                <c:pt idx="93">
                  <c:v>0.4524632466584968</c:v>
                </c:pt>
                <c:pt idx="94">
                  <c:v>0.45267059344005506</c:v>
                </c:pt>
                <c:pt idx="95">
                  <c:v>0.45287426716069878</c:v>
                </c:pt>
                <c:pt idx="96">
                  <c:v>0.45307437842351639</c:v>
                </c:pt>
                <c:pt idx="97">
                  <c:v>0.45327103343637803</c:v>
                </c:pt>
                <c:pt idx="98">
                  <c:v>0.45346433422811289</c:v>
                </c:pt>
                <c:pt idx="99">
                  <c:v>0.45365437885205151</c:v>
                </c:pt>
                <c:pt idx="100">
                  <c:v>0.45384126157778765</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2.0001525871268734E-3</c:v>
                </c:pt>
                <c:pt idx="1">
                  <c:v>5.5746381448567861E-3</c:v>
                </c:pt>
                <c:pt idx="2">
                  <c:v>1.1149276289713572E-2</c:v>
                </c:pt>
                <c:pt idx="3">
                  <c:v>1.6723914434570358E-2</c:v>
                </c:pt>
                <c:pt idx="4">
                  <c:v>2.2298552579427144E-2</c:v>
                </c:pt>
                <c:pt idx="5">
                  <c:v>2.7873190724283927E-2</c:v>
                </c:pt>
                <c:pt idx="6">
                  <c:v>3.3447828869140717E-2</c:v>
                </c:pt>
                <c:pt idx="7">
                  <c:v>3.9022467013997496E-2</c:v>
                </c:pt>
                <c:pt idx="8">
                  <c:v>4.4597105158854289E-2</c:v>
                </c:pt>
                <c:pt idx="9">
                  <c:v>5.0171743303711068E-2</c:v>
                </c:pt>
                <c:pt idx="10">
                  <c:v>5.5746381448567854E-2</c:v>
                </c:pt>
                <c:pt idx="11">
                  <c:v>6.132101959342464E-2</c:v>
                </c:pt>
                <c:pt idx="12">
                  <c:v>6.7844579712445396E-2</c:v>
                </c:pt>
                <c:pt idx="13">
                  <c:v>7.3933310727135756E-2</c:v>
                </c:pt>
                <c:pt idx="14">
                  <c:v>7.6725849065317223E-2</c:v>
                </c:pt>
                <c:pt idx="15">
                  <c:v>7.9420423541373353E-2</c:v>
                </c:pt>
                <c:pt idx="16">
                  <c:v>8.2026683628312197E-2</c:v>
                </c:pt>
                <c:pt idx="17">
                  <c:v>8.4552791582245768E-2</c:v>
                </c:pt>
                <c:pt idx="18">
                  <c:v>8.7005724837288412E-2</c:v>
                </c:pt>
                <c:pt idx="19">
                  <c:v>8.9391503659645988E-2</c:v>
                </c:pt>
                <c:pt idx="20">
                  <c:v>9.1715365470863369E-2</c:v>
                </c:pt>
                <c:pt idx="21">
                  <c:v>9.3981900358806686E-2</c:v>
                </c:pt>
                <c:pt idx="22">
                  <c:v>9.6195157842918239E-2</c:v>
                </c:pt>
                <c:pt idx="23">
                  <c:v>9.8358732012879507E-2</c:v>
                </c:pt>
                <c:pt idx="24">
                  <c:v>0.10047583016545694</c:v>
                </c:pt>
                <c:pt idx="25">
                  <c:v>0.10254932868809451</c:v>
                </c:pt>
                <c:pt idx="26">
                  <c:v>0.10458181897119455</c:v>
                </c:pt>
                <c:pt idx="27">
                  <c:v>0.10657564544108658</c:v>
                </c:pt>
                <c:pt idx="28">
                  <c:v>0.1085329373059519</c:v>
                </c:pt>
                <c:pt idx="29">
                  <c:v>0.11045563524012068</c:v>
                </c:pt>
                <c:pt idx="30">
                  <c:v>0.11234551395950275</c:v>
                </c:pt>
                <c:pt idx="31">
                  <c:v>0.1142042014359535</c:v>
                </c:pt>
                <c:pt idx="32">
                  <c:v>0.11603319534266389</c:v>
                </c:pt>
                <c:pt idx="33">
                  <c:v>0.11783387720320854</c:v>
                </c:pt>
                <c:pt idx="34">
                  <c:v>0.11960752462440379</c:v>
                </c:pt>
                <c:pt idx="35">
                  <c:v>0.12135532192091736</c:v>
                </c:pt>
                <c:pt idx="36">
                  <c:v>0.12307836938274097</c:v>
                </c:pt>
                <c:pt idx="37">
                  <c:v>0.12477769139157462</c:v>
                </c:pt>
                <c:pt idx="38">
                  <c:v>0.12645424355618948</c:v>
                </c:pt>
                <c:pt idx="39">
                  <c:v>0.12810891900791629</c:v>
                </c:pt>
                <c:pt idx="40">
                  <c:v>0.12974255397401538</c:v>
                </c:pt>
                <c:pt idx="41">
                  <c:v>0.13135593272765642</c:v>
                </c:pt>
                <c:pt idx="42">
                  <c:v>0.13294979199766885</c:v>
                </c:pt>
                <c:pt idx="43">
                  <c:v>0.13452482490842363</c:v>
                </c:pt>
                <c:pt idx="44">
                  <c:v>0.13608168450962538</c:v>
                </c:pt>
                <c:pt idx="45">
                  <c:v>0.13762098694700997</c:v>
                </c:pt>
                <c:pt idx="46">
                  <c:v>0.13914331431761226</c:v>
                </c:pt>
                <c:pt idx="47">
                  <c:v>0.14064921724712992</c:v>
                </c:pt>
                <c:pt idx="48">
                  <c:v>0.14213921722174491</c:v>
                </c:pt>
                <c:pt idx="49">
                  <c:v>0.14361380870240131</c:v>
                </c:pt>
                <c:pt idx="50">
                  <c:v>0.14507346104584332</c:v>
                </c:pt>
                <c:pt idx="51">
                  <c:v>0.14651862025357087</c:v>
                </c:pt>
                <c:pt idx="52">
                  <c:v>0.1479497105671862</c:v>
                </c:pt>
                <c:pt idx="53">
                  <c:v>0.14936713592630588</c:v>
                </c:pt>
                <c:pt idx="54">
                  <c:v>0.1507712813032378</c:v>
                </c:pt>
                <c:pt idx="55">
                  <c:v>0.15216251392692084</c:v>
                </c:pt>
                <c:pt idx="56">
                  <c:v>0.15354118440715331</c:v>
                </c:pt>
                <c:pt idx="57">
                  <c:v>0.15490762776886294</c:v>
                </c:pt>
                <c:pt idx="58">
                  <c:v>0.15626216440506285</c:v>
                </c:pt>
                <c:pt idx="59">
                  <c:v>0.15760510095617294</c:v>
                </c:pt>
                <c:pt idx="60">
                  <c:v>0.15893673112254358</c:v>
                </c:pt>
                <c:pt idx="61">
                  <c:v>0.16025733641628137</c:v>
                </c:pt>
                <c:pt idx="62">
                  <c:v>0.1615671868578277</c:v>
                </c:pt>
                <c:pt idx="63">
                  <c:v>0.16286654162217346</c:v>
                </c:pt>
                <c:pt idx="64">
                  <c:v>0.16415564963908935</c:v>
                </c:pt>
                <c:pt idx="65">
                  <c:v>0.16543475015130968</c:v>
                </c:pt>
                <c:pt idx="66">
                  <c:v>0.1667040732342141</c:v>
                </c:pt>
                <c:pt idx="67">
                  <c:v>0.16796384028020489</c:v>
                </c:pt>
                <c:pt idx="68">
                  <c:v>0.1692142644506667</c:v>
                </c:pt>
                <c:pt idx="69">
                  <c:v>0.1704555510981226</c:v>
                </c:pt>
                <c:pt idx="70">
                  <c:v>0.17168789816095345</c:v>
                </c:pt>
                <c:pt idx="71">
                  <c:v>0.17291149653282892</c:v>
                </c:pt>
                <c:pt idx="72">
                  <c:v>0.17412653040880294</c:v>
                </c:pt>
                <c:pt idx="73">
                  <c:v>0.17533317760985026</c:v>
                </c:pt>
                <c:pt idx="74">
                  <c:v>0.17653160988746255</c:v>
                </c:pt>
                <c:pt idx="75">
                  <c:v>0.17772199320978205</c:v>
                </c:pt>
                <c:pt idx="76">
                  <c:v>0.17890448803062203</c:v>
                </c:pt>
                <c:pt idx="77">
                  <c:v>0.18007924954260865</c:v>
                </c:pt>
                <c:pt idx="78">
                  <c:v>0.18124642791557491</c:v>
                </c:pt>
                <c:pt idx="79">
                  <c:v>0.18240616852124378</c:v>
                </c:pt>
                <c:pt idx="80">
                  <c:v>0.1835586121451511</c:v>
                </c:pt>
                <c:pt idx="81">
                  <c:v>0.18470389518668481</c:v>
                </c:pt>
                <c:pt idx="82">
                  <c:v>0.18584214984804248</c:v>
                </c:pt>
                <c:pt idx="83">
                  <c:v>0.18697350431285101</c:v>
                </c:pt>
                <c:pt idx="84">
                  <c:v>0.18809808291512928</c:v>
                </c:pt>
                <c:pt idx="85">
                  <c:v>0.18921600629922553</c:v>
                </c:pt>
                <c:pt idx="86">
                  <c:v>0.1903273915713117</c:v>
                </c:pt>
                <c:pt idx="87">
                  <c:v>0.19143235244297246</c:v>
                </c:pt>
                <c:pt idx="88">
                  <c:v>0.19253099936738821</c:v>
                </c:pt>
                <c:pt idx="89">
                  <c:v>0.19362343966857318</c:v>
                </c:pt>
                <c:pt idx="90">
                  <c:v>0.19470977766409656</c:v>
                </c:pt>
                <c:pt idx="91">
                  <c:v>0.19579011478168443</c:v>
                </c:pt>
                <c:pt idx="92">
                  <c:v>0.19686454967007055</c:v>
                </c:pt>
                <c:pt idx="93">
                  <c:v>0.19793317830443952</c:v>
                </c:pt>
                <c:pt idx="94">
                  <c:v>0.19899609408678129</c:v>
                </c:pt>
                <c:pt idx="95">
                  <c:v>0.20005338794145358</c:v>
                </c:pt>
                <c:pt idx="96">
                  <c:v>0.20110514840622909</c:v>
                </c:pt>
                <c:pt idx="97">
                  <c:v>0.2021514617190861</c:v>
                </c:pt>
                <c:pt idx="98">
                  <c:v>0.20319241190098236</c:v>
                </c:pt>
                <c:pt idx="99">
                  <c:v>0.20422808083483748</c:v>
                </c:pt>
                <c:pt idx="100">
                  <c:v>0.20525854834093446</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1.0141851056742199</c:v>
                </c:pt>
                <c:pt idx="13">
                  <c:v>1.0555973258234952</c:v>
                </c:pt>
                <c:pt idx="14">
                  <c:v>1.0954451150103324</c:v>
                </c:pt>
                <c:pt idx="15">
                  <c:v>1.1338934190276817</c:v>
                </c:pt>
                <c:pt idx="16">
                  <c:v>1.1710800875382397</c:v>
                </c:pt>
                <c:pt idx="17">
                  <c:v>1.2071217242444348</c:v>
                </c:pt>
                <c:pt idx="18">
                  <c:v>1.2421180068162376</c:v>
                </c:pt>
                <c:pt idx="19">
                  <c:v>1.2761549390929883</c:v>
                </c:pt>
                <c:pt idx="20">
                  <c:v>1.3093073414159542</c:v>
                </c:pt>
                <c:pt idx="21">
                  <c:v>1.3416407864998738</c:v>
                </c:pt>
                <c:pt idx="22">
                  <c:v>1.3732131246511903</c:v>
                </c:pt>
                <c:pt idx="23">
                  <c:v>1.4040757000349275</c:v>
                </c:pt>
                <c:pt idx="24">
                  <c:v>1.4342743312012725</c:v>
                </c:pt>
                <c:pt idx="25">
                  <c:v>1.4638501094227998</c:v>
                </c:pt>
                <c:pt idx="26">
                  <c:v>1.4928400545843576</c:v>
                </c:pt>
                <c:pt idx="27">
                  <c:v>1.5212776585113299</c:v>
                </c:pt>
                <c:pt idx="28">
                  <c:v>1.5491933384829668</c:v>
                </c:pt>
                <c:pt idx="29">
                  <c:v>1.5766148184367308</c:v>
                </c:pt>
                <c:pt idx="30">
                  <c:v>1.6035674514745462</c:v>
                </c:pt>
                <c:pt idx="31">
                  <c:v>1.6300744943538186</c:v>
                </c:pt>
                <c:pt idx="32">
                  <c:v>1.65615734242165</c:v>
                </c:pt>
                <c:pt idx="33">
                  <c:v>1.6818357317441643</c:v>
                </c:pt>
                <c:pt idx="34">
                  <c:v>1.7071279138616748</c:v>
                </c:pt>
                <c:pt idx="35">
                  <c:v>1.7320508075688772</c:v>
                </c:pt>
                <c:pt idx="36">
                  <c:v>1.7566201313073597</c:v>
                </c:pt>
                <c:pt idx="37">
                  <c:v>1.7808505191139909</c:v>
                </c:pt>
                <c:pt idx="38">
                  <c:v>1.804755622554715</c:v>
                </c:pt>
                <c:pt idx="39">
                  <c:v>1.8283482006601322</c:v>
                </c:pt>
                <c:pt idx="40">
                  <c:v>1.8516401995451028</c:v>
                </c:pt>
                <c:pt idx="41">
                  <c:v>1.8746428231227714</c:v>
                </c:pt>
                <c:pt idx="42">
                  <c:v>1.8973665961010275</c:v>
                </c:pt>
                <c:pt idx="43">
                  <c:v>1.9198214202665531</c:v>
                </c:pt>
                <c:pt idx="44">
                  <c:v>1.9420166249104489</c:v>
                </c:pt>
                <c:pt idx="45">
                  <c:v>1.9639610121239313</c:v>
                </c:pt>
                <c:pt idx="46">
                  <c:v>1.9856628975878921</c:v>
                </c:pt>
                <c:pt idx="47">
                  <c:v>2.0071301473923975</c:v>
                </c:pt>
                <c:pt idx="48">
                  <c:v>2.0283702113484399</c:v>
                </c:pt>
                <c:pt idx="49">
                  <c:v>2.0493901531919199</c:v>
                </c:pt>
                <c:pt idx="50">
                  <c:v>2.0266648339144213</c:v>
                </c:pt>
                <c:pt idx="51">
                  <c:v>2.0672130256697119</c:v>
                </c:pt>
                <c:pt idx="52">
                  <c:v>2.1077655316540866</c:v>
                </c:pt>
                <c:pt idx="53">
                  <c:v>2.1483300857565202</c:v>
                </c:pt>
                <c:pt idx="54">
                  <c:v>2.1888958074541955</c:v>
                </c:pt>
                <c:pt idx="55">
                  <c:v>2.22946269746111</c:v>
                </c:pt>
                <c:pt idx="56">
                  <c:v>2.2700307564913977</c:v>
                </c:pt>
                <c:pt idx="57">
                  <c:v>2.3105999852593229</c:v>
                </c:pt>
                <c:pt idx="58">
                  <c:v>2.3511703844792873</c:v>
                </c:pt>
                <c:pt idx="59">
                  <c:v>2.3917419548658252</c:v>
                </c:pt>
                <c:pt idx="60">
                  <c:v>2.4323146971336058</c:v>
                </c:pt>
                <c:pt idx="61">
                  <c:v>2.4728886119974303</c:v>
                </c:pt>
                <c:pt idx="62">
                  <c:v>2.5134637001722369</c:v>
                </c:pt>
                <c:pt idx="63">
                  <c:v>2.5540399623730954</c:v>
                </c:pt>
                <c:pt idx="64">
                  <c:v>2.5946173993152137</c:v>
                </c:pt>
                <c:pt idx="65">
                  <c:v>2.6351960117139308</c:v>
                </c:pt>
                <c:pt idx="66">
                  <c:v>2.675775800284721</c:v>
                </c:pt>
                <c:pt idx="67">
                  <c:v>2.7163567657431935</c:v>
                </c:pt>
                <c:pt idx="68">
                  <c:v>2.7569389088050928</c:v>
                </c:pt>
                <c:pt idx="69">
                  <c:v>2.7975222301862961</c:v>
                </c:pt>
                <c:pt idx="70">
                  <c:v>2.8381067306028185</c:v>
                </c:pt>
                <c:pt idx="71">
                  <c:v>2.8786924107708063</c:v>
                </c:pt>
                <c:pt idx="72">
                  <c:v>2.9192792714065425</c:v>
                </c:pt>
                <c:pt idx="73">
                  <c:v>2.9598673132264457</c:v>
                </c:pt>
                <c:pt idx="74">
                  <c:v>3.0004565369470666</c:v>
                </c:pt>
                <c:pt idx="75">
                  <c:v>3.0410469432850942</c:v>
                </c:pt>
                <c:pt idx="76">
                  <c:v>3.0816385329573515</c:v>
                </c:pt>
                <c:pt idx="77">
                  <c:v>3.1222313066807956</c:v>
                </c:pt>
                <c:pt idx="78">
                  <c:v>3.162825265172521</c:v>
                </c:pt>
                <c:pt idx="79">
                  <c:v>3.2034204091497522</c:v>
                </c:pt>
                <c:pt idx="80">
                  <c:v>3.2440167393298567</c:v>
                </c:pt>
                <c:pt idx="81">
                  <c:v>3.2846142564303316</c:v>
                </c:pt>
                <c:pt idx="82">
                  <c:v>3.3252129611688108</c:v>
                </c:pt>
                <c:pt idx="83">
                  <c:v>3.3658128542630656</c:v>
                </c:pt>
                <c:pt idx="84">
                  <c:v>3.4064139364310013</c:v>
                </c:pt>
                <c:pt idx="85">
                  <c:v>3.4470162083906577</c:v>
                </c:pt>
                <c:pt idx="86">
                  <c:v>3.4876196708602123</c:v>
                </c:pt>
                <c:pt idx="87">
                  <c:v>3.5282243245579767</c:v>
                </c:pt>
                <c:pt idx="88">
                  <c:v>3.568830170202399</c:v>
                </c:pt>
                <c:pt idx="89">
                  <c:v>3.6094372085120643</c:v>
                </c:pt>
                <c:pt idx="90">
                  <c:v>3.6500454402056914</c:v>
                </c:pt>
                <c:pt idx="91">
                  <c:v>3.6906548660021361</c:v>
                </c:pt>
                <c:pt idx="92">
                  <c:v>3.731265486620392</c:v>
                </c:pt>
                <c:pt idx="93">
                  <c:v>3.7718773027795849</c:v>
                </c:pt>
                <c:pt idx="94">
                  <c:v>3.8124903151989775</c:v>
                </c:pt>
                <c:pt idx="95">
                  <c:v>3.853104524597974</c:v>
                </c:pt>
                <c:pt idx="96">
                  <c:v>3.8937199316961095</c:v>
                </c:pt>
                <c:pt idx="97">
                  <c:v>3.9343365372130541</c:v>
                </c:pt>
                <c:pt idx="98">
                  <c:v>3.97495434186862</c:v>
                </c:pt>
                <c:pt idx="99">
                  <c:v>4.0155733463827508</c:v>
                </c:pt>
                <c:pt idx="100">
                  <c:v>4.0561935514755287</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1.0141851056742199</c:v>
                </c:pt>
                <c:pt idx="13">
                  <c:v>1.0555973258234952</c:v>
                </c:pt>
                <c:pt idx="14">
                  <c:v>1.0954451150103324</c:v>
                </c:pt>
                <c:pt idx="15">
                  <c:v>1.1338934190276817</c:v>
                </c:pt>
                <c:pt idx="16">
                  <c:v>1.1710800875382397</c:v>
                </c:pt>
                <c:pt idx="17">
                  <c:v>1.2071217242444348</c:v>
                </c:pt>
                <c:pt idx="18">
                  <c:v>1.2421180068162376</c:v>
                </c:pt>
                <c:pt idx="19">
                  <c:v>1.2761549390929883</c:v>
                </c:pt>
                <c:pt idx="20">
                  <c:v>1.3093073414159542</c:v>
                </c:pt>
                <c:pt idx="21">
                  <c:v>1.3416407864998738</c:v>
                </c:pt>
                <c:pt idx="22">
                  <c:v>1.3732131246511903</c:v>
                </c:pt>
                <c:pt idx="23">
                  <c:v>1.4040757000349275</c:v>
                </c:pt>
                <c:pt idx="24">
                  <c:v>1.4342743312012725</c:v>
                </c:pt>
                <c:pt idx="25">
                  <c:v>1.4638501094227998</c:v>
                </c:pt>
                <c:pt idx="26">
                  <c:v>1.4928400545843576</c:v>
                </c:pt>
                <c:pt idx="27">
                  <c:v>1.5212776585113299</c:v>
                </c:pt>
                <c:pt idx="28">
                  <c:v>1.5491933384829668</c:v>
                </c:pt>
                <c:pt idx="29">
                  <c:v>1.5766148184367308</c:v>
                </c:pt>
                <c:pt idx="30">
                  <c:v>1.6035674514745462</c:v>
                </c:pt>
                <c:pt idx="31">
                  <c:v>1.6300744943538186</c:v>
                </c:pt>
                <c:pt idx="32">
                  <c:v>1.65615734242165</c:v>
                </c:pt>
                <c:pt idx="33">
                  <c:v>1.6818357317441643</c:v>
                </c:pt>
                <c:pt idx="34">
                  <c:v>1.7071279138616748</c:v>
                </c:pt>
                <c:pt idx="35">
                  <c:v>1.7320508075688772</c:v>
                </c:pt>
                <c:pt idx="36">
                  <c:v>1.7566201313073597</c:v>
                </c:pt>
                <c:pt idx="37">
                  <c:v>1.7808505191139909</c:v>
                </c:pt>
                <c:pt idx="38">
                  <c:v>1.804755622554715</c:v>
                </c:pt>
                <c:pt idx="39">
                  <c:v>1.8283482006601322</c:v>
                </c:pt>
                <c:pt idx="40">
                  <c:v>1.8516401995451028</c:v>
                </c:pt>
                <c:pt idx="41">
                  <c:v>1.8746428231227714</c:v>
                </c:pt>
                <c:pt idx="42">
                  <c:v>1.8973665961010275</c:v>
                </c:pt>
                <c:pt idx="43">
                  <c:v>1.9198214202665531</c:v>
                </c:pt>
                <c:pt idx="44">
                  <c:v>1.9420166249104489</c:v>
                </c:pt>
                <c:pt idx="45">
                  <c:v>1.9639610121239313</c:v>
                </c:pt>
                <c:pt idx="46">
                  <c:v>1.9856628975878921</c:v>
                </c:pt>
                <c:pt idx="47">
                  <c:v>2.0071301473923975</c:v>
                </c:pt>
                <c:pt idx="48">
                  <c:v>2.0283702113484399</c:v>
                </c:pt>
                <c:pt idx="49">
                  <c:v>2.0493901531919199</c:v>
                </c:pt>
                <c:pt idx="50">
                  <c:v>2.0701966780270626</c:v>
                </c:pt>
                <c:pt idx="51">
                  <c:v>2.0907961573115088</c:v>
                </c:pt>
                <c:pt idx="52">
                  <c:v>2.1111946516469904</c:v>
                </c:pt>
                <c:pt idx="53">
                  <c:v>2.1313979316066587</c:v>
                </c:pt>
                <c:pt idx="54">
                  <c:v>2.1514114968019085</c:v>
                </c:pt>
                <c:pt idx="55">
                  <c:v>2.1712405933672376</c:v>
                </c:pt>
                <c:pt idx="56">
                  <c:v>2.1908902300206647</c:v>
                </c:pt>
                <c:pt idx="57">
                  <c:v>2.2103651928390216</c:v>
                </c:pt>
                <c:pt idx="58">
                  <c:v>2.2296700588716192</c:v>
                </c:pt>
                <c:pt idx="59">
                  <c:v>2.2488092087019869</c:v>
                </c:pt>
                <c:pt idx="60">
                  <c:v>2.2677868380553634</c:v>
                </c:pt>
                <c:pt idx="61">
                  <c:v>2.2866069685390684</c:v>
                </c:pt>
                <c:pt idx="62">
                  <c:v>2.3052734575936351</c:v>
                </c:pt>
                <c:pt idx="63">
                  <c:v>2.3237900077244502</c:v>
                </c:pt>
                <c:pt idx="64">
                  <c:v>2.3421601750764793</c:v>
                </c:pt>
                <c:pt idx="65">
                  <c:v>2.3603873774083297</c:v>
                </c:pt>
                <c:pt idx="66">
                  <c:v>2.3784749015162756</c:v>
                </c:pt>
                <c:pt idx="67">
                  <c:v>2.3964259101539405</c:v>
                </c:pt>
                <c:pt idx="68">
                  <c:v>2.4142434484888695</c:v>
                </c:pt>
                <c:pt idx="69">
                  <c:v>2.522759546688663</c:v>
                </c:pt>
                <c:pt idx="70">
                  <c:v>2.5593264830422506</c:v>
                </c:pt>
                <c:pt idx="71">
                  <c:v>2.5958935764112439</c:v>
                </c:pt>
                <c:pt idx="72">
                  <c:v>2.6324608271483685</c:v>
                </c:pt>
                <c:pt idx="73">
                  <c:v>2.6690282356063815</c:v>
                </c:pt>
                <c:pt idx="74">
                  <c:v>2.7055958021380673</c:v>
                </c:pt>
                <c:pt idx="75">
                  <c:v>2.7421635270962388</c:v>
                </c:pt>
                <c:pt idx="76">
                  <c:v>2.7787314108337391</c:v>
                </c:pt>
                <c:pt idx="77">
                  <c:v>2.815299453703441</c:v>
                </c:pt>
                <c:pt idx="78">
                  <c:v>2.8518676560582437</c:v>
                </c:pt>
                <c:pt idx="79">
                  <c:v>2.8884360182510771</c:v>
                </c:pt>
                <c:pt idx="80">
                  <c:v>2.9250045406349003</c:v>
                </c:pt>
                <c:pt idx="81">
                  <c:v>2.9615732235627017</c:v>
                </c:pt>
                <c:pt idx="82">
                  <c:v>2.9981420673874974</c:v>
                </c:pt>
                <c:pt idx="83">
                  <c:v>3.0347110724623341</c:v>
                </c:pt>
                <c:pt idx="84">
                  <c:v>3.0712802391402878</c:v>
                </c:pt>
                <c:pt idx="85">
                  <c:v>3.1078495677744611</c:v>
                </c:pt>
                <c:pt idx="86">
                  <c:v>3.1444190587179897</c:v>
                </c:pt>
                <c:pt idx="87">
                  <c:v>3.1809887123240346</c:v>
                </c:pt>
                <c:pt idx="88">
                  <c:v>3.217558528945788</c:v>
                </c:pt>
                <c:pt idx="89">
                  <c:v>3.2541285089364709</c:v>
                </c:pt>
                <c:pt idx="90">
                  <c:v>3.2906986526493345</c:v>
                </c:pt>
                <c:pt idx="91">
                  <c:v>3.3272689604376571</c:v>
                </c:pt>
                <c:pt idx="92">
                  <c:v>3.3638394326547489</c:v>
                </c:pt>
                <c:pt idx="93">
                  <c:v>3.4004100696539457</c:v>
                </c:pt>
                <c:pt idx="94">
                  <c:v>3.4369808717886157</c:v>
                </c:pt>
                <c:pt idx="95">
                  <c:v>3.4735518394121558</c:v>
                </c:pt>
                <c:pt idx="96">
                  <c:v>3.5101229728779924</c:v>
                </c:pt>
                <c:pt idx="97">
                  <c:v>3.5466942725395794</c:v>
                </c:pt>
                <c:pt idx="98">
                  <c:v>3.5832657387504021</c:v>
                </c:pt>
                <c:pt idx="99">
                  <c:v>3.6198373718639729</c:v>
                </c:pt>
                <c:pt idx="100">
                  <c:v>3.6564091722338357</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c:v>
                </c:pt>
                <c:pt idx="1">
                  <c:v>1</c:v>
                </c:pt>
                <c:pt idx="2">
                  <c:v>1</c:v>
                </c:pt>
                <c:pt idx="3">
                  <c:v>1</c:v>
                </c:pt>
                <c:pt idx="4">
                  <c:v>1</c:v>
                </c:pt>
                <c:pt idx="5">
                  <c:v>1</c:v>
                </c:pt>
                <c:pt idx="6">
                  <c:v>1</c:v>
                </c:pt>
                <c:pt idx="7">
                  <c:v>1</c:v>
                </c:pt>
                <c:pt idx="8">
                  <c:v>1</c:v>
                </c:pt>
                <c:pt idx="9">
                  <c:v>1</c:v>
                </c:pt>
                <c:pt idx="10">
                  <c:v>1</c:v>
                </c:pt>
                <c:pt idx="11">
                  <c:v>1</c:v>
                </c:pt>
                <c:pt idx="12">
                  <c:v>1.0141851056742199</c:v>
                </c:pt>
                <c:pt idx="13">
                  <c:v>1.0555973258234952</c:v>
                </c:pt>
                <c:pt idx="14">
                  <c:v>1.0954451150103324</c:v>
                </c:pt>
                <c:pt idx="15">
                  <c:v>1.1338934190276817</c:v>
                </c:pt>
                <c:pt idx="16">
                  <c:v>1.1710800875382397</c:v>
                </c:pt>
                <c:pt idx="17">
                  <c:v>1.2071217242444348</c:v>
                </c:pt>
                <c:pt idx="18">
                  <c:v>1.2421180068162376</c:v>
                </c:pt>
                <c:pt idx="19">
                  <c:v>1.2761549390929883</c:v>
                </c:pt>
                <c:pt idx="20">
                  <c:v>1.3093073414159542</c:v>
                </c:pt>
                <c:pt idx="21">
                  <c:v>1.3416407864998738</c:v>
                </c:pt>
                <c:pt idx="22">
                  <c:v>1.3732131246511903</c:v>
                </c:pt>
                <c:pt idx="23">
                  <c:v>1.4040757000349275</c:v>
                </c:pt>
                <c:pt idx="24">
                  <c:v>1.4342743312012725</c:v>
                </c:pt>
                <c:pt idx="25">
                  <c:v>1.4638501094227998</c:v>
                </c:pt>
                <c:pt idx="26">
                  <c:v>1.4928400545843576</c:v>
                </c:pt>
                <c:pt idx="27">
                  <c:v>1.5212776585113299</c:v>
                </c:pt>
                <c:pt idx="28">
                  <c:v>1.5491933384829668</c:v>
                </c:pt>
                <c:pt idx="29">
                  <c:v>1.5766148184367308</c:v>
                </c:pt>
                <c:pt idx="30">
                  <c:v>1.6035674514745462</c:v>
                </c:pt>
                <c:pt idx="31">
                  <c:v>1.6300744943538186</c:v>
                </c:pt>
                <c:pt idx="32">
                  <c:v>1.65615734242165</c:v>
                </c:pt>
                <c:pt idx="33">
                  <c:v>1.6818357317441643</c:v>
                </c:pt>
                <c:pt idx="34">
                  <c:v>1.7071279138616748</c:v>
                </c:pt>
                <c:pt idx="35">
                  <c:v>1.7320508075688772</c:v>
                </c:pt>
                <c:pt idx="36">
                  <c:v>1.7566201313073597</c:v>
                </c:pt>
                <c:pt idx="37">
                  <c:v>1.7808505191139909</c:v>
                </c:pt>
                <c:pt idx="38">
                  <c:v>1.804755622554715</c:v>
                </c:pt>
                <c:pt idx="39">
                  <c:v>1.8283482006601322</c:v>
                </c:pt>
                <c:pt idx="40">
                  <c:v>1.8516401995451028</c:v>
                </c:pt>
                <c:pt idx="41">
                  <c:v>1.8746428231227714</c:v>
                </c:pt>
                <c:pt idx="42">
                  <c:v>1.8973665961010275</c:v>
                </c:pt>
                <c:pt idx="43">
                  <c:v>1.9198214202665531</c:v>
                </c:pt>
                <c:pt idx="44">
                  <c:v>1.9420166249104489</c:v>
                </c:pt>
                <c:pt idx="45">
                  <c:v>1.9639610121239313</c:v>
                </c:pt>
                <c:pt idx="46">
                  <c:v>1.9856628975878921</c:v>
                </c:pt>
                <c:pt idx="47">
                  <c:v>2.0071301473923975</c:v>
                </c:pt>
                <c:pt idx="48">
                  <c:v>2.0283702113484399</c:v>
                </c:pt>
                <c:pt idx="49">
                  <c:v>2.0493901531919199</c:v>
                </c:pt>
                <c:pt idx="50">
                  <c:v>2.0701966780270626</c:v>
                </c:pt>
                <c:pt idx="51">
                  <c:v>2.0907961573115088</c:v>
                </c:pt>
                <c:pt idx="52">
                  <c:v>2.1111946516469904</c:v>
                </c:pt>
                <c:pt idx="53">
                  <c:v>2.1313979316066587</c:v>
                </c:pt>
                <c:pt idx="54">
                  <c:v>2.1514114968019085</c:v>
                </c:pt>
                <c:pt idx="55">
                  <c:v>2.1712405933672376</c:v>
                </c:pt>
                <c:pt idx="56">
                  <c:v>2.1908902300206647</c:v>
                </c:pt>
                <c:pt idx="57">
                  <c:v>2.2103651928390216</c:v>
                </c:pt>
                <c:pt idx="58">
                  <c:v>2.2296700588716192</c:v>
                </c:pt>
                <c:pt idx="59">
                  <c:v>2.2488092087019869</c:v>
                </c:pt>
                <c:pt idx="60">
                  <c:v>2.2677868380553634</c:v>
                </c:pt>
                <c:pt idx="61">
                  <c:v>2.2866069685390684</c:v>
                </c:pt>
                <c:pt idx="62">
                  <c:v>2.3052734575936351</c:v>
                </c:pt>
                <c:pt idx="63">
                  <c:v>2.3237900077244502</c:v>
                </c:pt>
                <c:pt idx="64">
                  <c:v>2.3421601750764793</c:v>
                </c:pt>
                <c:pt idx="65">
                  <c:v>2.3603873774083297</c:v>
                </c:pt>
                <c:pt idx="66">
                  <c:v>2.3784749015162756</c:v>
                </c:pt>
                <c:pt idx="67">
                  <c:v>2.3964259101539405</c:v>
                </c:pt>
                <c:pt idx="68">
                  <c:v>2.4142434484888695</c:v>
                </c:pt>
                <c:pt idx="69">
                  <c:v>2.4319304501333323</c:v>
                </c:pt>
                <c:pt idx="70">
                  <c:v>2.4494897427831779</c:v>
                </c:pt>
                <c:pt idx="71">
                  <c:v>2.4669240534954224</c:v>
                </c:pt>
                <c:pt idx="72">
                  <c:v>2.4842360136324753</c:v>
                </c:pt>
                <c:pt idx="73">
                  <c:v>2.5014281634983759</c:v>
                </c:pt>
                <c:pt idx="74">
                  <c:v>2.5185029566901727</c:v>
                </c:pt>
                <c:pt idx="75">
                  <c:v>2.5354627641855494</c:v>
                </c:pt>
                <c:pt idx="76">
                  <c:v>2.5523098781859765</c:v>
                </c:pt>
                <c:pt idx="77">
                  <c:v>2.5690465157330258</c:v>
                </c:pt>
                <c:pt idx="78">
                  <c:v>2.585674822114004</c:v>
                </c:pt>
                <c:pt idx="79">
                  <c:v>2.6021968740717085</c:v>
                </c:pt>
                <c:pt idx="80">
                  <c:v>2.6186146828319083</c:v>
                </c:pt>
                <c:pt idx="81">
                  <c:v>2.6349301969610397</c:v>
                </c:pt>
                <c:pt idx="82">
                  <c:v>2.6511453050656102</c:v>
                </c:pt>
                <c:pt idx="83">
                  <c:v>2.6672618383439062</c:v>
                </c:pt>
                <c:pt idx="84">
                  <c:v>2.6832815729997477</c:v>
                </c:pt>
                <c:pt idx="85">
                  <c:v>2.6992062325273118</c:v>
                </c:pt>
                <c:pt idx="86">
                  <c:v>2.7150374898753369</c:v>
                </c:pt>
                <c:pt idx="87">
                  <c:v>2.7307769694983985</c:v>
                </c:pt>
                <c:pt idx="88">
                  <c:v>2.7464262493023806</c:v>
                </c:pt>
                <c:pt idx="89">
                  <c:v>2.7619868624907373</c:v>
                </c:pt>
                <c:pt idx="90">
                  <c:v>2.7774602993176543</c:v>
                </c:pt>
                <c:pt idx="91">
                  <c:v>2.7928480087537881</c:v>
                </c:pt>
                <c:pt idx="92">
                  <c:v>2.8081514000698551</c:v>
                </c:pt>
                <c:pt idx="93">
                  <c:v>2.8233718443429607</c:v>
                </c:pt>
                <c:pt idx="94">
                  <c:v>2.8385106758902379</c:v>
                </c:pt>
                <c:pt idx="95">
                  <c:v>2.8535691936340255</c:v>
                </c:pt>
                <c:pt idx="96">
                  <c:v>2.8685486624025449</c:v>
                </c:pt>
                <c:pt idx="97">
                  <c:v>2.8834503141697647</c:v>
                </c:pt>
                <c:pt idx="98">
                  <c:v>2.8982753492378879</c:v>
                </c:pt>
                <c:pt idx="99">
                  <c:v>2.9130249373656736</c:v>
                </c:pt>
                <c:pt idx="100">
                  <c:v>2.9277002188455996</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1.0159189187227498</c:v>
                </c:pt>
                <c:pt idx="2">
                  <c:v>1.047756756168249</c:v>
                </c:pt>
                <c:pt idx="3">
                  <c:v>1.047756756168249</c:v>
                </c:pt>
                <c:pt idx="4">
                  <c:v>1.0636756748909988</c:v>
                </c:pt>
                <c:pt idx="5">
                  <c:v>1.0795945936137485</c:v>
                </c:pt>
                <c:pt idx="6">
                  <c:v>1.0955135123364981</c:v>
                </c:pt>
                <c:pt idx="7">
                  <c:v>1.1114324310592478</c:v>
                </c:pt>
                <c:pt idx="8">
                  <c:v>1.1273513497819976</c:v>
                </c:pt>
                <c:pt idx="9">
                  <c:v>1.1432702685047473</c:v>
                </c:pt>
                <c:pt idx="10">
                  <c:v>1.1591891872274971</c:v>
                </c:pt>
                <c:pt idx="11">
                  <c:v>1.1751081059502466</c:v>
                </c:pt>
                <c:pt idx="12">
                  <c:v>1.1910270246729964</c:v>
                </c:pt>
                <c:pt idx="13">
                  <c:v>1.2411832043137001</c:v>
                </c:pt>
                <c:pt idx="14">
                  <c:v>1.2707000851928387</c:v>
                </c:pt>
                <c:pt idx="15">
                  <c:v>1.2991803103908752</c:v>
                </c:pt>
                <c:pt idx="16">
                  <c:v>1.3267259907690663</c:v>
                </c:pt>
                <c:pt idx="17">
                  <c:v>1.353423499440322</c:v>
                </c:pt>
                <c:pt idx="18">
                  <c:v>1.3793466717157314</c:v>
                </c:pt>
                <c:pt idx="19">
                  <c:v>1.4045592141429544</c:v>
                </c:pt>
                <c:pt idx="20">
                  <c:v>1.429116549197003</c:v>
                </c:pt>
                <c:pt idx="21">
                  <c:v>1.4530672492591656</c:v>
                </c:pt>
                <c:pt idx="22">
                  <c:v>1.4764541664082891</c:v>
                </c:pt>
                <c:pt idx="23">
                  <c:v>1.4993153333592055</c:v>
                </c:pt>
                <c:pt idx="24">
                  <c:v>1.5216846897787204</c:v>
                </c:pt>
                <c:pt idx="25">
                  <c:v>1.5435926736465184</c:v>
                </c:pt>
                <c:pt idx="26">
                  <c:v>1.5650667070995241</c:v>
                </c:pt>
                <c:pt idx="27">
                  <c:v>1.5861315988972813</c:v>
                </c:pt>
                <c:pt idx="28">
                  <c:v>1.6068098803577531</c:v>
                </c:pt>
                <c:pt idx="29">
                  <c:v>1.6271220877309116</c:v>
                </c:pt>
                <c:pt idx="30">
                  <c:v>1.6470870010922565</c:v>
                </c:pt>
                <c:pt idx="31">
                  <c:v>1.6667218476694952</c:v>
                </c:pt>
                <c:pt idx="32">
                  <c:v>1.6860424758678889</c:v>
                </c:pt>
                <c:pt idx="33">
                  <c:v>1.7050635049956773</c:v>
                </c:pt>
                <c:pt idx="34">
                  <c:v>1.7237984547123517</c:v>
                </c:pt>
                <c:pt idx="35">
                  <c:v>1.7422598574584276</c:v>
                </c:pt>
                <c:pt idx="36">
                  <c:v>1.7604593565239701</c:v>
                </c:pt>
                <c:pt idx="37">
                  <c:v>1.7784077919362895</c:v>
                </c:pt>
                <c:pt idx="38">
                  <c:v>1.7961152759664554</c:v>
                </c:pt>
                <c:pt idx="39">
                  <c:v>1.813591259748246</c:v>
                </c:pt>
                <c:pt idx="40">
                  <c:v>1.8308445922556316</c:v>
                </c:pt>
                <c:pt idx="41">
                  <c:v>1.8478835726835343</c:v>
                </c:pt>
                <c:pt idx="42">
                  <c:v>1.8647159971118721</c:v>
                </c:pt>
                <c:pt idx="43">
                  <c:v>1.8813492001974468</c:v>
                </c:pt>
                <c:pt idx="44">
                  <c:v>1.8977900925262583</c:v>
                </c:pt>
                <c:pt idx="45">
                  <c:v>1.9140451941658749</c:v>
                </c:pt>
                <c:pt idx="46">
                  <c:v>1.9301206648799201</c:v>
                </c:pt>
                <c:pt idx="47">
                  <c:v>1.9460223314017759</c:v>
                </c:pt>
                <c:pt idx="48">
                  <c:v>1.9617557121099554</c:v>
                </c:pt>
                <c:pt idx="49">
                  <c:v>1.977326039401422</c:v>
                </c:pt>
                <c:pt idx="50">
                  <c:v>1.960492469566238</c:v>
                </c:pt>
                <c:pt idx="51">
                  <c:v>1.9905281671627495</c:v>
                </c:pt>
                <c:pt idx="52">
                  <c:v>2.0205670604845087</c:v>
                </c:pt>
                <c:pt idx="53">
                  <c:v>2.050614878338163</c:v>
                </c:pt>
                <c:pt idx="54">
                  <c:v>2.080663561077182</c:v>
                </c:pt>
                <c:pt idx="55">
                  <c:v>2.1107131092304519</c:v>
                </c:pt>
                <c:pt idx="56">
                  <c:v>2.1407635233269611</c:v>
                </c:pt>
                <c:pt idx="57">
                  <c:v>2.1708148038957944</c:v>
                </c:pt>
                <c:pt idx="58">
                  <c:v>2.2008669514661388</c:v>
                </c:pt>
                <c:pt idx="59">
                  <c:v>2.2309199665672779</c:v>
                </c:pt>
                <c:pt idx="60">
                  <c:v>2.2609738497285967</c:v>
                </c:pt>
                <c:pt idx="61">
                  <c:v>2.291028601479578</c:v>
                </c:pt>
                <c:pt idx="62">
                  <c:v>2.3210842223498052</c:v>
                </c:pt>
                <c:pt idx="63">
                  <c:v>2.3511407128689594</c:v>
                </c:pt>
                <c:pt idx="64">
                  <c:v>2.381198073566825</c:v>
                </c:pt>
                <c:pt idx="65">
                  <c:v>2.411256304973282</c:v>
                </c:pt>
                <c:pt idx="66">
                  <c:v>2.4413154076183119</c:v>
                </c:pt>
                <c:pt idx="67">
                  <c:v>2.4713753820319955</c:v>
                </c:pt>
                <c:pt idx="68">
                  <c:v>2.5014362287445131</c:v>
                </c:pt>
                <c:pt idx="69">
                  <c:v>2.5314979482861455</c:v>
                </c:pt>
                <c:pt idx="70">
                  <c:v>2.5615605411872728</c:v>
                </c:pt>
                <c:pt idx="71">
                  <c:v>2.5916240079783748</c:v>
                </c:pt>
                <c:pt idx="72">
                  <c:v>2.6216883491900314</c:v>
                </c:pt>
                <c:pt idx="73">
                  <c:v>2.6517535653529229</c:v>
                </c:pt>
                <c:pt idx="74">
                  <c:v>2.6818196569978268</c:v>
                </c:pt>
                <c:pt idx="75">
                  <c:v>2.7118866246556252</c:v>
                </c:pt>
                <c:pt idx="76">
                  <c:v>2.7419544688572977</c:v>
                </c:pt>
                <c:pt idx="77">
                  <c:v>2.7720231901339227</c:v>
                </c:pt>
                <c:pt idx="78">
                  <c:v>2.8020927890166822</c:v>
                </c:pt>
                <c:pt idx="79">
                  <c:v>2.8321632660368534</c:v>
                </c:pt>
                <c:pt idx="80">
                  <c:v>2.8622346217258201</c:v>
                </c:pt>
                <c:pt idx="81">
                  <c:v>2.8923068566150603</c:v>
                </c:pt>
                <c:pt idx="82">
                  <c:v>2.9223799712361562</c:v>
                </c:pt>
                <c:pt idx="83">
                  <c:v>2.9524539661207894</c:v>
                </c:pt>
                <c:pt idx="84">
                  <c:v>2.9825288418007418</c:v>
                </c:pt>
                <c:pt idx="85">
                  <c:v>3.0126045988078944</c:v>
                </c:pt>
                <c:pt idx="86">
                  <c:v>3.0426812376742314</c:v>
                </c:pt>
                <c:pt idx="87">
                  <c:v>3.072758758931835</c:v>
                </c:pt>
                <c:pt idx="88">
                  <c:v>3.1028371631128882</c:v>
                </c:pt>
                <c:pt idx="89">
                  <c:v>3.1329164507496774</c:v>
                </c:pt>
                <c:pt idx="90">
                  <c:v>3.1629966223745862</c:v>
                </c:pt>
                <c:pt idx="91">
                  <c:v>3.1930776785201012</c:v>
                </c:pt>
                <c:pt idx="92">
                  <c:v>3.2231596197188086</c:v>
                </c:pt>
                <c:pt idx="93">
                  <c:v>3.2532424465033962</c:v>
                </c:pt>
                <c:pt idx="94">
                  <c:v>3.2833261594066503</c:v>
                </c:pt>
                <c:pt idx="95">
                  <c:v>3.3134107589614619</c:v>
                </c:pt>
                <c:pt idx="96">
                  <c:v>3.3434962457008215</c:v>
                </c:pt>
                <c:pt idx="97">
                  <c:v>3.3735826201578174</c:v>
                </c:pt>
                <c:pt idx="98">
                  <c:v>3.4036698828656444</c:v>
                </c:pt>
                <c:pt idx="99">
                  <c:v>3.4337580343575933</c:v>
                </c:pt>
                <c:pt idx="100">
                  <c:v>3.4638470751670578</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1.0159189187227498</c:v>
                </c:pt>
                <c:pt idx="2">
                  <c:v>1.0318378374454995</c:v>
                </c:pt>
                <c:pt idx="3">
                  <c:v>1.047756756168249</c:v>
                </c:pt>
                <c:pt idx="4">
                  <c:v>1.0636756748909988</c:v>
                </c:pt>
                <c:pt idx="5">
                  <c:v>1.0795945936137485</c:v>
                </c:pt>
                <c:pt idx="6">
                  <c:v>1.0955135123364981</c:v>
                </c:pt>
                <c:pt idx="7">
                  <c:v>1.1114324310592478</c:v>
                </c:pt>
                <c:pt idx="8">
                  <c:v>1.1273513497819976</c:v>
                </c:pt>
                <c:pt idx="9">
                  <c:v>1.1432702685047473</c:v>
                </c:pt>
                <c:pt idx="10">
                  <c:v>1.1591891872274971</c:v>
                </c:pt>
                <c:pt idx="11">
                  <c:v>1.1751081059502466</c:v>
                </c:pt>
                <c:pt idx="12">
                  <c:v>1.1910270246729964</c:v>
                </c:pt>
                <c:pt idx="13">
                  <c:v>1.2411832043137001</c:v>
                </c:pt>
                <c:pt idx="14">
                  <c:v>1.2707000851928387</c:v>
                </c:pt>
                <c:pt idx="15">
                  <c:v>1.2991803103908752</c:v>
                </c:pt>
                <c:pt idx="16">
                  <c:v>1.3267259907690663</c:v>
                </c:pt>
                <c:pt idx="17">
                  <c:v>1.353423499440322</c:v>
                </c:pt>
                <c:pt idx="18">
                  <c:v>1.3793466717157314</c:v>
                </c:pt>
                <c:pt idx="19">
                  <c:v>1.4045592141429544</c:v>
                </c:pt>
                <c:pt idx="20">
                  <c:v>1.429116549197003</c:v>
                </c:pt>
                <c:pt idx="21">
                  <c:v>1.4530672492591656</c:v>
                </c:pt>
                <c:pt idx="22">
                  <c:v>1.4764541664082891</c:v>
                </c:pt>
                <c:pt idx="23">
                  <c:v>1.4993153333592055</c:v>
                </c:pt>
                <c:pt idx="24">
                  <c:v>1.5216846897787204</c:v>
                </c:pt>
                <c:pt idx="25">
                  <c:v>1.5435926736465184</c:v>
                </c:pt>
                <c:pt idx="26">
                  <c:v>1.5650667070995241</c:v>
                </c:pt>
                <c:pt idx="27">
                  <c:v>1.5861315988972813</c:v>
                </c:pt>
                <c:pt idx="28">
                  <c:v>1.6068098803577531</c:v>
                </c:pt>
                <c:pt idx="29">
                  <c:v>1.6271220877309116</c:v>
                </c:pt>
                <c:pt idx="30">
                  <c:v>1.6470870010922565</c:v>
                </c:pt>
                <c:pt idx="31">
                  <c:v>1.6667218476694952</c:v>
                </c:pt>
                <c:pt idx="32">
                  <c:v>1.6860424758678889</c:v>
                </c:pt>
                <c:pt idx="33">
                  <c:v>1.7050635049956773</c:v>
                </c:pt>
                <c:pt idx="34">
                  <c:v>1.7237984547123517</c:v>
                </c:pt>
                <c:pt idx="35">
                  <c:v>1.7422598574584276</c:v>
                </c:pt>
                <c:pt idx="36">
                  <c:v>1.7604593565239701</c:v>
                </c:pt>
                <c:pt idx="37">
                  <c:v>1.7784077919362895</c:v>
                </c:pt>
                <c:pt idx="38">
                  <c:v>1.7961152759664554</c:v>
                </c:pt>
                <c:pt idx="39">
                  <c:v>1.813591259748246</c:v>
                </c:pt>
                <c:pt idx="40">
                  <c:v>1.8308445922556316</c:v>
                </c:pt>
                <c:pt idx="41">
                  <c:v>1.8478835726835343</c:v>
                </c:pt>
                <c:pt idx="42">
                  <c:v>1.8647159971118721</c:v>
                </c:pt>
                <c:pt idx="43">
                  <c:v>1.8813492001974468</c:v>
                </c:pt>
                <c:pt idx="44">
                  <c:v>1.8977900925262583</c:v>
                </c:pt>
                <c:pt idx="45">
                  <c:v>1.9140451941658749</c:v>
                </c:pt>
                <c:pt idx="46">
                  <c:v>1.9301206648799201</c:v>
                </c:pt>
                <c:pt idx="47">
                  <c:v>1.9460223314017759</c:v>
                </c:pt>
                <c:pt idx="48">
                  <c:v>1.9617557121099554</c:v>
                </c:pt>
                <c:pt idx="49">
                  <c:v>1.977326039401422</c:v>
                </c:pt>
                <c:pt idx="50">
                  <c:v>1.9927382800200464</c:v>
                </c:pt>
                <c:pt idx="51">
                  <c:v>2.0079971535640806</c:v>
                </c:pt>
                <c:pt idx="52">
                  <c:v>2.023107149368141</c:v>
                </c:pt>
                <c:pt idx="53">
                  <c:v>2.0380725419308581</c:v>
                </c:pt>
                <c:pt idx="54">
                  <c:v>2.0528974050384505</c:v>
                </c:pt>
                <c:pt idx="55">
                  <c:v>2.0675856247164721</c:v>
                </c:pt>
                <c:pt idx="56">
                  <c:v>2.0821409111264182</c:v>
                </c:pt>
                <c:pt idx="57">
                  <c:v>2.0965668095103864</c:v>
                </c:pt>
                <c:pt idx="58">
                  <c:v>2.1108667102752734</c:v>
                </c:pt>
                <c:pt idx="59">
                  <c:v>2.1250438582977678</c:v>
                </c:pt>
                <c:pt idx="60">
                  <c:v>2.1391013615224912</c:v>
                </c:pt>
                <c:pt idx="61">
                  <c:v>2.1530421989178286</c:v>
                </c:pt>
                <c:pt idx="62">
                  <c:v>2.1668692278471369</c:v>
                </c:pt>
                <c:pt idx="63">
                  <c:v>2.1805851909070002</c:v>
                </c:pt>
                <c:pt idx="64">
                  <c:v>2.1941927222788733</c:v>
                </c:pt>
                <c:pt idx="65">
                  <c:v>2.2076943536357998</c:v>
                </c:pt>
                <c:pt idx="66">
                  <c:v>2.2210925196416857</c:v>
                </c:pt>
                <c:pt idx="67">
                  <c:v>2.2343895630769928</c:v>
                </c:pt>
                <c:pt idx="68">
                  <c:v>2.2475877396213848</c:v>
                </c:pt>
                <c:pt idx="69">
                  <c:v>2.3279700345841947</c:v>
                </c:pt>
                <c:pt idx="70">
                  <c:v>2.355056654105371</c:v>
                </c:pt>
                <c:pt idx="71">
                  <c:v>2.3821433899342548</c:v>
                </c:pt>
                <c:pt idx="72">
                  <c:v>2.409230242332125</c:v>
                </c:pt>
                <c:pt idx="73">
                  <c:v>2.4363172115602829</c:v>
                </c:pt>
                <c:pt idx="74">
                  <c:v>2.4634042978800501</c:v>
                </c:pt>
                <c:pt idx="75">
                  <c:v>2.4904915015527695</c:v>
                </c:pt>
                <c:pt idx="76">
                  <c:v>2.5175788228398064</c:v>
                </c:pt>
                <c:pt idx="77">
                  <c:v>2.5446662620025489</c:v>
                </c:pt>
                <c:pt idx="78">
                  <c:v>2.571753819302403</c:v>
                </c:pt>
                <c:pt idx="79">
                  <c:v>2.5988414950007979</c:v>
                </c:pt>
                <c:pt idx="80">
                  <c:v>2.6259292893591857</c:v>
                </c:pt>
                <c:pt idx="81">
                  <c:v>2.6530172026390382</c:v>
                </c:pt>
                <c:pt idx="82">
                  <c:v>2.6801052351018502</c:v>
                </c:pt>
                <c:pt idx="83">
                  <c:v>2.707193387009136</c:v>
                </c:pt>
                <c:pt idx="84">
                  <c:v>2.7342816586224354</c:v>
                </c:pt>
                <c:pt idx="85">
                  <c:v>2.7613700502033045</c:v>
                </c:pt>
                <c:pt idx="86">
                  <c:v>2.788458562013326</c:v>
                </c:pt>
                <c:pt idx="87">
                  <c:v>2.8155471943140995</c:v>
                </c:pt>
                <c:pt idx="88">
                  <c:v>2.84263594736725</c:v>
                </c:pt>
                <c:pt idx="89">
                  <c:v>2.8697248214344229</c:v>
                </c:pt>
                <c:pt idx="90">
                  <c:v>2.8968138167772848</c:v>
                </c:pt>
                <c:pt idx="91">
                  <c:v>2.9239029336575237</c:v>
                </c:pt>
                <c:pt idx="92">
                  <c:v>2.9509921723368508</c:v>
                </c:pt>
                <c:pt idx="93">
                  <c:v>2.9780815330769972</c:v>
                </c:pt>
                <c:pt idx="94">
                  <c:v>3.0051710161397152</c:v>
                </c:pt>
                <c:pt idx="95">
                  <c:v>3.032260621786782</c:v>
                </c:pt>
                <c:pt idx="96">
                  <c:v>3.0593503502799941</c:v>
                </c:pt>
                <c:pt idx="97">
                  <c:v>3.0864402018811701</c:v>
                </c:pt>
                <c:pt idx="98">
                  <c:v>3.1135301768521497</c:v>
                </c:pt>
                <c:pt idx="99">
                  <c:v>3.1406202754547943</c:v>
                </c:pt>
                <c:pt idx="100">
                  <c:v>3.1677104979509894</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1.0159187450128828</c:v>
                </c:pt>
                <c:pt idx="2">
                  <c:v>1.0318374900257656</c:v>
                </c:pt>
                <c:pt idx="3">
                  <c:v>1.0477562350386485</c:v>
                </c:pt>
                <c:pt idx="4">
                  <c:v>1.0636749800515313</c:v>
                </c:pt>
                <c:pt idx="5">
                  <c:v>1.0795937250644141</c:v>
                </c:pt>
                <c:pt idx="6">
                  <c:v>1.0955124700772969</c:v>
                </c:pt>
                <c:pt idx="7">
                  <c:v>1.1114312150901797</c:v>
                </c:pt>
                <c:pt idx="8">
                  <c:v>1.1273499601030625</c:v>
                </c:pt>
                <c:pt idx="9">
                  <c:v>1.1432687051159456</c:v>
                </c:pt>
                <c:pt idx="10">
                  <c:v>1.1591874501288284</c:v>
                </c:pt>
                <c:pt idx="11">
                  <c:v>1.1751061951417112</c:v>
                </c:pt>
                <c:pt idx="12">
                  <c:v>1.191024940154594</c:v>
                </c:pt>
                <c:pt idx="13">
                  <c:v>1.2411832043137001</c:v>
                </c:pt>
                <c:pt idx="14">
                  <c:v>1.2707000851928387</c:v>
                </c:pt>
                <c:pt idx="15">
                  <c:v>1.2991803103908752</c:v>
                </c:pt>
                <c:pt idx="16">
                  <c:v>1.3267259907690663</c:v>
                </c:pt>
                <c:pt idx="17">
                  <c:v>1.353423499440322</c:v>
                </c:pt>
                <c:pt idx="18">
                  <c:v>1.3793466717157314</c:v>
                </c:pt>
                <c:pt idx="19">
                  <c:v>1.4045592141429544</c:v>
                </c:pt>
                <c:pt idx="20">
                  <c:v>1.429116549197003</c:v>
                </c:pt>
                <c:pt idx="21">
                  <c:v>1.4530672492591656</c:v>
                </c:pt>
                <c:pt idx="22">
                  <c:v>1.4764541664082891</c:v>
                </c:pt>
                <c:pt idx="23">
                  <c:v>1.4993153333592055</c:v>
                </c:pt>
                <c:pt idx="24">
                  <c:v>1.5216846897787204</c:v>
                </c:pt>
                <c:pt idx="25">
                  <c:v>1.5435926736465184</c:v>
                </c:pt>
                <c:pt idx="26">
                  <c:v>1.5650667070995241</c:v>
                </c:pt>
                <c:pt idx="27">
                  <c:v>1.5861315988972813</c:v>
                </c:pt>
                <c:pt idx="28">
                  <c:v>1.6068098803577531</c:v>
                </c:pt>
                <c:pt idx="29">
                  <c:v>1.6271220877309116</c:v>
                </c:pt>
                <c:pt idx="30">
                  <c:v>1.6470870010922565</c:v>
                </c:pt>
                <c:pt idx="31">
                  <c:v>1.6667218476694952</c:v>
                </c:pt>
                <c:pt idx="32">
                  <c:v>1.6860424758678889</c:v>
                </c:pt>
                <c:pt idx="33">
                  <c:v>1.7050635049956773</c:v>
                </c:pt>
                <c:pt idx="34">
                  <c:v>1.7237984547123517</c:v>
                </c:pt>
                <c:pt idx="35">
                  <c:v>1.7422598574584276</c:v>
                </c:pt>
                <c:pt idx="36">
                  <c:v>1.7604593565239701</c:v>
                </c:pt>
                <c:pt idx="37">
                  <c:v>1.7784077919362895</c:v>
                </c:pt>
                <c:pt idx="38">
                  <c:v>1.7961152759664554</c:v>
                </c:pt>
                <c:pt idx="39">
                  <c:v>1.813591259748246</c:v>
                </c:pt>
                <c:pt idx="40">
                  <c:v>1.8308445922556316</c:v>
                </c:pt>
                <c:pt idx="41">
                  <c:v>1.8478835726835343</c:v>
                </c:pt>
                <c:pt idx="42">
                  <c:v>1.8647159971118721</c:v>
                </c:pt>
                <c:pt idx="43">
                  <c:v>1.8813492001974468</c:v>
                </c:pt>
                <c:pt idx="44">
                  <c:v>1.8977900925262583</c:v>
                </c:pt>
                <c:pt idx="45">
                  <c:v>1.9140451941658749</c:v>
                </c:pt>
                <c:pt idx="46">
                  <c:v>1.9301206648799201</c:v>
                </c:pt>
                <c:pt idx="47">
                  <c:v>1.9460223314017759</c:v>
                </c:pt>
                <c:pt idx="48">
                  <c:v>1.9617557121099554</c:v>
                </c:pt>
                <c:pt idx="49">
                  <c:v>1.977326039401422</c:v>
                </c:pt>
                <c:pt idx="50">
                  <c:v>1.9927382800200464</c:v>
                </c:pt>
                <c:pt idx="51">
                  <c:v>2.0079971535640806</c:v>
                </c:pt>
                <c:pt idx="52">
                  <c:v>2.023107149368141</c:v>
                </c:pt>
                <c:pt idx="53">
                  <c:v>2.0380725419308581</c:v>
                </c:pt>
                <c:pt idx="54">
                  <c:v>2.0528974050384505</c:v>
                </c:pt>
                <c:pt idx="55">
                  <c:v>2.0675856247164721</c:v>
                </c:pt>
                <c:pt idx="56">
                  <c:v>2.0821409111264182</c:v>
                </c:pt>
                <c:pt idx="57">
                  <c:v>2.0965668095103864</c:v>
                </c:pt>
                <c:pt idx="58">
                  <c:v>2.1108667102752734</c:v>
                </c:pt>
                <c:pt idx="59">
                  <c:v>2.1250438582977678</c:v>
                </c:pt>
                <c:pt idx="60">
                  <c:v>2.1391013615224912</c:v>
                </c:pt>
                <c:pt idx="61">
                  <c:v>2.1530421989178286</c:v>
                </c:pt>
                <c:pt idx="62">
                  <c:v>2.1668692278471369</c:v>
                </c:pt>
                <c:pt idx="63">
                  <c:v>2.1805851909070002</c:v>
                </c:pt>
                <c:pt idx="64">
                  <c:v>2.1941927222788733</c:v>
                </c:pt>
                <c:pt idx="65">
                  <c:v>2.2076943536357998</c:v>
                </c:pt>
                <c:pt idx="66">
                  <c:v>2.2210925196416857</c:v>
                </c:pt>
                <c:pt idx="67">
                  <c:v>2.2343895630769928</c:v>
                </c:pt>
                <c:pt idx="68">
                  <c:v>2.2475877396213848</c:v>
                </c:pt>
                <c:pt idx="69">
                  <c:v>2.2606892223209867</c:v>
                </c:pt>
                <c:pt idx="70">
                  <c:v>2.2736961057653167</c:v>
                </c:pt>
                <c:pt idx="71">
                  <c:v>2.2866104099966091</c:v>
                </c:pt>
                <c:pt idx="72">
                  <c:v>2.2994340841722041</c:v>
                </c:pt>
                <c:pt idx="73">
                  <c:v>2.3121690099987968</c:v>
                </c:pt>
                <c:pt idx="74">
                  <c:v>2.3248170049556833</c:v>
                </c:pt>
                <c:pt idx="75">
                  <c:v>2.3373798253226292</c:v>
                </c:pt>
                <c:pt idx="76">
                  <c:v>2.349859169026649</c:v>
                </c:pt>
                <c:pt idx="77">
                  <c:v>2.3622566783207599</c:v>
                </c:pt>
                <c:pt idx="78">
                  <c:v>2.3745739423066694</c:v>
                </c:pt>
                <c:pt idx="79">
                  <c:v>2.3868124993123767</c:v>
                </c:pt>
                <c:pt idx="80">
                  <c:v>2.3989738391347468</c:v>
                </c:pt>
                <c:pt idx="81">
                  <c:v>2.4110594051563257</c:v>
                </c:pt>
                <c:pt idx="82">
                  <c:v>2.4230705963448962</c:v>
                </c:pt>
                <c:pt idx="83">
                  <c:v>2.435008769143634</c:v>
                </c:pt>
                <c:pt idx="84">
                  <c:v>2.4468752392590725</c:v>
                </c:pt>
                <c:pt idx="85">
                  <c:v>2.4586712833535644</c:v>
                </c:pt>
                <c:pt idx="86">
                  <c:v>2.4703981406483977</c:v>
                </c:pt>
                <c:pt idx="87">
                  <c:v>2.4820570144432583</c:v>
                </c:pt>
                <c:pt idx="88">
                  <c:v>2.4936490735573189</c:v>
                </c:pt>
                <c:pt idx="89">
                  <c:v>2.5051754536968422</c:v>
                </c:pt>
                <c:pt idx="90">
                  <c:v>2.5166372587538177</c:v>
                </c:pt>
                <c:pt idx="91">
                  <c:v>2.5280355620398431</c:v>
                </c:pt>
                <c:pt idx="92">
                  <c:v>2.5393714074591518</c:v>
                </c:pt>
                <c:pt idx="93">
                  <c:v>2.5506458106244154</c:v>
                </c:pt>
                <c:pt idx="94">
                  <c:v>2.5618597599186947</c:v>
                </c:pt>
                <c:pt idx="95">
                  <c:v>2.5730142175066852</c:v>
                </c:pt>
                <c:pt idx="96">
                  <c:v>2.5841101202981811</c:v>
                </c:pt>
                <c:pt idx="97">
                  <c:v>2.5951483808664921</c:v>
                </c:pt>
                <c:pt idx="98">
                  <c:v>2.6061298883243613</c:v>
                </c:pt>
                <c:pt idx="99">
                  <c:v>2.6170555091597585</c:v>
                </c:pt>
                <c:pt idx="100">
                  <c:v>2.6279260880337771</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72.74846127931653</c:v>
                </c:pt>
                <c:pt idx="1">
                  <c:v>71.948715704027791</c:v>
                </c:pt>
                <c:pt idx="2">
                  <c:v>71.148987643310818</c:v>
                </c:pt>
                <c:pt idx="3">
                  <c:v>70.349256859839201</c:v>
                </c:pt>
                <c:pt idx="4">
                  <c:v>69.550029341634712</c:v>
                </c:pt>
                <c:pt idx="5">
                  <c:v>68.749961471360237</c:v>
                </c:pt>
                <c:pt idx="6">
                  <c:v>67.950178091016525</c:v>
                </c:pt>
                <c:pt idx="7">
                  <c:v>67.150142879727568</c:v>
                </c:pt>
                <c:pt idx="8">
                  <c:v>66.350431605479557</c:v>
                </c:pt>
                <c:pt idx="9">
                  <c:v>65.550432929574811</c:v>
                </c:pt>
                <c:pt idx="10">
                  <c:v>64.750602278482063</c:v>
                </c:pt>
                <c:pt idx="11">
                  <c:v>63.950822285146714</c:v>
                </c:pt>
                <c:pt idx="12">
                  <c:v>63.150667264907405</c:v>
                </c:pt>
                <c:pt idx="13">
                  <c:v>62.350904152227038</c:v>
                </c:pt>
                <c:pt idx="14">
                  <c:v>61.550893452192895</c:v>
                </c:pt>
                <c:pt idx="15">
                  <c:v>60.750942344668417</c:v>
                </c:pt>
                <c:pt idx="16">
                  <c:v>59.950986258894396</c:v>
                </c:pt>
                <c:pt idx="17">
                  <c:v>59.151139205605723</c:v>
                </c:pt>
                <c:pt idx="18">
                  <c:v>58.351169410510025</c:v>
                </c:pt>
                <c:pt idx="19">
                  <c:v>57.551292482810453</c:v>
                </c:pt>
                <c:pt idx="20">
                  <c:v>56.751349731155116</c:v>
                </c:pt>
                <c:pt idx="21">
                  <c:v>55.95150535091777</c:v>
                </c:pt>
                <c:pt idx="22">
                  <c:v>55.151589942118804</c:v>
                </c:pt>
                <c:pt idx="23">
                  <c:v>54.351803515142848</c:v>
                </c:pt>
                <c:pt idx="24">
                  <c:v>53.551945450532216</c:v>
                </c:pt>
                <c:pt idx="25">
                  <c:v>52.752143546593906</c:v>
                </c:pt>
                <c:pt idx="26">
                  <c:v>51.952216751847146</c:v>
                </c:pt>
                <c:pt idx="27">
                  <c:v>51.15242658109571</c:v>
                </c:pt>
                <c:pt idx="28">
                  <c:v>50.352750653509936</c:v>
                </c:pt>
                <c:pt idx="29">
                  <c:v>49.553696648844188</c:v>
                </c:pt>
                <c:pt idx="30">
                  <c:v>48.753927192641285</c:v>
                </c:pt>
                <c:pt idx="31">
                  <c:v>47.954576946586833</c:v>
                </c:pt>
                <c:pt idx="32">
                  <c:v>47.155124562706156</c:v>
                </c:pt>
                <c:pt idx="33">
                  <c:v>46.35616511678591</c:v>
                </c:pt>
                <c:pt idx="34">
                  <c:v>45.557113319267835</c:v>
                </c:pt>
                <c:pt idx="35">
                  <c:v>44.758456163741599</c:v>
                </c:pt>
                <c:pt idx="36">
                  <c:v>43.960116070992612</c:v>
                </c:pt>
                <c:pt idx="37">
                  <c:v>43.161717005191107</c:v>
                </c:pt>
                <c:pt idx="38">
                  <c:v>42.364083495762529</c:v>
                </c:pt>
                <c:pt idx="39">
                  <c:v>41.566649513280979</c:v>
                </c:pt>
                <c:pt idx="40">
                  <c:v>40.769808185878482</c:v>
                </c:pt>
                <c:pt idx="41">
                  <c:v>39.973599676044692</c:v>
                </c:pt>
                <c:pt idx="42">
                  <c:v>39.178262975486327</c:v>
                </c:pt>
                <c:pt idx="43">
                  <c:v>38.383718458860024</c:v>
                </c:pt>
                <c:pt idx="44">
                  <c:v>37.590361058833118</c:v>
                </c:pt>
                <c:pt idx="45">
                  <c:v>36.798249648339763</c:v>
                </c:pt>
                <c:pt idx="46">
                  <c:v>36.007805210526847</c:v>
                </c:pt>
                <c:pt idx="47">
                  <c:v>35.219168693688999</c:v>
                </c:pt>
                <c:pt idx="48">
                  <c:v>34.432904359821116</c:v>
                </c:pt>
                <c:pt idx="49">
                  <c:v>33.649251321998563</c:v>
                </c:pt>
                <c:pt idx="50">
                  <c:v>32.868852502005879</c:v>
                </c:pt>
                <c:pt idx="51">
                  <c:v>32.092143873465567</c:v>
                </c:pt>
                <c:pt idx="52">
                  <c:v>31.320100593682941</c:v>
                </c:pt>
                <c:pt idx="53">
                  <c:v>30.55354524210529</c:v>
                </c:pt>
                <c:pt idx="54">
                  <c:v>29.793944009897942</c:v>
                </c:pt>
                <c:pt idx="55">
                  <c:v>29.041174010977763</c:v>
                </c:pt>
                <c:pt idx="56">
                  <c:v>28.297630225875395</c:v>
                </c:pt>
                <c:pt idx="57">
                  <c:v>27.564336130725216</c:v>
                </c:pt>
                <c:pt idx="58">
                  <c:v>26.843543168903111</c:v>
                </c:pt>
                <c:pt idx="59">
                  <c:v>26.136632850629468</c:v>
                </c:pt>
                <c:pt idx="60">
                  <c:v>25.446145878212356</c:v>
                </c:pt>
                <c:pt idx="61">
                  <c:v>24.774293328440578</c:v>
                </c:pt>
                <c:pt idx="62">
                  <c:v>24.123200660239775</c:v>
                </c:pt>
                <c:pt idx="63">
                  <c:v>23.49606069360744</c:v>
                </c:pt>
                <c:pt idx="64">
                  <c:v>22.894963201777649</c:v>
                </c:pt>
                <c:pt idx="65">
                  <c:v>22.322682553695525</c:v>
                </c:pt>
                <c:pt idx="66">
                  <c:v>21.78153486846146</c:v>
                </c:pt>
                <c:pt idx="67">
                  <c:v>21.273672192752542</c:v>
                </c:pt>
                <c:pt idx="68">
                  <c:v>20.800632708670381</c:v>
                </c:pt>
                <c:pt idx="69">
                  <c:v>20.363733258876053</c:v>
                </c:pt>
                <c:pt idx="70">
                  <c:v>19.963500780967514</c:v>
                </c:pt>
                <c:pt idx="71">
                  <c:v>19.600018093123609</c:v>
                </c:pt>
                <c:pt idx="72">
                  <c:v>19.27259648169095</c:v>
                </c:pt>
                <c:pt idx="73">
                  <c:v>18.980131521036284</c:v>
                </c:pt>
                <c:pt idx="74">
                  <c:v>18.72086560102148</c:v>
                </c:pt>
                <c:pt idx="75">
                  <c:v>18.492762516222733</c:v>
                </c:pt>
                <c:pt idx="76">
                  <c:v>18.293410092880627</c:v>
                </c:pt>
                <c:pt idx="77">
                  <c:v>18.120337819749587</c:v>
                </c:pt>
                <c:pt idx="78">
                  <c:v>17.970929337955202</c:v>
                </c:pt>
                <c:pt idx="79">
                  <c:v>17.842677392846113</c:v>
                </c:pt>
                <c:pt idx="80">
                  <c:v>17.732896257180506</c:v>
                </c:pt>
                <c:pt idx="81">
                  <c:v>17.639427321827526</c:v>
                </c:pt>
                <c:pt idx="82">
                  <c:v>17.560057411005438</c:v>
                </c:pt>
                <c:pt idx="83">
                  <c:v>17.492895097299083</c:v>
                </c:pt>
                <c:pt idx="84">
                  <c:v>17.43614720644937</c:v>
                </c:pt>
                <c:pt idx="85">
                  <c:v>17.388309681933961</c:v>
                </c:pt>
                <c:pt idx="86">
                  <c:v>17.34802434483678</c:v>
                </c:pt>
                <c:pt idx="87">
                  <c:v>17.314101966098335</c:v>
                </c:pt>
                <c:pt idx="88">
                  <c:v>17.285562017934627</c:v>
                </c:pt>
                <c:pt idx="89">
                  <c:v>17.261508193660152</c:v>
                </c:pt>
                <c:pt idx="90">
                  <c:v>17.241202792750908</c:v>
                </c:pt>
                <c:pt idx="91">
                  <c:v>17.22400186871732</c:v>
                </c:pt>
                <c:pt idx="92">
                  <c:v>17.209356453336117</c:v>
                </c:pt>
                <c:pt idx="93">
                  <c:v>17.196788047302189</c:v>
                </c:pt>
                <c:pt idx="94">
                  <c:v>17.193922662312918</c:v>
                </c:pt>
                <c:pt idx="95">
                  <c:v>17.192518548119835</c:v>
                </c:pt>
                <c:pt idx="96">
                  <c:v>17.191154194268996</c:v>
                </c:pt>
                <c:pt idx="97">
                  <c:v>17.189797440074372</c:v>
                </c:pt>
                <c:pt idx="98">
                  <c:v>17.188478508055642</c:v>
                </c:pt>
                <c:pt idx="99">
                  <c:v>17.187165983600707</c:v>
                </c:pt>
                <c:pt idx="100">
                  <c:v>17.185889437373941</c:v>
                </c:pt>
                <c:pt idx="101">
                  <c:v>17.184619120239745</c:v>
                </c:pt>
                <c:pt idx="102">
                  <c:v>17.18338297285894</c:v>
                </c:pt>
                <c:pt idx="103">
                  <c:v>17.182151024604334</c:v>
                </c:pt>
                <c:pt idx="104">
                  <c:v>17.180951570665762</c:v>
                </c:pt>
                <c:pt idx="105">
                  <c:v>17.179756169499399</c:v>
                </c:pt>
                <c:pt idx="106">
                  <c:v>17.178591614211744</c:v>
                </c:pt>
                <c:pt idx="107">
                  <c:v>17.177430885426091</c:v>
                </c:pt>
                <c:pt idx="108">
                  <c:v>17.176299386403933</c:v>
                </c:pt>
                <c:pt idx="109">
                  <c:v>17.175170660052736</c:v>
                </c:pt>
                <c:pt idx="110">
                  <c:v>17.174069620758857</c:v>
                </c:pt>
                <c:pt idx="111">
                  <c:v>17.172969626715712</c:v>
                </c:pt>
                <c:pt idx="112">
                  <c:v>17.171895877820955</c:v>
                </c:pt>
                <c:pt idx="113">
                  <c:v>17.170822964965733</c:v>
                </c:pt>
                <c:pt idx="114">
                  <c:v>17.169774877994342</c:v>
                </c:pt>
                <c:pt idx="115">
                  <c:v>17.168726692484512</c:v>
                </c:pt>
                <c:pt idx="116">
                  <c:v>17.167701969606036</c:v>
                </c:pt>
                <c:pt idx="117">
                  <c:v>17.166676240388668</c:v>
                </c:pt>
                <c:pt idx="118">
                  <c:v>17.165672661830037</c:v>
                </c:pt>
                <c:pt idx="119">
                  <c:v>17.164667792927062</c:v>
                </c:pt>
                <c:pt idx="120">
                  <c:v>17.163683785104226</c:v>
                </c:pt>
                <c:pt idx="121">
                  <c:v>17.162697567750584</c:v>
                </c:pt>
                <c:pt idx="122">
                  <c:v>17.161730970360392</c:v>
                </c:pt>
                <c:pt idx="123">
                  <c:v>17.160760705241003</c:v>
                </c:pt>
                <c:pt idx="124">
                  <c:v>17.159808884141398</c:v>
                </c:pt>
                <c:pt idx="125">
                  <c:v>17.158853082219917</c:v>
                </c:pt>
                <c:pt idx="126">
                  <c:v>17.157914565481928</c:v>
                </c:pt>
                <c:pt idx="127">
                  <c:v>17.156971184560604</c:v>
                </c:pt>
                <c:pt idx="128">
                  <c:v>17.15604396764482</c:v>
                </c:pt>
                <c:pt idx="129">
                  <c:v>17.155111007692049</c:v>
                </c:pt>
                <c:pt idx="130">
                  <c:v>17.154193125179283</c:v>
                </c:pt>
                <c:pt idx="131">
                  <c:v>17.15326862176466</c:v>
                </c:pt>
                <c:pt idx="132">
                  <c:v>17.152811680823948</c:v>
                </c:pt>
                <c:pt idx="133">
                  <c:v>17.15235814105651</c:v>
                </c:pt>
                <c:pt idx="134">
                  <c:v>17.151897237981999</c:v>
                </c:pt>
                <c:pt idx="135">
                  <c:v>17.151439688898019</c:v>
                </c:pt>
                <c:pt idx="136">
                  <c:v>17.150985391658743</c:v>
                </c:pt>
                <c:pt idx="137">
                  <c:v>17.150534247008071</c:v>
                </c:pt>
                <c:pt idx="138">
                  <c:v>17.150076019903409</c:v>
                </c:pt>
                <c:pt idx="139">
                  <c:v>17.149620889015843</c:v>
                </c:pt>
                <c:pt idx="140">
                  <c:v>17.149168756932095</c:v>
                </c:pt>
                <c:pt idx="141">
                  <c:v>17.148719528994569</c:v>
                </c:pt>
                <c:pt idx="142">
                  <c:v>17.148262560559573</c:v>
                </c:pt>
                <c:pt idx="143">
                  <c:v>17.147808443337141</c:v>
                </c:pt>
                <c:pt idx="144">
                  <c:v>17.147357084155253</c:v>
                </c:pt>
                <c:pt idx="145">
                  <c:v>17.146908392480064</c:v>
                </c:pt>
                <c:pt idx="146">
                  <c:v>17.146451976411576</c:v>
                </c:pt>
                <c:pt idx="147">
                  <c:v>17.145998169191458</c:v>
                </c:pt>
                <c:pt idx="148">
                  <c:v>17.145546881855417</c:v>
                </c:pt>
                <c:pt idx="149">
                  <c:v>17.145098027959289</c:v>
                </c:pt>
                <c:pt idx="150">
                  <c:v>17.144641226824774</c:v>
                </c:pt>
                <c:pt idx="151">
                  <c:v>17.144186797608196</c:v>
                </c:pt>
                <c:pt idx="152">
                  <c:v>17.14373465537798</c:v>
                </c:pt>
                <c:pt idx="153">
                  <c:v>17.14328471760949</c:v>
                </c:pt>
                <c:pt idx="154">
                  <c:v>17.142826387308713</c:v>
                </c:pt>
                <c:pt idx="155">
                  <c:v>17.142370198911006</c:v>
                </c:pt>
                <c:pt idx="156">
                  <c:v>17.141916071240836</c:v>
                </c:pt>
                <c:pt idx="157">
                  <c:v>17.141463925425246</c:v>
                </c:pt>
                <c:pt idx="158">
                  <c:v>17.141003144858157</c:v>
                </c:pt>
                <c:pt idx="159">
                  <c:v>17.140544280105662</c:v>
                </c:pt>
                <c:pt idx="160">
                  <c:v>17.140087253608719</c:v>
                </c:pt>
                <c:pt idx="161">
                  <c:v>17.139631990010237</c:v>
                </c:pt>
                <c:pt idx="162">
                  <c:v>17.139168038796917</c:v>
                </c:pt>
                <c:pt idx="163">
                  <c:v>17.138705779452021</c:v>
                </c:pt>
                <c:pt idx="164">
                  <c:v>17.138245137994762</c:v>
                </c:pt>
                <c:pt idx="165">
                  <c:v>17.137786042545592</c:v>
                </c:pt>
                <c:pt idx="166">
                  <c:v>17.137317583222803</c:v>
                </c:pt>
                <c:pt idx="167">
                  <c:v>17.136850598134405</c:v>
                </c:pt>
                <c:pt idx="168">
                  <c:v>17.136385016552389</c:v>
                </c:pt>
                <c:pt idx="169">
                  <c:v>17.135920769760173</c:v>
                </c:pt>
                <c:pt idx="170">
                  <c:v>17.135447869232749</c:v>
                </c:pt>
                <c:pt idx="171">
                  <c:v>17.134976222592929</c:v>
                </c:pt>
                <c:pt idx="172">
                  <c:v>17.134505762674561</c:v>
                </c:pt>
                <c:pt idx="173">
                  <c:v>17.134036424220142</c:v>
                </c:pt>
                <c:pt idx="174">
                  <c:v>17.133556351559946</c:v>
                </c:pt>
                <c:pt idx="175">
                  <c:v>17.133077324591653</c:v>
                </c:pt>
                <c:pt idx="176">
                  <c:v>17.132599278831073</c:v>
                </c:pt>
                <c:pt idx="177">
                  <c:v>17.13212215163184</c:v>
                </c:pt>
                <c:pt idx="178">
                  <c:v>17.131634180876524</c:v>
                </c:pt>
                <c:pt idx="179">
                  <c:v>17.131147046915547</c:v>
                </c:pt>
                <c:pt idx="180">
                  <c:v>17.130660687971737</c:v>
                </c:pt>
                <c:pt idx="181">
                  <c:v>17.130175044032914</c:v>
                </c:pt>
                <c:pt idx="182">
                  <c:v>17.129680363353973</c:v>
                </c:pt>
                <c:pt idx="183">
                  <c:v>17.129186305800033</c:v>
                </c:pt>
                <c:pt idx="184">
                  <c:v>17.128692812984873</c:v>
                </c:pt>
                <c:pt idx="185">
                  <c:v>17.128199828187345</c:v>
                </c:pt>
                <c:pt idx="186">
                  <c:v>17.127693781685135</c:v>
                </c:pt>
                <c:pt idx="187">
                  <c:v>17.127188155235636</c:v>
                </c:pt>
                <c:pt idx="188">
                  <c:v>17.126682892445693</c:v>
                </c:pt>
                <c:pt idx="189">
                  <c:v>17.126177938539303</c:v>
                </c:pt>
                <c:pt idx="190">
                  <c:v>17.12566361080269</c:v>
                </c:pt>
                <c:pt idx="191">
                  <c:v>17.125149493887125</c:v>
                </c:pt>
                <c:pt idx="192">
                  <c:v>17.12463553466031</c:v>
                </c:pt>
                <c:pt idx="193">
                  <c:v>17.124121681510061</c:v>
                </c:pt>
                <c:pt idx="194">
                  <c:v>17.123594414260825</c:v>
                </c:pt>
                <c:pt idx="195">
                  <c:v>17.123067153285408</c:v>
                </c:pt>
                <c:pt idx="196">
                  <c:v>17.122539847467408</c:v>
                </c:pt>
                <c:pt idx="197">
                  <c:v>17.122012447159868</c:v>
                </c:pt>
                <c:pt idx="198">
                  <c:v>17.121473350146093</c:v>
                </c:pt>
                <c:pt idx="199">
                  <c:v>17.120934054116983</c:v>
                </c:pt>
                <c:pt idx="200">
                  <c:v>17.120394510532872</c:v>
                </c:pt>
                <c:pt idx="201">
                  <c:v>17.119854672250696</c:v>
                </c:pt>
                <c:pt idx="202">
                  <c:v>17.119302914160876</c:v>
                </c:pt>
                <c:pt idx="203">
                  <c:v>17.118750753439166</c:v>
                </c:pt>
                <c:pt idx="204">
                  <c:v>17.118198144060777</c:v>
                </c:pt>
                <c:pt idx="205">
                  <c:v>17.117645041326185</c:v>
                </c:pt>
                <c:pt idx="206">
                  <c:v>17.117077844110142</c:v>
                </c:pt>
                <c:pt idx="207">
                  <c:v>17.11651003818849</c:v>
                </c:pt>
                <c:pt idx="208">
                  <c:v>17.115941579539804</c:v>
                </c:pt>
                <c:pt idx="209">
                  <c:v>17.115372425415408</c:v>
                </c:pt>
                <c:pt idx="210">
                  <c:v>17.11478696340852</c:v>
                </c:pt>
                <c:pt idx="211">
                  <c:v>17.114200679910702</c:v>
                </c:pt>
                <c:pt idx="212">
                  <c:v>17.113613532493417</c:v>
                </c:pt>
                <c:pt idx="213">
                  <c:v>17.113025479963625</c:v>
                </c:pt>
                <c:pt idx="214">
                  <c:v>17.112424731630004</c:v>
                </c:pt>
                <c:pt idx="215">
                  <c:v>17.111822958930873</c:v>
                </c:pt>
                <c:pt idx="216">
                  <c:v>17.111220121868939</c:v>
                </c:pt>
                <c:pt idx="217">
                  <c:v>17.11061618161218</c:v>
                </c:pt>
                <c:pt idx="218">
                  <c:v>17.109997290222385</c:v>
                </c:pt>
                <c:pt idx="219">
                  <c:v>17.109377166148072</c:v>
                </c:pt>
                <c:pt idx="220">
                  <c:v>17.108755771372984</c:v>
                </c:pt>
                <c:pt idx="221">
                  <c:v>17.108133068992718</c:v>
                </c:pt>
                <c:pt idx="222">
                  <c:v>17.107495095750387</c:v>
                </c:pt>
                <c:pt idx="223">
                  <c:v>17.106855681352553</c:v>
                </c:pt>
                <c:pt idx="224">
                  <c:v>17.106214789736683</c:v>
                </c:pt>
                <c:pt idx="225">
                  <c:v>17.105572385899141</c:v>
                </c:pt>
                <c:pt idx="226">
                  <c:v>17.104912367226664</c:v>
                </c:pt>
                <c:pt idx="227">
                  <c:v>17.104250688820354</c:v>
                </c:pt>
                <c:pt idx="228">
                  <c:v>17.103587316228079</c:v>
                </c:pt>
                <c:pt idx="229">
                  <c:v>17.102922216016708</c:v>
                </c:pt>
                <c:pt idx="230">
                  <c:v>17.101554139653768</c:v>
                </c:pt>
                <c:pt idx="231">
                  <c:v>17.100867247838682</c:v>
                </c:pt>
                <c:pt idx="232">
                  <c:v>17.100178410811314</c:v>
                </c:pt>
                <c:pt idx="233">
                  <c:v>17.099471174284297</c:v>
                </c:pt>
                <c:pt idx="234">
                  <c:v>17.09876183454687</c:v>
                </c:pt>
                <c:pt idx="235">
                  <c:v>17.098050360404308</c:v>
                </c:pt>
                <c:pt idx="236">
                  <c:v>17.097336721598747</c:v>
                </c:pt>
                <c:pt idx="237">
                  <c:v>17.096606341723877</c:v>
                </c:pt>
                <c:pt idx="238">
                  <c:v>17.09587364766411</c:v>
                </c:pt>
                <c:pt idx="239">
                  <c:v>17.095138610098971</c:v>
                </c:pt>
                <c:pt idx="240">
                  <c:v>17.094401200593556</c:v>
                </c:pt>
                <c:pt idx="241">
                  <c:v>17.093642444298748</c:v>
                </c:pt>
                <c:pt idx="242">
                  <c:v>17.092881135371986</c:v>
                </c:pt>
                <c:pt idx="243">
                  <c:v>17.092117245852535</c:v>
                </c:pt>
                <c:pt idx="244">
                  <c:v>17.091350748634412</c:v>
                </c:pt>
                <c:pt idx="245">
                  <c:v>17.090564542950975</c:v>
                </c:pt>
                <c:pt idx="246">
                  <c:v>17.089775558053212</c:v>
                </c:pt>
                <c:pt idx="247">
                  <c:v>17.088983767579574</c:v>
                </c:pt>
                <c:pt idx="248">
                  <c:v>17.088189145982643</c:v>
                </c:pt>
                <c:pt idx="249">
                  <c:v>17.087372181950514</c:v>
                </c:pt>
                <c:pt idx="250">
                  <c:v>17.08655219523833</c:v>
                </c:pt>
                <c:pt idx="251">
                  <c:v>17.085729160866389</c:v>
                </c:pt>
                <c:pt idx="252">
                  <c:v>17.08490305463739</c:v>
                </c:pt>
                <c:pt idx="253">
                  <c:v>17.084056270257349</c:v>
                </c:pt>
                <c:pt idx="254">
                  <c:v>17.083206234003143</c:v>
                </c:pt>
                <c:pt idx="255">
                  <c:v>17.082352922468701</c:v>
                </c:pt>
                <c:pt idx="256">
                  <c:v>17.081496312990627</c:v>
                </c:pt>
                <c:pt idx="257">
                  <c:v>17.080614061350637</c:v>
                </c:pt>
                <c:pt idx="258">
                  <c:v>17.079728292645196</c:v>
                </c:pt>
                <c:pt idx="259">
                  <c:v>17.078838984681038</c:v>
                </c:pt>
                <c:pt idx="260">
                  <c:v>17.077946115983245</c:v>
                </c:pt>
                <c:pt idx="261">
                  <c:v>17.077029250120109</c:v>
                </c:pt>
                <c:pt idx="262">
                  <c:v>17.076108616596098</c:v>
                </c:pt>
                <c:pt idx="263">
                  <c:v>17.075184194617808</c:v>
                </c:pt>
                <c:pt idx="264">
                  <c:v>17.074255964078187</c:v>
                </c:pt>
                <c:pt idx="265">
                  <c:v>17.073303149498017</c:v>
                </c:pt>
                <c:pt idx="266">
                  <c:v>17.072346314815871</c:v>
                </c:pt>
                <c:pt idx="267">
                  <c:v>17.071385440633247</c:v>
                </c:pt>
                <c:pt idx="268">
                  <c:v>17.070420508206428</c:v>
                </c:pt>
                <c:pt idx="269">
                  <c:v>17.069428042847893</c:v>
                </c:pt>
                <c:pt idx="270">
                  <c:v>17.068431283044241</c:v>
                </c:pt>
                <c:pt idx="271">
                  <c:v>17.067430210657385</c:v>
                </c:pt>
                <c:pt idx="272">
                  <c:v>17.066424808178919</c:v>
                </c:pt>
                <c:pt idx="273">
                  <c:v>17.065391191258719</c:v>
                </c:pt>
                <c:pt idx="274">
                  <c:v>17.064353002400281</c:v>
                </c:pt>
                <c:pt idx="275">
                  <c:v>17.063310224743823</c:v>
                </c:pt>
                <c:pt idx="276">
                  <c:v>17.062262842033885</c:v>
                </c:pt>
                <c:pt idx="277">
                  <c:v>17.061188973847173</c:v>
                </c:pt>
                <c:pt idx="278">
                  <c:v>17.060110275249194</c:v>
                </c:pt>
                <c:pt idx="279">
                  <c:v>17.05902673077458</c:v>
                </c:pt>
                <c:pt idx="280">
                  <c:v>17.057938325531943</c:v>
                </c:pt>
                <c:pt idx="281">
                  <c:v>17.056815362419652</c:v>
                </c:pt>
                <c:pt idx="282">
                  <c:v>17.055687241571377</c:v>
                </c:pt>
                <c:pt idx="283">
                  <c:v>17.054553948621944</c:v>
                </c:pt>
                <c:pt idx="284">
                  <c:v>17.053415469765273</c:v>
                </c:pt>
                <c:pt idx="285">
                  <c:v>17.052249117008508</c:v>
                </c:pt>
                <c:pt idx="286">
                  <c:v>17.0510773438576</c:v>
                </c:pt>
                <c:pt idx="287">
                  <c:v>17.049900137352207</c:v>
                </c:pt>
                <c:pt idx="288">
                  <c:v>17.048717485061562</c:v>
                </c:pt>
                <c:pt idx="289">
                  <c:v>17.047498575582402</c:v>
                </c:pt>
                <c:pt idx="290">
                  <c:v>17.046273910131521</c:v>
                </c:pt>
                <c:pt idx="291">
                  <c:v>17.045043476915225</c:v>
                </c:pt>
                <c:pt idx="292">
                  <c:v>17.043807264653822</c:v>
                </c:pt>
                <c:pt idx="293">
                  <c:v>17.042536492307871</c:v>
                </c:pt>
                <c:pt idx="294">
                  <c:v>17.041259648421804</c:v>
                </c:pt>
                <c:pt idx="295">
                  <c:v>17.039976722480318</c:v>
                </c:pt>
                <c:pt idx="296">
                  <c:v>17.038687704462035</c:v>
                </c:pt>
                <c:pt idx="297">
                  <c:v>17.037363261070478</c:v>
                </c:pt>
                <c:pt idx="298">
                  <c:v>17.036032427605448</c:v>
                </c:pt>
                <c:pt idx="299">
                  <c:v>17.034695194852322</c:v>
                </c:pt>
                <c:pt idx="300">
                  <c:v>17.033351554070485</c:v>
                </c:pt>
                <c:pt idx="301">
                  <c:v>17.031971603951526</c:v>
                </c:pt>
                <c:pt idx="302">
                  <c:v>17.030584942578866</c:v>
                </c:pt>
                <c:pt idx="303">
                  <c:v>17.029191562058873</c:v>
                </c:pt>
                <c:pt idx="304">
                  <c:v>17.027791454952407</c:v>
                </c:pt>
                <c:pt idx="305">
                  <c:v>17.026348594918264</c:v>
                </c:pt>
                <c:pt idx="306">
                  <c:v>17.024898645869481</c:v>
                </c:pt>
                <c:pt idx="307">
                  <c:v>17.023441601179098</c:v>
                </c:pt>
                <c:pt idx="308">
                  <c:v>17.02197745466227</c:v>
                </c:pt>
                <c:pt idx="309">
                  <c:v>17.020475120617618</c:v>
                </c:pt>
                <c:pt idx="310">
                  <c:v>17.018965370599808</c:v>
                </c:pt>
                <c:pt idx="311">
                  <c:v>17.017448199363482</c:v>
                </c:pt>
                <c:pt idx="312">
                  <c:v>17.015923602086328</c:v>
                </c:pt>
                <c:pt idx="313">
                  <c:v>17.014354114965887</c:v>
                </c:pt>
                <c:pt idx="314">
                  <c:v>17.012776826201467</c:v>
                </c:pt>
                <c:pt idx="315">
                  <c:v>17.011191731905765</c:v>
                </c:pt>
                <c:pt idx="316">
                  <c:v>17.009598828602094</c:v>
                </c:pt>
                <c:pt idx="317">
                  <c:v>17.007959905702297</c:v>
                </c:pt>
                <c:pt idx="318">
                  <c:v>17.00631279139958</c:v>
                </c:pt>
                <c:pt idx="319">
                  <c:v>17.004657483219578</c:v>
                </c:pt>
                <c:pt idx="320">
                  <c:v>17.002993979086014</c:v>
                </c:pt>
                <c:pt idx="321">
                  <c:v>17.001283302973548</c:v>
                </c:pt>
                <c:pt idx="322">
                  <c:v>16.999564042093944</c:v>
                </c:pt>
                <c:pt idx="323">
                  <c:v>16.997836195439444</c:v>
                </c:pt>
                <c:pt idx="324">
                  <c:v>16.996099762387949</c:v>
                </c:pt>
                <c:pt idx="325">
                  <c:v>16.994314983359878</c:v>
                </c:pt>
                <c:pt idx="326">
                  <c:v>16.992521223077873</c:v>
                </c:pt>
                <c:pt idx="327">
                  <c:v>16.990718482053854</c:v>
                </c:pt>
                <c:pt idx="328">
                  <c:v>16.988906761173098</c:v>
                </c:pt>
                <c:pt idx="329">
                  <c:v>16.987042379392673</c:v>
                </c:pt>
                <c:pt idx="330">
                  <c:v>16.985168585837872</c:v>
                </c:pt>
                <c:pt idx="331">
                  <c:v>16.983285382604553</c:v>
                </c:pt>
                <c:pt idx="332">
                  <c:v>16.981392772152297</c:v>
                </c:pt>
                <c:pt idx="333">
                  <c:v>16.979449373930255</c:v>
                </c:pt>
                <c:pt idx="334">
                  <c:v>16.977496162038118</c:v>
                </c:pt>
                <c:pt idx="335">
                  <c:v>16.975533140207464</c:v>
                </c:pt>
                <c:pt idx="336">
                  <c:v>16.973560312521755</c:v>
                </c:pt>
                <c:pt idx="337">
                  <c:v>16.971528966535296</c:v>
                </c:pt>
                <c:pt idx="338">
                  <c:v>16.969487337889724</c:v>
                </c:pt>
                <c:pt idx="339">
                  <c:v>16.967435432059681</c:v>
                </c:pt>
                <c:pt idx="340">
                  <c:v>16.965373254864545</c:v>
                </c:pt>
                <c:pt idx="341">
                  <c:v>16.963251106822465</c:v>
                </c:pt>
                <c:pt idx="342">
                  <c:v>16.961118203497417</c:v>
                </c:pt>
                <c:pt idx="343">
                  <c:v>16.958974552196846</c:v>
                </c:pt>
                <c:pt idx="344">
                  <c:v>16.956820160565723</c:v>
                </c:pt>
                <c:pt idx="345">
                  <c:v>16.954607702525664</c:v>
                </c:pt>
                <c:pt idx="346">
                  <c:v>16.952384047797693</c:v>
                </c:pt>
                <c:pt idx="347">
                  <c:v>16.950149205569598</c:v>
                </c:pt>
                <c:pt idx="348">
                  <c:v>16.947903185357561</c:v>
                </c:pt>
                <c:pt idx="349">
                  <c:v>16.945590804188562</c:v>
                </c:pt>
                <c:pt idx="350">
                  <c:v>16.943266714351726</c:v>
                </c:pt>
                <c:pt idx="351">
                  <c:v>16.940930927090303</c:v>
                </c:pt>
                <c:pt idx="352">
                  <c:v>16.938583453970907</c:v>
                </c:pt>
                <c:pt idx="353">
                  <c:v>16.936167994520517</c:v>
                </c:pt>
                <c:pt idx="354">
                  <c:v>16.93374031165559</c:v>
                </c:pt>
                <c:pt idx="355">
                  <c:v>16.931300418785739</c:v>
                </c:pt>
                <c:pt idx="356">
                  <c:v>16.928848329638868</c:v>
                </c:pt>
                <c:pt idx="357">
                  <c:v>16.9263301958167</c:v>
                </c:pt>
                <c:pt idx="358">
                  <c:v>16.923799358064372</c:v>
                </c:pt>
                <c:pt idx="359">
                  <c:v>16.92125583200286</c:v>
                </c:pt>
                <c:pt idx="360">
                  <c:v>16.918699633564543</c:v>
                </c:pt>
                <c:pt idx="361">
                  <c:v>16.916068502157419</c:v>
                </c:pt>
                <c:pt idx="362">
                  <c:v>16.913424112868981</c:v>
                </c:pt>
                <c:pt idx="363">
                  <c:v>16.910766483778769</c:v>
                </c:pt>
                <c:pt idx="364">
                  <c:v>16.908095633274428</c:v>
                </c:pt>
                <c:pt idx="365">
                  <c:v>16.905351784604292</c:v>
                </c:pt>
                <c:pt idx="366">
                  <c:v>16.902594160178573</c:v>
                </c:pt>
                <c:pt idx="367">
                  <c:v>16.89982278058563</c:v>
                </c:pt>
                <c:pt idx="368">
                  <c:v>16.897037666716916</c:v>
                </c:pt>
                <c:pt idx="369">
                  <c:v>16.894170218579589</c:v>
                </c:pt>
                <c:pt idx="370">
                  <c:v>16.891288401496421</c:v>
                </c:pt>
                <c:pt idx="371">
                  <c:v>16.888392238869351</c:v>
                </c:pt>
                <c:pt idx="372">
                  <c:v>16.885481754401564</c:v>
                </c:pt>
                <c:pt idx="373">
                  <c:v>16.882490864093654</c:v>
                </c:pt>
                <c:pt idx="374">
                  <c:v>16.879485049910951</c:v>
                </c:pt>
                <c:pt idx="375">
                  <c:v>16.876464338125157</c:v>
                </c:pt>
                <c:pt idx="376">
                  <c:v>16.873428755305618</c:v>
                </c:pt>
                <c:pt idx="377">
                  <c:v>16.870302968480768</c:v>
                </c:pt>
                <c:pt idx="378">
                  <c:v>16.867161626051839</c:v>
                </c:pt>
                <c:pt idx="379">
                  <c:v>16.86400475752626</c:v>
                </c:pt>
                <c:pt idx="380">
                  <c:v>16.860832392708367</c:v>
                </c:pt>
                <c:pt idx="381">
                  <c:v>16.857575793031948</c:v>
                </c:pt>
                <c:pt idx="382">
                  <c:v>16.854303086745873</c:v>
                </c:pt>
                <c:pt idx="383">
                  <c:v>16.851014306533699</c:v>
                </c:pt>
                <c:pt idx="384">
                  <c:v>16.847709485371904</c:v>
                </c:pt>
                <c:pt idx="385">
                  <c:v>16.844306152942202</c:v>
                </c:pt>
                <c:pt idx="386">
                  <c:v>16.840886045653718</c:v>
                </c:pt>
                <c:pt idx="387">
                  <c:v>16.837449199907695</c:v>
                </c:pt>
                <c:pt idx="388">
                  <c:v>16.833995652398343</c:v>
                </c:pt>
                <c:pt idx="389">
                  <c:v>16.830445517805288</c:v>
                </c:pt>
                <c:pt idx="390">
                  <c:v>16.826877983790308</c:v>
                </c:pt>
                <c:pt idx="391">
                  <c:v>16.823293090541704</c:v>
                </c:pt>
                <c:pt idx="392">
                  <c:v>16.819690878538854</c:v>
                </c:pt>
                <c:pt idx="393">
                  <c:v>16.815989901702583</c:v>
                </c:pt>
                <c:pt idx="394">
                  <c:v>16.812270905953582</c:v>
                </c:pt>
                <c:pt idx="395">
                  <c:v>16.808533935459405</c:v>
                </c:pt>
                <c:pt idx="396">
                  <c:v>16.804779034676255</c:v>
                </c:pt>
                <c:pt idx="397">
                  <c:v>16.800914432683832</c:v>
                </c:pt>
                <c:pt idx="398">
                  <c:v>16.797031114543675</c:v>
                </c:pt>
                <c:pt idx="399">
                  <c:v>16.793129128926299</c:v>
                </c:pt>
                <c:pt idx="400">
                  <c:v>16.789208524790439</c:v>
                </c:pt>
                <c:pt idx="401">
                  <c:v>16.785180217051202</c:v>
                </c:pt>
                <c:pt idx="402">
                  <c:v>16.78113254517752</c:v>
                </c:pt>
                <c:pt idx="403">
                  <c:v>16.777065562409362</c:v>
                </c:pt>
                <c:pt idx="404">
                  <c:v>16.772979322272359</c:v>
                </c:pt>
                <c:pt idx="405">
                  <c:v>16.768778491995171</c:v>
                </c:pt>
                <c:pt idx="406">
                  <c:v>16.764557615533452</c:v>
                </c:pt>
                <c:pt idx="407">
                  <c:v>16.76031675110541</c:v>
                </c:pt>
                <c:pt idx="408">
                  <c:v>16.75605595721262</c:v>
                </c:pt>
                <c:pt idx="409">
                  <c:v>16.751673460985057</c:v>
                </c:pt>
                <c:pt idx="410">
                  <c:v>16.747270203074358</c:v>
                </c:pt>
                <c:pt idx="411">
                  <c:v>16.74284624712428</c:v>
                </c:pt>
                <c:pt idx="412">
                  <c:v>16.73840165705969</c:v>
                </c:pt>
                <c:pt idx="413">
                  <c:v>16.733832740972719</c:v>
                </c:pt>
                <c:pt idx="414">
                  <c:v>16.7292423592578</c:v>
                </c:pt>
                <c:pt idx="415">
                  <c:v>16.724630581256967</c:v>
                </c:pt>
                <c:pt idx="416">
                  <c:v>16.719997476589665</c:v>
                </c:pt>
                <c:pt idx="417">
                  <c:v>16.715232610511176</c:v>
                </c:pt>
                <c:pt idx="418">
                  <c:v>16.710445543975041</c:v>
                </c:pt>
                <c:pt idx="419">
                  <c:v>16.705636352522053</c:v>
                </c:pt>
                <c:pt idx="420">
                  <c:v>16.700805111966222</c:v>
                </c:pt>
                <c:pt idx="421">
                  <c:v>16.695844235234862</c:v>
                </c:pt>
                <c:pt idx="422">
                  <c:v>16.690860483591528</c:v>
                </c:pt>
                <c:pt idx="423">
                  <c:v>16.685853938832913</c:v>
                </c:pt>
                <c:pt idx="424">
                  <c:v>16.680824683021804</c:v>
                </c:pt>
                <c:pt idx="425">
                  <c:v>16.675648205743457</c:v>
                </c:pt>
                <c:pt idx="426">
                  <c:v>16.670448061236868</c:v>
                </c:pt>
                <c:pt idx="427">
                  <c:v>16.665224338591798</c:v>
                </c:pt>
                <c:pt idx="428">
                  <c:v>16.659977127157855</c:v>
                </c:pt>
                <c:pt idx="429">
                  <c:v>16.654584728663824</c:v>
                </c:pt>
                <c:pt idx="430">
                  <c:v>16.649167935827734</c:v>
                </c:pt>
                <c:pt idx="431">
                  <c:v>16.64372684511476</c:v>
                </c:pt>
                <c:pt idx="432">
                  <c:v>16.638261553240095</c:v>
                </c:pt>
                <c:pt idx="433">
                  <c:v>16.632648175497515</c:v>
                </c:pt>
                <c:pt idx="434">
                  <c:v>16.627009698836087</c:v>
                </c:pt>
                <c:pt idx="435">
                  <c:v>16.621346227414783</c:v>
                </c:pt>
                <c:pt idx="436">
                  <c:v>16.615657865629895</c:v>
                </c:pt>
                <c:pt idx="437">
                  <c:v>16.609808013972184</c:v>
                </c:pt>
                <c:pt idx="438">
                  <c:v>16.603932291461696</c:v>
                </c:pt>
                <c:pt idx="439">
                  <c:v>16.598030810868913</c:v>
                </c:pt>
                <c:pt idx="440">
                  <c:v>16.592103685187418</c:v>
                </c:pt>
                <c:pt idx="441">
                  <c:v>16.586011917549776</c:v>
                </c:pt>
                <c:pt idx="442">
                  <c:v>16.579893534959776</c:v>
                </c:pt>
                <c:pt idx="443">
                  <c:v>16.573748659167599</c:v>
                </c:pt>
                <c:pt idx="444">
                  <c:v>16.567577412128529</c:v>
                </c:pt>
                <c:pt idx="445">
                  <c:v>16.56123838854624</c:v>
                </c:pt>
                <c:pt idx="446">
                  <c:v>16.554872036855116</c:v>
                </c:pt>
                <c:pt idx="447">
                  <c:v>16.548478488142468</c:v>
                </c:pt>
                <c:pt idx="448">
                  <c:v>16.542057873678548</c:v>
                </c:pt>
                <c:pt idx="449">
                  <c:v>16.53545529815343</c:v>
                </c:pt>
                <c:pt idx="450">
                  <c:v>16.528824621647974</c:v>
                </c:pt>
                <c:pt idx="451">
                  <c:v>16.522165985640225</c:v>
                </c:pt>
                <c:pt idx="452">
                  <c:v>16.515479531765457</c:v>
                </c:pt>
                <c:pt idx="453">
                  <c:v>16.508613383180112</c:v>
                </c:pt>
                <c:pt idx="454">
                  <c:v>16.501718445504537</c:v>
                </c:pt>
                <c:pt idx="455">
                  <c:v>16.494794870633612</c:v>
                </c:pt>
                <c:pt idx="456">
                  <c:v>16.487842810587871</c:v>
                </c:pt>
                <c:pt idx="457">
                  <c:v>16.480696418767366</c:v>
                </c:pt>
                <c:pt idx="458">
                  <c:v>16.473520496511689</c:v>
                </c:pt>
                <c:pt idx="459">
                  <c:v>16.466315207259129</c:v>
                </c:pt>
                <c:pt idx="460">
                  <c:v>16.459080714536999</c:v>
                </c:pt>
                <c:pt idx="461">
                  <c:v>16.451648459610045</c:v>
                </c:pt>
                <c:pt idx="462">
                  <c:v>16.444185978158544</c:v>
                </c:pt>
                <c:pt idx="463">
                  <c:v>16.436693445559513</c:v>
                </c:pt>
                <c:pt idx="464">
                  <c:v>16.429171037235669</c:v>
                </c:pt>
                <c:pt idx="465">
                  <c:v>16.421441571309636</c:v>
                </c:pt>
                <c:pt idx="466">
                  <c:v>16.413681184705773</c:v>
                </c:pt>
                <c:pt idx="467">
                  <c:v>16.405890065538955</c:v>
                </c:pt>
                <c:pt idx="468">
                  <c:v>16.398068401919307</c:v>
                </c:pt>
                <c:pt idx="469">
                  <c:v>16.390036210620586</c:v>
                </c:pt>
                <c:pt idx="470">
                  <c:v>16.381972457951267</c:v>
                </c:pt>
                <c:pt idx="471">
                  <c:v>16.373877345140791</c:v>
                </c:pt>
                <c:pt idx="472">
                  <c:v>16.365751073355348</c:v>
                </c:pt>
                <c:pt idx="473">
                  <c:v>16.357398667353376</c:v>
                </c:pt>
                <c:pt idx="474">
                  <c:v>16.349014022967065</c:v>
                </c:pt>
                <c:pt idx="475">
                  <c:v>16.340597355823196</c:v>
                </c:pt>
                <c:pt idx="476">
                  <c:v>16.332148881417538</c:v>
                </c:pt>
                <c:pt idx="477">
                  <c:v>16.323470654017211</c:v>
                </c:pt>
                <c:pt idx="478">
                  <c:v>16.314759574441041</c:v>
                </c:pt>
                <c:pt idx="479">
                  <c:v>16.306015873094207</c:v>
                </c:pt>
                <c:pt idx="480">
                  <c:v>16.297239780173264</c:v>
                </c:pt>
                <c:pt idx="481">
                  <c:v>16.288230394650888</c:v>
                </c:pt>
                <c:pt idx="482">
                  <c:v>16.279187610560456</c:v>
                </c:pt>
                <c:pt idx="483">
                  <c:v>16.270111673420203</c:v>
                </c:pt>
                <c:pt idx="484">
                  <c:v>16.261002828451787</c:v>
                </c:pt>
                <c:pt idx="485">
                  <c:v>16.251650862138323</c:v>
                </c:pt>
                <c:pt idx="486">
                  <c:v>16.242264976260671</c:v>
                </c:pt>
                <c:pt idx="487">
                  <c:v>16.232845432266792</c:v>
                </c:pt>
                <c:pt idx="488">
                  <c:v>16.223392491208116</c:v>
                </c:pt>
                <c:pt idx="489">
                  <c:v>16.213679998971099</c:v>
                </c:pt>
                <c:pt idx="490">
                  <c:v>16.203933051741622</c:v>
                </c:pt>
                <c:pt idx="491">
                  <c:v>16.194151928273499</c:v>
                </c:pt>
                <c:pt idx="492">
                  <c:v>16.184336906809531</c:v>
                </c:pt>
                <c:pt idx="493">
                  <c:v>16.174258676526794</c:v>
                </c:pt>
                <c:pt idx="494">
                  <c:v>16.164145539941728</c:v>
                </c:pt>
                <c:pt idx="495">
                  <c:v>16.153997793397846</c:v>
                </c:pt>
                <c:pt idx="496">
                  <c:v>16.143815732599649</c:v>
                </c:pt>
                <c:pt idx="497">
                  <c:v>16.13336027514698</c:v>
                </c:pt>
                <c:pt idx="498">
                  <c:v>16.122869503832927</c:v>
                </c:pt>
                <c:pt idx="499">
                  <c:v>16.11234373340038</c:v>
                </c:pt>
                <c:pt idx="500">
                  <c:v>16.101783277809353</c:v>
                </c:pt>
                <c:pt idx="501">
                  <c:v>16.090939145169926</c:v>
                </c:pt>
                <c:pt idx="502">
                  <c:v>16.080059341476726</c:v>
                </c:pt>
                <c:pt idx="503">
                  <c:v>16.069144200664841</c:v>
                </c:pt>
                <c:pt idx="504">
                  <c:v>16.058194055725345</c:v>
                </c:pt>
                <c:pt idx="505">
                  <c:v>16.046956701365154</c:v>
                </c:pt>
                <c:pt idx="506">
                  <c:v>16.035683419338692</c:v>
                </c:pt>
                <c:pt idx="507">
                  <c:v>16.024374562898636</c:v>
                </c:pt>
                <c:pt idx="508">
                  <c:v>16.013030484176593</c:v>
                </c:pt>
                <c:pt idx="509">
                  <c:v>16.001388906306641</c:v>
                </c:pt>
                <c:pt idx="510">
                  <c:v>15.989711206013768</c:v>
                </c:pt>
                <c:pt idx="511">
                  <c:v>15.97799775656144</c:v>
                </c:pt>
                <c:pt idx="512">
                  <c:v>15.966248929895867</c:v>
                </c:pt>
                <c:pt idx="513">
                  <c:v>15.954185271515602</c:v>
                </c:pt>
                <c:pt idx="514">
                  <c:v>15.942085322903308</c:v>
                </c:pt>
                <c:pt idx="515">
                  <c:v>15.929949478667691</c:v>
                </c:pt>
                <c:pt idx="516">
                  <c:v>15.91777813187996</c:v>
                </c:pt>
                <c:pt idx="517">
                  <c:v>15.905288540634871</c:v>
                </c:pt>
                <c:pt idx="518">
                  <c:v>15.892762610694655</c:v>
                </c:pt>
                <c:pt idx="519">
                  <c:v>15.880200757944259</c:v>
                </c:pt>
                <c:pt idx="520">
                  <c:v>15.867603396492282</c:v>
                </c:pt>
                <c:pt idx="521">
                  <c:v>15.854677412260953</c:v>
                </c:pt>
                <c:pt idx="522">
                  <c:v>15.841715123752465</c:v>
                </c:pt>
                <c:pt idx="523">
                  <c:v>15.828716968662253</c:v>
                </c:pt>
                <c:pt idx="524">
                  <c:v>15.815683382647725</c:v>
                </c:pt>
                <c:pt idx="525">
                  <c:v>15.802310802483943</c:v>
                </c:pt>
                <c:pt idx="526">
                  <c:v>15.7889020423865</c:v>
                </c:pt>
                <c:pt idx="527">
                  <c:v>15.775457562322115</c:v>
                </c:pt>
                <c:pt idx="528">
                  <c:v>15.761977819933911</c:v>
                </c:pt>
                <c:pt idx="529">
                  <c:v>15.748148738282257</c:v>
                </c:pt>
                <c:pt idx="530">
                  <c:v>15.734283697962887</c:v>
                </c:pt>
                <c:pt idx="531">
                  <c:v>15.720383181590201</c:v>
                </c:pt>
                <c:pt idx="532">
                  <c:v>15.706447669144634</c:v>
                </c:pt>
                <c:pt idx="533">
                  <c:v>15.692145129156001</c:v>
                </c:pt>
                <c:pt idx="534">
                  <c:v>15.677806919039345</c:v>
                </c:pt>
                <c:pt idx="535">
                  <c:v>15.663433545118872</c:v>
                </c:pt>
                <c:pt idx="536">
                  <c:v>15.649025510742751</c:v>
                </c:pt>
                <c:pt idx="537">
                  <c:v>15.63425503061649</c:v>
                </c:pt>
                <c:pt idx="538">
                  <c:v>15.619449353592248</c:v>
                </c:pt>
                <c:pt idx="539">
                  <c:v>15.604609008309861</c:v>
                </c:pt>
                <c:pt idx="540">
                  <c:v>15.589734520077236</c:v>
                </c:pt>
                <c:pt idx="541">
                  <c:v>15.574472484751938</c:v>
                </c:pt>
                <c:pt idx="542">
                  <c:v>15.559175771304323</c:v>
                </c:pt>
                <c:pt idx="543">
                  <c:v>15.543844932348589</c:v>
                </c:pt>
                <c:pt idx="544">
                  <c:v>15.528480516771193</c:v>
                </c:pt>
                <c:pt idx="545">
                  <c:v>15.512726014300446</c:v>
                </c:pt>
                <c:pt idx="546">
                  <c:v>15.496937512164477</c:v>
                </c:pt>
                <c:pt idx="547">
                  <c:v>15.481115586074768</c:v>
                </c:pt>
                <c:pt idx="548">
                  <c:v>15.465260807599428</c:v>
                </c:pt>
                <c:pt idx="549">
                  <c:v>15.449006035839014</c:v>
                </c:pt>
                <c:pt idx="550">
                  <c:v>15.432718072057314</c:v>
                </c:pt>
                <c:pt idx="551">
                  <c:v>15.416397514853319</c:v>
                </c:pt>
                <c:pt idx="552">
                  <c:v>15.400044958240729</c:v>
                </c:pt>
                <c:pt idx="553">
                  <c:v>15.383274931398589</c:v>
                </c:pt>
                <c:pt idx="554">
                  <c:v>15.36647262537106</c:v>
                </c:pt>
                <c:pt idx="555">
                  <c:v>15.349638662142839</c:v>
                </c:pt>
                <c:pt idx="556">
                  <c:v>15.332773658636302</c:v>
                </c:pt>
                <c:pt idx="557">
                  <c:v>15.298158149700221</c:v>
                </c:pt>
                <c:pt idx="558">
                  <c:v>15.263420325088743</c:v>
                </c:pt>
                <c:pt idx="559">
                  <c:v>15.227765017754562</c:v>
                </c:pt>
                <c:pt idx="560">
                  <c:v>15.191992405209543</c:v>
                </c:pt>
                <c:pt idx="561">
                  <c:v>15.155255032368252</c:v>
                </c:pt>
                <c:pt idx="562">
                  <c:v>15.11840576513876</c:v>
                </c:pt>
                <c:pt idx="563">
                  <c:v>15.080655862788701</c:v>
                </c:pt>
                <c:pt idx="564">
                  <c:v>15.042800546427767</c:v>
                </c:pt>
                <c:pt idx="565">
                  <c:v>15.00388727653695</c:v>
                </c:pt>
                <c:pt idx="566">
                  <c:v>14.964874912939909</c:v>
                </c:pt>
                <c:pt idx="567">
                  <c:v>14.924806449124652</c:v>
                </c:pt>
                <c:pt idx="568">
                  <c:v>14.884646017044236</c:v>
                </c:pt>
                <c:pt idx="569">
                  <c:v>14.8435937489485</c:v>
                </c:pt>
                <c:pt idx="570">
                  <c:v>14.802458052557308</c:v>
                </c:pt>
                <c:pt idx="571">
                  <c:v>14.760112523138318</c:v>
                </c:pt>
                <c:pt idx="572">
                  <c:v>14.717691548795564</c:v>
                </c:pt>
                <c:pt idx="573">
                  <c:v>14.674389777393717</c:v>
                </c:pt>
                <c:pt idx="574">
                  <c:v>14.631022414386033</c:v>
                </c:pt>
                <c:pt idx="575">
                  <c:v>14.586456380097319</c:v>
                </c:pt>
                <c:pt idx="576">
                  <c:v>14.541834306943509</c:v>
                </c:pt>
                <c:pt idx="577">
                  <c:v>14.352445168435635</c:v>
                </c:pt>
                <c:pt idx="578">
                  <c:v>14.162607823916096</c:v>
                </c:pt>
                <c:pt idx="579">
                  <c:v>13.746893565721162</c:v>
                </c:pt>
                <c:pt idx="580">
                  <c:v>13.294239166872632</c:v>
                </c:pt>
                <c:pt idx="581">
                  <c:v>12.806112181397644</c:v>
                </c:pt>
                <c:pt idx="582">
                  <c:v>12.283600727357129</c:v>
                </c:pt>
                <c:pt idx="583">
                  <c:v>11.728953974164892</c:v>
                </c:pt>
                <c:pt idx="584">
                  <c:v>11.143968500043824</c:v>
                </c:pt>
                <c:pt idx="585">
                  <c:v>10.531422396276277</c:v>
                </c:pt>
                <c:pt idx="586">
                  <c:v>9.8938106385591293</c:v>
                </c:pt>
                <c:pt idx="587">
                  <c:v>9.2333762170078266</c:v>
                </c:pt>
                <c:pt idx="588">
                  <c:v>8.5532887167767786</c:v>
                </c:pt>
                <c:pt idx="589">
                  <c:v>7.8554229407040719</c:v>
                </c:pt>
                <c:pt idx="590">
                  <c:v>7.1422866182233848</c:v>
                </c:pt>
                <c:pt idx="591">
                  <c:v>6.4158763896829623</c:v>
                </c:pt>
                <c:pt idx="592">
                  <c:v>5.6781451392669302</c:v>
                </c:pt>
                <c:pt idx="593">
                  <c:v>4.9305197390262947</c:v>
                </c:pt>
                <c:pt idx="594">
                  <c:v>4.1746429728864189</c:v>
                </c:pt>
                <c:pt idx="595">
                  <c:v>3.4116208714927243</c:v>
                </c:pt>
                <c:pt idx="596">
                  <c:v>2.6426950239260489</c:v>
                </c:pt>
                <c:pt idx="597">
                  <c:v>1.8686337313743342</c:v>
                </c:pt>
                <c:pt idx="598">
                  <c:v>1.0904251540737433</c:v>
                </c:pt>
                <c:pt idx="599">
                  <c:v>0.30854871138875534</c:v>
                </c:pt>
                <c:pt idx="600">
                  <c:v>-0.47630113840098554</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-88.524007401194396</c:v>
                </c:pt>
                <c:pt idx="1">
                  <c:v>-88.636408624586394</c:v>
                </c:pt>
                <c:pt idx="2">
                  <c:v>-88.737232609762756</c:v>
                </c:pt>
                <c:pt idx="3">
                  <c:v>-88.827339230992592</c:v>
                </c:pt>
                <c:pt idx="4">
                  <c:v>-88.907446339460904</c:v>
                </c:pt>
                <c:pt idx="5">
                  <c:v>-88.978363439171886</c:v>
                </c:pt>
                <c:pt idx="6">
                  <c:v>-89.040583391168525</c:v>
                </c:pt>
                <c:pt idx="7">
                  <c:v>-89.094677271101318</c:v>
                </c:pt>
                <c:pt idx="8">
                  <c:v>-89.141066523392141</c:v>
                </c:pt>
                <c:pt idx="9">
                  <c:v>-89.180181278622797</c:v>
                </c:pt>
                <c:pt idx="10">
                  <c:v>-89.212329746513802</c:v>
                </c:pt>
                <c:pt idx="11">
                  <c:v>-89.237792455690339</c:v>
                </c:pt>
                <c:pt idx="12">
                  <c:v>-89.256795236271856</c:v>
                </c:pt>
                <c:pt idx="13">
                  <c:v>-89.269481373363433</c:v>
                </c:pt>
                <c:pt idx="14">
                  <c:v>-89.275970483026214</c:v>
                </c:pt>
                <c:pt idx="15">
                  <c:v>-89.276312986195506</c:v>
                </c:pt>
                <c:pt idx="16">
                  <c:v>-89.270512449492017</c:v>
                </c:pt>
                <c:pt idx="17">
                  <c:v>-89.258521652731943</c:v>
                </c:pt>
                <c:pt idx="18">
                  <c:v>-89.240235126075234</c:v>
                </c:pt>
                <c:pt idx="19">
                  <c:v>-89.215502180483497</c:v>
                </c:pt>
                <c:pt idx="20">
                  <c:v>-89.184108182705856</c:v>
                </c:pt>
                <c:pt idx="21">
                  <c:v>-89.145793417938251</c:v>
                </c:pt>
                <c:pt idx="22">
                  <c:v>-89.100224705956805</c:v>
                </c:pt>
                <c:pt idx="23">
                  <c:v>-89.047027300292612</c:v>
                </c:pt>
                <c:pt idx="24">
                  <c:v>-88.985736824525475</c:v>
                </c:pt>
                <c:pt idx="25">
                  <c:v>-88.915842272651275</c:v>
                </c:pt>
                <c:pt idx="26">
                  <c:v>-88.836732778057637</c:v>
                </c:pt>
                <c:pt idx="27">
                  <c:v>-88.74776227883828</c:v>
                </c:pt>
                <c:pt idx="28">
                  <c:v>-88.648176985026112</c:v>
                </c:pt>
                <c:pt idx="29">
                  <c:v>-88.537209657882926</c:v>
                </c:pt>
                <c:pt idx="30">
                  <c:v>-88.413728852060586</c:v>
                </c:pt>
                <c:pt idx="31">
                  <c:v>-88.27685371971215</c:v>
                </c:pt>
                <c:pt idx="32">
                  <c:v>-88.125338767231639</c:v>
                </c:pt>
                <c:pt idx="33">
                  <c:v>-87.958019669593412</c:v>
                </c:pt>
                <c:pt idx="34">
                  <c:v>-87.773362101927006</c:v>
                </c:pt>
                <c:pt idx="35">
                  <c:v>-87.569917578738881</c:v>
                </c:pt>
                <c:pt idx="36">
                  <c:v>-87.345960131609388</c:v>
                </c:pt>
                <c:pt idx="37">
                  <c:v>-87.099485718140258</c:v>
                </c:pt>
                <c:pt idx="38">
                  <c:v>-86.828679124600953</c:v>
                </c:pt>
                <c:pt idx="39">
                  <c:v>-86.531082269848525</c:v>
                </c:pt>
                <c:pt idx="40">
                  <c:v>-86.204341368719113</c:v>
                </c:pt>
                <c:pt idx="41">
                  <c:v>-85.845747892022956</c:v>
                </c:pt>
                <c:pt idx="42">
                  <c:v>-85.452432278035346</c:v>
                </c:pt>
                <c:pt idx="43">
                  <c:v>-85.021093622005026</c:v>
                </c:pt>
                <c:pt idx="44">
                  <c:v>-84.548386134472935</c:v>
                </c:pt>
                <c:pt idx="45">
                  <c:v>-84.03046898966808</c:v>
                </c:pt>
                <c:pt idx="46">
                  <c:v>-83.463401536537489</c:v>
                </c:pt>
                <c:pt idx="47">
                  <c:v>-82.842705528538602</c:v>
                </c:pt>
                <c:pt idx="48">
                  <c:v>-82.163867464172952</c:v>
                </c:pt>
                <c:pt idx="49">
                  <c:v>-81.42173582359159</c:v>
                </c:pt>
                <c:pt idx="50">
                  <c:v>-80.611139357263184</c:v>
                </c:pt>
                <c:pt idx="51">
                  <c:v>-79.726319440658827</c:v>
                </c:pt>
                <c:pt idx="52">
                  <c:v>-78.761765464232525</c:v>
                </c:pt>
                <c:pt idx="53">
                  <c:v>-77.711513766981398</c:v>
                </c:pt>
                <c:pt idx="54">
                  <c:v>-76.570297987539973</c:v>
                </c:pt>
                <c:pt idx="55">
                  <c:v>-75.330167246536391</c:v>
                </c:pt>
                <c:pt idx="56">
                  <c:v>-73.986994805610976</c:v>
                </c:pt>
                <c:pt idx="57">
                  <c:v>-72.534525012999751</c:v>
                </c:pt>
                <c:pt idx="58">
                  <c:v>-70.96912288944182</c:v>
                </c:pt>
                <c:pt idx="59">
                  <c:v>-69.285867485924101</c:v>
                </c:pt>
                <c:pt idx="60">
                  <c:v>-67.4832712567447</c:v>
                </c:pt>
                <c:pt idx="61">
                  <c:v>-65.56039286501067</c:v>
                </c:pt>
                <c:pt idx="62">
                  <c:v>-63.517501896069071</c:v>
                </c:pt>
                <c:pt idx="63">
                  <c:v>-61.360401513615393</c:v>
                </c:pt>
                <c:pt idx="64">
                  <c:v>-59.094048615019112</c:v>
                </c:pt>
                <c:pt idx="65">
                  <c:v>-56.728964461563486</c:v>
                </c:pt>
                <c:pt idx="66">
                  <c:v>-54.277778195558831</c:v>
                </c:pt>
                <c:pt idx="67">
                  <c:v>-51.756669197250567</c:v>
                </c:pt>
                <c:pt idx="68">
                  <c:v>-49.183394600917012</c:v>
                </c:pt>
                <c:pt idx="69">
                  <c:v>-46.579248966368631</c:v>
                </c:pt>
                <c:pt idx="70">
                  <c:v>-43.965691356001123</c:v>
                </c:pt>
                <c:pt idx="71">
                  <c:v>-41.365716379578416</c:v>
                </c:pt>
                <c:pt idx="72">
                  <c:v>-38.800793094424563</c:v>
                </c:pt>
                <c:pt idx="73">
                  <c:v>-36.292253916819703</c:v>
                </c:pt>
                <c:pt idx="74">
                  <c:v>-33.858089880242261</c:v>
                </c:pt>
                <c:pt idx="75">
                  <c:v>-31.514688971464238</c:v>
                </c:pt>
                <c:pt idx="76">
                  <c:v>-29.274570201674035</c:v>
                </c:pt>
                <c:pt idx="77">
                  <c:v>-27.148422595455216</c:v>
                </c:pt>
                <c:pt idx="78">
                  <c:v>-25.143094498909214</c:v>
                </c:pt>
                <c:pt idx="79">
                  <c:v>-23.263885162573263</c:v>
                </c:pt>
                <c:pt idx="80">
                  <c:v>-21.509440078802729</c:v>
                </c:pt>
                <c:pt idx="81">
                  <c:v>-19.882046603891581</c:v>
                </c:pt>
                <c:pt idx="82">
                  <c:v>-18.378656851428307</c:v>
                </c:pt>
                <c:pt idx="83">
                  <c:v>-16.997137509293015</c:v>
                </c:pt>
                <c:pt idx="84">
                  <c:v>-15.73232460044116</c:v>
                </c:pt>
                <c:pt idx="85">
                  <c:v>-14.580272703740201</c:v>
                </c:pt>
                <c:pt idx="86">
                  <c:v>-13.535740910202604</c:v>
                </c:pt>
                <c:pt idx="87">
                  <c:v>-12.593085029869536</c:v>
                </c:pt>
                <c:pt idx="88">
                  <c:v>-11.748097889054769</c:v>
                </c:pt>
                <c:pt idx="89">
                  <c:v>-10.995141743418378</c:v>
                </c:pt>
                <c:pt idx="90">
                  <c:v>-10.329874061926704</c:v>
                </c:pt>
                <c:pt idx="91">
                  <c:v>-9.747911381061714</c:v>
                </c:pt>
                <c:pt idx="92">
                  <c:v>-9.245396043186437</c:v>
                </c:pt>
                <c:pt idx="93">
                  <c:v>-8.8186907403619568</c:v>
                </c:pt>
                <c:pt idx="94">
                  <c:v>-8.7235449949892061</c:v>
                </c:pt>
                <c:pt idx="95">
                  <c:v>-8.6773834293905594</c:v>
                </c:pt>
                <c:pt idx="96">
                  <c:v>-8.6328657556529613</c:v>
                </c:pt>
                <c:pt idx="97">
                  <c:v>-8.5889605813430201</c:v>
                </c:pt>
                <c:pt idx="98">
                  <c:v>-8.5466631904487684</c:v>
                </c:pt>
                <c:pt idx="99">
                  <c:v>-8.504983380095366</c:v>
                </c:pt>
                <c:pt idx="100">
                  <c:v>-8.4648767374850298</c:v>
                </c:pt>
                <c:pt idx="101">
                  <c:v>-8.4254246243994544</c:v>
                </c:pt>
                <c:pt idx="102">
                  <c:v>-8.3875101259089586</c:v>
                </c:pt>
                <c:pt idx="103">
                  <c:v>-8.3502298407731761</c:v>
                </c:pt>
                <c:pt idx="104">
                  <c:v>-8.3144552135814749</c:v>
                </c:pt>
                <c:pt idx="105">
                  <c:v>-8.2793525353785</c:v>
                </c:pt>
                <c:pt idx="106">
                  <c:v>-8.2457225152247311</c:v>
                </c:pt>
                <c:pt idx="107">
                  <c:v>-8.2127981455634558</c:v>
                </c:pt>
                <c:pt idx="108">
                  <c:v>-8.1813126137967309</c:v>
                </c:pt>
                <c:pt idx="109">
                  <c:v>-8.1505422523610811</c:v>
                </c:pt>
                <c:pt idx="110">
                  <c:v>-8.1211781739084188</c:v>
                </c:pt>
                <c:pt idx="111">
                  <c:v>-8.0925223636096142</c:v>
                </c:pt>
                <c:pt idx="112">
                  <c:v>-8.0652432144462001</c:v>
                </c:pt>
                <c:pt idx="113">
                  <c:v>-8.0387063057363513</c:v>
                </c:pt>
                <c:pt idx="114">
                  <c:v>-8.0135155153898925</c:v>
                </c:pt>
                <c:pt idx="115">
                  <c:v>-7.9890821831951646</c:v>
                </c:pt>
                <c:pt idx="116">
                  <c:v>-7.9659653505399861</c:v>
                </c:pt>
                <c:pt idx="117">
                  <c:v>-7.9436226986184684</c:v>
                </c:pt>
                <c:pt idx="118">
                  <c:v>-7.922567760095971</c:v>
                </c:pt>
                <c:pt idx="119">
                  <c:v>-7.9023169392502579</c:v>
                </c:pt>
                <c:pt idx="120">
                  <c:v>-7.8833242975258404</c:v>
                </c:pt>
                <c:pt idx="121">
                  <c:v>-7.8651519998114825</c:v>
                </c:pt>
                <c:pt idx="122">
                  <c:v>-7.8482092124610334</c:v>
                </c:pt>
                <c:pt idx="123">
                  <c:v>-7.8320952287599965</c:v>
                </c:pt>
                <c:pt idx="124">
                  <c:v>-7.8171842438583372</c:v>
                </c:pt>
                <c:pt idx="125">
                  <c:v>-7.8031308837911668</c:v>
                </c:pt>
                <c:pt idx="126">
                  <c:v>-7.7902532547753003</c:v>
                </c:pt>
                <c:pt idx="127">
                  <c:v>-7.7782525922104515</c:v>
                </c:pt>
                <c:pt idx="128">
                  <c:v>-7.7674010594752509</c:v>
                </c:pt>
                <c:pt idx="129">
                  <c:v>-7.7574466322770803</c:v>
                </c:pt>
                <c:pt idx="130">
                  <c:v>-7.7486153469610235</c:v>
                </c:pt>
                <c:pt idx="131">
                  <c:v>-7.7407019889791986</c:v>
                </c:pt>
                <c:pt idx="132">
                  <c:v>-7.7371593042574913</c:v>
                </c:pt>
                <c:pt idx="133">
                  <c:v>-7.7338863515081275</c:v>
                </c:pt>
                <c:pt idx="134">
                  <c:v>-7.7308102534839245</c:v>
                </c:pt>
                <c:pt idx="135">
                  <c:v>-7.7280072884926598</c:v>
                </c:pt>
                <c:pt idx="136">
                  <c:v>-7.7254727755887256</c:v>
                </c:pt>
                <c:pt idx="137">
                  <c:v>-7.7232021393898727</c:v>
                </c:pt>
                <c:pt idx="138">
                  <c:v>-7.7211482216361436</c:v>
                </c:pt>
                <c:pt idx="139">
                  <c:v>-7.7193609443238742</c:v>
                </c:pt>
                <c:pt idx="140">
                  <c:v>-7.7178357369625363</c:v>
                </c:pt>
                <c:pt idx="141">
                  <c:v>-7.7165681321034301</c:v>
                </c:pt>
                <c:pt idx="142">
                  <c:v>-7.7155327468629338</c:v>
                </c:pt>
                <c:pt idx="143">
                  <c:v>-7.7147581700376247</c:v>
                </c:pt>
                <c:pt idx="144">
                  <c:v>-7.7142399257822394</c:v>
                </c:pt>
                <c:pt idx="145">
                  <c:v>-7.713973639225463</c:v>
                </c:pt>
                <c:pt idx="146">
                  <c:v>-7.7139575041637887</c:v>
                </c:pt>
                <c:pt idx="147">
                  <c:v>-7.7141961804618395</c:v>
                </c:pt>
                <c:pt idx="148">
                  <c:v>-7.7146852921896736</c:v>
                </c:pt>
                <c:pt idx="149">
                  <c:v>-7.7154205621464973</c:v>
                </c:pt>
                <c:pt idx="150">
                  <c:v>-7.7164232337126348</c:v>
                </c:pt>
                <c:pt idx="151">
                  <c:v>-7.7176748246968208</c:v>
                </c:pt>
                <c:pt idx="152">
                  <c:v>-7.7191710574167391</c:v>
                </c:pt>
                <c:pt idx="153">
                  <c:v>-7.7209077507050985</c:v>
                </c:pt>
                <c:pt idx="154">
                  <c:v>-7.7229300791668463</c:v>
                </c:pt>
                <c:pt idx="155">
                  <c:v>-7.7251957569246583</c:v>
                </c:pt>
                <c:pt idx="156">
                  <c:v>-7.7277005972625377</c:v>
                </c:pt>
                <c:pt idx="157">
                  <c:v>-7.7304405079651275</c:v>
                </c:pt>
                <c:pt idx="158">
                  <c:v>-7.733483927167744</c:v>
                </c:pt>
                <c:pt idx="159">
                  <c:v>-7.7367651935221309</c:v>
                </c:pt>
                <c:pt idx="160">
                  <c:v>-7.7402802104585104</c:v>
                </c:pt>
                <c:pt idx="161">
                  <c:v>-7.7440249738998999</c:v>
                </c:pt>
                <c:pt idx="162">
                  <c:v>-7.7480891981714093</c:v>
                </c:pt>
                <c:pt idx="163">
                  <c:v>-7.7523856315530271</c:v>
                </c:pt>
                <c:pt idx="164">
                  <c:v>-7.7569102720259222</c:v>
                </c:pt>
                <c:pt idx="165">
                  <c:v>-7.7616592079062388</c:v>
                </c:pt>
                <c:pt idx="166">
                  <c:v>-7.7667491653412331</c:v>
                </c:pt>
                <c:pt idx="167">
                  <c:v>-7.7720661705572027</c:v>
                </c:pt>
                <c:pt idx="168">
                  <c:v>-7.7776063046824584</c:v>
                </c:pt>
                <c:pt idx="169">
                  <c:v>-7.7833657373468377</c:v>
                </c:pt>
                <c:pt idx="170">
                  <c:v>-7.7894712780578859</c:v>
                </c:pt>
                <c:pt idx="171">
                  <c:v>-7.7957978232029266</c:v>
                </c:pt>
                <c:pt idx="172">
                  <c:v>-7.8023415606417075</c:v>
                </c:pt>
                <c:pt idx="173">
                  <c:v>-7.8090987641776399</c:v>
                </c:pt>
                <c:pt idx="174">
                  <c:v>-7.8162441107518754</c:v>
                </c:pt>
                <c:pt idx="175">
                  <c:v>-7.8236061572134341</c:v>
                </c:pt>
                <c:pt idx="176">
                  <c:v>-7.8311811541219054</c:v>
                </c:pt>
                <c:pt idx="177">
                  <c:v>-7.8389654367256947</c:v>
                </c:pt>
                <c:pt idx="178">
                  <c:v>-7.8471544590334643</c:v>
                </c:pt>
                <c:pt idx="179">
                  <c:v>-7.8555556596844749</c:v>
                </c:pt>
                <c:pt idx="180">
                  <c:v>-7.8641653581444988</c:v>
                </c:pt>
                <c:pt idx="181">
                  <c:v>-7.8729799571123067</c:v>
                </c:pt>
                <c:pt idx="182">
                  <c:v>-7.882178290213667</c:v>
                </c:pt>
                <c:pt idx="183">
                  <c:v>-7.8915824962043697</c:v>
                </c:pt>
                <c:pt idx="184">
                  <c:v>-7.9011890103735682</c:v>
                </c:pt>
                <c:pt idx="185">
                  <c:v>-7.9109943483630492</c:v>
                </c:pt>
                <c:pt idx="186">
                  <c:v>-7.9212723583732023</c:v>
                </c:pt>
                <c:pt idx="187">
                  <c:v>-7.93175305126847</c:v>
                </c:pt>
                <c:pt idx="188">
                  <c:v>-7.9424328981269952</c:v>
                </c:pt>
                <c:pt idx="189">
                  <c:v>-7.953308449884414</c:v>
                </c:pt>
                <c:pt idx="190">
                  <c:v>-7.9645894028410629</c:v>
                </c:pt>
                <c:pt idx="191">
                  <c:v>-7.9760666128891797</c:v>
                </c:pt>
                <c:pt idx="192">
                  <c:v>-7.9877366714534723</c:v>
                </c:pt>
                <c:pt idx="193">
                  <c:v>-7.9995962467682578</c:v>
                </c:pt>
                <c:pt idx="194">
                  <c:v>-8.0119603666528683</c:v>
                </c:pt>
                <c:pt idx="195">
                  <c:v>-8.0245172003170282</c:v>
                </c:pt>
                <c:pt idx="196">
                  <c:v>-8.0372633853058648</c:v>
                </c:pt>
                <c:pt idx="197">
                  <c:v>-8.0501956351365358</c:v>
                </c:pt>
                <c:pt idx="198">
                  <c:v>-8.0635999512289622</c:v>
                </c:pt>
                <c:pt idx="199">
                  <c:v>-8.0771918646316081</c:v>
                </c:pt>
                <c:pt idx="200">
                  <c:v>-8.0909681004130967</c:v>
                </c:pt>
                <c:pt idx="201">
                  <c:v>-8.1049254575203609</c:v>
                </c:pt>
                <c:pt idx="202">
                  <c:v>-8.1193656322775514</c:v>
                </c:pt>
                <c:pt idx="203">
                  <c:v>-8.1339882497163654</c:v>
                </c:pt>
                <c:pt idx="204">
                  <c:v>-8.1487901240289702</c:v>
                </c:pt>
                <c:pt idx="205">
                  <c:v>-8.1637681411292924</c:v>
                </c:pt>
                <c:pt idx="206">
                  <c:v>-8.1792922329992965</c:v>
                </c:pt>
                <c:pt idx="207">
                  <c:v>-8.1949948009023412</c:v>
                </c:pt>
                <c:pt idx="208">
                  <c:v>-8.2108727176422871</c:v>
                </c:pt>
                <c:pt idx="209">
                  <c:v>-8.2269229264865</c:v>
                </c:pt>
                <c:pt idx="210">
                  <c:v>-8.2435876393540024</c:v>
                </c:pt>
                <c:pt idx="211">
                  <c:v>-8.2604278612308253</c:v>
                </c:pt>
                <c:pt idx="212">
                  <c:v>-8.2774404974927638</c:v>
                </c:pt>
                <c:pt idx="213">
                  <c:v>-8.2946225234886892</c:v>
                </c:pt>
                <c:pt idx="214">
                  <c:v>-8.3123184709973508</c:v>
                </c:pt>
                <c:pt idx="215">
                  <c:v>-8.3301844869362345</c:v>
                </c:pt>
                <c:pt idx="216">
                  <c:v>-8.348217574566549</c:v>
                </c:pt>
                <c:pt idx="217">
                  <c:v>-8.3664148046595148</c:v>
                </c:pt>
                <c:pt idx="218">
                  <c:v>-8.3851937699930232</c:v>
                </c:pt>
                <c:pt idx="219">
                  <c:v>-8.4041384579956784</c:v>
                </c:pt>
                <c:pt idx="220">
                  <c:v>-8.4232459414558107</c:v>
                </c:pt>
                <c:pt idx="221">
                  <c:v>-8.4425133590442893</c:v>
                </c:pt>
                <c:pt idx="222">
                  <c:v>-8.4623727143752703</c:v>
                </c:pt>
                <c:pt idx="223">
                  <c:v>-8.4823933695978582</c:v>
                </c:pt>
                <c:pt idx="224">
                  <c:v>-8.5025724693777232</c:v>
                </c:pt>
                <c:pt idx="225">
                  <c:v>-8.5229072225512272</c:v>
                </c:pt>
                <c:pt idx="226">
                  <c:v>-8.543907426618464</c:v>
                </c:pt>
                <c:pt idx="227">
                  <c:v>-8.5650654010511573</c:v>
                </c:pt>
                <c:pt idx="228">
                  <c:v>-8.586378338945984</c:v>
                </c:pt>
                <c:pt idx="229">
                  <c:v>-8.6078434965449766</c:v>
                </c:pt>
                <c:pt idx="230">
                  <c:v>-8.6522818175168013</c:v>
                </c:pt>
                <c:pt idx="231">
                  <c:v>-8.6747293442593598</c:v>
                </c:pt>
                <c:pt idx="232">
                  <c:v>-8.6973255048672229</c:v>
                </c:pt>
                <c:pt idx="233">
                  <c:v>-8.7206092935187627</c:v>
                </c:pt>
                <c:pt idx="234">
                  <c:v>-8.7440433379981588</c:v>
                </c:pt>
                <c:pt idx="235">
                  <c:v>-8.7676249403755193</c:v>
                </c:pt>
                <c:pt idx="236">
                  <c:v>-8.7913514634140082</c:v>
                </c:pt>
                <c:pt idx="237">
                  <c:v>-8.8157060803616893</c:v>
                </c:pt>
                <c:pt idx="238">
                  <c:v>-8.8402061978148918</c:v>
                </c:pt>
                <c:pt idx="239">
                  <c:v>-8.8648491992108802</c:v>
                </c:pt>
                <c:pt idx="240">
                  <c:v>-8.8896325266308853</c:v>
                </c:pt>
                <c:pt idx="241">
                  <c:v>-8.9151926529611263</c:v>
                </c:pt>
                <c:pt idx="242">
                  <c:v>-8.940895105411613</c:v>
                </c:pt>
                <c:pt idx="243">
                  <c:v>-8.9667373063142843</c:v>
                </c:pt>
                <c:pt idx="244">
                  <c:v>-8.9927167358488873</c:v>
                </c:pt>
                <c:pt idx="245">
                  <c:v>-9.0194111461653765</c:v>
                </c:pt>
                <c:pt idx="246">
                  <c:v>-9.0462437888048637</c:v>
                </c:pt>
                <c:pt idx="247">
                  <c:v>-9.0732121496481266</c:v>
                </c:pt>
                <c:pt idx="248">
                  <c:v>-9.1003137708797919</c:v>
                </c:pt>
                <c:pt idx="249">
                  <c:v>-9.1282120710209167</c:v>
                </c:pt>
                <c:pt idx="250">
                  <c:v>-9.1562451643997544</c:v>
                </c:pt>
                <c:pt idx="251">
                  <c:v>-9.1844105825017373</c:v>
                </c:pt>
                <c:pt idx="252">
                  <c:v>-9.2127059120930692</c:v>
                </c:pt>
                <c:pt idx="253">
                  <c:v>-9.2417316975618586</c:v>
                </c:pt>
                <c:pt idx="254">
                  <c:v>-9.2708880350157354</c:v>
                </c:pt>
                <c:pt idx="255">
                  <c:v>-9.3001725232713692</c:v>
                </c:pt>
                <c:pt idx="256">
                  <c:v>-9.3295828147443594</c:v>
                </c:pt>
                <c:pt idx="257">
                  <c:v>-9.3598833593049449</c:v>
                </c:pt>
                <c:pt idx="258">
                  <c:v>-9.3903114708735078</c:v>
                </c:pt>
                <c:pt idx="259">
                  <c:v>-9.4208647807302555</c:v>
                </c:pt>
                <c:pt idx="260">
                  <c:v>-9.4515409730942643</c:v>
                </c:pt>
                <c:pt idx="261">
                  <c:v>-9.4830390955082091</c:v>
                </c:pt>
                <c:pt idx="262">
                  <c:v>-9.5146610130609055</c:v>
                </c:pt>
                <c:pt idx="263">
                  <c:v>-9.5464044107164678</c:v>
                </c:pt>
                <c:pt idx="264">
                  <c:v>-9.5782670250750979</c:v>
                </c:pt>
                <c:pt idx="265">
                  <c:v>-9.610958613358271</c:v>
                </c:pt>
                <c:pt idx="266">
                  <c:v>-9.643770151837165</c:v>
                </c:pt>
                <c:pt idx="267">
                  <c:v>-9.6766993808364496</c:v>
                </c:pt>
                <c:pt idx="268">
                  <c:v>-9.709744090951844</c:v>
                </c:pt>
                <c:pt idx="269">
                  <c:v>-9.7437044241834165</c:v>
                </c:pt>
                <c:pt idx="270">
                  <c:v>-9.7777813494101729</c:v>
                </c:pt>
                <c:pt idx="271">
                  <c:v>-9.8119726480716789</c:v>
                </c:pt>
                <c:pt idx="272">
                  <c:v>-9.8462761509216143</c:v>
                </c:pt>
                <c:pt idx="273">
                  <c:v>-9.8815026895903291</c:v>
                </c:pt>
                <c:pt idx="274">
                  <c:v>-9.916842340683564</c:v>
                </c:pt>
                <c:pt idx="275">
                  <c:v>-9.9522929294187481</c:v>
                </c:pt>
                <c:pt idx="276">
                  <c:v>-9.9878523292791321</c:v>
                </c:pt>
                <c:pt idx="277">
                  <c:v>-10.024259195922202</c:v>
                </c:pt>
                <c:pt idx="278">
                  <c:v>-10.060775104078427</c:v>
                </c:pt>
                <c:pt idx="279">
                  <c:v>-10.097397939113801</c:v>
                </c:pt>
                <c:pt idx="280">
                  <c:v>-10.134125633117046</c:v>
                </c:pt>
                <c:pt idx="281">
                  <c:v>-10.171955242178049</c:v>
                </c:pt>
                <c:pt idx="282">
                  <c:v>-10.209891191752206</c:v>
                </c:pt>
                <c:pt idx="283">
                  <c:v>-10.247931386658522</c:v>
                </c:pt>
                <c:pt idx="284">
                  <c:v>-10.286073778078956</c:v>
                </c:pt>
                <c:pt idx="285">
                  <c:v>-10.325073806107467</c:v>
                </c:pt>
                <c:pt idx="286">
                  <c:v>-10.364175951760265</c:v>
                </c:pt>
                <c:pt idx="287">
                  <c:v>-10.403378182901411</c:v>
                </c:pt>
                <c:pt idx="288">
                  <c:v>-10.442678512106303</c:v>
                </c:pt>
                <c:pt idx="289">
                  <c:v>-10.483095128374218</c:v>
                </c:pt>
                <c:pt idx="290">
                  <c:v>-10.523610884174081</c:v>
                </c:pt>
                <c:pt idx="291">
                  <c:v>-10.564223772398678</c:v>
                </c:pt>
                <c:pt idx="292">
                  <c:v>-10.604931830100723</c:v>
                </c:pt>
                <c:pt idx="293">
                  <c:v>-10.646677111905953</c:v>
                </c:pt>
                <c:pt idx="294">
                  <c:v>-10.688517991905153</c:v>
                </c:pt>
                <c:pt idx="295">
                  <c:v>-10.730452503432238</c:v>
                </c:pt>
                <c:pt idx="296">
                  <c:v>-10.772478722966349</c:v>
                </c:pt>
                <c:pt idx="297">
                  <c:v>-10.815547078347034</c:v>
                </c:pt>
                <c:pt idx="298">
                  <c:v>-10.858707396067366</c:v>
                </c:pt>
                <c:pt idx="299">
                  <c:v>-10.901957751490567</c:v>
                </c:pt>
                <c:pt idx="300">
                  <c:v>-10.945296262051597</c:v>
                </c:pt>
                <c:pt idx="301">
                  <c:v>-10.989681229468051</c:v>
                </c:pt>
                <c:pt idx="302">
                  <c:v>-11.034154442117819</c:v>
                </c:pt>
                <c:pt idx="303">
                  <c:v>-11.078714018604384</c:v>
                </c:pt>
                <c:pt idx="304">
                  <c:v>-11.123358118482908</c:v>
                </c:pt>
                <c:pt idx="305">
                  <c:v>-11.169228344161507</c:v>
                </c:pt>
                <c:pt idx="306">
                  <c:v>-11.215183672333444</c:v>
                </c:pt>
                <c:pt idx="307">
                  <c:v>-11.261222244663031</c:v>
                </c:pt>
                <c:pt idx="308">
                  <c:v>-11.307342243217471</c:v>
                </c:pt>
                <c:pt idx="309">
                  <c:v>-11.354516289292391</c:v>
                </c:pt>
                <c:pt idx="310">
                  <c:v>-11.401771522780116</c:v>
                </c:pt>
                <c:pt idx="311">
                  <c:v>-11.449106131543175</c:v>
                </c:pt>
                <c:pt idx="312">
                  <c:v>-11.496518342618025</c:v>
                </c:pt>
                <c:pt idx="313">
                  <c:v>-11.545165600324205</c:v>
                </c:pt>
                <c:pt idx="314">
                  <c:v>-11.59389064690288</c:v>
                </c:pt>
                <c:pt idx="315">
                  <c:v>-11.64269169726292</c:v>
                </c:pt>
                <c:pt idx="316">
                  <c:v>-11.691567004797253</c:v>
                </c:pt>
                <c:pt idx="317">
                  <c:v>-11.741681155837956</c:v>
                </c:pt>
                <c:pt idx="318">
                  <c:v>-11.791869556049059</c:v>
                </c:pt>
                <c:pt idx="319">
                  <c:v>-11.842130449500097</c:v>
                </c:pt>
                <c:pt idx="320">
                  <c:v>-11.892462117981564</c:v>
                </c:pt>
                <c:pt idx="321">
                  <c:v>-11.94403579951082</c:v>
                </c:pt>
                <c:pt idx="322">
                  <c:v>-11.995680062692701</c:v>
                </c:pt>
                <c:pt idx="323">
                  <c:v>-12.047393182497249</c:v>
                </c:pt>
                <c:pt idx="324">
                  <c:v>-12.099173470790584</c:v>
                </c:pt>
                <c:pt idx="325">
                  <c:v>-12.152198337723407</c:v>
                </c:pt>
                <c:pt idx="326">
                  <c:v>-12.205290003064823</c:v>
                </c:pt>
                <c:pt idx="327">
                  <c:v>-12.258446774078871</c:v>
                </c:pt>
                <c:pt idx="328">
                  <c:v>-12.311666994050009</c:v>
                </c:pt>
                <c:pt idx="329">
                  <c:v>-12.366224911519522</c:v>
                </c:pt>
                <c:pt idx="330">
                  <c:v>-12.420845947076899</c:v>
                </c:pt>
                <c:pt idx="331">
                  <c:v>-12.47552843310703</c:v>
                </c:pt>
                <c:pt idx="332">
                  <c:v>-12.530270737331238</c:v>
                </c:pt>
                <c:pt idx="333">
                  <c:v>-12.586261222462609</c:v>
                </c:pt>
                <c:pt idx="334">
                  <c:v>-12.642310814246738</c:v>
                </c:pt>
                <c:pt idx="335">
                  <c:v>-12.698417879795668</c:v>
                </c:pt>
                <c:pt idx="336">
                  <c:v>-12.754580820593137</c:v>
                </c:pt>
                <c:pt idx="337">
                  <c:v>-12.812176614161521</c:v>
                </c:pt>
                <c:pt idx="338">
                  <c:v>-12.869827765230854</c:v>
                </c:pt>
                <c:pt idx="339">
                  <c:v>-12.927532660910762</c:v>
                </c:pt>
                <c:pt idx="340">
                  <c:v>-12.985289722120182</c:v>
                </c:pt>
                <c:pt idx="341">
                  <c:v>-13.044480968914097</c:v>
                </c:pt>
                <c:pt idx="342">
                  <c:v>-13.10372366095117</c:v>
                </c:pt>
                <c:pt idx="343">
                  <c:v>-13.16301620721406</c:v>
                </c:pt>
                <c:pt idx="344">
                  <c:v>-13.222357049868695</c:v>
                </c:pt>
                <c:pt idx="345">
                  <c:v>-13.283040230140058</c:v>
                </c:pt>
                <c:pt idx="346">
                  <c:v>-13.343770649690642</c:v>
                </c:pt>
                <c:pt idx="347">
                  <c:v>-13.404546748007471</c:v>
                </c:pt>
                <c:pt idx="348">
                  <c:v>-13.46536699688701</c:v>
                </c:pt>
                <c:pt idx="349">
                  <c:v>-13.527714881013111</c:v>
                </c:pt>
                <c:pt idx="350">
                  <c:v>-13.590105949315262</c:v>
                </c:pt>
                <c:pt idx="351">
                  <c:v>-13.652538658715962</c:v>
                </c:pt>
                <c:pt idx="352">
                  <c:v>-13.715011497924667</c:v>
                </c:pt>
                <c:pt idx="353">
                  <c:v>-13.779011814418128</c:v>
                </c:pt>
                <c:pt idx="354">
                  <c:v>-13.843051086788259</c:v>
                </c:pt>
                <c:pt idx="355">
                  <c:v>-13.907127791102013</c:v>
                </c:pt>
                <c:pt idx="356">
                  <c:v>-13.971240434634826</c:v>
                </c:pt>
                <c:pt idx="357">
                  <c:v>-14.036786484634577</c:v>
                </c:pt>
                <c:pt idx="358">
                  <c:v>-14.102367003020172</c:v>
                </c:pt>
                <c:pt idx="359">
                  <c:v>-14.167980492762037</c:v>
                </c:pt>
                <c:pt idx="360">
                  <c:v>-14.233625487243078</c:v>
                </c:pt>
                <c:pt idx="361">
                  <c:v>-14.300889069337844</c:v>
                </c:pt>
                <c:pt idx="362">
                  <c:v>-14.368182678472403</c:v>
                </c:pt>
                <c:pt idx="363">
                  <c:v>-14.435504832858371</c:v>
                </c:pt>
                <c:pt idx="364">
                  <c:v>-14.502854080633311</c:v>
                </c:pt>
                <c:pt idx="365">
                  <c:v>-14.571726500288735</c:v>
                </c:pt>
                <c:pt idx="366">
                  <c:v>-14.640624255119283</c:v>
                </c:pt>
                <c:pt idx="367">
                  <c:v>-14.709545886023658</c:v>
                </c:pt>
                <c:pt idx="368">
                  <c:v>-14.778489963135097</c:v>
                </c:pt>
                <c:pt idx="369">
                  <c:v>-14.849141983991903</c:v>
                </c:pt>
                <c:pt idx="370">
                  <c:v>-14.919814615010417</c:v>
                </c:pt>
                <c:pt idx="371">
                  <c:v>-14.990506409137755</c:v>
                </c:pt>
                <c:pt idx="372">
                  <c:v>-15.061215948143799</c:v>
                </c:pt>
                <c:pt idx="373">
                  <c:v>-15.133536635361546</c:v>
                </c:pt>
                <c:pt idx="374">
                  <c:v>-15.205872966298434</c:v>
                </c:pt>
                <c:pt idx="375">
                  <c:v>-15.278223513093623</c:v>
                </c:pt>
                <c:pt idx="376">
                  <c:v>-15.350586876105309</c:v>
                </c:pt>
                <c:pt idx="377">
                  <c:v>-15.424745371669399</c:v>
                </c:pt>
                <c:pt idx="378">
                  <c:v>-15.498914435304041</c:v>
                </c:pt>
                <c:pt idx="379">
                  <c:v>-15.57309264859197</c:v>
                </c:pt>
                <c:pt idx="380">
                  <c:v>-15.647278620985949</c:v>
                </c:pt>
                <c:pt idx="381">
                  <c:v>-15.72306759403347</c:v>
                </c:pt>
                <c:pt idx="382">
                  <c:v>-15.79886181615365</c:v>
                </c:pt>
                <c:pt idx="383">
                  <c:v>-15.874659890383784</c:v>
                </c:pt>
                <c:pt idx="384">
                  <c:v>-15.950460446970057</c:v>
                </c:pt>
                <c:pt idx="385">
                  <c:v>-16.028140750361967</c:v>
                </c:pt>
                <c:pt idx="386">
                  <c:v>-16.105820832550087</c:v>
                </c:pt>
                <c:pt idx="387">
                  <c:v>-16.183499303637905</c:v>
                </c:pt>
                <c:pt idx="388">
                  <c:v>-16.261174800652199</c:v>
                </c:pt>
                <c:pt idx="389">
                  <c:v>-16.340630390709336</c:v>
                </c:pt>
                <c:pt idx="390">
                  <c:v>-16.420080066263033</c:v>
                </c:pt>
                <c:pt idx="391">
                  <c:v>-16.499522451095157</c:v>
                </c:pt>
                <c:pt idx="392">
                  <c:v>-16.578956195459284</c:v>
                </c:pt>
                <c:pt idx="393">
                  <c:v>-16.660163600069534</c:v>
                </c:pt>
                <c:pt idx="394">
                  <c:v>-16.741359199662266</c:v>
                </c:pt>
                <c:pt idx="395">
                  <c:v>-16.822541632864965</c:v>
                </c:pt>
                <c:pt idx="396">
                  <c:v>-16.903709564303362</c:v>
                </c:pt>
                <c:pt idx="397">
                  <c:v>-16.986831643558709</c:v>
                </c:pt>
                <c:pt idx="398">
                  <c:v>-17.069935753047961</c:v>
                </c:pt>
                <c:pt idx="399">
                  <c:v>-17.153020538209887</c:v>
                </c:pt>
                <c:pt idx="400">
                  <c:v>-17.236084670221562</c:v>
                </c:pt>
                <c:pt idx="401">
                  <c:v>-17.321001123114563</c:v>
                </c:pt>
                <c:pt idx="402">
                  <c:v>-17.405893249085455</c:v>
                </c:pt>
                <c:pt idx="403">
                  <c:v>-17.490759706497897</c:v>
                </c:pt>
                <c:pt idx="404">
                  <c:v>-17.575599179052176</c:v>
                </c:pt>
                <c:pt idx="405">
                  <c:v>-17.662375852074206</c:v>
                </c:pt>
                <c:pt idx="406">
                  <c:v>-17.749121565236038</c:v>
                </c:pt>
                <c:pt idx="407">
                  <c:v>-17.835834986758289</c:v>
                </c:pt>
                <c:pt idx="408">
                  <c:v>-17.922514809889524</c:v>
                </c:pt>
                <c:pt idx="409">
                  <c:v>-18.011215616708622</c:v>
                </c:pt>
                <c:pt idx="410">
                  <c:v>-18.099878517581182</c:v>
                </c:pt>
                <c:pt idx="411">
                  <c:v>-18.188502187919308</c:v>
                </c:pt>
                <c:pt idx="412">
                  <c:v>-18.277085327939748</c:v>
                </c:pt>
                <c:pt idx="413">
                  <c:v>-18.36767874768697</c:v>
                </c:pt>
                <c:pt idx="414">
                  <c:v>-18.458227059984626</c:v>
                </c:pt>
                <c:pt idx="415">
                  <c:v>-18.548728949178656</c:v>
                </c:pt>
                <c:pt idx="416">
                  <c:v>-18.639183124175574</c:v>
                </c:pt>
                <c:pt idx="417">
                  <c:v>-18.731729134418895</c:v>
                </c:pt>
                <c:pt idx="418">
                  <c:v>-18.824222481520941</c:v>
                </c:pt>
                <c:pt idx="419">
                  <c:v>-18.916661856514803</c:v>
                </c:pt>
                <c:pt idx="420">
                  <c:v>-19.00904597483224</c:v>
                </c:pt>
                <c:pt idx="421">
                  <c:v>-19.10341639496874</c:v>
                </c:pt>
                <c:pt idx="422">
                  <c:v>-19.197726447011746</c:v>
                </c:pt>
                <c:pt idx="423">
                  <c:v>-19.291974834411612</c:v>
                </c:pt>
                <c:pt idx="424">
                  <c:v>-19.38616028474469</c:v>
                </c:pt>
                <c:pt idx="425">
                  <c:v>-19.482596705529257</c:v>
                </c:pt>
                <c:pt idx="426">
                  <c:v>-19.578964424510126</c:v>
                </c:pt>
                <c:pt idx="427">
                  <c:v>-19.675262148065439</c:v>
                </c:pt>
                <c:pt idx="428">
                  <c:v>-19.771488606697151</c:v>
                </c:pt>
                <c:pt idx="429">
                  <c:v>-19.869858495269678</c:v>
                </c:pt>
                <c:pt idx="430">
                  <c:v>-19.968151181860534</c:v>
                </c:pt>
                <c:pt idx="431">
                  <c:v>-20.066365381839304</c:v>
                </c:pt>
                <c:pt idx="432">
                  <c:v>-20.164499834587684</c:v>
                </c:pt>
                <c:pt idx="433">
                  <c:v>-20.264762016025266</c:v>
                </c:pt>
                <c:pt idx="434">
                  <c:v>-20.364938224086004</c:v>
                </c:pt>
                <c:pt idx="435">
                  <c:v>-20.465027185286324</c:v>
                </c:pt>
                <c:pt idx="436">
                  <c:v>-20.565027650035287</c:v>
                </c:pt>
                <c:pt idx="437">
                  <c:v>-20.667322665911176</c:v>
                </c:pt>
                <c:pt idx="438">
                  <c:v>-20.769522332346451</c:v>
                </c:pt>
                <c:pt idx="439">
                  <c:v>-20.871625382421609</c:v>
                </c:pt>
                <c:pt idx="440">
                  <c:v>-20.973630573156409</c:v>
                </c:pt>
                <c:pt idx="441">
                  <c:v>-21.077911779195048</c:v>
                </c:pt>
                <c:pt idx="442">
                  <c:v>-21.182087949707743</c:v>
                </c:pt>
                <c:pt idx="443">
                  <c:v>-21.286157827112138</c:v>
                </c:pt>
                <c:pt idx="444">
                  <c:v>-21.390120177800828</c:v>
                </c:pt>
                <c:pt idx="445">
                  <c:v>-21.496339030415726</c:v>
                </c:pt>
                <c:pt idx="446">
                  <c:v>-21.602442864223697</c:v>
                </c:pt>
                <c:pt idx="447">
                  <c:v>-21.708430433786624</c:v>
                </c:pt>
                <c:pt idx="448">
                  <c:v>-21.814300517670695</c:v>
                </c:pt>
                <c:pt idx="449">
                  <c:v>-21.922587758845975</c:v>
                </c:pt>
                <c:pt idx="450">
                  <c:v>-22.030749291685378</c:v>
                </c:pt>
                <c:pt idx="451">
                  <c:v>-22.138783879613808</c:v>
                </c:pt>
                <c:pt idx="452">
                  <c:v>-22.246690310246784</c:v>
                </c:pt>
                <c:pt idx="453">
                  <c:v>-22.356901022292348</c:v>
                </c:pt>
                <c:pt idx="454">
                  <c:v>-22.466975231421006</c:v>
                </c:pt>
                <c:pt idx="455">
                  <c:v>-22.57691171639048</c:v>
                </c:pt>
                <c:pt idx="456">
                  <c:v>-22.686709280248234</c:v>
                </c:pt>
                <c:pt idx="457">
                  <c:v>-22.798967384420241</c:v>
                </c:pt>
                <c:pt idx="458">
                  <c:v>-22.911077432790275</c:v>
                </c:pt>
                <c:pt idx="459">
                  <c:v>-23.023038217013291</c:v>
                </c:pt>
                <c:pt idx="460">
                  <c:v>-23.134848553286396</c:v>
                </c:pt>
                <c:pt idx="461">
                  <c:v>-23.249093886511556</c:v>
                </c:pt>
                <c:pt idx="462">
                  <c:v>-23.363179284903023</c:v>
                </c:pt>
                <c:pt idx="463">
                  <c:v>-23.477103556982254</c:v>
                </c:pt>
                <c:pt idx="464">
                  <c:v>-23.590865536058296</c:v>
                </c:pt>
                <c:pt idx="465">
                  <c:v>-23.707124576359647</c:v>
                </c:pt>
                <c:pt idx="466">
                  <c:v>-23.823211231752957</c:v>
                </c:pt>
                <c:pt idx="467">
                  <c:v>-23.939124329051825</c:v>
                </c:pt>
                <c:pt idx="468">
                  <c:v>-24.054862720173691</c:v>
                </c:pt>
                <c:pt idx="469">
                  <c:v>-24.173069684372887</c:v>
                </c:pt>
                <c:pt idx="470">
                  <c:v>-24.291091497238668</c:v>
                </c:pt>
                <c:pt idx="471">
                  <c:v>-24.408927008377216</c:v>
                </c:pt>
                <c:pt idx="472">
                  <c:v>-24.5265750928078</c:v>
                </c:pt>
                <c:pt idx="473">
                  <c:v>-24.646837341097427</c:v>
                </c:pt>
                <c:pt idx="474">
                  <c:v>-24.766900796751788</c:v>
                </c:pt>
                <c:pt idx="475">
                  <c:v>-24.886764331934014</c:v>
                </c:pt>
                <c:pt idx="476">
                  <c:v>-25.006426844672099</c:v>
                </c:pt>
                <c:pt idx="477">
                  <c:v>-25.128671086767174</c:v>
                </c:pt>
                <c:pt idx="478">
                  <c:v>-25.250702565934951</c:v>
                </c:pt>
                <c:pt idx="479">
                  <c:v>-25.372520182284951</c:v>
                </c:pt>
                <c:pt idx="480">
                  <c:v>-25.494122862231606</c:v>
                </c:pt>
                <c:pt idx="481">
                  <c:v>-25.618273680806258</c:v>
                </c:pt>
                <c:pt idx="482">
                  <c:v>-25.742197464058524</c:v>
                </c:pt>
                <c:pt idx="483">
                  <c:v>-25.86589314559307</c:v>
                </c:pt>
                <c:pt idx="484">
                  <c:v>-25.989359685746862</c:v>
                </c:pt>
                <c:pt idx="485">
                  <c:v>-26.115425391844212</c:v>
                </c:pt>
                <c:pt idx="486">
                  <c:v>-26.241249186569451</c:v>
                </c:pt>
                <c:pt idx="487">
                  <c:v>-26.366830040649766</c:v>
                </c:pt>
                <c:pt idx="488">
                  <c:v>-26.492166952031557</c:v>
                </c:pt>
                <c:pt idx="489">
                  <c:v>-26.620236358625537</c:v>
                </c:pt>
                <c:pt idx="490">
                  <c:v>-26.748048019384076</c:v>
                </c:pt>
                <c:pt idx="491">
                  <c:v>-26.875600944450643</c:v>
                </c:pt>
                <c:pt idx="492">
                  <c:v>-27.002894171802403</c:v>
                </c:pt>
                <c:pt idx="493">
                  <c:v>-27.132879866874291</c:v>
                </c:pt>
                <c:pt idx="494">
                  <c:v>-27.262591685668475</c:v>
                </c:pt>
                <c:pt idx="495">
                  <c:v>-27.392028684766583</c:v>
                </c:pt>
                <c:pt idx="496">
                  <c:v>-27.521189949172868</c:v>
                </c:pt>
                <c:pt idx="497">
                  <c:v>-27.653086119243603</c:v>
                </c:pt>
                <c:pt idx="498">
                  <c:v>-27.784691653900058</c:v>
                </c:pt>
                <c:pt idx="499">
                  <c:v>-27.916005661677506</c:v>
                </c:pt>
                <c:pt idx="500">
                  <c:v>-28.047027280165988</c:v>
                </c:pt>
                <c:pt idx="501">
                  <c:v>-28.180823223560537</c:v>
                </c:pt>
                <c:pt idx="502">
                  <c:v>-28.314311141678033</c:v>
                </c:pt>
                <c:pt idx="503">
                  <c:v>-28.447490201180031</c:v>
                </c:pt>
                <c:pt idx="504">
                  <c:v>-28.580359598451373</c:v>
                </c:pt>
                <c:pt idx="505">
                  <c:v>-28.715957515066478</c:v>
                </c:pt>
                <c:pt idx="506">
                  <c:v>-28.851229782910384</c:v>
                </c:pt>
                <c:pt idx="507">
                  <c:v>-28.986175634978803</c:v>
                </c:pt>
                <c:pt idx="508">
                  <c:v>-29.1207943346148</c:v>
                </c:pt>
                <c:pt idx="509">
                  <c:v>-29.258175939133942</c:v>
                </c:pt>
                <c:pt idx="510">
                  <c:v>-29.395213674747104</c:v>
                </c:pt>
                <c:pt idx="511">
                  <c:v>-29.531906847899425</c:v>
                </c:pt>
                <c:pt idx="512">
                  <c:v>-29.668254796028567</c:v>
                </c:pt>
                <c:pt idx="513">
                  <c:v>-29.80747739329226</c:v>
                </c:pt>
                <c:pt idx="514">
                  <c:v>-29.94633689239604</c:v>
                </c:pt>
                <c:pt idx="515">
                  <c:v>-30.084832679964951</c:v>
                </c:pt>
                <c:pt idx="516">
                  <c:v>-30.222964174346018</c:v>
                </c:pt>
                <c:pt idx="517">
                  <c:v>-30.363917387225499</c:v>
                </c:pt>
                <c:pt idx="518">
                  <c:v>-30.504488103686075</c:v>
                </c:pt>
                <c:pt idx="519">
                  <c:v>-30.644675800235063</c:v>
                </c:pt>
                <c:pt idx="520">
                  <c:v>-30.784479985757724</c:v>
                </c:pt>
                <c:pt idx="521">
                  <c:v>-30.92713063027459</c:v>
                </c:pt>
                <c:pt idx="522">
                  <c:v>-31.069378821020702</c:v>
                </c:pt>
                <c:pt idx="523">
                  <c:v>-31.211224133443455</c:v>
                </c:pt>
                <c:pt idx="524">
                  <c:v>-31.35266617601237</c:v>
                </c:pt>
                <c:pt idx="525">
                  <c:v>-31.496976124695664</c:v>
                </c:pt>
                <c:pt idx="526">
                  <c:v>-31.640863123861173</c:v>
                </c:pt>
                <c:pt idx="527">
                  <c:v>-31.784326857571962</c:v>
                </c:pt>
                <c:pt idx="528">
                  <c:v>-31.927367043532701</c:v>
                </c:pt>
                <c:pt idx="529">
                  <c:v>-32.073293258403616</c:v>
                </c:pt>
                <c:pt idx="530">
                  <c:v>-32.21877551466882</c:v>
                </c:pt>
                <c:pt idx="531">
                  <c:v>-32.36381361527522</c:v>
                </c:pt>
                <c:pt idx="532">
                  <c:v>-32.508407397391579</c:v>
                </c:pt>
                <c:pt idx="533">
                  <c:v>-32.655978010495694</c:v>
                </c:pt>
                <c:pt idx="534">
                  <c:v>-32.803082691283066</c:v>
                </c:pt>
                <c:pt idx="535">
                  <c:v>-32.949721372334842</c:v>
                </c:pt>
                <c:pt idx="536">
                  <c:v>-33.095894021050796</c:v>
                </c:pt>
                <c:pt idx="537">
                  <c:v>-33.24490332532794</c:v>
                </c:pt>
                <c:pt idx="538">
                  <c:v>-33.393425235248344</c:v>
                </c:pt>
                <c:pt idx="539">
                  <c:v>-33.541459824599428</c:v>
                </c:pt>
                <c:pt idx="540">
                  <c:v>-33.689007202368771</c:v>
                </c:pt>
                <c:pt idx="541">
                  <c:v>-33.839548904463804</c:v>
                </c:pt>
                <c:pt idx="542">
                  <c:v>-33.989580355255342</c:v>
                </c:pt>
                <c:pt idx="543">
                  <c:v>-34.139101781763216</c:v>
                </c:pt>
                <c:pt idx="544">
                  <c:v>-34.288113446641759</c:v>
                </c:pt>
                <c:pt idx="545">
                  <c:v>-34.440049535543935</c:v>
                </c:pt>
                <c:pt idx="546">
                  <c:v>-34.591452640318401</c:v>
                </c:pt>
                <c:pt idx="547">
                  <c:v>-34.742323153379346</c:v>
                </c:pt>
                <c:pt idx="548">
                  <c:v>-34.892661503030112</c:v>
                </c:pt>
                <c:pt idx="549">
                  <c:v>-35.045925605222791</c:v>
                </c:pt>
                <c:pt idx="550">
                  <c:v>-35.198633669590379</c:v>
                </c:pt>
                <c:pt idx="551">
                  <c:v>-35.350786266511236</c:v>
                </c:pt>
                <c:pt idx="552">
                  <c:v>-35.502384002380076</c:v>
                </c:pt>
                <c:pt idx="553">
                  <c:v>-35.656976485706494</c:v>
                </c:pt>
                <c:pt idx="554">
                  <c:v>-35.810989074753607</c:v>
                </c:pt>
                <c:pt idx="555">
                  <c:v>-35.964422531774645</c:v>
                </c:pt>
                <c:pt idx="556">
                  <c:v>-36.117277655084557</c:v>
                </c:pt>
                <c:pt idx="557">
                  <c:v>-36.428359647956043</c:v>
                </c:pt>
                <c:pt idx="558">
                  <c:v>-36.737029618851508</c:v>
                </c:pt>
                <c:pt idx="559">
                  <c:v>-37.050287654336621</c:v>
                </c:pt>
                <c:pt idx="560">
                  <c:v>-37.361039709853905</c:v>
                </c:pt>
                <c:pt idx="561">
                  <c:v>-37.676579090265705</c:v>
                </c:pt>
                <c:pt idx="562">
                  <c:v>-37.98951375874497</c:v>
                </c:pt>
                <c:pt idx="563">
                  <c:v>-38.306486852697411</c:v>
                </c:pt>
                <c:pt idx="564">
                  <c:v>-38.620767647487789</c:v>
                </c:pt>
                <c:pt idx="565">
                  <c:v>-38.940190829977375</c:v>
                </c:pt>
                <c:pt idx="566">
                  <c:v>-39.256813902178742</c:v>
                </c:pt>
                <c:pt idx="567">
                  <c:v>-39.578335090487506</c:v>
                </c:pt>
                <c:pt idx="568">
                  <c:v>-39.896950928003314</c:v>
                </c:pt>
                <c:pt idx="569">
                  <c:v>-40.218964734882732</c:v>
                </c:pt>
                <c:pt idx="570">
                  <c:v>-40.537994313443647</c:v>
                </c:pt>
                <c:pt idx="571">
                  <c:v>-40.862694546882445</c:v>
                </c:pt>
                <c:pt idx="572">
                  <c:v>-41.184288147544066</c:v>
                </c:pt>
                <c:pt idx="573">
                  <c:v>-41.50884655424327</c:v>
                </c:pt>
                <c:pt idx="574">
                  <c:v>-41.830226977252799</c:v>
                </c:pt>
                <c:pt idx="575">
                  <c:v>-42.156755325717896</c:v>
                </c:pt>
                <c:pt idx="576">
                  <c:v>-42.479990744601842</c:v>
                </c:pt>
                <c:pt idx="577">
                  <c:v>-43.812600189818063</c:v>
                </c:pt>
                <c:pt idx="578">
                  <c:v>-45.088870958542842</c:v>
                </c:pt>
                <c:pt idx="579">
                  <c:v>-47.699639771280204</c:v>
                </c:pt>
                <c:pt idx="580">
                  <c:v>-50.294340718351286</c:v>
                </c:pt>
                <c:pt idx="581">
                  <c:v>-52.847835813753591</c:v>
                </c:pt>
                <c:pt idx="582">
                  <c:v>-55.342067000612886</c:v>
                </c:pt>
                <c:pt idx="583">
                  <c:v>-57.757868045725864</c:v>
                </c:pt>
                <c:pt idx="584">
                  <c:v>-60.082549166088938</c:v>
                </c:pt>
                <c:pt idx="585">
                  <c:v>-62.303308477556243</c:v>
                </c:pt>
                <c:pt idx="586">
                  <c:v>-64.412162967527749</c:v>
                </c:pt>
                <c:pt idx="587">
                  <c:v>-66.40476540934219</c:v>
                </c:pt>
                <c:pt idx="588">
                  <c:v>-68.276484663006812</c:v>
                </c:pt>
                <c:pt idx="589">
                  <c:v>-70.028439239231986</c:v>
                </c:pt>
                <c:pt idx="590">
                  <c:v>-71.661424245070435</c:v>
                </c:pt>
                <c:pt idx="591">
                  <c:v>-73.178620636744697</c:v>
                </c:pt>
                <c:pt idx="592">
                  <c:v>-74.584028543060484</c:v>
                </c:pt>
                <c:pt idx="593">
                  <c:v>-75.883076334588665</c:v>
                </c:pt>
                <c:pt idx="594">
                  <c:v>-77.080980089112671</c:v>
                </c:pt>
                <c:pt idx="595">
                  <c:v>-78.183872676086352</c:v>
                </c:pt>
                <c:pt idx="596">
                  <c:v>-79.197554689489934</c:v>
                </c:pt>
                <c:pt idx="597">
                  <c:v>-80.128255947965911</c:v>
                </c:pt>
                <c:pt idx="598">
                  <c:v>-80.981643169604041</c:v>
                </c:pt>
                <c:pt idx="599">
                  <c:v>-81.763633332676108</c:v>
                </c:pt>
                <c:pt idx="600">
                  <c:v>-82.479544013301364</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38.755528120402658</c:v>
                </c:pt>
                <c:pt idx="1">
                  <c:v>38.755471015624124</c:v>
                </c:pt>
                <c:pt idx="2">
                  <c:v>38.755402367157721</c:v>
                </c:pt>
                <c:pt idx="3">
                  <c:v>38.755319839722951</c:v>
                </c:pt>
                <c:pt idx="4">
                  <c:v>38.755220696327108</c:v>
                </c:pt>
                <c:pt idx="5">
                  <c:v>38.755101386490253</c:v>
                </c:pt>
                <c:pt idx="6">
                  <c:v>38.754958002091207</c:v>
                </c:pt>
                <c:pt idx="7">
                  <c:v>38.754785571034759</c:v>
                </c:pt>
                <c:pt idx="8">
                  <c:v>38.754578361822965</c:v>
                </c:pt>
                <c:pt idx="9">
                  <c:v>38.754329172081817</c:v>
                </c:pt>
                <c:pt idx="10">
                  <c:v>38.754029666423946</c:v>
                </c:pt>
                <c:pt idx="11">
                  <c:v>38.753669645456498</c:v>
                </c:pt>
                <c:pt idx="12">
                  <c:v>38.753236640940358</c:v>
                </c:pt>
                <c:pt idx="13">
                  <c:v>38.752716367878911</c:v>
                </c:pt>
                <c:pt idx="14">
                  <c:v>38.752090759731779</c:v>
                </c:pt>
                <c:pt idx="15">
                  <c:v>38.751338781966474</c:v>
                </c:pt>
                <c:pt idx="16">
                  <c:v>38.750434867596809</c:v>
                </c:pt>
                <c:pt idx="17">
                  <c:v>38.749348524512939</c:v>
                </c:pt>
                <c:pt idx="18">
                  <c:v>38.748042608636659</c:v>
                </c:pt>
                <c:pt idx="19">
                  <c:v>38.746473238434838</c:v>
                </c:pt>
                <c:pt idx="20">
                  <c:v>38.744587010809269</c:v>
                </c:pt>
                <c:pt idx="21">
                  <c:v>38.742320593467568</c:v>
                </c:pt>
                <c:pt idx="22">
                  <c:v>38.739597025412891</c:v>
                </c:pt>
                <c:pt idx="23">
                  <c:v>38.736325285345295</c:v>
                </c:pt>
                <c:pt idx="24">
                  <c:v>38.732394579739996</c:v>
                </c:pt>
                <c:pt idx="25">
                  <c:v>38.727673654092698</c:v>
                </c:pt>
                <c:pt idx="26">
                  <c:v>38.722003350809864</c:v>
                </c:pt>
                <c:pt idx="27">
                  <c:v>38.715196486597698</c:v>
                </c:pt>
                <c:pt idx="28">
                  <c:v>38.707027403218206</c:v>
                </c:pt>
                <c:pt idx="29">
                  <c:v>38.697233638223921</c:v>
                </c:pt>
                <c:pt idx="30">
                  <c:v>38.685476666424535</c:v>
                </c:pt>
                <c:pt idx="31">
                  <c:v>38.671388906094627</c:v>
                </c:pt>
                <c:pt idx="32">
                  <c:v>38.654506950561398</c:v>
                </c:pt>
                <c:pt idx="33">
                  <c:v>38.634305572184047</c:v>
                </c:pt>
                <c:pt idx="34">
                  <c:v>38.610133934014435</c:v>
                </c:pt>
                <c:pt idx="35">
                  <c:v>38.581256693822077</c:v>
                </c:pt>
                <c:pt idx="36">
                  <c:v>38.546794407828685</c:v>
                </c:pt>
                <c:pt idx="37">
                  <c:v>38.505701196980446</c:v>
                </c:pt>
                <c:pt idx="38">
                  <c:v>38.456829468834336</c:v>
                </c:pt>
                <c:pt idx="39">
                  <c:v>38.398774589514545</c:v>
                </c:pt>
                <c:pt idx="40">
                  <c:v>38.329993814570543</c:v>
                </c:pt>
                <c:pt idx="41">
                  <c:v>38.248716864810547</c:v>
                </c:pt>
                <c:pt idx="42">
                  <c:v>38.152985626545245</c:v>
                </c:pt>
                <c:pt idx="43">
                  <c:v>38.040599629877988</c:v>
                </c:pt>
                <c:pt idx="44">
                  <c:v>37.90923630159508</c:v>
                </c:pt>
                <c:pt idx="45">
                  <c:v>37.756374711935784</c:v>
                </c:pt>
                <c:pt idx="46">
                  <c:v>37.579463496148833</c:v>
                </c:pt>
                <c:pt idx="47">
                  <c:v>37.375868107660452</c:v>
                </c:pt>
                <c:pt idx="48">
                  <c:v>37.143123924134059</c:v>
                </c:pt>
                <c:pt idx="49">
                  <c:v>36.878844015990254</c:v>
                </c:pt>
                <c:pt idx="50">
                  <c:v>36.581039871636179</c:v>
                </c:pt>
                <c:pt idx="51">
                  <c:v>36.248022700746489</c:v>
                </c:pt>
                <c:pt idx="52">
                  <c:v>35.878795111457642</c:v>
                </c:pt>
                <c:pt idx="53">
                  <c:v>35.472836326577763</c:v>
                </c:pt>
                <c:pt idx="54">
                  <c:v>35.030539946265272</c:v>
                </c:pt>
                <c:pt idx="55">
                  <c:v>34.551849915705517</c:v>
                </c:pt>
                <c:pt idx="56">
                  <c:v>34.038674342048601</c:v>
                </c:pt>
                <c:pt idx="57">
                  <c:v>33.492427065640243</c:v>
                </c:pt>
                <c:pt idx="58">
                  <c:v>32.915639849797408</c:v>
                </c:pt>
                <c:pt idx="59">
                  <c:v>32.310274441058297</c:v>
                </c:pt>
                <c:pt idx="60">
                  <c:v>31.679220909534944</c:v>
                </c:pt>
                <c:pt idx="61">
                  <c:v>31.024996532499614</c:v>
                </c:pt>
                <c:pt idx="62">
                  <c:v>30.349800437493894</c:v>
                </c:pt>
                <c:pt idx="63">
                  <c:v>29.656732432536405</c:v>
                </c:pt>
                <c:pt idx="64">
                  <c:v>28.947539092688402</c:v>
                </c:pt>
                <c:pt idx="65">
                  <c:v>28.22459516916874</c:v>
                </c:pt>
                <c:pt idx="66">
                  <c:v>27.489748718743229</c:v>
                </c:pt>
                <c:pt idx="67">
                  <c:v>26.744804706989179</c:v>
                </c:pt>
                <c:pt idx="68">
                  <c:v>25.991043977126989</c:v>
                </c:pt>
                <c:pt idx="69">
                  <c:v>25.229976134451512</c:v>
                </c:pt>
                <c:pt idx="70">
                  <c:v>24.462582795431199</c:v>
                </c:pt>
                <c:pt idx="71">
                  <c:v>23.689995907341977</c:v>
                </c:pt>
                <c:pt idx="72">
                  <c:v>22.912885637140718</c:v>
                </c:pt>
                <c:pt idx="73">
                  <c:v>22.132156461117031</c:v>
                </c:pt>
                <c:pt idx="74">
                  <c:v>21.348215014985897</c:v>
                </c:pt>
                <c:pt idx="75">
                  <c:v>20.561695480532535</c:v>
                </c:pt>
                <c:pt idx="76">
                  <c:v>19.772848793783485</c:v>
                </c:pt>
                <c:pt idx="77">
                  <c:v>18.982293995186549</c:v>
                </c:pt>
                <c:pt idx="78">
                  <c:v>18.190312920117645</c:v>
                </c:pt>
                <c:pt idx="79">
                  <c:v>17.397664166790847</c:v>
                </c:pt>
                <c:pt idx="80">
                  <c:v>16.603233427133002</c:v>
                </c:pt>
                <c:pt idx="81">
                  <c:v>15.808324858268572</c:v>
                </c:pt>
                <c:pt idx="82">
                  <c:v>15.01256896466273</c:v>
                </c:pt>
                <c:pt idx="83">
                  <c:v>14.216682335698428</c:v>
                </c:pt>
                <c:pt idx="84">
                  <c:v>13.420185536493506</c:v>
                </c:pt>
                <c:pt idx="85">
                  <c:v>12.623650140530277</c:v>
                </c:pt>
                <c:pt idx="86">
                  <c:v>11.827070736569054</c:v>
                </c:pt>
                <c:pt idx="87">
                  <c:v>11.030131643068358</c:v>
                </c:pt>
                <c:pt idx="88">
                  <c:v>10.233705504484636</c:v>
                </c:pt>
                <c:pt idx="89">
                  <c:v>9.4372684065474246</c:v>
                </c:pt>
                <c:pt idx="90">
                  <c:v>8.64124705736252</c:v>
                </c:pt>
                <c:pt idx="91">
                  <c:v>7.8457098743674134</c:v>
                </c:pt>
                <c:pt idx="92">
                  <c:v>7.0509190732615448</c:v>
                </c:pt>
                <c:pt idx="93">
                  <c:v>6.256814458529341</c:v>
                </c:pt>
                <c:pt idx="94">
                  <c:v>6.0585194570244019</c:v>
                </c:pt>
                <c:pt idx="95">
                  <c:v>5.9587830550084551</c:v>
                </c:pt>
                <c:pt idx="96">
                  <c:v>5.8602053809099477</c:v>
                </c:pt>
                <c:pt idx="97">
                  <c:v>5.7605147627479312</c:v>
                </c:pt>
                <c:pt idx="98">
                  <c:v>5.6619831197998653</c:v>
                </c:pt>
                <c:pt idx="99">
                  <c:v>5.5623150715695644</c:v>
                </c:pt>
                <c:pt idx="100">
                  <c:v>5.4638068404931852</c:v>
                </c:pt>
                <c:pt idx="101">
                  <c:v>5.364215560141564</c:v>
                </c:pt>
                <c:pt idx="102">
                  <c:v>5.2657837450187888</c:v>
                </c:pt>
                <c:pt idx="103">
                  <c:v>5.1661755297045797</c:v>
                </c:pt>
                <c:pt idx="104">
                  <c:v>5.0677286614245451</c:v>
                </c:pt>
                <c:pt idx="105">
                  <c:v>4.968160807696747</c:v>
                </c:pt>
                <c:pt idx="106">
                  <c:v>4.8697549231294905</c:v>
                </c:pt>
                <c:pt idx="107">
                  <c:v>4.7702810444559578</c:v>
                </c:pt>
                <c:pt idx="108">
                  <c:v>4.6719685815554932</c:v>
                </c:pt>
                <c:pt idx="109">
                  <c:v>4.5725715119223933</c:v>
                </c:pt>
                <c:pt idx="110">
                  <c:v>4.4743357739580825</c:v>
                </c:pt>
                <c:pt idx="111">
                  <c:v>4.3749355484525019</c:v>
                </c:pt>
                <c:pt idx="112">
                  <c:v>4.2766985055298798</c:v>
                </c:pt>
                <c:pt idx="113">
                  <c:v>4.1773523280670419</c:v>
                </c:pt>
                <c:pt idx="114">
                  <c:v>4.079169934860313</c:v>
                </c:pt>
                <c:pt idx="115">
                  <c:v>3.979868673432585</c:v>
                </c:pt>
                <c:pt idx="116">
                  <c:v>3.8817320943699447</c:v>
                </c:pt>
                <c:pt idx="117">
                  <c:v>3.7824689723749034</c:v>
                </c:pt>
                <c:pt idx="118">
                  <c:v>3.6843716773088033</c:v>
                </c:pt>
                <c:pt idx="119">
                  <c:v>3.5852018925122975</c:v>
                </c:pt>
                <c:pt idx="120">
                  <c:v>3.4871978811624893</c:v>
                </c:pt>
                <c:pt idx="121">
                  <c:v>3.3881146885455813</c:v>
                </c:pt>
                <c:pt idx="122">
                  <c:v>3.2901974668615197</c:v>
                </c:pt>
                <c:pt idx="123">
                  <c:v>3.1911391778756473</c:v>
                </c:pt>
                <c:pt idx="124">
                  <c:v>3.0932486013270868</c:v>
                </c:pt>
                <c:pt idx="125">
                  <c:v>2.9942721658407168</c:v>
                </c:pt>
                <c:pt idx="126">
                  <c:v>2.8964639552043026</c:v>
                </c:pt>
                <c:pt idx="127">
                  <c:v>2.7975683324899765</c:v>
                </c:pt>
                <c:pt idx="128">
                  <c:v>2.6998415794595849</c:v>
                </c:pt>
                <c:pt idx="129">
                  <c:v>2.6010273915106765</c:v>
                </c:pt>
                <c:pt idx="130">
                  <c:v>2.5033828165848764</c:v>
                </c:pt>
                <c:pt idx="131">
                  <c:v>2.4046522249298437</c:v>
                </c:pt>
                <c:pt idx="132">
                  <c:v>2.3557274857805495</c:v>
                </c:pt>
                <c:pt idx="133">
                  <c:v>2.307092057114934</c:v>
                </c:pt>
                <c:pt idx="134">
                  <c:v>2.2575968180533543</c:v>
                </c:pt>
                <c:pt idx="135">
                  <c:v>2.2083980255505811</c:v>
                </c:pt>
                <c:pt idx="136">
                  <c:v>2.1594923362355392</c:v>
                </c:pt>
                <c:pt idx="137">
                  <c:v>2.1108764638890332</c:v>
                </c:pt>
                <c:pt idx="138">
                  <c:v>2.0614532210275809</c:v>
                </c:pt>
                <c:pt idx="139">
                  <c:v>2.0123263295596368</c:v>
                </c:pt>
                <c:pt idx="140">
                  <c:v>1.9634924514654941</c:v>
                </c:pt>
                <c:pt idx="141">
                  <c:v>1.9149483057502508</c:v>
                </c:pt>
                <c:pt idx="142">
                  <c:v>1.8655497649783428</c:v>
                </c:pt>
                <c:pt idx="143">
                  <c:v>1.8164480797157336</c:v>
                </c:pt>
                <c:pt idx="144">
                  <c:v>1.7676399073461861</c:v>
                </c:pt>
                <c:pt idx="145">
                  <c:v>1.7191219623764278</c:v>
                </c:pt>
                <c:pt idx="146">
                  <c:v>1.6697771632220029</c:v>
                </c:pt>
                <c:pt idx="147">
                  <c:v>1.6207294118881375</c:v>
                </c:pt>
                <c:pt idx="148">
                  <c:v>1.571975366572997</c:v>
                </c:pt>
                <c:pt idx="149">
                  <c:v>1.5235117425722633</c:v>
                </c:pt>
                <c:pt idx="150">
                  <c:v>1.4742247765362242</c:v>
                </c:pt>
                <c:pt idx="151">
                  <c:v>1.4252350382266952</c:v>
                </c:pt>
                <c:pt idx="152">
                  <c:v>1.3765391870236106</c:v>
                </c:pt>
                <c:pt idx="153">
                  <c:v>1.3281339393699465</c:v>
                </c:pt>
                <c:pt idx="154">
                  <c:v>1.2788867854280259</c:v>
                </c:pt>
                <c:pt idx="155">
                  <c:v>1.2299372946337295</c:v>
                </c:pt>
                <c:pt idx="156">
                  <c:v>1.1812821234191784</c:v>
                </c:pt>
                <c:pt idx="157">
                  <c:v>1.1329179853382234</c:v>
                </c:pt>
                <c:pt idx="158">
                  <c:v>1.0837172532091137</c:v>
                </c:pt>
                <c:pt idx="159">
                  <c:v>1.0348145811680614</c:v>
                </c:pt>
                <c:pt idx="160">
                  <c:v>0.98620662352023947</c:v>
                </c:pt>
                <c:pt idx="161">
                  <c:v>0.93789009173133464</c:v>
                </c:pt>
                <c:pt idx="162">
                  <c:v>0.88876423222021339</c:v>
                </c:pt>
                <c:pt idx="163">
                  <c:v>0.83993652808633246</c:v>
                </c:pt>
                <c:pt idx="164">
                  <c:v>0.79140363674428804</c:v>
                </c:pt>
                <c:pt idx="165">
                  <c:v>0.74316227268827473</c:v>
                </c:pt>
                <c:pt idx="166">
                  <c:v>0.69407495473776104</c:v>
                </c:pt>
                <c:pt idx="167">
                  <c:v>0.64528637114524001</c:v>
                </c:pt>
                <c:pt idx="168">
                  <c:v>0.59679317450076463</c:v>
                </c:pt>
                <c:pt idx="169">
                  <c:v>0.54859207457220704</c:v>
                </c:pt>
                <c:pt idx="170">
                  <c:v>0.49965481971557102</c:v>
                </c:pt>
                <c:pt idx="171">
                  <c:v>0.45101556972517864</c:v>
                </c:pt>
                <c:pt idx="172">
                  <c:v>0.40267099444812854</c:v>
                </c:pt>
                <c:pt idx="173">
                  <c:v>0.35461782050562307</c:v>
                </c:pt>
                <c:pt idx="174">
                  <c:v>0.30565236701078391</c:v>
                </c:pt>
                <c:pt idx="175">
                  <c:v>0.25698640232916836</c:v>
                </c:pt>
                <c:pt idx="176">
                  <c:v>0.20861657671759878</c:v>
                </c:pt>
                <c:pt idx="177">
                  <c:v>0.16053959763764131</c:v>
                </c:pt>
                <c:pt idx="178">
                  <c:v>0.11158075038903423</c:v>
                </c:pt>
                <c:pt idx="179">
                  <c:v>6.2922509669583404E-2</c:v>
                </c:pt>
                <c:pt idx="180">
                  <c:v>1.456151247718942E-2</c:v>
                </c:pt>
                <c:pt idx="181">
                  <c:v>-3.3505546699173973E-2</c:v>
                </c:pt>
                <c:pt idx="182">
                  <c:v>-8.2234501601690213E-2</c:v>
                </c:pt>
                <c:pt idx="183">
                  <c:v>-0.13066441316622696</c:v>
                </c:pt>
                <c:pt idx="184">
                  <c:v>-0.17879861268048999</c:v>
                </c:pt>
                <c:pt idx="185">
                  <c:v>-0.22664037467706794</c:v>
                </c:pt>
                <c:pt idx="186">
                  <c:v>-0.27549423381009314</c:v>
                </c:pt>
                <c:pt idx="187">
                  <c:v>-0.32404620953059238</c:v>
                </c:pt>
                <c:pt idx="188">
                  <c:v>-0.37229967471626946</c:v>
                </c:pt>
                <c:pt idx="189">
                  <c:v>-0.42025794456352189</c:v>
                </c:pt>
                <c:pt idx="190">
                  <c:v>-0.46883112298899554</c:v>
                </c:pt>
                <c:pt idx="191">
                  <c:v>-0.51710450591507429</c:v>
                </c:pt>
                <c:pt idx="192">
                  <c:v>-0.56508142541508721</c:v>
                </c:pt>
                <c:pt idx="193">
                  <c:v>-0.61276515682632493</c:v>
                </c:pt>
                <c:pt idx="194">
                  <c:v>-0.66139758129922555</c:v>
                </c:pt>
                <c:pt idx="195">
                  <c:v>-0.70972805419165741</c:v>
                </c:pt>
                <c:pt idx="196">
                  <c:v>-0.75775993727974611</c:v>
                </c:pt>
                <c:pt idx="197">
                  <c:v>-0.80549653495133122</c:v>
                </c:pt>
                <c:pt idx="198">
                  <c:v>-0.85397678416956646</c:v>
                </c:pt>
                <c:pt idx="199">
                  <c:v>-0.90215547336110147</c:v>
                </c:pt>
                <c:pt idx="200">
                  <c:v>-0.95003595139970454</c:v>
                </c:pt>
                <c:pt idx="201">
                  <c:v>-0.99762151008636235</c:v>
                </c:pt>
                <c:pt idx="202">
                  <c:v>-1.0459256570419533</c:v>
                </c:pt>
                <c:pt idx="203">
                  <c:v>-1.0939288756498289</c:v>
                </c:pt>
                <c:pt idx="204">
                  <c:v>-1.1416344977620645</c:v>
                </c:pt>
                <c:pt idx="205">
                  <c:v>-1.1890457985681944</c:v>
                </c:pt>
                <c:pt idx="206">
                  <c:v>-1.2373156667404532</c:v>
                </c:pt>
                <c:pt idx="207">
                  <c:v>-1.2852834122386989</c:v>
                </c:pt>
                <c:pt idx="208">
                  <c:v>-1.3329523799669203</c:v>
                </c:pt>
                <c:pt idx="209">
                  <c:v>-1.3803258578981259</c:v>
                </c:pt>
                <c:pt idx="210">
                  <c:v>-1.4286885038811026</c:v>
                </c:pt>
                <c:pt idx="211">
                  <c:v>-1.4767461594521665</c:v>
                </c:pt>
                <c:pt idx="212">
                  <c:v>-1.5245022100796835</c:v>
                </c:pt>
                <c:pt idx="213">
                  <c:v>-1.5719599834109135</c:v>
                </c:pt>
                <c:pt idx="214">
                  <c:v>-1.6200598954262777</c:v>
                </c:pt>
                <c:pt idx="215">
                  <c:v>-1.667856334354848</c:v>
                </c:pt>
                <c:pt idx="216">
                  <c:v>-1.7153526533288184</c:v>
                </c:pt>
                <c:pt idx="217">
                  <c:v>-1.7625521484244622</c:v>
                </c:pt>
                <c:pt idx="218">
                  <c:v>-1.8105241776459557</c:v>
                </c:pt>
                <c:pt idx="219">
                  <c:v>-1.8581924903691225</c:v>
                </c:pt>
                <c:pt idx="220">
                  <c:v>-1.9055604364103786</c:v>
                </c:pt>
                <c:pt idx="221">
                  <c:v>-1.9526313086395892</c:v>
                </c:pt>
                <c:pt idx="222">
                  <c:v>-2.000447820715193</c:v>
                </c:pt>
                <c:pt idx="223">
                  <c:v>-2.0479606487846045</c:v>
                </c:pt>
                <c:pt idx="224">
                  <c:v>-2.0951731346250368</c:v>
                </c:pt>
                <c:pt idx="225">
                  <c:v>-2.1420885632858426</c:v>
                </c:pt>
                <c:pt idx="226">
                  <c:v>-2.1898683482697492</c:v>
                </c:pt>
                <c:pt idx="227">
                  <c:v>-2.237342895418029</c:v>
                </c:pt>
                <c:pt idx="228">
                  <c:v>-2.284515564391103</c:v>
                </c:pt>
                <c:pt idx="229">
                  <c:v>-2.3313896577582573</c:v>
                </c:pt>
                <c:pt idx="230">
                  <c:v>-2.4264986774417672</c:v>
                </c:pt>
                <c:pt idx="231">
                  <c:v>-2.4735969046555835</c:v>
                </c:pt>
                <c:pt idx="232">
                  <c:v>-2.5203953814233011</c:v>
                </c:pt>
                <c:pt idx="233">
                  <c:v>-2.5679976941880529</c:v>
                </c:pt>
                <c:pt idx="234">
                  <c:v>-2.6152927068538752</c:v>
                </c:pt>
                <c:pt idx="235">
                  <c:v>-2.6622837969792243</c:v>
                </c:pt>
                <c:pt idx="236">
                  <c:v>-2.7089742847180771</c:v>
                </c:pt>
                <c:pt idx="237">
                  <c:v>-2.7563056891859672</c:v>
                </c:pt>
                <c:pt idx="238">
                  <c:v>-2.8033309747986439</c:v>
                </c:pt>
                <c:pt idx="239">
                  <c:v>-2.8500534914837914</c:v>
                </c:pt>
                <c:pt idx="240">
                  <c:v>-2.8964765324385984</c:v>
                </c:pt>
                <c:pt idx="241">
                  <c:v>-2.9437788582358571</c:v>
                </c:pt>
                <c:pt idx="242">
                  <c:v>-2.9907730369375107</c:v>
                </c:pt>
                <c:pt idx="243">
                  <c:v>-3.0374624432899173</c:v>
                </c:pt>
                <c:pt idx="244">
                  <c:v>-3.0838503948045211</c:v>
                </c:pt>
                <c:pt idx="245">
                  <c:v>-3.1309581800251642</c:v>
                </c:pt>
                <c:pt idx="246">
                  <c:v>-3.1777578332463858</c:v>
                </c:pt>
                <c:pt idx="247">
                  <c:v>-3.2242527203965565</c:v>
                </c:pt>
                <c:pt idx="248">
                  <c:v>-3.2704461504268458</c:v>
                </c:pt>
                <c:pt idx="249">
                  <c:v>-3.317457074111215</c:v>
                </c:pt>
                <c:pt idx="250">
                  <c:v>-3.3641585077437797</c:v>
                </c:pt>
                <c:pt idx="251">
                  <c:v>-3.4105538307302501</c:v>
                </c:pt>
                <c:pt idx="252">
                  <c:v>-3.456646365259211</c:v>
                </c:pt>
                <c:pt idx="253">
                  <c:v>-3.5034053287354312</c:v>
                </c:pt>
                <c:pt idx="254">
                  <c:v>-3.5498553767513923</c:v>
                </c:pt>
                <c:pt idx="255">
                  <c:v>-3.5959998705188361</c:v>
                </c:pt>
                <c:pt idx="256">
                  <c:v>-3.6418421145095632</c:v>
                </c:pt>
                <c:pt idx="257">
                  <c:v>-3.6885612898922133</c:v>
                </c:pt>
                <c:pt idx="258">
                  <c:v>-3.7349692201898099</c:v>
                </c:pt>
                <c:pt idx="259">
                  <c:v>-3.7810692956088716</c:v>
                </c:pt>
                <c:pt idx="260">
                  <c:v>-3.826864849037888</c:v>
                </c:pt>
                <c:pt idx="261">
                  <c:v>-3.8733896432143382</c:v>
                </c:pt>
                <c:pt idx="262">
                  <c:v>-3.9196027896907286</c:v>
                </c:pt>
                <c:pt idx="263">
                  <c:v>-3.965507676143786</c:v>
                </c:pt>
                <c:pt idx="264">
                  <c:v>-4.0111076330677307</c:v>
                </c:pt>
                <c:pt idx="265">
                  <c:v>-4.0574091625571649</c:v>
                </c:pt>
                <c:pt idx="266">
                  <c:v>-4.1033989198948326</c:v>
                </c:pt>
                <c:pt idx="267">
                  <c:v>-4.1490802856413174</c:v>
                </c:pt>
                <c:pt idx="268">
                  <c:v>-4.1944565834182672</c:v>
                </c:pt>
                <c:pt idx="269">
                  <c:v>-4.2406161311455843</c:v>
                </c:pt>
                <c:pt idx="270">
                  <c:v>-4.2864625742880653</c:v>
                </c:pt>
                <c:pt idx="271">
                  <c:v>-4.3319993058174591</c:v>
                </c:pt>
                <c:pt idx="272">
                  <c:v>-4.377229661578462</c:v>
                </c:pt>
                <c:pt idx="273">
                  <c:v>-4.4232128946036333</c:v>
                </c:pt>
                <c:pt idx="274">
                  <c:v>-4.4688820244975531</c:v>
                </c:pt>
                <c:pt idx="275">
                  <c:v>-4.5142404511512568</c:v>
                </c:pt>
                <c:pt idx="276">
                  <c:v>-4.5592915172700863</c:v>
                </c:pt>
                <c:pt idx="277">
                  <c:v>-4.6049632476122788</c:v>
                </c:pt>
                <c:pt idx="278">
                  <c:v>-4.6503215988130391</c:v>
                </c:pt>
                <c:pt idx="279">
                  <c:v>-4.6953699498230002</c:v>
                </c:pt>
                <c:pt idx="280">
                  <c:v>-4.7401116229765101</c:v>
                </c:pt>
                <c:pt idx="281">
                  <c:v>-4.7857494401334968</c:v>
                </c:pt>
                <c:pt idx="282">
                  <c:v>-4.8310706663067187</c:v>
                </c:pt>
                <c:pt idx="283">
                  <c:v>-4.8760787230646763</c:v>
                </c:pt>
                <c:pt idx="284">
                  <c:v>-4.9207769745180387</c:v>
                </c:pt>
                <c:pt idx="285">
                  <c:v>-4.9660437382070617</c:v>
                </c:pt>
                <c:pt idx="286">
                  <c:v>-5.010995208673231</c:v>
                </c:pt>
                <c:pt idx="287">
                  <c:v>-5.0556347773248227</c:v>
                </c:pt>
                <c:pt idx="288">
                  <c:v>-5.0999657789000628</c:v>
                </c:pt>
                <c:pt idx="289">
                  <c:v>-5.145126068026209</c:v>
                </c:pt>
                <c:pt idx="290">
                  <c:v>-5.1899685554820287</c:v>
                </c:pt>
                <c:pt idx="291">
                  <c:v>-5.2344966639239043</c:v>
                </c:pt>
                <c:pt idx="292">
                  <c:v>-5.2787137587665125</c:v>
                </c:pt>
                <c:pt idx="293">
                  <c:v>-5.3236342507791692</c:v>
                </c:pt>
                <c:pt idx="294">
                  <c:v>-5.3682361375356251</c:v>
                </c:pt>
                <c:pt idx="295">
                  <c:v>-5.4125228455397698</c:v>
                </c:pt>
                <c:pt idx="296">
                  <c:v>-5.4564977440993658</c:v>
                </c:pt>
                <c:pt idx="297">
                  <c:v>-5.501146914143872</c:v>
                </c:pt>
                <c:pt idx="298">
                  <c:v>-5.5454769783574349</c:v>
                </c:pt>
                <c:pt idx="299">
                  <c:v>-5.5894913623464246</c:v>
                </c:pt>
                <c:pt idx="300">
                  <c:v>-5.6331934346792156</c:v>
                </c:pt>
                <c:pt idx="301">
                  <c:v>-5.6775415265973344</c:v>
                </c:pt>
                <c:pt idx="302">
                  <c:v>-5.7215702965903867</c:v>
                </c:pt>
                <c:pt idx="303">
                  <c:v>-5.7652831649870437</c:v>
                </c:pt>
                <c:pt idx="304">
                  <c:v>-5.808683495340059</c:v>
                </c:pt>
                <c:pt idx="305">
                  <c:v>-5.8528711333892431</c:v>
                </c:pt>
                <c:pt idx="306">
                  <c:v>-5.8967370526874552</c:v>
                </c:pt>
                <c:pt idx="307">
                  <c:v>-5.9402847034404758</c:v>
                </c:pt>
                <c:pt idx="308">
                  <c:v>-5.983517478572459</c:v>
                </c:pt>
                <c:pt idx="309">
                  <c:v>-6.0273398577436632</c:v>
                </c:pt>
                <c:pt idx="310">
                  <c:v>-6.0708409232327876</c:v>
                </c:pt>
                <c:pt idx="311">
                  <c:v>-6.1140241104472075</c:v>
                </c:pt>
                <c:pt idx="312">
                  <c:v>-6.1568927980004409</c:v>
                </c:pt>
                <c:pt idx="313">
                  <c:v>-6.2004844373439933</c:v>
                </c:pt>
                <c:pt idx="314">
                  <c:v>-6.2437530486549857</c:v>
                </c:pt>
                <c:pt idx="315">
                  <c:v>-6.2867020867683738</c:v>
                </c:pt>
                <c:pt idx="316">
                  <c:v>-6.3293349494678726</c:v>
                </c:pt>
                <c:pt idx="317">
                  <c:v>-6.3726588127833885</c:v>
                </c:pt>
                <c:pt idx="318">
                  <c:v>-6.4156582956073116</c:v>
                </c:pt>
                <c:pt idx="319">
                  <c:v>-6.4583368667265386</c:v>
                </c:pt>
                <c:pt idx="320">
                  <c:v>-6.5006979377489937</c:v>
                </c:pt>
                <c:pt idx="321">
                  <c:v>-6.5437189887054004</c:v>
                </c:pt>
                <c:pt idx="322">
                  <c:v>-6.5864146499371881</c:v>
                </c:pt>
                <c:pt idx="323">
                  <c:v>-6.6287883990655496</c:v>
                </c:pt>
                <c:pt idx="324">
                  <c:v>-6.6708436565258902</c:v>
                </c:pt>
                <c:pt idx="325">
                  <c:v>-6.7135287898506757</c:v>
                </c:pt>
                <c:pt idx="326">
                  <c:v>-6.7558878492018382</c:v>
                </c:pt>
                <c:pt idx="327">
                  <c:v>-6.7979243162741811</c:v>
                </c:pt>
                <c:pt idx="328">
                  <c:v>-6.8396416156820061</c:v>
                </c:pt>
                <c:pt idx="329">
                  <c:v>-6.8820300796721314</c:v>
                </c:pt>
                <c:pt idx="330">
                  <c:v>-6.9240910058559226</c:v>
                </c:pt>
                <c:pt idx="331">
                  <c:v>-6.9658278929427997</c:v>
                </c:pt>
                <c:pt idx="332">
                  <c:v>-7.0072441823932055</c:v>
                </c:pt>
                <c:pt idx="333">
                  <c:v>-7.0492317344083153</c:v>
                </c:pt>
                <c:pt idx="334">
                  <c:v>-7.0908917076538982</c:v>
                </c:pt>
                <c:pt idx="335">
                  <c:v>-7.1322275956722176</c:v>
                </c:pt>
                <c:pt idx="336">
                  <c:v>-7.1732428350779358</c:v>
                </c:pt>
                <c:pt idx="337">
                  <c:v>-7.2149343510639348</c:v>
                </c:pt>
                <c:pt idx="338">
                  <c:v>-7.2562964327555424</c:v>
                </c:pt>
                <c:pt idx="339">
                  <c:v>-7.2973325980990431</c:v>
                </c:pt>
                <c:pt idx="340">
                  <c:v>-7.3380463078006759</c:v>
                </c:pt>
                <c:pt idx="341">
                  <c:v>-7.3794034661035415</c:v>
                </c:pt>
                <c:pt idx="342">
                  <c:v>-7.4204297206952718</c:v>
                </c:pt>
                <c:pt idx="343">
                  <c:v>-7.4611286084234081</c:v>
                </c:pt>
                <c:pt idx="344">
                  <c:v>-7.5015036087106104</c:v>
                </c:pt>
                <c:pt idx="345">
                  <c:v>-7.5424280632884555</c:v>
                </c:pt>
                <c:pt idx="346">
                  <c:v>-7.5830215174738989</c:v>
                </c:pt>
                <c:pt idx="347">
                  <c:v>-7.623287505793904</c:v>
                </c:pt>
                <c:pt idx="348">
                  <c:v>-7.6632295056298432</c:v>
                </c:pt>
                <c:pt idx="349">
                  <c:v>-7.7038133387009449</c:v>
                </c:pt>
                <c:pt idx="350">
                  <c:v>-7.744064395072078</c:v>
                </c:pt>
                <c:pt idx="351">
                  <c:v>-7.7839862345782596</c:v>
                </c:pt>
                <c:pt idx="352">
                  <c:v>-7.8235823595997473</c:v>
                </c:pt>
                <c:pt idx="353">
                  <c:v>-7.8637874082969983</c:v>
                </c:pt>
                <c:pt idx="354">
                  <c:v>-7.9036582983526014</c:v>
                </c:pt>
                <c:pt idx="355">
                  <c:v>-7.9431986094588574</c:v>
                </c:pt>
                <c:pt idx="356">
                  <c:v>-7.9824118636676511</c:v>
                </c:pt>
                <c:pt idx="357">
                  <c:v>-8.0221458330494393</c:v>
                </c:pt>
                <c:pt idx="358">
                  <c:v>-8.0615455850810207</c:v>
                </c:pt>
                <c:pt idx="359">
                  <c:v>-8.1006146990116719</c:v>
                </c:pt>
                <c:pt idx="360">
                  <c:v>-8.1393566967028228</c:v>
                </c:pt>
                <c:pt idx="361">
                  <c:v>-8.1787001000393644</c:v>
                </c:pt>
                <c:pt idx="362">
                  <c:v>-8.2177076739824599</c:v>
                </c:pt>
                <c:pt idx="363">
                  <c:v>-8.2563830231973405</c:v>
                </c:pt>
                <c:pt idx="364">
                  <c:v>-8.2947296946652607</c:v>
                </c:pt>
                <c:pt idx="365">
                  <c:v>-8.3335924337617175</c:v>
                </c:pt>
                <c:pt idx="366">
                  <c:v>-8.3721190410746562</c:v>
                </c:pt>
                <c:pt idx="367">
                  <c:v>-8.4103131266839366</c:v>
                </c:pt>
                <c:pt idx="368">
                  <c:v>-8.4481782431171144</c:v>
                </c:pt>
                <c:pt idx="369">
                  <c:v>-8.4866319276329172</c:v>
                </c:pt>
                <c:pt idx="370">
                  <c:v>-8.524747723658944</c:v>
                </c:pt>
                <c:pt idx="371">
                  <c:v>-8.5625292711517336</c:v>
                </c:pt>
                <c:pt idx="372">
                  <c:v>-8.5999801521294721</c:v>
                </c:pt>
                <c:pt idx="373">
                  <c:v>-8.6379371553422253</c:v>
                </c:pt>
                <c:pt idx="374">
                  <c:v>-8.6755558084992668</c:v>
                </c:pt>
                <c:pt idx="375">
                  <c:v>-8.7128397617164204</c:v>
                </c:pt>
                <c:pt idx="376">
                  <c:v>-8.749792607202</c:v>
                </c:pt>
                <c:pt idx="377">
                  <c:v>-8.7873163429466778</c:v>
                </c:pt>
                <c:pt idx="378">
                  <c:v>-8.8244999055889153</c:v>
                </c:pt>
                <c:pt idx="379">
                  <c:v>-8.8613469785933567</c:v>
                </c:pt>
                <c:pt idx="380">
                  <c:v>-8.8978611870567921</c:v>
                </c:pt>
                <c:pt idx="381">
                  <c:v>-8.9348211684602852</c:v>
                </c:pt>
                <c:pt idx="382">
                  <c:v>-8.9714412715889349</c:v>
                </c:pt>
                <c:pt idx="383">
                  <c:v>-9.007725180200266</c:v>
                </c:pt>
                <c:pt idx="384">
                  <c:v>-9.043676519915568</c:v>
                </c:pt>
                <c:pt idx="385">
                  <c:v>-9.0801775455468015</c:v>
                </c:pt>
                <c:pt idx="386">
                  <c:v>-9.1163368415401571</c:v>
                </c:pt>
                <c:pt idx="387">
                  <c:v>-9.1521581280415667</c:v>
                </c:pt>
                <c:pt idx="388">
                  <c:v>-9.1876450665281695</c:v>
                </c:pt>
                <c:pt idx="389">
                  <c:v>-9.2236051024219972</c:v>
                </c:pt>
                <c:pt idx="390">
                  <c:v>-9.2592228196381594</c:v>
                </c:pt>
                <c:pt idx="391">
                  <c:v>-9.2945019555272896</c:v>
                </c:pt>
                <c:pt idx="392">
                  <c:v>-9.3294461886335096</c:v>
                </c:pt>
                <c:pt idx="393">
                  <c:v>-9.3648327234838753</c:v>
                </c:pt>
                <c:pt idx="394">
                  <c:v>-9.3998767386676487</c:v>
                </c:pt>
                <c:pt idx="395">
                  <c:v>-9.4345819837082967</c:v>
                </c:pt>
                <c:pt idx="396">
                  <c:v>-9.4689521492792359</c:v>
                </c:pt>
                <c:pt idx="397">
                  <c:v>-9.5038131511155903</c:v>
                </c:pt>
                <c:pt idx="398">
                  <c:v>-9.5383302605573341</c:v>
                </c:pt>
                <c:pt idx="399">
                  <c:v>-9.5725072598726282</c:v>
                </c:pt>
                <c:pt idx="400">
                  <c:v>-9.6063478719939432</c:v>
                </c:pt>
                <c:pt idx="401">
                  <c:v>-9.640608335653603</c:v>
                </c:pt>
                <c:pt idx="402">
                  <c:v>-9.6745247431989121</c:v>
                </c:pt>
                <c:pt idx="403">
                  <c:v>-9.7081008911578675</c:v>
                </c:pt>
                <c:pt idx="404">
                  <c:v>-9.7413405166078153</c:v>
                </c:pt>
                <c:pt idx="405">
                  <c:v>-9.7750061206326393</c:v>
                </c:pt>
                <c:pt idx="406">
                  <c:v>-9.8083271511796557</c:v>
                </c:pt>
                <c:pt idx="407">
                  <c:v>-9.8413074262215332</c:v>
                </c:pt>
                <c:pt idx="408">
                  <c:v>-9.8739507039973322</c:v>
                </c:pt>
                <c:pt idx="409">
                  <c:v>-9.9070234610523205</c:v>
                </c:pt>
                <c:pt idx="410">
                  <c:v>-9.9397508201118523</c:v>
                </c:pt>
                <c:pt idx="411">
                  <c:v>-9.9721366270838612</c:v>
                </c:pt>
                <c:pt idx="412">
                  <c:v>-10.00418466770423</c:v>
                </c:pt>
                <c:pt idx="413">
                  <c:v>-10.036629940011787</c:v>
                </c:pt>
                <c:pt idx="414">
                  <c:v>-10.06872943508875</c:v>
                </c:pt>
                <c:pt idx="415">
                  <c:v>-10.100487020747138</c:v>
                </c:pt>
                <c:pt idx="416">
                  <c:v>-10.13190650429048</c:v>
                </c:pt>
                <c:pt idx="417">
                  <c:v>-10.163723921378358</c:v>
                </c:pt>
                <c:pt idx="418">
                  <c:v>-10.195194914805644</c:v>
                </c:pt>
                <c:pt idx="419">
                  <c:v>-10.226323380110463</c:v>
                </c:pt>
                <c:pt idx="420">
                  <c:v>-10.257113151838109</c:v>
                </c:pt>
                <c:pt idx="421">
                  <c:v>-10.288238295964895</c:v>
                </c:pt>
                <c:pt idx="422">
                  <c:v>-10.319017499650174</c:v>
                </c:pt>
                <c:pt idx="423">
                  <c:v>-10.349454668406349</c:v>
                </c:pt>
                <c:pt idx="424">
                  <c:v>-10.379553646608795</c:v>
                </c:pt>
                <c:pt idx="425">
                  <c:v>-10.410046431078406</c:v>
                </c:pt>
                <c:pt idx="426">
                  <c:v>-10.440192156807084</c:v>
                </c:pt>
                <c:pt idx="427">
                  <c:v>-10.469994767575718</c:v>
                </c:pt>
                <c:pt idx="428">
                  <c:v>-10.499458145261794</c:v>
                </c:pt>
                <c:pt idx="429">
                  <c:v>-10.529253723721814</c:v>
                </c:pt>
                <c:pt idx="430">
                  <c:v>-10.558702273595379</c:v>
                </c:pt>
                <c:pt idx="431">
                  <c:v>-10.587807758653213</c:v>
                </c:pt>
                <c:pt idx="432">
                  <c:v>-10.616574080341106</c:v>
                </c:pt>
                <c:pt idx="433">
                  <c:v>-10.645641943683135</c:v>
                </c:pt>
                <c:pt idx="434">
                  <c:v>-10.674363241726102</c:v>
                </c:pt>
                <c:pt idx="435">
                  <c:v>-10.702741951820196</c:v>
                </c:pt>
                <c:pt idx="436">
                  <c:v>-10.730781988664539</c:v>
                </c:pt>
                <c:pt idx="437">
                  <c:v>-10.759144609872139</c:v>
                </c:pt>
                <c:pt idx="438">
                  <c:v>-10.787160303050424</c:v>
                </c:pt>
                <c:pt idx="439">
                  <c:v>-10.814833074240642</c:v>
                </c:pt>
                <c:pt idx="440">
                  <c:v>-10.842166866147622</c:v>
                </c:pt>
                <c:pt idx="441">
                  <c:v>-10.869791158155419</c:v>
                </c:pt>
                <c:pt idx="442">
                  <c:v>-10.897068633831182</c:v>
                </c:pt>
                <c:pt idx="443">
                  <c:v>-10.92400332057535</c:v>
                </c:pt>
                <c:pt idx="444">
                  <c:v>-10.950599181874438</c:v>
                </c:pt>
                <c:pt idx="445">
                  <c:v>-10.977454654695007</c:v>
                </c:pt>
                <c:pt idx="446">
                  <c:v>-11.003963872236733</c:v>
                </c:pt>
                <c:pt idx="447">
                  <c:v>-11.03013087607807</c:v>
                </c:pt>
                <c:pt idx="448">
                  <c:v>-11.05595964340861</c:v>
                </c:pt>
                <c:pt idx="449">
                  <c:v>-11.082061705347105</c:v>
                </c:pt>
                <c:pt idx="450">
                  <c:v>-11.107817344794206</c:v>
                </c:pt>
                <c:pt idx="451">
                  <c:v>-11.133230630716202</c:v>
                </c:pt>
                <c:pt idx="452">
                  <c:v>-11.158305566883177</c:v>
                </c:pt>
                <c:pt idx="453">
                  <c:v>-11.18360125126898</c:v>
                </c:pt>
                <c:pt idx="454">
                  <c:v>-11.208551388787997</c:v>
                </c:pt>
                <c:pt idx="455">
                  <c:v>-11.233160057765888</c:v>
                </c:pt>
                <c:pt idx="456">
                  <c:v>-11.257431270852338</c:v>
                </c:pt>
                <c:pt idx="457">
                  <c:v>-11.281933036816396</c:v>
                </c:pt>
                <c:pt idx="458">
                  <c:v>-11.306089445446082</c:v>
                </c:pt>
                <c:pt idx="459">
                  <c:v>-11.329904596570355</c:v>
                </c:pt>
                <c:pt idx="460">
                  <c:v>-11.353382523543127</c:v>
                </c:pt>
                <c:pt idx="461">
                  <c:v>-11.377059800856337</c:v>
                </c:pt>
                <c:pt idx="462">
                  <c:v>-11.400392373650043</c:v>
                </c:pt>
                <c:pt idx="463">
                  <c:v>-11.423384354859344</c:v>
                </c:pt>
                <c:pt idx="464">
                  <c:v>-11.44603979026204</c:v>
                </c:pt>
                <c:pt idx="465">
                  <c:v>-11.468881895282792</c:v>
                </c:pt>
                <c:pt idx="466">
                  <c:v>-11.4913798589753</c:v>
                </c:pt>
                <c:pt idx="467">
                  <c:v>-11.513537808497691</c:v>
                </c:pt>
                <c:pt idx="468">
                  <c:v>-11.535359803076862</c:v>
                </c:pt>
                <c:pt idx="469">
                  <c:v>-11.557338116511476</c:v>
                </c:pt>
                <c:pt idx="470">
                  <c:v>-11.578973291590337</c:v>
                </c:pt>
                <c:pt idx="471">
                  <c:v>-11.600269460994305</c:v>
                </c:pt>
                <c:pt idx="472">
                  <c:v>-11.62123068881902</c:v>
                </c:pt>
                <c:pt idx="473">
                  <c:v>-11.642349622028629</c:v>
                </c:pt>
                <c:pt idx="474">
                  <c:v>-11.66312583378331</c:v>
                </c:pt>
                <c:pt idx="475">
                  <c:v>-11.683563471706419</c:v>
                </c:pt>
                <c:pt idx="476">
                  <c:v>-11.703666613897843</c:v>
                </c:pt>
                <c:pt idx="477">
                  <c:v>-11.723896528062493</c:v>
                </c:pt>
                <c:pt idx="478">
                  <c:v>-11.743784584900027</c:v>
                </c:pt>
                <c:pt idx="479">
                  <c:v>-11.763334937388493</c:v>
                </c:pt>
                <c:pt idx="480">
                  <c:v>-11.782551668174484</c:v>
                </c:pt>
                <c:pt idx="481">
                  <c:v>-11.80186545601817</c:v>
                </c:pt>
                <c:pt idx="482">
                  <c:v>-11.820838660867711</c:v>
                </c:pt>
                <c:pt idx="483">
                  <c:v>-11.839475431619118</c:v>
                </c:pt>
                <c:pt idx="484">
                  <c:v>-11.857779846157452</c:v>
                </c:pt>
                <c:pt idx="485">
                  <c:v>-11.876165183648705</c:v>
                </c:pt>
                <c:pt idx="486">
                  <c:v>-11.894211125486795</c:v>
                </c:pt>
                <c:pt idx="487">
                  <c:v>-11.911921815605822</c:v>
                </c:pt>
                <c:pt idx="488">
                  <c:v>-11.929301326179107</c:v>
                </c:pt>
                <c:pt idx="489">
                  <c:v>-11.94675598535888</c:v>
                </c:pt>
                <c:pt idx="490">
                  <c:v>-11.963871910192612</c:v>
                </c:pt>
                <c:pt idx="491">
                  <c:v>-11.980653246315843</c:v>
                </c:pt>
                <c:pt idx="492">
                  <c:v>-11.997104066599366</c:v>
                </c:pt>
                <c:pt idx="493">
                  <c:v>-12.01359974986744</c:v>
                </c:pt>
                <c:pt idx="494">
                  <c:v>-12.029757756616501</c:v>
                </c:pt>
                <c:pt idx="495">
                  <c:v>-12.045582223417203</c:v>
                </c:pt>
                <c:pt idx="496">
                  <c:v>-12.061077213212609</c:v>
                </c:pt>
                <c:pt idx="497">
                  <c:v>-12.076597694842032</c:v>
                </c:pt>
                <c:pt idx="498">
                  <c:v>-12.09178148514804</c:v>
                </c:pt>
                <c:pt idx="499">
                  <c:v>-12.106632708802616</c:v>
                </c:pt>
                <c:pt idx="500">
                  <c:v>-12.121155415935608</c:v>
                </c:pt>
                <c:pt idx="501">
                  <c:v>-12.135683258069236</c:v>
                </c:pt>
                <c:pt idx="502">
                  <c:v>-12.149875319436727</c:v>
                </c:pt>
                <c:pt idx="503">
                  <c:v>-12.163735709304166</c:v>
                </c:pt>
                <c:pt idx="504">
                  <c:v>-12.177268461433563</c:v>
                </c:pt>
                <c:pt idx="505">
                  <c:v>-12.190776952500253</c:v>
                </c:pt>
                <c:pt idx="506">
                  <c:v>-12.203950896262354</c:v>
                </c:pt>
                <c:pt idx="507">
                  <c:v>-12.216794375018615</c:v>
                </c:pt>
                <c:pt idx="508">
                  <c:v>-12.229311394739739</c:v>
                </c:pt>
                <c:pt idx="509">
                  <c:v>-12.241783128684649</c:v>
                </c:pt>
                <c:pt idx="510">
                  <c:v>-12.253921428121231</c:v>
                </c:pt>
                <c:pt idx="511">
                  <c:v>-12.265730344081593</c:v>
                </c:pt>
                <c:pt idx="512">
                  <c:v>-12.277213850394293</c:v>
                </c:pt>
                <c:pt idx="513">
                  <c:v>-12.288636633676033</c:v>
                </c:pt>
                <c:pt idx="514">
                  <c:v>-12.299726579354932</c:v>
                </c:pt>
                <c:pt idx="515">
                  <c:v>-12.310487709057419</c:v>
                </c:pt>
                <c:pt idx="516">
                  <c:v>-12.320923966099567</c:v>
                </c:pt>
                <c:pt idx="517">
                  <c:v>-12.331269728765772</c:v>
                </c:pt>
                <c:pt idx="518">
                  <c:v>-12.341283502718486</c:v>
                </c:pt>
                <c:pt idx="519">
                  <c:v>-12.350969267004498</c:v>
                </c:pt>
                <c:pt idx="520">
                  <c:v>-12.360330921382117</c:v>
                </c:pt>
                <c:pt idx="521">
                  <c:v>-12.369578304290659</c:v>
                </c:pt>
                <c:pt idx="522">
                  <c:v>-12.3784943748499</c:v>
                </c:pt>
                <c:pt idx="523">
                  <c:v>-12.387083062818636</c:v>
                </c:pt>
                <c:pt idx="524">
                  <c:v>-12.395348217627822</c:v>
                </c:pt>
                <c:pt idx="525">
                  <c:v>-12.40347441152081</c:v>
                </c:pt>
                <c:pt idx="526">
                  <c:v>-12.411269769689389</c:v>
                </c:pt>
                <c:pt idx="527">
                  <c:v>-12.418738164962262</c:v>
                </c:pt>
                <c:pt idx="528">
                  <c:v>-12.425883388729673</c:v>
                </c:pt>
                <c:pt idx="529">
                  <c:v>-12.432864035744673</c:v>
                </c:pt>
                <c:pt idx="530">
                  <c:v>-12.439514090756393</c:v>
                </c:pt>
                <c:pt idx="531">
                  <c:v>-12.445837360990888</c:v>
                </c:pt>
                <c:pt idx="532">
                  <c:v>-12.451837571039903</c:v>
                </c:pt>
                <c:pt idx="533">
                  <c:v>-12.457649549668226</c:v>
                </c:pt>
                <c:pt idx="534">
                  <c:v>-12.463130567824249</c:v>
                </c:pt>
                <c:pt idx="535">
                  <c:v>-12.468284363024075</c:v>
                </c:pt>
                <c:pt idx="536">
                  <c:v>-12.473114588678849</c:v>
                </c:pt>
                <c:pt idx="537">
                  <c:v>-12.477723527439133</c:v>
                </c:pt>
                <c:pt idx="538">
                  <c:v>-12.482001503910947</c:v>
                </c:pt>
                <c:pt idx="539">
                  <c:v>-12.485952163164676</c:v>
                </c:pt>
                <c:pt idx="540">
                  <c:v>-12.489579064912242</c:v>
                </c:pt>
                <c:pt idx="541">
                  <c:v>-12.49296023675511</c:v>
                </c:pt>
                <c:pt idx="542">
                  <c:v>-12.496009396411797</c:v>
                </c:pt>
                <c:pt idx="543">
                  <c:v>-12.498730094961223</c:v>
                </c:pt>
                <c:pt idx="544">
                  <c:v>-12.501125796364846</c:v>
                </c:pt>
                <c:pt idx="545">
                  <c:v>-12.503244138515475</c:v>
                </c:pt>
                <c:pt idx="546">
                  <c:v>-12.505029316558662</c:v>
                </c:pt>
                <c:pt idx="547">
                  <c:v>-12.506484767594532</c:v>
                </c:pt>
                <c:pt idx="548">
                  <c:v>-12.507613839818767</c:v>
                </c:pt>
                <c:pt idx="549">
                  <c:v>-12.508434632487976</c:v>
                </c:pt>
                <c:pt idx="550">
                  <c:v>-12.508920591455229</c:v>
                </c:pt>
                <c:pt idx="551">
                  <c:v>-12.509075023465183</c:v>
                </c:pt>
                <c:pt idx="552">
                  <c:v>-12.508901144314347</c:v>
                </c:pt>
                <c:pt idx="553">
                  <c:v>-12.508386439401358</c:v>
                </c:pt>
                <c:pt idx="554">
                  <c:v>-12.507534316022502</c:v>
                </c:pt>
                <c:pt idx="555">
                  <c:v>-12.506347936107094</c:v>
                </c:pt>
                <c:pt idx="556">
                  <c:v>-12.504830368102176</c:v>
                </c:pt>
                <c:pt idx="557">
                  <c:v>-12.500703676041901</c:v>
                </c:pt>
                <c:pt idx="558">
                  <c:v>-12.495226069847014</c:v>
                </c:pt>
                <c:pt idx="559">
                  <c:v>-12.488248963904532</c:v>
                </c:pt>
                <c:pt idx="560">
                  <c:v>-12.47990495652161</c:v>
                </c:pt>
                <c:pt idx="561">
                  <c:v>-12.469969168194805</c:v>
                </c:pt>
                <c:pt idx="562">
                  <c:v>-12.458644108399996</c:v>
                </c:pt>
                <c:pt idx="563">
                  <c:v>-12.445661864143592</c:v>
                </c:pt>
                <c:pt idx="564">
                  <c:v>-12.431269223747934</c:v>
                </c:pt>
                <c:pt idx="565">
                  <c:v>-12.415067543485478</c:v>
                </c:pt>
                <c:pt idx="566">
                  <c:v>-12.397418179048747</c:v>
                </c:pt>
                <c:pt idx="567">
                  <c:v>-12.377848785860724</c:v>
                </c:pt>
                <c:pt idx="568">
                  <c:v>-12.356789167923679</c:v>
                </c:pt>
                <c:pt idx="569">
                  <c:v>-12.333785570983729</c:v>
                </c:pt>
                <c:pt idx="570">
                  <c:v>-12.309254688439335</c:v>
                </c:pt>
                <c:pt idx="571">
                  <c:v>-12.282468654283516</c:v>
                </c:pt>
                <c:pt idx="572">
                  <c:v>-12.25408638901494</c:v>
                </c:pt>
                <c:pt idx="573">
                  <c:v>-12.223525134215125</c:v>
                </c:pt>
                <c:pt idx="574">
                  <c:v>-12.191313568913216</c:v>
                </c:pt>
                <c:pt idx="575">
                  <c:v>-12.15654176559095</c:v>
                </c:pt>
                <c:pt idx="576">
                  <c:v>-12.12002935081016</c:v>
                </c:pt>
                <c:pt idx="577">
                  <c:v>-11.945989408843049</c:v>
                </c:pt>
                <c:pt idx="578">
                  <c:v>-11.739592274208249</c:v>
                </c:pt>
                <c:pt idx="579">
                  <c:v>-11.162827890391853</c:v>
                </c:pt>
                <c:pt idx="580">
                  <c:v>-10.286975163068053</c:v>
                </c:pt>
                <c:pt idx="581">
                  <c:v>-8.8985311243290486</c:v>
                </c:pt>
                <c:pt idx="582">
                  <c:v>-6.4794219900167791</c:v>
                </c:pt>
                <c:pt idx="583">
                  <c:v>-1.4190331118109683</c:v>
                </c:pt>
                <c:pt idx="584">
                  <c:v>31.684719051353181</c:v>
                </c:pt>
                <c:pt idx="585">
                  <c:v>-0.69847644052490432</c:v>
                </c:pt>
                <c:pt idx="586">
                  <c:v>-5.2516755910864044</c:v>
                </c:pt>
                <c:pt idx="587">
                  <c:v>-6.6668482999074623</c:v>
                </c:pt>
                <c:pt idx="588">
                  <c:v>-6.7337037394241728</c:v>
                </c:pt>
                <c:pt idx="589">
                  <c:v>-5.8908437713678854</c:v>
                </c:pt>
                <c:pt idx="590">
                  <c:v>-3.7074355502326366</c:v>
                </c:pt>
                <c:pt idx="591">
                  <c:v>3.4213941633256937</c:v>
                </c:pt>
                <c:pt idx="592">
                  <c:v>5.4720992444854675</c:v>
                </c:pt>
                <c:pt idx="593">
                  <c:v>-1.2791508654609207</c:v>
                </c:pt>
                <c:pt idx="594">
                  <c:v>-1.483375793757318</c:v>
                </c:pt>
                <c:pt idx="595">
                  <c:v>1.3374873667532108</c:v>
                </c:pt>
                <c:pt idx="596">
                  <c:v>24.99978344655187</c:v>
                </c:pt>
                <c:pt idx="597">
                  <c:v>2.8047725667130612</c:v>
                </c:pt>
                <c:pt idx="598">
                  <c:v>3.3731292277993425</c:v>
                </c:pt>
                <c:pt idx="599">
                  <c:v>22.806718343187569</c:v>
                </c:pt>
                <c:pt idx="600">
                  <c:v>6.0255643609405682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8.5020718447975004E-5</c:v>
                </c:pt>
                <c:pt idx="1">
                  <c:v>73.859127258502994</c:v>
                </c:pt>
                <c:pt idx="2">
                  <c:v>75.688914450241683</c:v>
                </c:pt>
                <c:pt idx="3">
                  <c:v>76.202509091569752</c:v>
                </c:pt>
                <c:pt idx="4">
                  <c:v>76.354073175995964</c:v>
                </c:pt>
                <c:pt idx="5">
                  <c:v>76.345617108165314</c:v>
                </c:pt>
                <c:pt idx="6">
                  <c:v>76.247321072918368</c:v>
                </c:pt>
                <c:pt idx="7">
                  <c:v>76.090611444346024</c:v>
                </c:pt>
                <c:pt idx="8">
                  <c:v>75.892030689915501</c:v>
                </c:pt>
                <c:pt idx="9">
                  <c:v>75.661346984401519</c:v>
                </c:pt>
                <c:pt idx="10">
                  <c:v>75.404853469833711</c:v>
                </c:pt>
                <c:pt idx="11">
                  <c:v>75.126892976632291</c:v>
                </c:pt>
                <c:pt idx="12">
                  <c:v>74.632550105438881</c:v>
                </c:pt>
                <c:pt idx="13">
                  <c:v>74.430459746410534</c:v>
                </c:pt>
                <c:pt idx="14">
                  <c:v>75.095144011320244</c:v>
                </c:pt>
                <c:pt idx="15">
                  <c:v>75.683488039046821</c:v>
                </c:pt>
                <c:pt idx="16">
                  <c:v>76.20789777033238</c:v>
                </c:pt>
                <c:pt idx="17">
                  <c:v>76.678204670821486</c:v>
                </c:pt>
                <c:pt idx="18">
                  <c:v>77.102304974659816</c:v>
                </c:pt>
                <c:pt idx="19">
                  <c:v>77.486616596590125</c:v>
                </c:pt>
                <c:pt idx="20">
                  <c:v>77.836411836014747</c:v>
                </c:pt>
                <c:pt idx="21">
                  <c:v>78.156063689757417</c:v>
                </c:pt>
                <c:pt idx="22">
                  <c:v>78.449230946775756</c:v>
                </c:pt>
                <c:pt idx="23">
                  <c:v>78.71899916880993</c:v>
                </c:pt>
                <c:pt idx="24">
                  <c:v>78.967989395280767</c:v>
                </c:pt>
                <c:pt idx="25">
                  <c:v>79.198442904859917</c:v>
                </c:pt>
                <c:pt idx="26">
                  <c:v>79.412287988916134</c:v>
                </c:pt>
                <c:pt idx="27">
                  <c:v>79.61119305305921</c:v>
                </c:pt>
                <c:pt idx="28">
                  <c:v>79.796609215615604</c:v>
                </c:pt>
                <c:pt idx="29">
                  <c:v>79.969804757268832</c:v>
                </c:pt>
                <c:pt idx="30">
                  <c:v>80.131893190211045</c:v>
                </c:pt>
                <c:pt idx="31">
                  <c:v>80.283856288677612</c:v>
                </c:pt>
                <c:pt idx="32">
                  <c:v>80.42656310881317</c:v>
                </c:pt>
                <c:pt idx="33">
                  <c:v>80.56078579233278</c:v>
                </c:pt>
                <c:pt idx="34">
                  <c:v>80.687212773088675</c:v>
                </c:pt>
                <c:pt idx="35">
                  <c:v>80.80645987275966</c:v>
                </c:pt>
                <c:pt idx="36">
                  <c:v>80.91907967030177</c:v>
                </c:pt>
                <c:pt idx="37">
                  <c:v>81.025569451534636</c:v>
                </c:pt>
                <c:pt idx="38">
                  <c:v>81.126377984479419</c:v>
                </c:pt>
                <c:pt idx="39">
                  <c:v>81.221911318559506</c:v>
                </c:pt>
                <c:pt idx="40">
                  <c:v>81.312537768383592</c:v>
                </c:pt>
                <c:pt idx="41">
                  <c:v>81.398592213210236</c:v>
                </c:pt>
                <c:pt idx="42">
                  <c:v>81.480379819588109</c:v>
                </c:pt>
                <c:pt idx="43">
                  <c:v>81.558179275746312</c:v>
                </c:pt>
                <c:pt idx="44">
                  <c:v>81.632245611061961</c:v>
                </c:pt>
                <c:pt idx="45">
                  <c:v>81.702812661582101</c:v>
                </c:pt>
                <c:pt idx="46">
                  <c:v>81.77009523252147</c:v>
                </c:pt>
                <c:pt idx="47">
                  <c:v>81.8342910004353</c:v>
                </c:pt>
                <c:pt idx="48">
                  <c:v>81.895582191009865</c:v>
                </c:pt>
                <c:pt idx="49">
                  <c:v>81.954137062838271</c:v>
                </c:pt>
                <c:pt idx="50">
                  <c:v>82.010111222931641</c:v>
                </c:pt>
                <c:pt idx="51">
                  <c:v>82.063648795872609</c:v>
                </c:pt>
                <c:pt idx="52">
                  <c:v>82.11488346531209</c:v>
                </c:pt>
                <c:pt idx="53">
                  <c:v>82.163939403821445</c:v>
                </c:pt>
                <c:pt idx="54">
                  <c:v>82.210932104852773</c:v>
                </c:pt>
                <c:pt idx="55">
                  <c:v>82.255969128653007</c:v>
                </c:pt>
                <c:pt idx="56">
                  <c:v>82.299150772363902</c:v>
                </c:pt>
                <c:pt idx="57">
                  <c:v>82.340570673169609</c:v>
                </c:pt>
                <c:pt idx="58">
                  <c:v>82.380316352186597</c:v>
                </c:pt>
                <c:pt idx="59">
                  <c:v>82.418469705794578</c:v>
                </c:pt>
                <c:pt idx="60">
                  <c:v>82.566816738599385</c:v>
                </c:pt>
                <c:pt idx="61">
                  <c:v>82.899545998939161</c:v>
                </c:pt>
                <c:pt idx="62">
                  <c:v>83.21978209789485</c:v>
                </c:pt>
                <c:pt idx="63">
                  <c:v>83.528116152906449</c:v>
                </c:pt>
                <c:pt idx="64">
                  <c:v>83.825153737975597</c:v>
                </c:pt>
                <c:pt idx="65">
                  <c:v>84.111412736853438</c:v>
                </c:pt>
                <c:pt idx="66">
                  <c:v>84.387352975535862</c:v>
                </c:pt>
                <c:pt idx="67">
                  <c:v>84.653446881905808</c:v>
                </c:pt>
                <c:pt idx="68">
                  <c:v>84.910141488130336</c:v>
                </c:pt>
                <c:pt idx="69">
                  <c:v>84.564593167920492</c:v>
                </c:pt>
                <c:pt idx="70">
                  <c:v>84.696755914266419</c:v>
                </c:pt>
                <c:pt idx="71">
                  <c:v>84.825157267857222</c:v>
                </c:pt>
                <c:pt idx="72">
                  <c:v>84.949942368800919</c:v>
                </c:pt>
                <c:pt idx="73">
                  <c:v>85.071248986616794</c:v>
                </c:pt>
                <c:pt idx="74">
                  <c:v>85.189207981039814</c:v>
                </c:pt>
                <c:pt idx="75">
                  <c:v>85.303943728761382</c:v>
                </c:pt>
                <c:pt idx="76">
                  <c:v>85.415574519001041</c:v>
                </c:pt>
                <c:pt idx="77">
                  <c:v>85.524212920525926</c:v>
                </c:pt>
                <c:pt idx="78">
                  <c:v>85.629966122488668</c:v>
                </c:pt>
                <c:pt idx="79">
                  <c:v>85.732936251231436</c:v>
                </c:pt>
                <c:pt idx="80">
                  <c:v>85.833220665006223</c:v>
                </c:pt>
                <c:pt idx="81">
                  <c:v>85.930912228382624</c:v>
                </c:pt>
                <c:pt idx="82">
                  <c:v>86.026099567954546</c:v>
                </c:pt>
                <c:pt idx="83">
                  <c:v>86.118867310812931</c:v>
                </c:pt>
                <c:pt idx="84">
                  <c:v>86.209296307122159</c:v>
                </c:pt>
                <c:pt idx="85">
                  <c:v>86.29746383801978</c:v>
                </c:pt>
                <c:pt idx="86">
                  <c:v>86.383443809955196</c:v>
                </c:pt>
                <c:pt idx="87">
                  <c:v>86.467306936485699</c:v>
                </c:pt>
                <c:pt idx="88">
                  <c:v>86.549120908462783</c:v>
                </c:pt>
                <c:pt idx="89">
                  <c:v>86.628950553463241</c:v>
                </c:pt>
                <c:pt idx="90">
                  <c:v>86.706857985248433</c:v>
                </c:pt>
                <c:pt idx="91">
                  <c:v>86.782902743970652</c:v>
                </c:pt>
                <c:pt idx="92">
                  <c:v>86.857141927787126</c:v>
                </c:pt>
                <c:pt idx="93">
                  <c:v>86.929630316488954</c:v>
                </c:pt>
                <c:pt idx="94">
                  <c:v>87.000420487703423</c:v>
                </c:pt>
                <c:pt idx="95">
                  <c:v>87.069562926184645</c:v>
                </c:pt>
                <c:pt idx="96">
                  <c:v>87.137106126666637</c:v>
                </c:pt>
                <c:pt idx="97">
                  <c:v>87.203096690716151</c:v>
                </c:pt>
                <c:pt idx="98">
                  <c:v>87.267579417989666</c:v>
                </c:pt>
                <c:pt idx="99">
                  <c:v>87.330597392267066</c:v>
                </c:pt>
                <c:pt idx="100">
                  <c:v>86.849498355212845</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15.628411860512617</c:v>
                </c:pt>
                <c:pt idx="1">
                  <c:v>43.508009772374955</c:v>
                </c:pt>
                <c:pt idx="2">
                  <c:v>87.01794221723479</c:v>
                </c:pt>
                <c:pt idx="3">
                  <c:v>130.52979746203016</c:v>
                </c:pt>
                <c:pt idx="4">
                  <c:v>174.0435756342232</c:v>
                </c:pt>
                <c:pt idx="5">
                  <c:v>217.55927686128692</c:v>
                </c:pt>
                <c:pt idx="6">
                  <c:v>261.07690127070606</c:v>
                </c:pt>
                <c:pt idx="7">
                  <c:v>304.59644898997618</c:v>
                </c:pt>
                <c:pt idx="8">
                  <c:v>348.1179201466046</c:v>
                </c:pt>
                <c:pt idx="9">
                  <c:v>391.64131486810925</c:v>
                </c:pt>
                <c:pt idx="10">
                  <c:v>435.16663328202009</c:v>
                </c:pt>
                <c:pt idx="11">
                  <c:v>478.69387551587778</c:v>
                </c:pt>
                <c:pt idx="12">
                  <c:v>525.81181977415565</c:v>
                </c:pt>
                <c:pt idx="13">
                  <c:v>561.49342231810817</c:v>
                </c:pt>
                <c:pt idx="14">
                  <c:v>572.06337110381787</c:v>
                </c:pt>
                <c:pt idx="15">
                  <c:v>582.27881931347395</c:v>
                </c:pt>
                <c:pt idx="16">
                  <c:v>592.17530411286839</c:v>
                </c:pt>
                <c:pt idx="17">
                  <c:v>601.78287018804133</c:v>
                </c:pt>
                <c:pt idx="18">
                  <c:v>611.12718789411201</c:v>
                </c:pt>
                <c:pt idx="19">
                  <c:v>620.230394851303</c:v>
                </c:pt>
                <c:pt idx="20">
                  <c:v>629.11174024275681</c:v>
                </c:pt>
                <c:pt idx="21">
                  <c:v>637.78808555076569</c:v>
                </c:pt>
                <c:pt idx="22">
                  <c:v>646.27429898471974</c:v>
                </c:pt>
                <c:pt idx="23">
                  <c:v>654.58356994283668</c:v>
                </c:pt>
                <c:pt idx="24">
                  <c:v>662.72766246756623</c:v>
                </c:pt>
                <c:pt idx="25">
                  <c:v>670.7171215610723</c:v>
                </c:pt>
                <c:pt idx="26">
                  <c:v>678.56144265009686</c:v>
                </c:pt>
                <c:pt idx="27">
                  <c:v>686.26921193656813</c:v>
                </c:pt>
                <c:pt idx="28">
                  <c:v>693.84822352145432</c:v>
                </c:pt>
                <c:pt idx="29">
                  <c:v>701.30557783225765</c:v>
                </c:pt>
                <c:pt idx="30">
                  <c:v>708.64776487603206</c:v>
                </c:pt>
                <c:pt idx="31">
                  <c:v>715.88073508178752</c:v>
                </c:pt>
                <c:pt idx="32">
                  <c:v>723.00995992031301</c:v>
                </c:pt>
                <c:pt idx="33">
                  <c:v>730.04048404777427</c:v>
                </c:pt>
                <c:pt idx="34">
                  <c:v>736.97697037751789</c:v>
                </c:pt>
                <c:pt idx="35">
                  <c:v>743.82373921758722</c:v>
                </c:pt>
                <c:pt idx="36">
                  <c:v>750.58480240139011</c:v>
                </c:pt>
                <c:pt idx="37">
                  <c:v>757.26389317242683</c:v>
                </c:pt>
                <c:pt idx="38">
                  <c:v>763.86449245101801</c:v>
                </c:pt>
                <c:pt idx="39">
                  <c:v>770.38985200411673</c:v>
                </c:pt>
                <c:pt idx="40">
                  <c:v>776.84301495287514</c:v>
                </c:pt>
                <c:pt idx="41">
                  <c:v>783.22683398234733</c:v>
                </c:pt>
                <c:pt idx="42">
                  <c:v>789.54398756020873</c:v>
                </c:pt>
                <c:pt idx="43">
                  <c:v>795.79699442410129</c:v>
                </c:pt>
                <c:pt idx="44">
                  <c:v>801.98822655814661</c:v>
                </c:pt>
                <c:pt idx="45">
                  <c:v>808.11992084671897</c:v>
                </c:pt>
                <c:pt idx="46">
                  <c:v>814.19418956653237</c:v>
                </c:pt>
                <c:pt idx="47">
                  <c:v>820.21302985541172</c:v>
                </c:pt>
                <c:pt idx="48">
                  <c:v>826.17833227707388</c:v>
                </c:pt>
                <c:pt idx="49">
                  <c:v>832.09188858514028</c:v>
                </c:pt>
                <c:pt idx="50">
                  <c:v>837.95539877595559</c:v>
                </c:pt>
                <c:pt idx="51">
                  <c:v>843.77047750820282</c:v>
                </c:pt>
                <c:pt idx="52">
                  <c:v>849.53865995737635</c:v>
                </c:pt>
                <c:pt idx="53">
                  <c:v>855.26140716471491</c:v>
                </c:pt>
                <c:pt idx="54">
                  <c:v>860.94011093290499</c:v>
                </c:pt>
                <c:pt idx="55">
                  <c:v>866.57609831458399</c:v>
                </c:pt>
                <c:pt idx="56">
                  <c:v>872.17063573425582</c:v>
                </c:pt>
                <c:pt idx="57">
                  <c:v>877.7249327795314</c:v>
                </c:pt>
                <c:pt idx="58">
                  <c:v>883.2401456935213</c:v>
                </c:pt>
                <c:pt idx="59">
                  <c:v>888.71738059665108</c:v>
                </c:pt>
                <c:pt idx="60">
                  <c:v>889.06939659025602</c:v>
                </c:pt>
                <c:pt idx="61">
                  <c:v>880.73835040788117</c:v>
                </c:pt>
                <c:pt idx="62">
                  <c:v>872.62284783422763</c:v>
                </c:pt>
                <c:pt idx="63">
                  <c:v>864.71419559636661</c:v>
                </c:pt>
                <c:pt idx="64">
                  <c:v>856.99860166864687</c:v>
                </c:pt>
                <c:pt idx="65">
                  <c:v>849.46934382599727</c:v>
                </c:pt>
                <c:pt idx="66">
                  <c:v>842.1237041879607</c:v>
                </c:pt>
                <c:pt idx="67">
                  <c:v>834.95469407093526</c:v>
                </c:pt>
                <c:pt idx="68">
                  <c:v>827.95568383267766</c:v>
                </c:pt>
                <c:pt idx="69">
                  <c:v>844.29337232245291</c:v>
                </c:pt>
                <c:pt idx="70">
                  <c:v>842.15456500987818</c:v>
                </c:pt>
                <c:pt idx="71">
                  <c:v>840.10186983015399</c:v>
                </c:pt>
                <c:pt idx="72">
                  <c:v>838.13233864376321</c:v>
                </c:pt>
                <c:pt idx="73">
                  <c:v>836.24317609221498</c:v>
                </c:pt>
                <c:pt idx="74">
                  <c:v>834.4317298733705</c:v>
                </c:pt>
                <c:pt idx="75">
                  <c:v>832.69548175082116</c:v>
                </c:pt>
                <c:pt idx="76">
                  <c:v>831.03203923348588</c:v>
                </c:pt>
                <c:pt idx="77">
                  <c:v>829.43912786785336</c:v>
                </c:pt>
                <c:pt idx="78">
                  <c:v>827.91458409088227</c:v>
                </c:pt>
                <c:pt idx="79">
                  <c:v>826.45634859654922</c:v>
                </c:pt>
                <c:pt idx="80">
                  <c:v>825.06246017349542</c:v>
                </c:pt>
                <c:pt idx="81">
                  <c:v>823.73104997519295</c:v>
                </c:pt>
                <c:pt idx="82">
                  <c:v>822.46033618762567</c:v>
                </c:pt>
                <c:pt idx="83">
                  <c:v>821.24861906268359</c:v>
                </c:pt>
                <c:pt idx="84">
                  <c:v>820.09427628833532</c:v>
                </c:pt>
                <c:pt idx="85">
                  <c:v>818.99575866924602</c:v>
                </c:pt>
                <c:pt idx="86">
                  <c:v>817.95158609381076</c:v>
                </c:pt>
                <c:pt idx="87">
                  <c:v>816.96034376570606</c:v>
                </c:pt>
                <c:pt idx="88">
                  <c:v>816.02067867992616</c:v>
                </c:pt>
                <c:pt idx="89">
                  <c:v>815.13129632500988</c:v>
                </c:pt>
                <c:pt idx="90">
                  <c:v>814.29095759469192</c:v>
                </c:pt>
                <c:pt idx="91">
                  <c:v>813.49847589363469</c:v>
                </c:pt>
                <c:pt idx="92">
                  <c:v>812.75271442315591</c:v>
                </c:pt>
                <c:pt idx="93">
                  <c:v>812.0525836340322</c:v>
                </c:pt>
                <c:pt idx="94">
                  <c:v>811.39703883449783</c:v>
                </c:pt>
                <c:pt idx="95">
                  <c:v>810.78507794253039</c:v>
                </c:pt>
                <c:pt idx="96">
                  <c:v>810.2157393723586</c:v>
                </c:pt>
                <c:pt idx="97">
                  <c:v>809.68810004595002</c:v>
                </c:pt>
                <c:pt idx="98">
                  <c:v>809.201273520928</c:v>
                </c:pt>
                <c:pt idx="99">
                  <c:v>808.75440822705775</c:v>
                </c:pt>
                <c:pt idx="100">
                  <c:v>808.34668580401467</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12.599976616635734</c:v>
                </c:pt>
                <c:pt idx="1">
                  <c:v>12.877300353181209</c:v>
                </c:pt>
                <c:pt idx="2">
                  <c:v>13.969386144532431</c:v>
                </c:pt>
                <c:pt idx="3">
                  <c:v>16.1426610308663</c:v>
                </c:pt>
                <c:pt idx="4">
                  <c:v>19.644158103997441</c:v>
                </c:pt>
                <c:pt idx="5">
                  <c:v>24.680945653779062</c:v>
                </c:pt>
                <c:pt idx="6">
                  <c:v>31.435055917062325</c:v>
                </c:pt>
                <c:pt idx="7">
                  <c:v>40.070882006865851</c:v>
                </c:pt>
                <c:pt idx="8">
                  <c:v>50.739507091564455</c:v>
                </c:pt>
                <c:pt idx="9">
                  <c:v>63.581502772284928</c:v>
                </c:pt>
                <c:pt idx="10">
                  <c:v>78.728863574919558</c:v>
                </c:pt>
                <c:pt idx="11">
                  <c:v>96.306411066697052</c:v>
                </c:pt>
                <c:pt idx="12">
                  <c:v>120.50522648067535</c:v>
                </c:pt>
                <c:pt idx="13">
                  <c:v>147.19637459018509</c:v>
                </c:pt>
                <c:pt idx="14">
                  <c:v>161.17332762815553</c:v>
                </c:pt>
                <c:pt idx="15">
                  <c:v>175.38190953930976</c:v>
                </c:pt>
                <c:pt idx="16">
                  <c:v>189.81056534708105</c:v>
                </c:pt>
                <c:pt idx="17">
                  <c:v>204.44901885617304</c:v>
                </c:pt>
                <c:pt idx="18">
                  <c:v>219.28806359403725</c:v>
                </c:pt>
                <c:pt idx="19">
                  <c:v>234.31939775901972</c:v>
                </c:pt>
                <c:pt idx="20">
                  <c:v>249.53549206023837</c:v>
                </c:pt>
                <c:pt idx="21">
                  <c:v>264.92948256245302</c:v>
                </c:pt>
                <c:pt idx="22">
                  <c:v>280.4950828292242</c:v>
                </c:pt>
                <c:pt idx="23">
                  <c:v>296.22651116249671</c:v>
                </c:pt>
                <c:pt idx="24">
                  <c:v>312.11842979601425</c:v>
                </c:pt>
                <c:pt idx="25">
                  <c:v>328.16589365885625</c:v>
                </c:pt>
                <c:pt idx="26">
                  <c:v>344.36430687773986</c:v>
                </c:pt>
                <c:pt idx="27">
                  <c:v>360.70938559463008</c:v>
                </c:pt>
                <c:pt idx="28">
                  <c:v>377.19712598139006</c:v>
                </c:pt>
                <c:pt idx="29">
                  <c:v>393.82377656434255</c:v>
                </c:pt>
                <c:pt idx="30">
                  <c:v>410.58581414858236</c:v>
                </c:pt>
                <c:pt idx="31">
                  <c:v>427.47992276881217</c:v>
                </c:pt>
                <c:pt idx="32">
                  <c:v>444.50297520039288</c:v>
                </c:pt>
                <c:pt idx="33">
                  <c:v>461.65201664855653</c:v>
                </c:pt>
                <c:pt idx="34">
                  <c:v>478.92425030063907</c:v>
                </c:pt>
                <c:pt idx="35">
                  <c:v>496.31702447976915</c:v>
                </c:pt>
                <c:pt idx="36">
                  <c:v>513.82782118161992</c:v>
                </c:pt>
                <c:pt idx="37">
                  <c:v>531.45424581088707</c:v>
                </c:pt>
                <c:pt idx="38">
                  <c:v>549.19401796277202</c:v>
                </c:pt>
                <c:pt idx="39">
                  <c:v>567.04496311827347</c:v>
                </c:pt>
                <c:pt idx="40">
                  <c:v>585.00500514150644</c:v>
                </c:pt>
                <c:pt idx="41">
                  <c:v>603.07215948341468</c:v>
                </c:pt>
                <c:pt idx="42">
                  <c:v>621.24452700970141</c:v>
                </c:pt>
                <c:pt idx="43">
                  <c:v>639.52028838210435</c:v>
                </c:pt>
                <c:pt idx="44">
                  <c:v>657.89769893164964</c:v>
                </c:pt>
                <c:pt idx="45">
                  <c:v>676.37508397057081</c:v>
                </c:pt>
                <c:pt idx="46">
                  <c:v>694.95083449642391</c:v>
                </c:pt>
                <c:pt idx="47">
                  <c:v>713.62340324774073</c:v>
                </c:pt>
                <c:pt idx="48">
                  <c:v>732.39130107558049</c:v>
                </c:pt>
                <c:pt idx="49">
                  <c:v>751.25309359959374</c:v>
                </c:pt>
                <c:pt idx="50">
                  <c:v>770.20739812093802</c:v>
                </c:pt>
                <c:pt idx="51">
                  <c:v>789.25288076755373</c:v>
                </c:pt>
                <c:pt idx="52">
                  <c:v>808.38825385008863</c:v>
                </c:pt>
                <c:pt idx="53">
                  <c:v>827.61227340916719</c:v>
                </c:pt>
                <c:pt idx="54">
                  <c:v>846.9237369368027</c:v>
                </c:pt>
                <c:pt idx="55">
                  <c:v>866.32148125658046</c:v>
                </c:pt>
                <c:pt idx="56">
                  <c:v>885.80438054886474</c:v>
                </c:pt>
                <c:pt idx="57">
                  <c:v>905.37134450868268</c:v>
                </c:pt>
                <c:pt idx="58">
                  <c:v>925.02131662520515</c:v>
                </c:pt>
                <c:pt idx="59">
                  <c:v>944.75327257282504</c:v>
                </c:pt>
                <c:pt idx="60">
                  <c:v>951.93344872822036</c:v>
                </c:pt>
                <c:pt idx="61">
                  <c:v>937.57315178728197</c:v>
                </c:pt>
                <c:pt idx="62">
                  <c:v>923.69393901659294</c:v>
                </c:pt>
                <c:pt idx="63">
                  <c:v>910.27459681023697</c:v>
                </c:pt>
                <c:pt idx="64">
                  <c:v>897.29298432203234</c:v>
                </c:pt>
                <c:pt idx="65">
                  <c:v>884.73062944684898</c:v>
                </c:pt>
                <c:pt idx="66">
                  <c:v>872.57145621256711</c:v>
                </c:pt>
                <c:pt idx="67">
                  <c:v>860.7985778123475</c:v>
                </c:pt>
                <c:pt idx="68">
                  <c:v>849.39601549316694</c:v>
                </c:pt>
                <c:pt idx="69">
                  <c:v>917.49512581520969</c:v>
                </c:pt>
                <c:pt idx="70">
                  <c:v>921.91703003207817</c:v>
                </c:pt>
                <c:pt idx="71">
                  <c:v>926.33006921501726</c:v>
                </c:pt>
                <c:pt idx="72">
                  <c:v>930.73597182203082</c:v>
                </c:pt>
                <c:pt idx="73">
                  <c:v>935.13638369147213</c:v>
                </c:pt>
                <c:pt idx="74">
                  <c:v>939.53287306562333</c:v>
                </c:pt>
                <c:pt idx="75">
                  <c:v>943.92693525527818</c:v>
                </c:pt>
                <c:pt idx="76">
                  <c:v>948.31999697481172</c:v>
                </c:pt>
                <c:pt idx="77">
                  <c:v>952.7134203745951</c:v>
                </c:pt>
                <c:pt idx="78">
                  <c:v>957.10850679499561</c:v>
                </c:pt>
                <c:pt idx="79">
                  <c:v>961.50650026415246</c:v>
                </c:pt>
                <c:pt idx="80">
                  <c:v>965.90859075965352</c:v>
                </c:pt>
                <c:pt idx="81">
                  <c:v>970.31591725244391</c:v>
                </c:pt>
                <c:pt idx="82">
                  <c:v>974.72957054976337</c:v>
                </c:pt>
                <c:pt idx="83">
                  <c:v>979.15059595235516</c:v>
                </c:pt>
                <c:pt idx="84">
                  <c:v>983.57999573997336</c:v>
                </c:pt>
                <c:pt idx="85">
                  <c:v>988.01873149796097</c:v>
                </c:pt>
                <c:pt idx="86">
                  <c:v>992.467726296617</c:v>
                </c:pt>
                <c:pt idx="87">
                  <c:v>996.92786673408955</c:v>
                </c:pt>
                <c:pt idx="88">
                  <c:v>1001.4000048526772</c:v>
                </c:pt>
                <c:pt idx="89">
                  <c:v>1005.8849599375869</c:v>
                </c:pt>
                <c:pt idx="90">
                  <c:v>1010.3835202064266</c:v>
                </c:pt>
                <c:pt idx="91">
                  <c:v>1014.8964443971664</c:v>
                </c:pt>
                <c:pt idx="92">
                  <c:v>1019.4244632615586</c:v>
                </c:pt>
                <c:pt idx="93">
                  <c:v>1023.9682809705344</c:v>
                </c:pt>
                <c:pt idx="94">
                  <c:v>1028.5285764375897</c:v>
                </c:pt>
                <c:pt idx="95">
                  <c:v>1033.1060045656588</c:v>
                </c:pt>
                <c:pt idx="96">
                  <c:v>1037.701197422595</c:v>
                </c:pt>
                <c:pt idx="97">
                  <c:v>1042.3147653500339</c:v>
                </c:pt>
                <c:pt idx="98">
                  <c:v>1046.9472980099083</c:v>
                </c:pt>
                <c:pt idx="99">
                  <c:v>1051.5993653727744</c:v>
                </c:pt>
                <c:pt idx="100">
                  <c:v>1056.2715186516118</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19</c:v>
                </c:pt>
                <c:pt idx="1">
                  <c:v>19.41</c:v>
                </c:pt>
                <c:pt idx="2">
                  <c:v>19.82</c:v>
                </c:pt>
                <c:pt idx="3">
                  <c:v>20.23</c:v>
                </c:pt>
                <c:pt idx="4">
                  <c:v>20.64</c:v>
                </c:pt>
                <c:pt idx="5">
                  <c:v>21.05</c:v>
                </c:pt>
                <c:pt idx="6">
                  <c:v>21.46</c:v>
                </c:pt>
                <c:pt idx="7">
                  <c:v>21.87</c:v>
                </c:pt>
                <c:pt idx="8">
                  <c:v>22.28</c:v>
                </c:pt>
                <c:pt idx="9">
                  <c:v>22.69</c:v>
                </c:pt>
                <c:pt idx="10">
                  <c:v>23.1</c:v>
                </c:pt>
                <c:pt idx="11">
                  <c:v>23.509999999999998</c:v>
                </c:pt>
                <c:pt idx="12">
                  <c:v>23.92</c:v>
                </c:pt>
                <c:pt idx="13">
                  <c:v>24.33</c:v>
                </c:pt>
                <c:pt idx="14">
                  <c:v>24.740000000000002</c:v>
                </c:pt>
                <c:pt idx="15">
                  <c:v>25.15</c:v>
                </c:pt>
                <c:pt idx="16">
                  <c:v>25.560000000000002</c:v>
                </c:pt>
                <c:pt idx="17">
                  <c:v>25.97</c:v>
                </c:pt>
                <c:pt idx="18">
                  <c:v>26.38</c:v>
                </c:pt>
                <c:pt idx="19">
                  <c:v>26.79</c:v>
                </c:pt>
                <c:pt idx="20">
                  <c:v>27.200000000000003</c:v>
                </c:pt>
                <c:pt idx="21">
                  <c:v>27.61</c:v>
                </c:pt>
                <c:pt idx="22">
                  <c:v>28.02</c:v>
                </c:pt>
                <c:pt idx="23">
                  <c:v>28.43</c:v>
                </c:pt>
                <c:pt idx="24">
                  <c:v>28.84</c:v>
                </c:pt>
                <c:pt idx="25">
                  <c:v>29.25</c:v>
                </c:pt>
                <c:pt idx="26">
                  <c:v>29.66</c:v>
                </c:pt>
                <c:pt idx="27">
                  <c:v>30.07</c:v>
                </c:pt>
                <c:pt idx="28">
                  <c:v>30.48</c:v>
                </c:pt>
                <c:pt idx="29">
                  <c:v>30.89</c:v>
                </c:pt>
                <c:pt idx="30">
                  <c:v>31.299999999999997</c:v>
                </c:pt>
                <c:pt idx="31">
                  <c:v>31.71</c:v>
                </c:pt>
                <c:pt idx="32">
                  <c:v>32.120000000000005</c:v>
                </c:pt>
                <c:pt idx="33">
                  <c:v>32.53</c:v>
                </c:pt>
                <c:pt idx="34">
                  <c:v>32.94</c:v>
                </c:pt>
                <c:pt idx="35">
                  <c:v>33.35</c:v>
                </c:pt>
                <c:pt idx="36">
                  <c:v>33.76</c:v>
                </c:pt>
                <c:pt idx="37">
                  <c:v>34.17</c:v>
                </c:pt>
                <c:pt idx="38">
                  <c:v>34.58</c:v>
                </c:pt>
                <c:pt idx="39">
                  <c:v>34.99</c:v>
                </c:pt>
                <c:pt idx="40">
                  <c:v>35.400000000000006</c:v>
                </c:pt>
                <c:pt idx="41">
                  <c:v>35.81</c:v>
                </c:pt>
                <c:pt idx="42">
                  <c:v>36.22</c:v>
                </c:pt>
                <c:pt idx="43">
                  <c:v>36.629999999999995</c:v>
                </c:pt>
                <c:pt idx="44">
                  <c:v>37.04</c:v>
                </c:pt>
                <c:pt idx="45">
                  <c:v>37.450000000000003</c:v>
                </c:pt>
                <c:pt idx="46">
                  <c:v>37.86</c:v>
                </c:pt>
                <c:pt idx="47">
                  <c:v>38.269999999999996</c:v>
                </c:pt>
                <c:pt idx="48">
                  <c:v>38.68</c:v>
                </c:pt>
                <c:pt idx="49">
                  <c:v>39.090000000000003</c:v>
                </c:pt>
                <c:pt idx="50">
                  <c:v>39.5</c:v>
                </c:pt>
                <c:pt idx="51">
                  <c:v>39.909999999999997</c:v>
                </c:pt>
                <c:pt idx="52">
                  <c:v>40.32</c:v>
                </c:pt>
                <c:pt idx="53">
                  <c:v>40.730000000000004</c:v>
                </c:pt>
                <c:pt idx="54">
                  <c:v>41.14</c:v>
                </c:pt>
                <c:pt idx="55">
                  <c:v>41.55</c:v>
                </c:pt>
                <c:pt idx="56">
                  <c:v>41.96</c:v>
                </c:pt>
                <c:pt idx="57">
                  <c:v>42.37</c:v>
                </c:pt>
                <c:pt idx="58">
                  <c:v>42.78</c:v>
                </c:pt>
                <c:pt idx="59">
                  <c:v>43.19</c:v>
                </c:pt>
                <c:pt idx="60">
                  <c:v>43.599999999999994</c:v>
                </c:pt>
                <c:pt idx="61">
                  <c:v>44.01</c:v>
                </c:pt>
                <c:pt idx="62">
                  <c:v>44.42</c:v>
                </c:pt>
                <c:pt idx="63">
                  <c:v>44.83</c:v>
                </c:pt>
                <c:pt idx="64">
                  <c:v>45.24</c:v>
                </c:pt>
                <c:pt idx="65">
                  <c:v>45.650000000000006</c:v>
                </c:pt>
                <c:pt idx="66">
                  <c:v>46.06</c:v>
                </c:pt>
                <c:pt idx="67">
                  <c:v>46.47</c:v>
                </c:pt>
                <c:pt idx="68">
                  <c:v>46.88</c:v>
                </c:pt>
                <c:pt idx="69">
                  <c:v>47.29</c:v>
                </c:pt>
                <c:pt idx="70">
                  <c:v>47.7</c:v>
                </c:pt>
                <c:pt idx="71">
                  <c:v>48.11</c:v>
                </c:pt>
                <c:pt idx="72">
                  <c:v>48.519999999999996</c:v>
                </c:pt>
                <c:pt idx="73">
                  <c:v>48.93</c:v>
                </c:pt>
                <c:pt idx="74">
                  <c:v>49.34</c:v>
                </c:pt>
                <c:pt idx="75">
                  <c:v>49.75</c:v>
                </c:pt>
                <c:pt idx="76">
                  <c:v>50.16</c:v>
                </c:pt>
                <c:pt idx="77">
                  <c:v>50.57</c:v>
                </c:pt>
                <c:pt idx="78">
                  <c:v>50.980000000000004</c:v>
                </c:pt>
                <c:pt idx="79">
                  <c:v>51.39</c:v>
                </c:pt>
                <c:pt idx="80">
                  <c:v>51.800000000000004</c:v>
                </c:pt>
                <c:pt idx="81">
                  <c:v>52.21</c:v>
                </c:pt>
                <c:pt idx="82">
                  <c:v>52.62</c:v>
                </c:pt>
                <c:pt idx="83">
                  <c:v>53.03</c:v>
                </c:pt>
                <c:pt idx="84">
                  <c:v>53.44</c:v>
                </c:pt>
                <c:pt idx="85">
                  <c:v>53.85</c:v>
                </c:pt>
                <c:pt idx="86">
                  <c:v>54.26</c:v>
                </c:pt>
                <c:pt idx="87">
                  <c:v>54.67</c:v>
                </c:pt>
                <c:pt idx="88">
                  <c:v>55.08</c:v>
                </c:pt>
                <c:pt idx="89">
                  <c:v>55.49</c:v>
                </c:pt>
                <c:pt idx="90">
                  <c:v>55.9</c:v>
                </c:pt>
                <c:pt idx="91">
                  <c:v>56.31</c:v>
                </c:pt>
                <c:pt idx="92">
                  <c:v>56.72</c:v>
                </c:pt>
                <c:pt idx="93">
                  <c:v>57.13</c:v>
                </c:pt>
                <c:pt idx="94">
                  <c:v>57.54</c:v>
                </c:pt>
                <c:pt idx="95">
                  <c:v>57.949999999999996</c:v>
                </c:pt>
                <c:pt idx="96">
                  <c:v>58.36</c:v>
                </c:pt>
                <c:pt idx="97">
                  <c:v>58.769999999999996</c:v>
                </c:pt>
                <c:pt idx="98">
                  <c:v>59.18</c:v>
                </c:pt>
                <c:pt idx="99">
                  <c:v>59.589999999999996</c:v>
                </c:pt>
                <c:pt idx="100">
                  <c:v>60</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3.3031519490749649E-5</c:v>
                </c:pt>
                <c:pt idx="1">
                  <c:v>64.169659595023816</c:v>
                </c:pt>
                <c:pt idx="2">
                  <c:v>67.300262460166834</c:v>
                </c:pt>
                <c:pt idx="3">
                  <c:v>68.412620213883912</c:v>
                </c:pt>
                <c:pt idx="4">
                  <c:v>68.982566548797678</c:v>
                </c:pt>
                <c:pt idx="5">
                  <c:v>69.329005268548329</c:v>
                </c:pt>
                <c:pt idx="6">
                  <c:v>69.56181155819759</c:v>
                </c:pt>
                <c:pt idx="7">
                  <c:v>69.728981631873069</c:v>
                </c:pt>
                <c:pt idx="8">
                  <c:v>69.854817435484165</c:v>
                </c:pt>
                <c:pt idx="9">
                  <c:v>69.952941776190386</c:v>
                </c:pt>
                <c:pt idx="10">
                  <c:v>70.031583671260762</c:v>
                </c:pt>
                <c:pt idx="11">
                  <c:v>70.09600741715461</c:v>
                </c:pt>
                <c:pt idx="12">
                  <c:v>70.149737418950693</c:v>
                </c:pt>
                <c:pt idx="13">
                  <c:v>70.422086936302875</c:v>
                </c:pt>
                <c:pt idx="14">
                  <c:v>71.488402571861144</c:v>
                </c:pt>
                <c:pt idx="15">
                  <c:v>72.446367986530475</c:v>
                </c:pt>
                <c:pt idx="16">
                  <c:v>73.31225387997911</c:v>
                </c:pt>
                <c:pt idx="17">
                  <c:v>74.099178321416659</c:v>
                </c:pt>
                <c:pt idx="18">
                  <c:v>74.817841853766282</c:v>
                </c:pt>
                <c:pt idx="19">
                  <c:v>75.477064858037579</c:v>
                </c:pt>
                <c:pt idx="20">
                  <c:v>76.084186836874323</c:v>
                </c:pt>
                <c:pt idx="21">
                  <c:v>76.645367488211519</c:v>
                </c:pt>
                <c:pt idx="22">
                  <c:v>77.165816761080691</c:v>
                </c:pt>
                <c:pt idx="23">
                  <c:v>77.649972780851101</c:v>
                </c:pt>
                <c:pt idx="24">
                  <c:v>78.101640982215542</c:v>
                </c:pt>
                <c:pt idx="25">
                  <c:v>78.524104012974888</c:v>
                </c:pt>
                <c:pt idx="26">
                  <c:v>78.920209360481607</c:v>
                </c:pt>
                <c:pt idx="27">
                  <c:v>79.292439819057634</c:v>
                </c:pt>
                <c:pt idx="28">
                  <c:v>79.642970611194443</c:v>
                </c:pt>
                <c:pt idx="29">
                  <c:v>79.973716033807875</c:v>
                </c:pt>
                <c:pt idx="30">
                  <c:v>80.286367813667354</c:v>
                </c:pt>
                <c:pt idx="31">
                  <c:v>80.582426849055537</c:v>
                </c:pt>
                <c:pt idx="32">
                  <c:v>80.863229636679122</c:v>
                </c:pt>
                <c:pt idx="33">
                  <c:v>81.129970398291533</c:v>
                </c:pt>
                <c:pt idx="34">
                  <c:v>81.383719705360292</c:v>
                </c:pt>
                <c:pt idx="35">
                  <c:v>81.625440234568231</c:v>
                </c:pt>
                <c:pt idx="36">
                  <c:v>81.856000159132265</c:v>
                </c:pt>
                <c:pt idx="37">
                  <c:v>82.076184581515108</c:v>
                </c:pt>
                <c:pt idx="38">
                  <c:v>82.286705335235922</c:v>
                </c:pt>
                <c:pt idx="39">
                  <c:v>82.488209422085674</c:v>
                </c:pt>
                <c:pt idx="40">
                  <c:v>82.6812863023288</c:v>
                </c:pt>
                <c:pt idx="41">
                  <c:v>82.866474216579562</c:v>
                </c:pt>
                <c:pt idx="42">
                  <c:v>83.044265686817596</c:v>
                </c:pt>
                <c:pt idx="43">
                  <c:v>83.21511231880514</c:v>
                </c:pt>
                <c:pt idx="44">
                  <c:v>83.379429007722933</c:v>
                </c:pt>
                <c:pt idx="45">
                  <c:v>83.537597632173402</c:v>
                </c:pt>
                <c:pt idx="46">
                  <c:v>83.689970308047279</c:v>
                </c:pt>
                <c:pt idx="47">
                  <c:v>83.836872262517517</c:v>
                </c:pt>
                <c:pt idx="48">
                  <c:v>83.978604379144741</c:v>
                </c:pt>
                <c:pt idx="49">
                  <c:v>84.11544545737901</c:v>
                </c:pt>
                <c:pt idx="50">
                  <c:v>84.247654223331594</c:v>
                </c:pt>
                <c:pt idx="51">
                  <c:v>84.375471123329163</c:v>
                </c:pt>
                <c:pt idx="52">
                  <c:v>84.499119927267472</c:v>
                </c:pt>
                <c:pt idx="53">
                  <c:v>84.618809164994218</c:v>
                </c:pt>
                <c:pt idx="54">
                  <c:v>84.73473341575405</c:v>
                </c:pt>
                <c:pt idx="55">
                  <c:v>84.847074468018505</c:v>
                </c:pt>
                <c:pt idx="56">
                  <c:v>84.95600236472076</c:v>
                </c:pt>
                <c:pt idx="57">
                  <c:v>85.061676346951387</c:v>
                </c:pt>
                <c:pt idx="58">
                  <c:v>85.164245707493038</c:v>
                </c:pt>
                <c:pt idx="59">
                  <c:v>85.263850564132909</c:v>
                </c:pt>
                <c:pt idx="60">
                  <c:v>85.360622561454733</c:v>
                </c:pt>
                <c:pt idx="61">
                  <c:v>85.454685508746138</c:v>
                </c:pt>
                <c:pt idx="62">
                  <c:v>85.546155960736669</c:v>
                </c:pt>
                <c:pt idx="63">
                  <c:v>85.635143747083788</c:v>
                </c:pt>
                <c:pt idx="64">
                  <c:v>85.723853831412072</c:v>
                </c:pt>
                <c:pt idx="65">
                  <c:v>85.918749098002039</c:v>
                </c:pt>
                <c:pt idx="66">
                  <c:v>86.106692724479359</c:v>
                </c:pt>
                <c:pt idx="67">
                  <c:v>86.288006754445405</c:v>
                </c:pt>
                <c:pt idx="68">
                  <c:v>86.463029206660295</c:v>
                </c:pt>
                <c:pt idx="69">
                  <c:v>86.624185399335573</c:v>
                </c:pt>
                <c:pt idx="70">
                  <c:v>86.749792625243856</c:v>
                </c:pt>
                <c:pt idx="71">
                  <c:v>86.871030441670811</c:v>
                </c:pt>
                <c:pt idx="72">
                  <c:v>86.98809037765902</c:v>
                </c:pt>
                <c:pt idx="73">
                  <c:v>87.101136717158695</c:v>
                </c:pt>
                <c:pt idx="74">
                  <c:v>87.210344710262419</c:v>
                </c:pt>
                <c:pt idx="75">
                  <c:v>87.315879951280778</c:v>
                </c:pt>
                <c:pt idx="76">
                  <c:v>87.417899012690953</c:v>
                </c:pt>
                <c:pt idx="77">
                  <c:v>87.516550031190619</c:v>
                </c:pt>
                <c:pt idx="78">
                  <c:v>87.611973249917725</c:v>
                </c:pt>
                <c:pt idx="79">
                  <c:v>87.704301520518399</c:v>
                </c:pt>
                <c:pt idx="80">
                  <c:v>87.793660768403896</c:v>
                </c:pt>
                <c:pt idx="81">
                  <c:v>87.880170424231181</c:v>
                </c:pt>
                <c:pt idx="82">
                  <c:v>87.963943824365714</c:v>
                </c:pt>
                <c:pt idx="83">
                  <c:v>88.045088582836271</c:v>
                </c:pt>
                <c:pt idx="84">
                  <c:v>88.123706937067084</c:v>
                </c:pt>
                <c:pt idx="85">
                  <c:v>88.19989606947064</c:v>
                </c:pt>
                <c:pt idx="86">
                  <c:v>88.273748406800721</c:v>
                </c:pt>
                <c:pt idx="87">
                  <c:v>88.345351899000448</c:v>
                </c:pt>
                <c:pt idx="88">
                  <c:v>88.414790279130017</c:v>
                </c:pt>
                <c:pt idx="89">
                  <c:v>88.482143305823257</c:v>
                </c:pt>
                <c:pt idx="90">
                  <c:v>88.547486989599037</c:v>
                </c:pt>
                <c:pt idx="91">
                  <c:v>88.610893804242394</c:v>
                </c:pt>
                <c:pt idx="92">
                  <c:v>88.672432884368064</c:v>
                </c:pt>
                <c:pt idx="93">
                  <c:v>88.732170210188173</c:v>
                </c:pt>
                <c:pt idx="94">
                  <c:v>88.790168780420885</c:v>
                </c:pt>
                <c:pt idx="95">
                  <c:v>88.846488774201731</c:v>
                </c:pt>
                <c:pt idx="96">
                  <c:v>88.901187702788718</c:v>
                </c:pt>
                <c:pt idx="97">
                  <c:v>88.954320551790005</c:v>
                </c:pt>
                <c:pt idx="98">
                  <c:v>89.005939914584559</c:v>
                </c:pt>
                <c:pt idx="99">
                  <c:v>89.056096117553679</c:v>
                </c:pt>
                <c:pt idx="100">
                  <c:v>89.104837337692828</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18.544646798551902</c:v>
                </c:pt>
                <c:pt idx="1">
                  <c:v>42.302898939255648</c:v>
                </c:pt>
                <c:pt idx="2">
                  <c:v>84.607633047168008</c:v>
                </c:pt>
                <c:pt idx="3">
                  <c:v>126.91420244315854</c:v>
                </c:pt>
                <c:pt idx="4">
                  <c:v>169.22260724665915</c:v>
                </c:pt>
                <c:pt idx="5">
                  <c:v>211.53284757711205</c:v>
                </c:pt>
                <c:pt idx="6">
                  <c:v>253.84492355396975</c:v>
                </c:pt>
                <c:pt idx="7">
                  <c:v>296.15883529669537</c:v>
                </c:pt>
                <c:pt idx="8">
                  <c:v>338.47458292476199</c:v>
                </c:pt>
                <c:pt idx="9">
                  <c:v>380.7921665576535</c:v>
                </c:pt>
                <c:pt idx="10">
                  <c:v>423.11158631486398</c:v>
                </c:pt>
                <c:pt idx="11">
                  <c:v>465.43284231589752</c:v>
                </c:pt>
                <c:pt idx="12">
                  <c:v>507.75593468026949</c:v>
                </c:pt>
                <c:pt idx="13">
                  <c:v>543.45345570390452</c:v>
                </c:pt>
                <c:pt idx="14">
                  <c:v>553.49322699058234</c:v>
                </c:pt>
                <c:pt idx="15">
                  <c:v>563.19577070208356</c:v>
                </c:pt>
                <c:pt idx="16">
                  <c:v>572.59483887040631</c:v>
                </c:pt>
                <c:pt idx="17">
                  <c:v>581.71896817285051</c:v>
                </c:pt>
                <c:pt idx="18">
                  <c:v>590.59254155360486</c:v>
                </c:pt>
                <c:pt idx="19">
                  <c:v>599.23658728861847</c:v>
                </c:pt>
                <c:pt idx="20">
                  <c:v>607.66939073457843</c:v>
                </c:pt>
                <c:pt idx="21">
                  <c:v>615.9069697778059</c:v>
                </c:pt>
                <c:pt idx="22">
                  <c:v>623.96344935056823</c:v>
                </c:pt>
                <c:pt idx="23">
                  <c:v>631.8513600237153</c:v>
                </c:pt>
                <c:pt idx="24">
                  <c:v>639.58187867619188</c:v>
                </c:pt>
                <c:pt idx="25">
                  <c:v>647.16502440638499</c:v>
                </c:pt>
                <c:pt idx="26">
                  <c:v>654.60981945421167</c:v>
                </c:pt>
                <c:pt idx="27">
                  <c:v>661.92442247914687</c:v>
                </c:pt>
                <c:pt idx="28">
                  <c:v>669.11623978405078</c:v>
                </c:pt>
                <c:pt idx="29">
                  <c:v>676.19201878622846</c:v>
                </c:pt>
                <c:pt idx="30">
                  <c:v>683.15792707964636</c:v>
                </c:pt>
                <c:pt idx="31">
                  <c:v>690.01961971253763</c:v>
                </c:pt>
                <c:pt idx="32">
                  <c:v>696.78229675792693</c:v>
                </c:pt>
                <c:pt idx="33">
                  <c:v>703.45075283523988</c:v>
                </c:pt>
                <c:pt idx="34">
                  <c:v>710.02941991653404</c:v>
                </c:pt>
                <c:pt idx="35">
                  <c:v>716.52240449743942</c:v>
                </c:pt>
                <c:pt idx="36">
                  <c:v>722.9335200134559</c:v>
                </c:pt>
                <c:pt idx="37">
                  <c:v>729.26631522411958</c:v>
                </c:pt>
                <c:pt idx="38">
                  <c:v>735.52409916131296</c:v>
                </c:pt>
                <c:pt idx="39">
                  <c:v>741.70996313652461</c:v>
                </c:pt>
                <c:pt idx="40">
                  <c:v>747.82680021981412</c:v>
                </c:pt>
                <c:pt idx="41">
                  <c:v>753.87732253649631</c:v>
                </c:pt>
                <c:pt idx="42">
                  <c:v>759.86407667296612</c:v>
                </c:pt>
                <c:pt idx="43">
                  <c:v>765.78945743818747</c:v>
                </c:pt>
                <c:pt idx="44">
                  <c:v>771.6557201902832</c:v>
                </c:pt>
                <c:pt idx="45">
                  <c:v>777.46499190684892</c:v>
                </c:pt>
                <c:pt idx="46">
                  <c:v>783.21928115192691</c:v>
                </c:pt>
                <c:pt idx="47">
                  <c:v>788.92048707105971</c:v>
                </c:pt>
                <c:pt idx="48">
                  <c:v>794.57040752772821</c:v>
                </c:pt>
                <c:pt idx="49">
                  <c:v>800.17074647921686</c:v>
                </c:pt>
                <c:pt idx="50">
                  <c:v>805.72312067696555</c:v>
                </c:pt>
                <c:pt idx="51">
                  <c:v>811.2290657654795</c:v>
                </c:pt>
                <c:pt idx="52">
                  <c:v>816.69004184443804</c:v>
                </c:pt>
                <c:pt idx="53">
                  <c:v>822.10743855060787</c:v>
                </c:pt>
                <c:pt idx="54">
                  <c:v>827.48257970923851</c:v>
                </c:pt>
                <c:pt idx="55">
                  <c:v>832.81672759866206</c:v>
                </c:pt>
                <c:pt idx="56">
                  <c:v>838.11108686666807</c:v>
                </c:pt>
                <c:pt idx="57">
                  <c:v>843.36680813276189</c:v>
                </c:pt>
                <c:pt idx="58">
                  <c:v>848.58499130653297</c:v>
                </c:pt>
                <c:pt idx="59">
                  <c:v>853.76668864899216</c:v>
                </c:pt>
                <c:pt idx="60">
                  <c:v>858.91290760077186</c:v>
                </c:pt>
                <c:pt idx="61">
                  <c:v>864.02461339851936</c:v>
                </c:pt>
                <c:pt idx="62">
                  <c:v>869.10273149852878</c:v>
                </c:pt>
                <c:pt idx="63">
                  <c:v>874.14814982468022</c:v>
                </c:pt>
                <c:pt idx="64">
                  <c:v>878.92336046324738</c:v>
                </c:pt>
                <c:pt idx="65">
                  <c:v>871.19454879690932</c:v>
                </c:pt>
                <c:pt idx="66">
                  <c:v>863.65972641869666</c:v>
                </c:pt>
                <c:pt idx="67">
                  <c:v>856.31287490008594</c:v>
                </c:pt>
                <c:pt idx="68">
                  <c:v>849.13989969690203</c:v>
                </c:pt>
                <c:pt idx="69">
                  <c:v>843.05201445572743</c:v>
                </c:pt>
                <c:pt idx="70">
                  <c:v>840.68947416465903</c:v>
                </c:pt>
                <c:pt idx="71">
                  <c:v>838.40931742084661</c:v>
                </c:pt>
                <c:pt idx="72">
                  <c:v>836.20779336166731</c:v>
                </c:pt>
                <c:pt idx="73">
                  <c:v>834.08810003529652</c:v>
                </c:pt>
                <c:pt idx="74">
                  <c:v>832.04747496193977</c:v>
                </c:pt>
                <c:pt idx="75">
                  <c:v>830.08329458518654</c:v>
                </c:pt>
                <c:pt idx="76">
                  <c:v>828.19306568327977</c:v>
                </c:pt>
                <c:pt idx="77">
                  <c:v>826.37441741020257</c:v>
                </c:pt>
                <c:pt idx="78">
                  <c:v>824.62509391335004</c:v>
                </c:pt>
                <c:pt idx="79">
                  <c:v>822.94294747964557</c:v>
                </c:pt>
                <c:pt idx="80">
                  <c:v>821.32593216647524</c:v>
                </c:pt>
                <c:pt idx="81">
                  <c:v>819.77209787791628</c:v>
                </c:pt>
                <c:pt idx="82">
                  <c:v>818.27958485034435</c:v>
                </c:pt>
                <c:pt idx="83">
                  <c:v>816.84661851479677</c:v>
                </c:pt>
                <c:pt idx="84">
                  <c:v>815.47150470640236</c:v>
                </c:pt>
                <c:pt idx="85">
                  <c:v>814.1526251938202</c:v>
                </c:pt>
                <c:pt idx="86">
                  <c:v>812.88843350404022</c:v>
                </c:pt>
                <c:pt idx="87">
                  <c:v>811.67745102001254</c:v>
                </c:pt>
                <c:pt idx="88">
                  <c:v>810.51826333054316</c:v>
                </c:pt>
                <c:pt idx="89">
                  <c:v>809.40951681363015</c:v>
                </c:pt>
                <c:pt idx="90">
                  <c:v>808.3499154360062</c:v>
                </c:pt>
                <c:pt idx="91">
                  <c:v>807.3382177530973</c:v>
                </c:pt>
                <c:pt idx="92">
                  <c:v>806.37323409490693</c:v>
                </c:pt>
                <c:pt idx="93">
                  <c:v>805.45382392451882</c:v>
                </c:pt>
                <c:pt idx="94">
                  <c:v>804.57889335699679</c:v>
                </c:pt>
                <c:pt idx="95">
                  <c:v>803.74739282742928</c:v>
                </c:pt>
                <c:pt idx="96">
                  <c:v>802.95831489776481</c:v>
                </c:pt>
                <c:pt idx="97">
                  <c:v>802.21069219289927</c:v>
                </c:pt>
                <c:pt idx="98">
                  <c:v>801.50359545721699</c:v>
                </c:pt>
                <c:pt idx="99">
                  <c:v>800.83613172345588</c:v>
                </c:pt>
                <c:pt idx="100">
                  <c:v>800.20744258640934</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12.469928182546042</c:v>
                </c:pt>
                <c:pt idx="1">
                  <c:v>14.948639612449909</c:v>
                </c:pt>
                <c:pt idx="2">
                  <c:v>17.487351282545951</c:v>
                </c:pt>
                <c:pt idx="3">
                  <c:v>20.026062952641979</c:v>
                </c:pt>
                <c:pt idx="4">
                  <c:v>22.56477462273801</c:v>
                </c:pt>
                <c:pt idx="5">
                  <c:v>25.103486292834038</c:v>
                </c:pt>
                <c:pt idx="6">
                  <c:v>27.642197962930076</c:v>
                </c:pt>
                <c:pt idx="7">
                  <c:v>30.180909633026111</c:v>
                </c:pt>
                <c:pt idx="8">
                  <c:v>32.719621303122146</c:v>
                </c:pt>
                <c:pt idx="9">
                  <c:v>35.258332973218167</c:v>
                </c:pt>
                <c:pt idx="10">
                  <c:v>37.797044643314202</c:v>
                </c:pt>
                <c:pt idx="11">
                  <c:v>40.335756313410236</c:v>
                </c:pt>
                <c:pt idx="12">
                  <c:v>42.874467983506257</c:v>
                </c:pt>
                <c:pt idx="13">
                  <c:v>45.614331244263276</c:v>
                </c:pt>
                <c:pt idx="14">
                  <c:v>49.126614033653148</c:v>
                </c:pt>
                <c:pt idx="15">
                  <c:v>52.639375719100585</c:v>
                </c:pt>
                <c:pt idx="16">
                  <c:v>56.152614514861519</c:v>
                </c:pt>
                <c:pt idx="17">
                  <c:v>59.666328815377945</c:v>
                </c:pt>
                <c:pt idx="18">
                  <c:v>63.180517168249473</c:v>
                </c:pt>
                <c:pt idx="19">
                  <c:v>66.695178252557824</c:v>
                </c:pt>
                <c:pt idx="20">
                  <c:v>70.210310861253504</c:v>
                </c:pt>
                <c:pt idx="21">
                  <c:v>73.725913886675741</c:v>
                </c:pt>
                <c:pt idx="22">
                  <c:v>77.241986308523934</c:v>
                </c:pt>
                <c:pt idx="23">
                  <c:v>80.758527183770923</c:v>
                </c:pt>
                <c:pt idx="24">
                  <c:v>84.275535638133618</c:v>
                </c:pt>
                <c:pt idx="25">
                  <c:v>87.793010858804379</c:v>
                </c:pt>
                <c:pt idx="26">
                  <c:v>91.310952088213753</c:v>
                </c:pt>
                <c:pt idx="27">
                  <c:v>94.82935861864334</c:v>
                </c:pt>
                <c:pt idx="28">
                  <c:v>98.348229787545904</c:v>
                </c:pt>
                <c:pt idx="29">
                  <c:v>101.86756497345721</c:v>
                </c:pt>
                <c:pt idx="30">
                  <c:v>105.38736359240741</c:v>
                </c:pt>
                <c:pt idx="31">
                  <c:v>108.90762509475555</c:v>
                </c:pt>
                <c:pt idx="32">
                  <c:v>112.42834896238554</c:v>
                </c:pt>
                <c:pt idx="33">
                  <c:v>115.9495347062123</c:v>
                </c:pt>
                <c:pt idx="34">
                  <c:v>119.47118186395488</c:v>
                </c:pt>
                <c:pt idx="35">
                  <c:v>122.99328999814155</c:v>
                </c:pt>
                <c:pt idx="36">
                  <c:v>126.51585869431625</c:v>
                </c:pt>
                <c:pt idx="37">
                  <c:v>130.03888755942111</c:v>
                </c:pt>
                <c:pt idx="38">
                  <c:v>133.56237622033362</c:v>
                </c:pt>
                <c:pt idx="39">
                  <c:v>137.08632432253972</c:v>
                </c:pt>
                <c:pt idx="40">
                  <c:v>140.61073152892723</c:v>
                </c:pt>
                <c:pt idx="41">
                  <c:v>144.13559751868578</c:v>
                </c:pt>
                <c:pt idx="42">
                  <c:v>147.66092198630159</c:v>
                </c:pt>
                <c:pt idx="43">
                  <c:v>151.18670464063666</c:v>
                </c:pt>
                <c:pt idx="44">
                  <c:v>154.71294520408355</c:v>
                </c:pt>
                <c:pt idx="45">
                  <c:v>158.23964341178848</c:v>
                </c:pt>
                <c:pt idx="46">
                  <c:v>161.76679901093473</c:v>
                </c:pt>
                <c:pt idx="47">
                  <c:v>165.29441176008154</c:v>
                </c:pt>
                <c:pt idx="48">
                  <c:v>168.82248142855241</c:v>
                </c:pt>
                <c:pt idx="49">
                  <c:v>172.35100779586853</c:v>
                </c:pt>
                <c:pt idx="50">
                  <c:v>175.87999065122287</c:v>
                </c:pt>
                <c:pt idx="51">
                  <c:v>179.40942979299169</c:v>
                </c:pt>
                <c:pt idx="52">
                  <c:v>182.93932502827963</c:v>
                </c:pt>
                <c:pt idx="53">
                  <c:v>186.46967617249561</c:v>
                </c:pt>
                <c:pt idx="54">
                  <c:v>190.00048304895725</c:v>
                </c:pt>
                <c:pt idx="55">
                  <c:v>193.53174548852101</c:v>
                </c:pt>
                <c:pt idx="56">
                  <c:v>197.06346332923593</c:v>
                </c:pt>
                <c:pt idx="57">
                  <c:v>200.5956364160194</c:v>
                </c:pt>
                <c:pt idx="58">
                  <c:v>204.12826460035305</c:v>
                </c:pt>
                <c:pt idx="59">
                  <c:v>207.66134773999673</c:v>
                </c:pt>
                <c:pt idx="60">
                  <c:v>211.19488569872013</c:v>
                </c:pt>
                <c:pt idx="61">
                  <c:v>214.72887834604998</c:v>
                </c:pt>
                <c:pt idx="62">
                  <c:v>218.26332555703155</c:v>
                </c:pt>
                <c:pt idx="63">
                  <c:v>221.79822721200441</c:v>
                </c:pt>
                <c:pt idx="64">
                  <c:v>225.33121438743632</c:v>
                </c:pt>
                <c:pt idx="65">
                  <c:v>228.73942735381172</c:v>
                </c:pt>
                <c:pt idx="66">
                  <c:v>232.14868282846228</c:v>
                </c:pt>
                <c:pt idx="67">
                  <c:v>235.55920227734478</c:v>
                </c:pt>
                <c:pt idx="68">
                  <c:v>238.97001477880187</c:v>
                </c:pt>
                <c:pt idx="69">
                  <c:v>242.61065396461839</c:v>
                </c:pt>
                <c:pt idx="70">
                  <c:v>247.16211170281704</c:v>
                </c:pt>
                <c:pt idx="71">
                  <c:v>251.74473202967062</c:v>
                </c:pt>
                <c:pt idx="72">
                  <c:v>256.35574005527354</c:v>
                </c:pt>
                <c:pt idx="73">
                  <c:v>260.99698384829264</c:v>
                </c:pt>
                <c:pt idx="74">
                  <c:v>265.66850451277224</c:v>
                </c:pt>
                <c:pt idx="75">
                  <c:v>270.37034354289949</c:v>
                </c:pt>
                <c:pt idx="76">
                  <c:v>275.10254282246007</c:v>
                </c:pt>
                <c:pt idx="77">
                  <c:v>279.8651446244271</c:v>
                </c:pt>
                <c:pt idx="78">
                  <c:v>284.65819161067225</c:v>
                </c:pt>
                <c:pt idx="79">
                  <c:v>289.48172683178939</c:v>
                </c:pt>
                <c:pt idx="80">
                  <c:v>294.33579372702496</c:v>
                </c:pt>
                <c:pt idx="81">
                  <c:v>299.22043612430309</c:v>
                </c:pt>
                <c:pt idx="82">
                  <c:v>304.13569824034346</c:v>
                </c:pt>
                <c:pt idx="83">
                  <c:v>309.08162468086232</c:v>
                </c:pt>
                <c:pt idx="84">
                  <c:v>314.05826044085188</c:v>
                </c:pt>
                <c:pt idx="85">
                  <c:v>319.0656509049341</c:v>
                </c:pt>
                <c:pt idx="86">
                  <c:v>324.10384184778161</c:v>
                </c:pt>
                <c:pt idx="87">
                  <c:v>329.17287943460519</c:v>
                </c:pt>
                <c:pt idx="88">
                  <c:v>334.27281022170013</c:v>
                </c:pt>
                <c:pt idx="89">
                  <c:v>339.40368115705002</c:v>
                </c:pt>
                <c:pt idx="90">
                  <c:v>344.56553958098465</c:v>
                </c:pt>
                <c:pt idx="91">
                  <c:v>349.75843322688837</c:v>
                </c:pt>
                <c:pt idx="92">
                  <c:v>354.98241022195691</c:v>
                </c:pt>
                <c:pt idx="93">
                  <c:v>360.23751908799886</c:v>
                </c:pt>
                <c:pt idx="94">
                  <c:v>365.52380874228101</c:v>
                </c:pt>
                <c:pt idx="95">
                  <c:v>370.84132849841581</c:v>
                </c:pt>
                <c:pt idx="96">
                  <c:v>376.19012806728534</c:v>
                </c:pt>
                <c:pt idx="97">
                  <c:v>381.57025755800606</c:v>
                </c:pt>
                <c:pt idx="98">
                  <c:v>386.981767478927</c:v>
                </c:pt>
                <c:pt idx="99">
                  <c:v>392.42470873866318</c:v>
                </c:pt>
                <c:pt idx="100">
                  <c:v>397.89913264716267</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8.5020718447975004E-5</c:v>
                </c:pt>
                <c:pt idx="1">
                  <c:v>73.859127258502994</c:v>
                </c:pt>
                <c:pt idx="2">
                  <c:v>75.688914450241683</c:v>
                </c:pt>
                <c:pt idx="3">
                  <c:v>76.202509091569752</c:v>
                </c:pt>
                <c:pt idx="4">
                  <c:v>76.354073175995964</c:v>
                </c:pt>
                <c:pt idx="5">
                  <c:v>76.345617108165314</c:v>
                </c:pt>
                <c:pt idx="6">
                  <c:v>76.247321072918368</c:v>
                </c:pt>
                <c:pt idx="7">
                  <c:v>76.090611444346024</c:v>
                </c:pt>
                <c:pt idx="8">
                  <c:v>75.892030689915501</c:v>
                </c:pt>
                <c:pt idx="9">
                  <c:v>75.661346984401519</c:v>
                </c:pt>
                <c:pt idx="10">
                  <c:v>75.404853469833711</c:v>
                </c:pt>
                <c:pt idx="11">
                  <c:v>75.126892976632291</c:v>
                </c:pt>
                <c:pt idx="12">
                  <c:v>74.632550105438881</c:v>
                </c:pt>
                <c:pt idx="13">
                  <c:v>74.430459746410534</c:v>
                </c:pt>
                <c:pt idx="14">
                  <c:v>75.095144011320244</c:v>
                </c:pt>
                <c:pt idx="15">
                  <c:v>75.683488039046821</c:v>
                </c:pt>
                <c:pt idx="16">
                  <c:v>76.20789777033238</c:v>
                </c:pt>
                <c:pt idx="17">
                  <c:v>76.678204670821486</c:v>
                </c:pt>
                <c:pt idx="18">
                  <c:v>77.102304974659816</c:v>
                </c:pt>
                <c:pt idx="19">
                  <c:v>77.486616596590125</c:v>
                </c:pt>
                <c:pt idx="20">
                  <c:v>77.836411836014747</c:v>
                </c:pt>
                <c:pt idx="21">
                  <c:v>78.156063689757417</c:v>
                </c:pt>
                <c:pt idx="22">
                  <c:v>78.449230946775756</c:v>
                </c:pt>
                <c:pt idx="23">
                  <c:v>78.71899916880993</c:v>
                </c:pt>
                <c:pt idx="24">
                  <c:v>78.967989395280767</c:v>
                </c:pt>
                <c:pt idx="25">
                  <c:v>79.198442904859917</c:v>
                </c:pt>
                <c:pt idx="26">
                  <c:v>79.412287988916134</c:v>
                </c:pt>
                <c:pt idx="27">
                  <c:v>79.61119305305921</c:v>
                </c:pt>
                <c:pt idx="28">
                  <c:v>79.796609215615604</c:v>
                </c:pt>
                <c:pt idx="29">
                  <c:v>79.969804757268832</c:v>
                </c:pt>
                <c:pt idx="30">
                  <c:v>80.131893190211045</c:v>
                </c:pt>
                <c:pt idx="31">
                  <c:v>80.283856288677612</c:v>
                </c:pt>
                <c:pt idx="32">
                  <c:v>80.42656310881317</c:v>
                </c:pt>
                <c:pt idx="33">
                  <c:v>80.56078579233278</c:v>
                </c:pt>
                <c:pt idx="34">
                  <c:v>80.687212773088675</c:v>
                </c:pt>
                <c:pt idx="35">
                  <c:v>80.80645987275966</c:v>
                </c:pt>
                <c:pt idx="36">
                  <c:v>80.91907967030177</c:v>
                </c:pt>
                <c:pt idx="37">
                  <c:v>81.025569451534636</c:v>
                </c:pt>
                <c:pt idx="38">
                  <c:v>81.126377984479419</c:v>
                </c:pt>
                <c:pt idx="39">
                  <c:v>81.221911318559506</c:v>
                </c:pt>
                <c:pt idx="40">
                  <c:v>81.312537768383592</c:v>
                </c:pt>
                <c:pt idx="41">
                  <c:v>81.398592213210236</c:v>
                </c:pt>
                <c:pt idx="42">
                  <c:v>81.480379819588109</c:v>
                </c:pt>
                <c:pt idx="43">
                  <c:v>81.558179275746312</c:v>
                </c:pt>
                <c:pt idx="44">
                  <c:v>81.632245611061961</c:v>
                </c:pt>
                <c:pt idx="45">
                  <c:v>81.702812661582101</c:v>
                </c:pt>
                <c:pt idx="46">
                  <c:v>81.77009523252147</c:v>
                </c:pt>
                <c:pt idx="47">
                  <c:v>81.8342910004353</c:v>
                </c:pt>
                <c:pt idx="48">
                  <c:v>81.895582191009865</c:v>
                </c:pt>
                <c:pt idx="49">
                  <c:v>81.954137062838271</c:v>
                </c:pt>
                <c:pt idx="50">
                  <c:v>82.010111222931641</c:v>
                </c:pt>
                <c:pt idx="51">
                  <c:v>82.063648795872609</c:v>
                </c:pt>
                <c:pt idx="52">
                  <c:v>82.11488346531209</c:v>
                </c:pt>
                <c:pt idx="53">
                  <c:v>82.163939403821445</c:v>
                </c:pt>
                <c:pt idx="54">
                  <c:v>82.210932104852773</c:v>
                </c:pt>
                <c:pt idx="55">
                  <c:v>82.255969128653007</c:v>
                </c:pt>
                <c:pt idx="56">
                  <c:v>82.299150772363902</c:v>
                </c:pt>
                <c:pt idx="57">
                  <c:v>82.340570673169609</c:v>
                </c:pt>
                <c:pt idx="58">
                  <c:v>82.380316352186597</c:v>
                </c:pt>
                <c:pt idx="59">
                  <c:v>82.418469705794578</c:v>
                </c:pt>
                <c:pt idx="60">
                  <c:v>82.566816738599385</c:v>
                </c:pt>
                <c:pt idx="61">
                  <c:v>82.899545998939161</c:v>
                </c:pt>
                <c:pt idx="62">
                  <c:v>83.21978209789485</c:v>
                </c:pt>
                <c:pt idx="63">
                  <c:v>83.528116152906449</c:v>
                </c:pt>
                <c:pt idx="64">
                  <c:v>83.825153737975597</c:v>
                </c:pt>
                <c:pt idx="65">
                  <c:v>84.111412736853438</c:v>
                </c:pt>
                <c:pt idx="66">
                  <c:v>84.387352975535862</c:v>
                </c:pt>
                <c:pt idx="67">
                  <c:v>84.653446881905808</c:v>
                </c:pt>
                <c:pt idx="68">
                  <c:v>84.910141488130336</c:v>
                </c:pt>
                <c:pt idx="69">
                  <c:v>84.564593167920492</c:v>
                </c:pt>
                <c:pt idx="70">
                  <c:v>84.696755914266419</c:v>
                </c:pt>
                <c:pt idx="71">
                  <c:v>84.825157267857222</c:v>
                </c:pt>
                <c:pt idx="72">
                  <c:v>84.949942368800919</c:v>
                </c:pt>
                <c:pt idx="73">
                  <c:v>85.071248986616794</c:v>
                </c:pt>
                <c:pt idx="74">
                  <c:v>85.189207981039814</c:v>
                </c:pt>
                <c:pt idx="75">
                  <c:v>85.303943728761382</c:v>
                </c:pt>
                <c:pt idx="76">
                  <c:v>85.415574519001041</c:v>
                </c:pt>
                <c:pt idx="77">
                  <c:v>85.524212920525926</c:v>
                </c:pt>
                <c:pt idx="78">
                  <c:v>85.629966122488668</c:v>
                </c:pt>
                <c:pt idx="79">
                  <c:v>85.732936251231436</c:v>
                </c:pt>
                <c:pt idx="80">
                  <c:v>85.833220665006223</c:v>
                </c:pt>
                <c:pt idx="81">
                  <c:v>85.930912228382624</c:v>
                </c:pt>
                <c:pt idx="82">
                  <c:v>86.026099567954546</c:v>
                </c:pt>
                <c:pt idx="83">
                  <c:v>86.118867310812931</c:v>
                </c:pt>
                <c:pt idx="84">
                  <c:v>86.209296307122159</c:v>
                </c:pt>
                <c:pt idx="85">
                  <c:v>86.29746383801978</c:v>
                </c:pt>
                <c:pt idx="86">
                  <c:v>86.383443809955196</c:v>
                </c:pt>
                <c:pt idx="87">
                  <c:v>86.467306936485699</c:v>
                </c:pt>
                <c:pt idx="88">
                  <c:v>86.549120908462783</c:v>
                </c:pt>
                <c:pt idx="89">
                  <c:v>86.628950553463241</c:v>
                </c:pt>
                <c:pt idx="90">
                  <c:v>86.706857985248433</c:v>
                </c:pt>
                <c:pt idx="91">
                  <c:v>86.782902743970652</c:v>
                </c:pt>
                <c:pt idx="92">
                  <c:v>86.857141927787126</c:v>
                </c:pt>
                <c:pt idx="93">
                  <c:v>86.929630316488954</c:v>
                </c:pt>
                <c:pt idx="94">
                  <c:v>87.000420487703423</c:v>
                </c:pt>
                <c:pt idx="95">
                  <c:v>87.069562926184645</c:v>
                </c:pt>
                <c:pt idx="96">
                  <c:v>87.137106126666637</c:v>
                </c:pt>
                <c:pt idx="97">
                  <c:v>87.203096690716151</c:v>
                </c:pt>
                <c:pt idx="98">
                  <c:v>87.267579417989666</c:v>
                </c:pt>
                <c:pt idx="99">
                  <c:v>87.330597392267066</c:v>
                </c:pt>
                <c:pt idx="100">
                  <c:v>86.849498355212845</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15.628411860512617</c:v>
                </c:pt>
                <c:pt idx="1">
                  <c:v>43.508009772374955</c:v>
                </c:pt>
                <c:pt idx="2">
                  <c:v>87.01794221723479</c:v>
                </c:pt>
                <c:pt idx="3">
                  <c:v>130.52979746203016</c:v>
                </c:pt>
                <c:pt idx="4">
                  <c:v>174.0435756342232</c:v>
                </c:pt>
                <c:pt idx="5">
                  <c:v>217.55927686128692</c:v>
                </c:pt>
                <c:pt idx="6">
                  <c:v>261.07690127070606</c:v>
                </c:pt>
                <c:pt idx="7">
                  <c:v>304.59644898997618</c:v>
                </c:pt>
                <c:pt idx="8">
                  <c:v>348.1179201466046</c:v>
                </c:pt>
                <c:pt idx="9">
                  <c:v>391.64131486810925</c:v>
                </c:pt>
                <c:pt idx="10">
                  <c:v>435.16663328202009</c:v>
                </c:pt>
                <c:pt idx="11">
                  <c:v>478.69387551587778</c:v>
                </c:pt>
                <c:pt idx="12">
                  <c:v>525.81181977415565</c:v>
                </c:pt>
                <c:pt idx="13">
                  <c:v>561.49342231810817</c:v>
                </c:pt>
                <c:pt idx="14">
                  <c:v>572.06337110381787</c:v>
                </c:pt>
                <c:pt idx="15">
                  <c:v>582.27881931347395</c:v>
                </c:pt>
                <c:pt idx="16">
                  <c:v>592.17530411286839</c:v>
                </c:pt>
                <c:pt idx="17">
                  <c:v>601.78287018804133</c:v>
                </c:pt>
                <c:pt idx="18">
                  <c:v>611.12718789411201</c:v>
                </c:pt>
                <c:pt idx="19">
                  <c:v>620.230394851303</c:v>
                </c:pt>
                <c:pt idx="20">
                  <c:v>629.11174024275681</c:v>
                </c:pt>
                <c:pt idx="21">
                  <c:v>637.78808555076569</c:v>
                </c:pt>
                <c:pt idx="22">
                  <c:v>646.27429898471974</c:v>
                </c:pt>
                <c:pt idx="23">
                  <c:v>654.58356994283668</c:v>
                </c:pt>
                <c:pt idx="24">
                  <c:v>662.72766246756623</c:v>
                </c:pt>
                <c:pt idx="25">
                  <c:v>670.7171215610723</c:v>
                </c:pt>
                <c:pt idx="26">
                  <c:v>678.56144265009686</c:v>
                </c:pt>
                <c:pt idx="27">
                  <c:v>686.26921193656813</c:v>
                </c:pt>
                <c:pt idx="28">
                  <c:v>693.84822352145432</c:v>
                </c:pt>
                <c:pt idx="29">
                  <c:v>701.30557783225765</c:v>
                </c:pt>
                <c:pt idx="30">
                  <c:v>708.64776487603206</c:v>
                </c:pt>
                <c:pt idx="31">
                  <c:v>715.88073508178752</c:v>
                </c:pt>
                <c:pt idx="32">
                  <c:v>723.00995992031301</c:v>
                </c:pt>
                <c:pt idx="33">
                  <c:v>730.04048404777427</c:v>
                </c:pt>
                <c:pt idx="34">
                  <c:v>736.97697037751789</c:v>
                </c:pt>
                <c:pt idx="35">
                  <c:v>743.82373921758722</c:v>
                </c:pt>
                <c:pt idx="36">
                  <c:v>750.58480240139011</c:v>
                </c:pt>
                <c:pt idx="37">
                  <c:v>757.26389317242683</c:v>
                </c:pt>
                <c:pt idx="38">
                  <c:v>763.86449245101801</c:v>
                </c:pt>
                <c:pt idx="39">
                  <c:v>770.38985200411673</c:v>
                </c:pt>
                <c:pt idx="40">
                  <c:v>776.84301495287514</c:v>
                </c:pt>
                <c:pt idx="41">
                  <c:v>783.22683398234733</c:v>
                </c:pt>
                <c:pt idx="42">
                  <c:v>789.54398756020873</c:v>
                </c:pt>
                <c:pt idx="43">
                  <c:v>795.79699442410129</c:v>
                </c:pt>
                <c:pt idx="44">
                  <c:v>801.98822655814661</c:v>
                </c:pt>
                <c:pt idx="45">
                  <c:v>808.11992084671897</c:v>
                </c:pt>
                <c:pt idx="46">
                  <c:v>814.19418956653237</c:v>
                </c:pt>
                <c:pt idx="47">
                  <c:v>820.21302985541172</c:v>
                </c:pt>
                <c:pt idx="48">
                  <c:v>826.17833227707388</c:v>
                </c:pt>
                <c:pt idx="49">
                  <c:v>832.09188858514028</c:v>
                </c:pt>
                <c:pt idx="50">
                  <c:v>837.95539877595559</c:v>
                </c:pt>
                <c:pt idx="51">
                  <c:v>843.77047750820282</c:v>
                </c:pt>
                <c:pt idx="52">
                  <c:v>849.53865995737635</c:v>
                </c:pt>
                <c:pt idx="53">
                  <c:v>855.26140716471491</c:v>
                </c:pt>
                <c:pt idx="54">
                  <c:v>860.94011093290499</c:v>
                </c:pt>
                <c:pt idx="55">
                  <c:v>866.57609831458399</c:v>
                </c:pt>
                <c:pt idx="56">
                  <c:v>872.17063573425582</c:v>
                </c:pt>
                <c:pt idx="57">
                  <c:v>877.7249327795314</c:v>
                </c:pt>
                <c:pt idx="58">
                  <c:v>883.2401456935213</c:v>
                </c:pt>
                <c:pt idx="59">
                  <c:v>888.71738059665108</c:v>
                </c:pt>
                <c:pt idx="60">
                  <c:v>889.06939659025602</c:v>
                </c:pt>
                <c:pt idx="61">
                  <c:v>880.73835040788117</c:v>
                </c:pt>
                <c:pt idx="62">
                  <c:v>872.62284783422763</c:v>
                </c:pt>
                <c:pt idx="63">
                  <c:v>864.71419559636661</c:v>
                </c:pt>
                <c:pt idx="64">
                  <c:v>856.99860166864687</c:v>
                </c:pt>
                <c:pt idx="65">
                  <c:v>849.46934382599727</c:v>
                </c:pt>
                <c:pt idx="66">
                  <c:v>842.1237041879607</c:v>
                </c:pt>
                <c:pt idx="67">
                  <c:v>834.95469407093526</c:v>
                </c:pt>
                <c:pt idx="68">
                  <c:v>827.95568383267766</c:v>
                </c:pt>
                <c:pt idx="69">
                  <c:v>844.29337232245291</c:v>
                </c:pt>
                <c:pt idx="70">
                  <c:v>842.15456500987818</c:v>
                </c:pt>
                <c:pt idx="71">
                  <c:v>840.10186983015399</c:v>
                </c:pt>
                <c:pt idx="72">
                  <c:v>838.13233864376321</c:v>
                </c:pt>
                <c:pt idx="73">
                  <c:v>836.24317609221498</c:v>
                </c:pt>
                <c:pt idx="74">
                  <c:v>834.4317298733705</c:v>
                </c:pt>
                <c:pt idx="75">
                  <c:v>832.69548175082116</c:v>
                </c:pt>
                <c:pt idx="76">
                  <c:v>831.03203923348588</c:v>
                </c:pt>
                <c:pt idx="77">
                  <c:v>829.43912786785336</c:v>
                </c:pt>
                <c:pt idx="78">
                  <c:v>827.91458409088227</c:v>
                </c:pt>
                <c:pt idx="79">
                  <c:v>826.45634859654922</c:v>
                </c:pt>
                <c:pt idx="80">
                  <c:v>825.06246017349542</c:v>
                </c:pt>
                <c:pt idx="81">
                  <c:v>823.73104997519295</c:v>
                </c:pt>
                <c:pt idx="82">
                  <c:v>822.46033618762567</c:v>
                </c:pt>
                <c:pt idx="83">
                  <c:v>821.24861906268359</c:v>
                </c:pt>
                <c:pt idx="84">
                  <c:v>820.09427628833532</c:v>
                </c:pt>
                <c:pt idx="85">
                  <c:v>818.99575866924602</c:v>
                </c:pt>
                <c:pt idx="86">
                  <c:v>817.95158609381076</c:v>
                </c:pt>
                <c:pt idx="87">
                  <c:v>816.96034376570606</c:v>
                </c:pt>
                <c:pt idx="88">
                  <c:v>816.02067867992616</c:v>
                </c:pt>
                <c:pt idx="89">
                  <c:v>815.13129632500988</c:v>
                </c:pt>
                <c:pt idx="90">
                  <c:v>814.29095759469192</c:v>
                </c:pt>
                <c:pt idx="91">
                  <c:v>813.49847589363469</c:v>
                </c:pt>
                <c:pt idx="92">
                  <c:v>812.75271442315591</c:v>
                </c:pt>
                <c:pt idx="93">
                  <c:v>812.0525836340322</c:v>
                </c:pt>
                <c:pt idx="94">
                  <c:v>811.39703883449783</c:v>
                </c:pt>
                <c:pt idx="95">
                  <c:v>810.78507794253039</c:v>
                </c:pt>
                <c:pt idx="96">
                  <c:v>810.2157393723586</c:v>
                </c:pt>
                <c:pt idx="97">
                  <c:v>809.68810004595002</c:v>
                </c:pt>
                <c:pt idx="98">
                  <c:v>809.201273520928</c:v>
                </c:pt>
                <c:pt idx="99">
                  <c:v>808.75440822705775</c:v>
                </c:pt>
                <c:pt idx="100">
                  <c:v>808.34668580401467</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12.599976616635734</c:v>
                </c:pt>
                <c:pt idx="1">
                  <c:v>12.877300353181209</c:v>
                </c:pt>
                <c:pt idx="2">
                  <c:v>13.969386144532431</c:v>
                </c:pt>
                <c:pt idx="3">
                  <c:v>16.1426610308663</c:v>
                </c:pt>
                <c:pt idx="4">
                  <c:v>19.644158103997441</c:v>
                </c:pt>
                <c:pt idx="5">
                  <c:v>24.680945653779062</c:v>
                </c:pt>
                <c:pt idx="6">
                  <c:v>31.435055917062325</c:v>
                </c:pt>
                <c:pt idx="7">
                  <c:v>40.070882006865851</c:v>
                </c:pt>
                <c:pt idx="8">
                  <c:v>50.739507091564455</c:v>
                </c:pt>
                <c:pt idx="9">
                  <c:v>63.581502772284928</c:v>
                </c:pt>
                <c:pt idx="10">
                  <c:v>78.728863574919558</c:v>
                </c:pt>
                <c:pt idx="11">
                  <c:v>96.306411066697052</c:v>
                </c:pt>
                <c:pt idx="12">
                  <c:v>120.50522648067535</c:v>
                </c:pt>
                <c:pt idx="13">
                  <c:v>147.19637459018509</c:v>
                </c:pt>
                <c:pt idx="14">
                  <c:v>161.17332762815553</c:v>
                </c:pt>
                <c:pt idx="15">
                  <c:v>175.38190953930976</c:v>
                </c:pt>
                <c:pt idx="16">
                  <c:v>189.81056534708105</c:v>
                </c:pt>
                <c:pt idx="17">
                  <c:v>204.44901885617304</c:v>
                </c:pt>
                <c:pt idx="18">
                  <c:v>219.28806359403725</c:v>
                </c:pt>
                <c:pt idx="19">
                  <c:v>234.31939775901972</c:v>
                </c:pt>
                <c:pt idx="20">
                  <c:v>249.53549206023837</c:v>
                </c:pt>
                <c:pt idx="21">
                  <c:v>264.92948256245302</c:v>
                </c:pt>
                <c:pt idx="22">
                  <c:v>280.4950828292242</c:v>
                </c:pt>
                <c:pt idx="23">
                  <c:v>296.22651116249671</c:v>
                </c:pt>
                <c:pt idx="24">
                  <c:v>312.11842979601425</c:v>
                </c:pt>
                <c:pt idx="25">
                  <c:v>328.16589365885625</c:v>
                </c:pt>
                <c:pt idx="26">
                  <c:v>344.36430687773986</c:v>
                </c:pt>
                <c:pt idx="27">
                  <c:v>360.70938559463008</c:v>
                </c:pt>
                <c:pt idx="28">
                  <c:v>377.19712598139006</c:v>
                </c:pt>
                <c:pt idx="29">
                  <c:v>393.82377656434255</c:v>
                </c:pt>
                <c:pt idx="30">
                  <c:v>410.58581414858236</c:v>
                </c:pt>
                <c:pt idx="31">
                  <c:v>427.47992276881217</c:v>
                </c:pt>
                <c:pt idx="32">
                  <c:v>444.50297520039288</c:v>
                </c:pt>
                <c:pt idx="33">
                  <c:v>461.65201664855653</c:v>
                </c:pt>
                <c:pt idx="34">
                  <c:v>478.92425030063907</c:v>
                </c:pt>
                <c:pt idx="35">
                  <c:v>496.31702447976915</c:v>
                </c:pt>
                <c:pt idx="36">
                  <c:v>513.82782118161992</c:v>
                </c:pt>
                <c:pt idx="37">
                  <c:v>531.45424581088707</c:v>
                </c:pt>
                <c:pt idx="38">
                  <c:v>549.19401796277202</c:v>
                </c:pt>
                <c:pt idx="39">
                  <c:v>567.04496311827347</c:v>
                </c:pt>
                <c:pt idx="40">
                  <c:v>585.00500514150644</c:v>
                </c:pt>
                <c:pt idx="41">
                  <c:v>603.07215948341468</c:v>
                </c:pt>
                <c:pt idx="42">
                  <c:v>621.24452700970141</c:v>
                </c:pt>
                <c:pt idx="43">
                  <c:v>639.52028838210435</c:v>
                </c:pt>
                <c:pt idx="44">
                  <c:v>657.89769893164964</c:v>
                </c:pt>
                <c:pt idx="45">
                  <c:v>676.37508397057081</c:v>
                </c:pt>
                <c:pt idx="46">
                  <c:v>694.95083449642391</c:v>
                </c:pt>
                <c:pt idx="47">
                  <c:v>713.62340324774073</c:v>
                </c:pt>
                <c:pt idx="48">
                  <c:v>732.39130107558049</c:v>
                </c:pt>
                <c:pt idx="49">
                  <c:v>751.25309359959374</c:v>
                </c:pt>
                <c:pt idx="50">
                  <c:v>770.20739812093802</c:v>
                </c:pt>
                <c:pt idx="51">
                  <c:v>789.25288076755373</c:v>
                </c:pt>
                <c:pt idx="52">
                  <c:v>808.38825385008863</c:v>
                </c:pt>
                <c:pt idx="53">
                  <c:v>827.61227340916719</c:v>
                </c:pt>
                <c:pt idx="54">
                  <c:v>846.9237369368027</c:v>
                </c:pt>
                <c:pt idx="55">
                  <c:v>866.32148125658046</c:v>
                </c:pt>
                <c:pt idx="56">
                  <c:v>885.80438054886474</c:v>
                </c:pt>
                <c:pt idx="57">
                  <c:v>905.37134450868268</c:v>
                </c:pt>
                <c:pt idx="58">
                  <c:v>925.02131662520515</c:v>
                </c:pt>
                <c:pt idx="59">
                  <c:v>944.75327257282504</c:v>
                </c:pt>
                <c:pt idx="60">
                  <c:v>951.93344872822036</c:v>
                </c:pt>
                <c:pt idx="61">
                  <c:v>937.57315178728197</c:v>
                </c:pt>
                <c:pt idx="62">
                  <c:v>923.69393901659294</c:v>
                </c:pt>
                <c:pt idx="63">
                  <c:v>910.27459681023697</c:v>
                </c:pt>
                <c:pt idx="64">
                  <c:v>897.29298432203234</c:v>
                </c:pt>
                <c:pt idx="65">
                  <c:v>884.73062944684898</c:v>
                </c:pt>
                <c:pt idx="66">
                  <c:v>872.57145621256711</c:v>
                </c:pt>
                <c:pt idx="67">
                  <c:v>860.7985778123475</c:v>
                </c:pt>
                <c:pt idx="68">
                  <c:v>849.39601549316694</c:v>
                </c:pt>
                <c:pt idx="69">
                  <c:v>917.49512581520969</c:v>
                </c:pt>
                <c:pt idx="70">
                  <c:v>921.91703003207817</c:v>
                </c:pt>
                <c:pt idx="71">
                  <c:v>926.33006921501726</c:v>
                </c:pt>
                <c:pt idx="72">
                  <c:v>930.73597182203082</c:v>
                </c:pt>
                <c:pt idx="73">
                  <c:v>935.13638369147213</c:v>
                </c:pt>
                <c:pt idx="74">
                  <c:v>939.53287306562333</c:v>
                </c:pt>
                <c:pt idx="75">
                  <c:v>943.92693525527818</c:v>
                </c:pt>
                <c:pt idx="76">
                  <c:v>948.31999697481172</c:v>
                </c:pt>
                <c:pt idx="77">
                  <c:v>952.7134203745951</c:v>
                </c:pt>
                <c:pt idx="78">
                  <c:v>957.10850679499561</c:v>
                </c:pt>
                <c:pt idx="79">
                  <c:v>961.50650026415246</c:v>
                </c:pt>
                <c:pt idx="80">
                  <c:v>965.90859075965352</c:v>
                </c:pt>
                <c:pt idx="81">
                  <c:v>970.31591725244391</c:v>
                </c:pt>
                <c:pt idx="82">
                  <c:v>974.72957054976337</c:v>
                </c:pt>
                <c:pt idx="83">
                  <c:v>979.15059595235516</c:v>
                </c:pt>
                <c:pt idx="84">
                  <c:v>983.57999573997336</c:v>
                </c:pt>
                <c:pt idx="85">
                  <c:v>988.01873149796097</c:v>
                </c:pt>
                <c:pt idx="86">
                  <c:v>992.467726296617</c:v>
                </c:pt>
                <c:pt idx="87">
                  <c:v>996.92786673408955</c:v>
                </c:pt>
                <c:pt idx="88">
                  <c:v>1001.4000048526772</c:v>
                </c:pt>
                <c:pt idx="89">
                  <c:v>1005.8849599375869</c:v>
                </c:pt>
                <c:pt idx="90">
                  <c:v>1010.3835202064266</c:v>
                </c:pt>
                <c:pt idx="91">
                  <c:v>1014.8964443971664</c:v>
                </c:pt>
                <c:pt idx="92">
                  <c:v>1019.4244632615586</c:v>
                </c:pt>
                <c:pt idx="93">
                  <c:v>1023.9682809705344</c:v>
                </c:pt>
                <c:pt idx="94">
                  <c:v>1028.5285764375897</c:v>
                </c:pt>
                <c:pt idx="95">
                  <c:v>1033.1060045656588</c:v>
                </c:pt>
                <c:pt idx="96">
                  <c:v>1037.701197422595</c:v>
                </c:pt>
                <c:pt idx="97">
                  <c:v>1042.3147653500339</c:v>
                </c:pt>
                <c:pt idx="98">
                  <c:v>1046.9472980099083</c:v>
                </c:pt>
                <c:pt idx="99">
                  <c:v>1051.5993653727744</c:v>
                </c:pt>
                <c:pt idx="100">
                  <c:v>1056.2715186516118</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344.98108595439891</c:v>
                </c:pt>
                <c:pt idx="54">
                  <c:v>339.01529439852374</c:v>
                </c:pt>
                <c:pt idx="55">
                  <c:v>333.24725015666831</c:v>
                </c:pt>
                <c:pt idx="56">
                  <c:v>327.67152806565235</c:v>
                </c:pt>
                <c:pt idx="57">
                  <c:v>322.28644569875593</c:v>
                </c:pt>
                <c:pt idx="58">
                  <c:v>317.0625830731833</c:v>
                </c:pt>
                <c:pt idx="59">
                  <c:v>312.011349974734</c:v>
                </c:pt>
                <c:pt idx="60">
                  <c:v>307.1181208874421</c:v>
                </c:pt>
                <c:pt idx="61">
                  <c:v>302.37559630606489</c:v>
                </c:pt>
                <c:pt idx="62">
                  <c:v>297.77691953854452</c:v>
                </c:pt>
                <c:pt idx="63">
                  <c:v>293.31564362942459</c:v>
                </c:pt>
                <c:pt idx="64">
                  <c:v>288.98570120447118</c:v>
                </c:pt>
                <c:pt idx="65">
                  <c:v>284.78137693987554</c:v>
                </c:pt>
                <c:pt idx="66">
                  <c:v>280.69728239334552</c:v>
                </c:pt>
                <c:pt idx="67">
                  <c:v>276.72833296401939</c:v>
                </c:pt>
                <c:pt idx="68">
                  <c:v>272.86972677405231</c:v>
                </c:pt>
                <c:pt idx="69">
                  <c:v>269.11692528744993</c:v>
                </c:pt>
                <c:pt idx="70">
                  <c:v>265.46563550167309</c:v>
                </c:pt>
                <c:pt idx="71">
                  <c:v>261.91179356510355</c:v>
                </c:pt>
                <c:pt idx="72">
                  <c:v>258.45154968892814</c:v>
                </c:pt>
                <c:pt idx="73">
                  <c:v>255.08125423567679</c:v>
                </c:pt>
                <c:pt idx="74">
                  <c:v>251.79744487872864</c:v>
                </c:pt>
                <c:pt idx="75">
                  <c:v>248.59683473781826</c:v>
                </c:pt>
                <c:pt idx="76">
                  <c:v>245.47630140507243</c:v>
                </c:pt>
                <c:pt idx="77">
                  <c:v>242.43287678456159</c:v>
                </c:pt>
                <c:pt idx="78">
                  <c:v>239.46373767586405</c:v>
                </c:pt>
                <c:pt idx="79">
                  <c:v>236.56619703885005</c:v>
                </c:pt>
                <c:pt idx="80">
                  <c:v>233.73769588287243</c:v>
                </c:pt>
                <c:pt idx="81">
                  <c:v>230.9757957289076</c:v>
                </c:pt>
                <c:pt idx="82">
                  <c:v>228.27817159797462</c:v>
                </c:pt>
                <c:pt idx="83">
                  <c:v>225.64260548345857</c:v>
                </c:pt>
                <c:pt idx="84">
                  <c:v>223.06698026882015</c:v>
                </c:pt>
                <c:pt idx="85">
                  <c:v>220.54927405563436</c:v>
                </c:pt>
                <c:pt idx="86">
                  <c:v>218.08755487002182</c:v>
                </c:pt>
                <c:pt idx="87">
                  <c:v>215.67997571834786</c:v>
                </c:pt>
                <c:pt idx="88">
                  <c:v>213.32476996559342</c:v>
                </c:pt>
                <c:pt idx="89">
                  <c:v>211.02024701209689</c:v>
                </c:pt>
                <c:pt idx="90">
                  <c:v>208.76478824643164</c:v>
                </c:pt>
                <c:pt idx="91">
                  <c:v>206.55684325405946</c:v>
                </c:pt>
                <c:pt idx="92">
                  <c:v>204.39492626309755</c:v>
                </c:pt>
                <c:pt idx="93">
                  <c:v>202.27761281007605</c:v>
                </c:pt>
                <c:pt idx="94">
                  <c:v>200.20353660996395</c:v>
                </c:pt>
                <c:pt idx="95">
                  <c:v>198.17138661600902</c:v>
                </c:pt>
                <c:pt idx="96">
                  <c:v>196.17990425609864</c:v>
                </c:pt>
                <c:pt idx="97">
                  <c:v>194.22788083339756</c:v>
                </c:pt>
                <c:pt idx="98">
                  <c:v>192.31415507998463</c:v>
                </c:pt>
                <c:pt idx="99">
                  <c:v>190.43761085308063</c:v>
                </c:pt>
                <c:pt idx="100">
                  <c:v>188.59717496426779</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349.90540259073106</c:v>
                </c:pt>
                <c:pt idx="65">
                  <c:v>344.88978796581176</c:v>
                </c:pt>
                <c:pt idx="66">
                  <c:v>340.01455474909852</c:v>
                </c:pt>
                <c:pt idx="67">
                  <c:v>335.27357899318423</c:v>
                </c:pt>
                <c:pt idx="68">
                  <c:v>330.66278544098003</c:v>
                </c:pt>
                <c:pt idx="69">
                  <c:v>326.18058860196459</c:v>
                </c:pt>
                <c:pt idx="70">
                  <c:v>321.81303343594709</c:v>
                </c:pt>
                <c:pt idx="71">
                  <c:v>317.55852367454986</c:v>
                </c:pt>
                <c:pt idx="72">
                  <c:v>313.41773186797639</c:v>
                </c:pt>
                <c:pt idx="73">
                  <c:v>309.38335411508871</c:v>
                </c:pt>
                <c:pt idx="74">
                  <c:v>305.45134032893594</c:v>
                </c:pt>
                <c:pt idx="75">
                  <c:v>301.6178433745925</c:v>
                </c:pt>
                <c:pt idx="76">
                  <c:v>297.87920651390152</c:v>
                </c:pt>
                <c:pt idx="77">
                  <c:v>294.2319517708786</c:v>
                </c:pt>
                <c:pt idx="78">
                  <c:v>290.67276913996176</c:v>
                </c:pt>
                <c:pt idx="79">
                  <c:v>287.19850656672475</c:v>
                </c:pt>
                <c:pt idx="80">
                  <c:v>283.80616063730326</c:v>
                </c:pt>
                <c:pt idx="81">
                  <c:v>280.49286791873374</c:v>
                </c:pt>
                <c:pt idx="82">
                  <c:v>277.25589689772283</c:v>
                </c:pt>
                <c:pt idx="83">
                  <c:v>274.0926404701508</c:v>
                </c:pt>
                <c:pt idx="84">
                  <c:v>271.00060893790692</c:v>
                </c:pt>
                <c:pt idx="85">
                  <c:v>267.9774234735188</c:v>
                </c:pt>
                <c:pt idx="86">
                  <c:v>265.02081001652368</c:v>
                </c:pt>
                <c:pt idx="87">
                  <c:v>262.12859356866613</c:v>
                </c:pt>
                <c:pt idx="88">
                  <c:v>259.29869285784838</c:v>
                </c:pt>
                <c:pt idx="89">
                  <c:v>256.52911534331935</c:v>
                </c:pt>
                <c:pt idx="90">
                  <c:v>253.81795253691297</c:v>
                </c:pt>
                <c:pt idx="91">
                  <c:v>251.16337561724728</c:v>
                </c:pt>
                <c:pt idx="92">
                  <c:v>248.5636313157049</c:v>
                </c:pt>
                <c:pt idx="93">
                  <c:v>246.01703805474642</c:v>
                </c:pt>
                <c:pt idx="94">
                  <c:v>243.5219823206838</c:v>
                </c:pt>
                <c:pt idx="95">
                  <c:v>241.07691525447063</c:v>
                </c:pt>
                <c:pt idx="96">
                  <c:v>238.68034944537666</c:v>
                </c:pt>
                <c:pt idx="97">
                  <c:v>236.33085591359381</c:v>
                </c:pt>
                <c:pt idx="98">
                  <c:v>234.02706126891675</c:v>
                </c:pt>
                <c:pt idx="99">
                  <c:v>231.76764503362244</c:v>
                </c:pt>
                <c:pt idx="100">
                  <c:v>229.55133711858704</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27.358026573249571</c:v>
                </c:pt>
                <c:pt idx="2">
                  <c:v>54.716053146499142</c:v>
                </c:pt>
                <c:pt idx="3">
                  <c:v>82.07407971974871</c:v>
                </c:pt>
                <c:pt idx="4">
                  <c:v>109.43210629299828</c:v>
                </c:pt>
                <c:pt idx="5">
                  <c:v>136.79013286624789</c:v>
                </c:pt>
                <c:pt idx="6">
                  <c:v>164.14815943949742</c:v>
                </c:pt>
                <c:pt idx="7">
                  <c:v>191.50618601274704</c:v>
                </c:pt>
                <c:pt idx="8">
                  <c:v>218.86421258599657</c:v>
                </c:pt>
                <c:pt idx="9">
                  <c:v>246.22223915924616</c:v>
                </c:pt>
                <c:pt idx="10">
                  <c:v>273.58026573249577</c:v>
                </c:pt>
                <c:pt idx="11">
                  <c:v>300.93829230574528</c:v>
                </c:pt>
                <c:pt idx="12">
                  <c:v>328.29631887899484</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27.858107764811972</c:v>
                </c:pt>
                <c:pt idx="2">
                  <c:v>83.574323294435899</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346.80762939903002</c:v>
                </c:pt>
                <c:pt idx="50">
                  <c:v>340.33899609360145</c:v>
                </c:pt>
                <c:pt idx="51">
                  <c:v>334.10711569589785</c:v>
                </c:pt>
                <c:pt idx="52">
                  <c:v>328.09809797697079</c:v>
                </c:pt>
                <c:pt idx="53">
                  <c:v>322.29802743081638</c:v>
                </c:pt>
                <c:pt idx="54">
                  <c:v>316.6991437666158</c:v>
                </c:pt>
                <c:pt idx="55">
                  <c:v>311.29115742563891</c:v>
                </c:pt>
                <c:pt idx="56">
                  <c:v>306.06446875700141</c:v>
                </c:pt>
                <c:pt idx="57">
                  <c:v>301.01011114861478</c:v>
                </c:pt>
                <c:pt idx="58">
                  <c:v>296.11969969215403</c:v>
                </c:pt>
                <c:pt idx="59">
                  <c:v>291.38538476379591</c:v>
                </c:pt>
                <c:pt idx="60">
                  <c:v>286.79980998016975</c:v>
                </c:pt>
                <c:pt idx="61">
                  <c:v>282.35607405585273</c:v>
                </c:pt>
                <c:pt idx="62">
                  <c:v>278.04769614644658</c:v>
                </c:pt>
                <c:pt idx="63">
                  <c:v>273.8685843112051</c:v>
                </c:pt>
                <c:pt idx="64">
                  <c:v>269.81300677245196</c:v>
                </c:pt>
                <c:pt idx="65">
                  <c:v>265.87556568664587</c:v>
                </c:pt>
                <c:pt idx="66">
                  <c:v>262.05117317469006</c:v>
                </c:pt>
                <c:pt idx="67">
                  <c:v>258.33502938766679</c:v>
                </c:pt>
                <c:pt idx="68">
                  <c:v>254.72260240916066</c:v>
                </c:pt>
                <c:pt idx="69">
                  <c:v>251.20960981723223</c:v>
                </c:pt>
                <c:pt idx="70">
                  <c:v>247.7920017483147</c:v>
                </c:pt>
                <c:pt idx="71">
                  <c:v>244.46594532221422</c:v>
                </c:pt>
                <c:pt idx="72">
                  <c:v>241.22781030228043</c:v>
                </c:pt>
                <c:pt idx="73">
                  <c:v>238.07415587795671</c:v>
                </c:pt>
                <c:pt idx="74">
                  <c:v>235.00171846854141</c:v>
                </c:pt>
                <c:pt idx="75">
                  <c:v>232.00740045727704</c:v>
                </c:pt>
                <c:pt idx="76">
                  <c:v>229.08825977401591</c:v>
                </c:pt>
                <c:pt idx="77">
                  <c:v>226.24150025281531</c:v>
                </c:pt>
                <c:pt idx="78">
                  <c:v>223.46446269803354</c:v>
                </c:pt>
                <c:pt idx="79">
                  <c:v>220.75461659892562</c:v>
                </c:pt>
                <c:pt idx="80">
                  <c:v>218.10955243847496</c:v>
                </c:pt>
                <c:pt idx="81">
                  <c:v>215.52697454732908</c:v>
                </c:pt>
                <c:pt idx="82">
                  <c:v>213.00469445828884</c:v>
                </c:pt>
                <c:pt idx="83">
                  <c:v>210.54062472092068</c:v>
                </c:pt>
                <c:pt idx="84">
                  <c:v>208.13277313954728</c:v>
                </c:pt>
                <c:pt idx="85">
                  <c:v>205.77923740118851</c:v>
                </c:pt>
                <c:pt idx="86">
                  <c:v>203.47820006300708</c:v>
                </c:pt>
                <c:pt idx="87">
                  <c:v>201.22792387150085</c:v>
                </c:pt>
                <c:pt idx="88">
                  <c:v>199.026747388106</c:v>
                </c:pt>
                <c:pt idx="89">
                  <c:v>196.87308089806146</c:v>
                </c:pt>
                <c:pt idx="90">
                  <c:v>194.76540258136518</c:v>
                </c:pt>
                <c:pt idx="91">
                  <c:v>192.7022549264392</c:v>
                </c:pt>
                <c:pt idx="92">
                  <c:v>190.68224136874267</c:v>
                </c:pt>
                <c:pt idx="93">
                  <c:v>188.70402313804331</c:v>
                </c:pt>
                <c:pt idx="94">
                  <c:v>186.76631629938862</c:v>
                </c:pt>
                <c:pt idx="95">
                  <c:v>184.8678889740354</c:v>
                </c:pt>
                <c:pt idx="96">
                  <c:v>183.00755872769616</c:v>
                </c:pt>
                <c:pt idx="97">
                  <c:v>181.18419011446747</c:v>
                </c:pt>
                <c:pt idx="98">
                  <c:v>179.39669236571854</c:v>
                </c:pt>
                <c:pt idx="99">
                  <c:v>177.64401721405827</c:v>
                </c:pt>
                <c:pt idx="100">
                  <c:v>175.92515684325608</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27.858107764811972</c:v>
                </c:pt>
                <c:pt idx="2">
                  <c:v>55.716215529623945</c:v>
                </c:pt>
                <c:pt idx="3">
                  <c:v>83.574323294435899</c:v>
                </c:pt>
                <c:pt idx="4">
                  <c:v>111.43243105924789</c:v>
                </c:pt>
                <c:pt idx="5">
                  <c:v>139.29053882405987</c:v>
                </c:pt>
                <c:pt idx="6">
                  <c:v>167.1486465888718</c:v>
                </c:pt>
                <c:pt idx="7">
                  <c:v>195.00675435368382</c:v>
                </c:pt>
                <c:pt idx="8">
                  <c:v>222.86486211849578</c:v>
                </c:pt>
                <c:pt idx="9">
                  <c:v>250.72296988330774</c:v>
                </c:pt>
                <c:pt idx="10">
                  <c:v>278.58107764811973</c:v>
                </c:pt>
                <c:pt idx="11">
                  <c:v>306.43918541293164</c:v>
                </c:pt>
                <c:pt idx="12">
                  <c:v>334.2972931777436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348.01470990798259</c:v>
                </c:pt>
                <c:pt idx="61">
                  <c:v>342.69992620694757</c:v>
                </c:pt>
                <c:pt idx="62">
                  <c:v>337.54501637437767</c:v>
                </c:pt>
                <c:pt idx="63">
                  <c:v>332.54287366889497</c:v>
                </c:pt>
                <c:pt idx="64">
                  <c:v>327.68646842437596</c:v>
                </c:pt>
                <c:pt idx="65">
                  <c:v>322.96955976680397</c:v>
                </c:pt>
                <c:pt idx="66">
                  <c:v>318.38648158699544</c:v>
                </c:pt>
                <c:pt idx="67">
                  <c:v>313.93161781311835</c:v>
                </c:pt>
                <c:pt idx="68">
                  <c:v>309.59966226949308</c:v>
                </c:pt>
                <c:pt idx="69">
                  <c:v>305.38559759227405</c:v>
                </c:pt>
                <c:pt idx="70">
                  <c:v>301.28467584343218</c:v>
                </c:pt>
                <c:pt idx="71">
                  <c:v>297.29240066555712</c:v>
                </c:pt>
                <c:pt idx="72">
                  <c:v>293.40451083647122</c:v>
                </c:pt>
                <c:pt idx="73">
                  <c:v>289.61696509720298</c:v>
                </c:pt>
                <c:pt idx="74">
                  <c:v>285.92592813975841</c:v>
                </c:pt>
                <c:pt idx="75">
                  <c:v>282.32775765255514</c:v>
                </c:pt>
                <c:pt idx="76">
                  <c:v>278.81899233153723</c:v>
                </c:pt>
                <c:pt idx="77">
                  <c:v>275.39634077401945</c:v>
                </c:pt>
                <c:pt idx="78">
                  <c:v>272.05667118035217</c:v>
                </c:pt>
                <c:pt idx="79">
                  <c:v>268.79700179567675</c:v>
                </c:pt>
                <c:pt idx="80">
                  <c:v>265.61449203045646</c:v>
                </c:pt>
                <c:pt idx="81">
                  <c:v>262.50643420420244</c:v>
                </c:pt>
                <c:pt idx="82">
                  <c:v>259.4702458619571</c:v>
                </c:pt>
                <c:pt idx="83">
                  <c:v>256.5034626177092</c:v>
                </c:pt>
                <c:pt idx="84">
                  <c:v>253.60373148305715</c:v>
                </c:pt>
                <c:pt idx="85">
                  <c:v>250.76880464316548</c:v>
                </c:pt>
                <c:pt idx="86">
                  <c:v>247.99653364540947</c:v>
                </c:pt>
                <c:pt idx="87">
                  <c:v>245.28486396913769</c:v>
                </c:pt>
                <c:pt idx="88">
                  <c:v>242.63182994770307</c:v>
                </c:pt>
                <c:pt idx="89">
                  <c:v>240.0355500163906</c:v>
                </c:pt>
                <c:pt idx="90">
                  <c:v>237.49422226209498</c:v>
                </c:pt>
                <c:pt idx="91">
                  <c:v>235.00612025263138</c:v>
                </c:pt>
                <c:pt idx="92">
                  <c:v>232.56958912538988</c:v>
                </c:pt>
                <c:pt idx="93">
                  <c:v>230.18304191671481</c:v>
                </c:pt>
                <c:pt idx="94">
                  <c:v>227.844956114897</c:v>
                </c:pt>
                <c:pt idx="95">
                  <c:v>225.55387042104852</c:v>
                </c:pt>
                <c:pt idx="96">
                  <c:v>223.30838170337728</c:v>
                </c:pt>
                <c:pt idx="97">
                  <c:v>221.10714213152292</c:v>
                </c:pt>
                <c:pt idx="98">
                  <c:v>218.94885647865516</c:v>
                </c:pt>
                <c:pt idx="99">
                  <c:v>216.83227957998886</c:v>
                </c:pt>
                <c:pt idx="100">
                  <c:v>214.75621393723463</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27.857803772544955</c:v>
                </c:pt>
                <c:pt idx="2">
                  <c:v>55.71560754508991</c:v>
                </c:pt>
                <c:pt idx="3">
                  <c:v>83.573411317634864</c:v>
                </c:pt>
                <c:pt idx="4">
                  <c:v>111.43121509017982</c:v>
                </c:pt>
                <c:pt idx="5">
                  <c:v>139.28901886272476</c:v>
                </c:pt>
                <c:pt idx="6">
                  <c:v>167.14682263526973</c:v>
                </c:pt>
                <c:pt idx="7">
                  <c:v>195.00462640781467</c:v>
                </c:pt>
                <c:pt idx="8">
                  <c:v>222.86243018035964</c:v>
                </c:pt>
                <c:pt idx="9">
                  <c:v>250.72023395290455</c:v>
                </c:pt>
                <c:pt idx="10">
                  <c:v>278.57803772544952</c:v>
                </c:pt>
                <c:pt idx="11">
                  <c:v>306.43584149799449</c:v>
                </c:pt>
                <c:pt idx="12">
                  <c:v>334.29364527053946</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2"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14" val="13"/>
</file>

<file path=xl/ctrlProps/ctrlProp5.xml><?xml version="1.0" encoding="utf-8"?>
<formControlPr xmlns="http://schemas.microsoft.com/office/spreadsheetml/2009/9/main" objectType="Drop" dropStyle="combo" dx="16" fmlaLink="'Variable Mgmt'!$G$72" fmlaRange="'Variable Mgmt'!$F$70:$F$71" noThreeD="1" sel="2" val="0"/>
</file>

<file path=xl/ctrlProps/ctrlProp6.xml><?xml version="1.0" encoding="utf-8"?>
<formControlPr xmlns="http://schemas.microsoft.com/office/spreadsheetml/2009/9/main" objectType="Drop" dropLines="10" dropStyle="combo" dx="16" fmlaLink="'Variable Mgmt'!$C$73" fmlaRange="'Variable Mgmt'!$B$70:$B$71" noThreeD="1" sel="1" val="0"/>
</file>

<file path=xl/ctrlProps/ctrlProp7.xml><?xml version="1.0" encoding="utf-8"?>
<formControlPr xmlns="http://schemas.microsoft.com/office/spreadsheetml/2009/9/main" objectType="Spin" dx="16" fmlaLink="$E$7" max="95" min="3" page="10" val="24"/>
</file>

<file path=xl/ctrlProps/ctrlProp8.xml><?xml version="1.0" encoding="utf-8"?>
<formControlPr xmlns="http://schemas.microsoft.com/office/spreadsheetml/2009/9/main" objectType="Spin" dx="16" fmlaLink="$E$7" max="65" min="3" page="10" val="2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24" Type="http://schemas.openxmlformats.org/officeDocument/2006/relationships/image" Target="../media/image40.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222250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865"/>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866"/>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22µF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75kΩ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6.49kΩ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19V...60V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279400</xdr:colOff>
          <xdr:row>41</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260350</xdr:colOff>
          <xdr:row>46</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69850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89.1%</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298824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867"/>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22nF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20mΩ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89.1%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89.1%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73"/>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696"/>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70%</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70%</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86"/>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22µF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16V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75kΩ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6.49kΩ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19V...60V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22nF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20mΩ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zoomScale="85" zoomScaleNormal="85" zoomScaleSheetLayoutView="70" zoomScalePageLayoutView="10" workbookViewId="0">
      <selection activeCell="E6" sqref="E6"/>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19</v>
      </c>
      <c r="F6" s="789" t="s">
        <v>0</v>
      </c>
      <c r="G6" s="90"/>
      <c r="H6" s="454"/>
      <c r="I6" s="508"/>
      <c r="J6" s="206"/>
      <c r="K6" s="509" t="s">
        <v>835</v>
      </c>
      <c r="L6" s="785">
        <f>Lmin</f>
        <v>12.129213064680746</v>
      </c>
      <c r="M6" s="624" t="s">
        <v>96</v>
      </c>
      <c r="N6" s="49"/>
      <c r="O6" s="49"/>
      <c r="P6" s="49"/>
      <c r="Q6" s="49"/>
      <c r="R6" s="82"/>
      <c r="S6" s="82"/>
      <c r="T6" s="75"/>
      <c r="U6" s="75"/>
      <c r="V6" s="75"/>
      <c r="W6" s="75"/>
      <c r="X6" s="75"/>
      <c r="Y6" s="75"/>
      <c r="Z6" s="506"/>
      <c r="AA6" s="500"/>
    </row>
    <row r="7" spans="1:27" ht="14.25" customHeight="1">
      <c r="A7" s="134"/>
      <c r="B7" s="133"/>
      <c r="C7" s="845"/>
      <c r="D7" s="846" t="s">
        <v>882</v>
      </c>
      <c r="E7" s="143">
        <v>24</v>
      </c>
      <c r="F7" s="427" t="s">
        <v>0</v>
      </c>
      <c r="G7" s="90"/>
      <c r="H7" s="88"/>
      <c r="I7" s="89"/>
      <c r="J7" s="87"/>
      <c r="K7" s="100" t="s">
        <v>836</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60</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16</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v>
      </c>
      <c r="F11" s="730" t="s">
        <v>1</v>
      </c>
      <c r="G11" s="90"/>
      <c r="H11" s="88"/>
      <c r="I11" s="75"/>
      <c r="J11" s="75"/>
      <c r="K11" s="100" t="s">
        <v>663</v>
      </c>
      <c r="L11" s="143">
        <v>10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8</v>
      </c>
      <c r="F12" s="427" t="str">
        <f>CHOOSE(MODE, "", "V", "V")</f>
        <v/>
      </c>
      <c r="G12" s="90"/>
      <c r="H12" s="134"/>
      <c r="I12" s="133"/>
      <c r="J12" s="600"/>
      <c r="K12" s="135" t="s">
        <v>843</v>
      </c>
      <c r="L12" s="780" t="str">
        <f>"1 : "&amp;(ROUND(1/ktr_rcmd*10,0)/10)</f>
        <v>1 : 1</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76</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46.618302955760448</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22.922551789077215</v>
      </c>
      <c r="F16" s="729" t="s">
        <v>20</v>
      </c>
      <c r="G16" s="90"/>
      <c r="H16" s="601"/>
      <c r="I16" s="504"/>
      <c r="J16" s="104"/>
      <c r="K16" s="507" t="s">
        <v>605</v>
      </c>
      <c r="L16" s="628">
        <f>CHOOSE(MODE, 'Calculations - Single'!N212,'Calculations - Dual'!O212+'Calculations - Dual'!P212)</f>
        <v>22.198968966629003</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20</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5</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50.554564174911896</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19.679999999999996</v>
      </c>
      <c r="F22" s="804" t="s">
        <v>0</v>
      </c>
      <c r="G22" s="90"/>
      <c r="H22" s="834"/>
      <c r="I22" s="584"/>
      <c r="J22" s="584"/>
      <c r="K22" s="850" t="s">
        <v>848</v>
      </c>
      <c r="L22" s="728">
        <v>20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24</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90</v>
      </c>
      <c r="F24" s="453" t="s">
        <v>0</v>
      </c>
      <c r="G24" s="832"/>
      <c r="H24" s="798"/>
      <c r="I24" s="49"/>
      <c r="J24" s="49"/>
      <c r="K24" s="100" t="s">
        <v>858</v>
      </c>
      <c r="L24" s="143">
        <v>23</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935</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2.3892102991046484</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2.2000000000000002</v>
      </c>
      <c r="F29" s="428" t="s">
        <v>97</v>
      </c>
      <c r="G29" s="90"/>
      <c r="H29" s="566"/>
      <c r="I29" s="501"/>
      <c r="J29" s="501"/>
      <c r="K29" s="837" t="str">
        <f>CHOOSE(MODE, "Min Diode Voltage Rating","Min Diode Voltage Rating, Output #1")</f>
        <v>Min Diode Voltage Rating</v>
      </c>
      <c r="L29" s="859">
        <f>(VIN_max/Nps+Vout)*1.3</f>
        <v>98.8</v>
      </c>
      <c r="M29" s="860" t="s">
        <v>0</v>
      </c>
      <c r="N29" s="49"/>
      <c r="O29" s="566"/>
      <c r="P29" s="501"/>
      <c r="Q29" s="501"/>
      <c r="R29" s="837" t="s">
        <v>877</v>
      </c>
      <c r="S29" s="859">
        <f>(VIN_max/Npri_sec2+Vout2)*1.3</f>
        <v>50.100598802395211</v>
      </c>
      <c r="T29" s="860" t="s">
        <v>0</v>
      </c>
      <c r="U29" s="75"/>
      <c r="V29" s="75"/>
      <c r="W29" s="75"/>
      <c r="X29" s="75"/>
      <c r="Y29" s="75"/>
      <c r="Z29" s="506"/>
      <c r="AA29" s="500"/>
    </row>
    <row r="30" spans="1:27" ht="15.75" customHeight="1" thickBot="1">
      <c r="A30" s="97"/>
      <c r="B30" s="89"/>
      <c r="C30" s="96"/>
      <c r="D30" s="100" t="s">
        <v>141</v>
      </c>
      <c r="E30" s="98">
        <v>22</v>
      </c>
      <c r="F30" s="429" t="s">
        <v>97</v>
      </c>
      <c r="G30" s="90"/>
      <c r="H30" s="425"/>
      <c r="I30" s="82"/>
      <c r="J30" s="82"/>
      <c r="K30" s="836" t="str">
        <f>CHOOSE(MODE, "Min Diode DC Current Rating","Min Diode DC Current Rating, Output #1")</f>
        <v>Min Diode DC Current Rating</v>
      </c>
      <c r="L30" s="861">
        <f>MAX(E11*3,0.5)</f>
        <v>3</v>
      </c>
      <c r="M30" s="862" t="s">
        <v>1</v>
      </c>
      <c r="N30" s="841"/>
      <c r="O30" s="425"/>
      <c r="P30" s="82"/>
      <c r="Q30" s="82"/>
      <c r="R30" s="836" t="s">
        <v>878</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90.804860064726938</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Mgmt'!B126</f>
        <v>14.350381730964124</v>
      </c>
      <c r="F33" s="428" t="s">
        <v>97</v>
      </c>
      <c r="G33" s="585"/>
      <c r="H33" s="575"/>
      <c r="I33" s="584"/>
      <c r="J33" s="501"/>
      <c r="K33" s="424" t="str">
        <f>CHOOSE(MODE, "", "Minimum Output Capacitance, Output #2")</f>
        <v/>
      </c>
      <c r="L33" s="621">
        <f>'Variable Mgmt'!B136</f>
        <v>5.7416744050491753</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17.399709606345588</v>
      </c>
      <c r="F36" s="105" t="s">
        <v>103</v>
      </c>
      <c r="G36" s="585"/>
      <c r="H36" s="104"/>
      <c r="I36" s="504"/>
      <c r="J36" s="503"/>
      <c r="K36" s="208" t="str">
        <f>CHOOSE(MODE, "", "Resulting Output Voltage Ripple, Output #2")</f>
        <v/>
      </c>
      <c r="L36" s="209">
        <f>Vripple2_actual</f>
        <v>23.165648537569279</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164</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168</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10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47</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f>(450-300)/(-55-25)</f>
        <v>-1.875</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357</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18.8</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17.8</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75</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6.49</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0.12403680459744798</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189.09498210743334</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18.909498210743333</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1</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13.123306185304225</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12</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48.91212479126574</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22</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326.08083194177158</v>
      </c>
      <c r="F63" s="868" t="s">
        <v>15</v>
      </c>
      <c r="G63" s="89"/>
      <c r="H63" s="89"/>
      <c r="I63" s="49"/>
      <c r="J63" s="49"/>
      <c r="K63" s="49"/>
      <c r="L63" s="49"/>
      <c r="M63" s="49"/>
      <c r="N63" s="49"/>
      <c r="O63" s="49"/>
      <c r="P63" s="49"/>
      <c r="Q63" s="49"/>
      <c r="R63" s="82"/>
      <c r="S63" s="82"/>
      <c r="T63" s="75"/>
      <c r="U63" s="75"/>
      <c r="V63" s="812" t="s">
        <v>863</v>
      </c>
      <c r="W63" s="813">
        <f>Vin</f>
        <v>24</v>
      </c>
      <c r="X63" s="734" t="s">
        <v>0</v>
      </c>
      <c r="Y63" s="75"/>
      <c r="Z63" s="506"/>
      <c r="AA63" s="500"/>
    </row>
    <row r="64" spans="1:27" ht="15.75" customHeight="1" thickBot="1">
      <c r="A64" s="787"/>
      <c r="B64" s="151"/>
      <c r="C64" s="151"/>
      <c r="D64" s="510" t="s">
        <v>820</v>
      </c>
      <c r="E64" s="810">
        <v>100</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98.8</v>
      </c>
      <c r="F68" s="867" t="s">
        <v>0</v>
      </c>
      <c r="G68" s="881"/>
      <c r="H68" s="876"/>
      <c r="I68" s="211"/>
      <c r="J68" s="213"/>
      <c r="K68" s="135" t="s">
        <v>890</v>
      </c>
      <c r="L68" s="865">
        <f>E8/Nps*Nsec1sec2+Vout</f>
        <v>46.538922155688624</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0.22548926399999997</v>
      </c>
      <c r="F70" s="871" t="s">
        <v>45</v>
      </c>
      <c r="G70" s="89"/>
      <c r="H70" s="853"/>
      <c r="I70" s="504"/>
      <c r="J70" s="878"/>
      <c r="K70" s="507" t="s">
        <v>891</v>
      </c>
      <c r="L70" s="879">
        <f>L68*L68*L67*0.000000000001*350000*3</f>
        <v>5.0031626462045967E-2</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5.0000000000000001E-4</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18</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Rdmy</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f>CHOOSE(MODE,IF(OR(E75="Rdmy",E75="Rdmy1"),'Standard Value Calculator'!J23,IF(E75="None","None",ROUND(E74/0.0105,0)/100)),IF(OR(E75="Rdmy",E75="Rdmy1"),'Standard Value Calculator'!J24,IF(E75="None","None",ROUND(E74/0.0105,0)/100)))</f>
        <v>3090</v>
      </c>
      <c r="F76" s="867" t="str">
        <f>IF(OR(E75="DZ", E75="DZ1"), "V", IF(OR(E75="Rdmy", E75="Rdmy1"),"Ohm", ""))</f>
        <v>Ohm</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f>IF(OR(E75="Rdmy",E75="Rdmy1"),(Vout*1.08)^2/E76*4, IF(OR(E75="Dz",E75="Dz1"), E76*1.065*E73*4*1*0+'Standard Value Calculator'!I27*5, "N/A"))</f>
        <v>0.386535145631068</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137.01984388563395</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92.234647757161468</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XlWFP+PMP6zbSq80FfOdrTyPVszSZ6nWEU1JHAn++hZM0e5dyLPQJQ7LhkuRgOX0OxYWmuAsavF761/E4dQgdA==" saltValue="8Z3XjoXUAC283iPwaOztTg==" spinCount="100000" sheet="1" selectLockedCells="1"/>
  <phoneticPr fontId="6" type="noConversion"/>
  <conditionalFormatting sqref="E10">
    <cfRule type="cellIs" dxfId="65" priority="148" stopIfTrue="1" operator="notBetween">
      <formula>-200</formula>
      <formula>200</formula>
    </cfRule>
  </conditionalFormatting>
  <conditionalFormatting sqref="E34">
    <cfRule type="cellIs" dxfId="64" priority="145" stopIfTrue="1" operator="lessThan">
      <formula>$E$33</formula>
    </cfRule>
  </conditionalFormatting>
  <conditionalFormatting sqref="E30">
    <cfRule type="cellIs" dxfId="63" priority="141" stopIfTrue="1" operator="lessThan">
      <formula>$E$29</formula>
    </cfRule>
  </conditionalFormatting>
  <conditionalFormatting sqref="E31">
    <cfRule type="cellIs" dxfId="62" priority="140" stopIfTrue="1" operator="equal">
      <formula>0</formula>
    </cfRule>
  </conditionalFormatting>
  <conditionalFormatting sqref="E48">
    <cfRule type="cellIs" dxfId="61" priority="137" operator="notBetween">
      <formula>100</formula>
      <formula>4.5</formula>
    </cfRule>
    <cfRule type="cellIs" dxfId="60" priority="3" operator="greaterThanOrEqual">
      <formula>$E$6</formula>
    </cfRule>
  </conditionalFormatting>
  <conditionalFormatting sqref="E42">
    <cfRule type="cellIs" dxfId="59" priority="135" operator="lessThan">
      <formula>6</formula>
    </cfRule>
  </conditionalFormatting>
  <conditionalFormatting sqref="E42:F42">
    <cfRule type="expression" dxfId="58" priority="119">
      <formula>OR(MODE_SS=2,MODE_SS=3)</formula>
    </cfRule>
  </conditionalFormatting>
  <conditionalFormatting sqref="D42">
    <cfRule type="expression" dxfId="57" priority="118">
      <formula>OR(MODE_SS=2,MODE_SS=3)</formula>
    </cfRule>
  </conditionalFormatting>
  <conditionalFormatting sqref="D43:F43">
    <cfRule type="expression" dxfId="56" priority="117">
      <formula>OR(MODE_SS=2,MODE_SS=3)</formula>
    </cfRule>
  </conditionalFormatting>
  <conditionalFormatting sqref="D48">
    <cfRule type="expression" dxfId="55" priority="115">
      <formula>MODE_UVLO=2</formula>
    </cfRule>
  </conditionalFormatting>
  <conditionalFormatting sqref="E85">
    <cfRule type="cellIs" dxfId="54" priority="97" operator="notBetween">
      <formula>-40</formula>
      <formula>150</formula>
    </cfRule>
  </conditionalFormatting>
  <conditionalFormatting sqref="E83">
    <cfRule type="cellIs" dxfId="53" priority="96" operator="notBetween">
      <formula>-40</formula>
      <formula>150</formula>
    </cfRule>
  </conditionalFormatting>
  <conditionalFormatting sqref="F33">
    <cfRule type="cellIs" dxfId="52" priority="95" stopIfTrue="1" operator="lessThanOrEqual">
      <formula>0</formula>
    </cfRule>
  </conditionalFormatting>
  <conditionalFormatting sqref="F50:F51">
    <cfRule type="expression" dxfId="51" priority="87">
      <formula>MODE_UVLO=2</formula>
    </cfRule>
  </conditionalFormatting>
  <conditionalFormatting sqref="F29">
    <cfRule type="cellIs" dxfId="50" priority="77" stopIfTrue="1" operator="lessThanOrEqual">
      <formula>0</formula>
    </cfRule>
  </conditionalFormatting>
  <conditionalFormatting sqref="J51:J52">
    <cfRule type="cellIs" dxfId="49" priority="159" stopIfTrue="1" operator="notBetween">
      <formula>600</formula>
      <formula>50</formula>
    </cfRule>
    <cfRule type="cellIs" dxfId="48" priority="160" stopIfTrue="1" operator="greaterThan">
      <formula>$E$9</formula>
    </cfRule>
  </conditionalFormatting>
  <conditionalFormatting sqref="E12">
    <cfRule type="cellIs" dxfId="47" priority="75" operator="notBetween">
      <formula>-200</formula>
      <formula>200</formula>
    </cfRule>
  </conditionalFormatting>
  <conditionalFormatting sqref="E13">
    <cfRule type="expression" dxfId="46" priority="74">
      <formula>($E$12*$E$13)&lt;0</formula>
    </cfRule>
  </conditionalFormatting>
  <conditionalFormatting sqref="E35">
    <cfRule type="cellIs" dxfId="45" priority="69" stopIfTrue="1" operator="equal">
      <formula>0</formula>
    </cfRule>
  </conditionalFormatting>
  <conditionalFormatting sqref="D45">
    <cfRule type="expression" dxfId="44" priority="64">
      <formula>OR(TC=2)</formula>
    </cfRule>
  </conditionalFormatting>
  <conditionalFormatting sqref="D46:F46 E45:F45">
    <cfRule type="expression" dxfId="43" priority="63">
      <formula>OR(TC=2)</formula>
    </cfRule>
  </conditionalFormatting>
  <conditionalFormatting sqref="L35">
    <cfRule type="cellIs" dxfId="42" priority="57" stopIfTrue="1" operator="equal">
      <formula>0</formula>
    </cfRule>
  </conditionalFormatting>
  <conditionalFormatting sqref="L34">
    <cfRule type="cellIs" dxfId="41" priority="59" stopIfTrue="1" operator="lessThan">
      <formula>$L$33</formula>
    </cfRule>
  </conditionalFormatting>
  <conditionalFormatting sqref="M33">
    <cfRule type="cellIs" dxfId="40" priority="58" stopIfTrue="1" operator="lessThanOrEqual">
      <formula>0</formula>
    </cfRule>
  </conditionalFormatting>
  <conditionalFormatting sqref="W63">
    <cfRule type="cellIs" dxfId="39" priority="44" stopIfTrue="1" operator="notBetween">
      <formula>100</formula>
      <formula>4.5</formula>
    </cfRule>
  </conditionalFormatting>
  <conditionalFormatting sqref="E7">
    <cfRule type="cellIs" dxfId="38" priority="7" operator="notBetween">
      <formula>$E$6</formula>
      <formula>100</formula>
    </cfRule>
  </conditionalFormatting>
  <conditionalFormatting sqref="E8">
    <cfRule type="cellIs" dxfId="37" priority="41" operator="notBetween">
      <formula>$E$7</formula>
      <formula>100</formula>
    </cfRule>
  </conditionalFormatting>
  <conditionalFormatting sqref="E17">
    <cfRule type="cellIs" dxfId="36" priority="38" stopIfTrue="1" operator="greaterThan">
      <formula>$E$16</formula>
    </cfRule>
  </conditionalFormatting>
  <conditionalFormatting sqref="E58">
    <cfRule type="cellIs" dxfId="35" priority="25" operator="greaterThan">
      <formula>$E$57</formula>
    </cfRule>
  </conditionalFormatting>
  <conditionalFormatting sqref="E23">
    <cfRule type="cellIs" dxfId="34" priority="198" stopIfTrue="1" operator="lessThan">
      <formula>$E$22</formula>
    </cfRule>
  </conditionalFormatting>
  <conditionalFormatting sqref="E48:F49">
    <cfRule type="expression" dxfId="33" priority="21">
      <formula>OR(MODE_UVLO=2)</formula>
    </cfRule>
  </conditionalFormatting>
  <conditionalFormatting sqref="C50:E50">
    <cfRule type="expression" dxfId="32" priority="20">
      <formula>OR(MODE_UVLO=2)</formula>
    </cfRule>
  </conditionalFormatting>
  <conditionalFormatting sqref="C51:E51">
    <cfRule type="expression" dxfId="31" priority="19">
      <formula>OR(MODE_UVLO=2)</formula>
    </cfRule>
  </conditionalFormatting>
  <conditionalFormatting sqref="S31">
    <cfRule type="cellIs" dxfId="30" priority="13" operator="notBetween">
      <formula>0.3</formula>
      <formula>1.5</formula>
    </cfRule>
  </conditionalFormatting>
  <conditionalFormatting sqref="E80">
    <cfRule type="cellIs" dxfId="29" priority="12" operator="greaterThan">
      <formula>$E$81</formula>
    </cfRule>
  </conditionalFormatting>
  <conditionalFormatting sqref="E6">
    <cfRule type="cellIs" dxfId="28" priority="8" operator="notBetween">
      <formula>4.5</formula>
      <formula>100</formula>
    </cfRule>
  </conditionalFormatting>
  <conditionalFormatting sqref="E74">
    <cfRule type="cellIs" dxfId="27" priority="6" operator="lessThan">
      <formula>$E$10*1.03</formula>
    </cfRule>
  </conditionalFormatting>
  <conditionalFormatting sqref="L74">
    <cfRule type="cellIs" dxfId="26" priority="5" operator="lessThan">
      <formula>$E$12*1.03</formula>
    </cfRule>
  </conditionalFormatting>
  <conditionalFormatting sqref="E40">
    <cfRule type="cellIs" dxfId="25" priority="4" operator="notBetween">
      <formula>$E$39*0.969</formula>
      <formula>$E$39*1.031</formula>
    </cfRule>
  </conditionalFormatting>
  <conditionalFormatting sqref="E49">
    <cfRule type="cellIs" dxfId="1" priority="2" operator="greaterThanOrEqual">
      <formula>$E$48</formula>
    </cfRule>
    <cfRule type="cellIs" dxfId="0" priority="1" operator="notBetween">
      <formula>4.5</formula>
      <formula>100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66"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5.0000000000000004E-8</v>
      </c>
      <c r="C3">
        <f>Cout</f>
        <v>110</v>
      </c>
      <c r="D3">
        <f>Cin</f>
        <v>22</v>
      </c>
      <c r="E3">
        <f>Cb</f>
        <v>0</v>
      </c>
      <c r="H3" t="s">
        <v>73</v>
      </c>
      <c r="I3" t="s">
        <v>74</v>
      </c>
      <c r="J3" s="3" t="s">
        <v>70</v>
      </c>
    </row>
    <row r="4" spans="1:11" ht="13">
      <c r="A4" s="6" t="s">
        <v>70</v>
      </c>
      <c r="B4" s="6">
        <f>SUM(B6:B158)/1000000000000</f>
        <v>4.6999999999999997E-8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358400</v>
      </c>
      <c r="J9" s="3">
        <f t="shared" si="0"/>
        <v>357000</v>
      </c>
      <c r="K9" s="17" t="s">
        <v>136</v>
      </c>
    </row>
    <row r="10" spans="1:11" ht="13">
      <c r="A10">
        <v>1</v>
      </c>
      <c r="B10">
        <f t="shared" si="1"/>
        <v>0</v>
      </c>
      <c r="C10">
        <f t="shared" si="2"/>
        <v>0</v>
      </c>
      <c r="D10">
        <f t="shared" si="3"/>
        <v>0</v>
      </c>
      <c r="E10">
        <f t="shared" si="4"/>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74.66666666666697</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75</v>
      </c>
      <c r="K16" s="17" t="s">
        <v>113</v>
      </c>
    </row>
    <row r="17" spans="1:11" ht="13">
      <c r="A17">
        <v>3.9</v>
      </c>
      <c r="B17">
        <f t="shared" si="1"/>
        <v>0</v>
      </c>
      <c r="C17">
        <f t="shared" si="2"/>
        <v>0</v>
      </c>
      <c r="D17">
        <f t="shared" si="3"/>
        <v>0</v>
      </c>
      <c r="E17">
        <f t="shared" si="4"/>
        <v>0</v>
      </c>
      <c r="H17" s="76" t="s">
        <v>131</v>
      </c>
      <c r="I17" s="173">
        <f>Ruvlo2</f>
        <v>6.5028901734104041</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6.49</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3067.8260869565211</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3090</v>
      </c>
      <c r="K23" s="17" t="s">
        <v>136</v>
      </c>
    </row>
    <row r="24" spans="1:11" ht="13">
      <c r="A24">
        <v>15</v>
      </c>
      <c r="B24">
        <f t="shared" si="1"/>
        <v>0</v>
      </c>
      <c r="C24">
        <f t="shared" si="2"/>
        <v>0</v>
      </c>
      <c r="D24">
        <f t="shared" si="3"/>
        <v>0</v>
      </c>
      <c r="E24">
        <f t="shared" si="4"/>
        <v>0</v>
      </c>
      <c r="H24" t="s">
        <v>899</v>
      </c>
      <c r="I24">
        <f>'Calculations - Dual'!H329</f>
        <v>3067.8260869565211</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3090</v>
      </c>
    </row>
    <row r="25" spans="1:11" ht="13">
      <c r="A25">
        <v>18</v>
      </c>
      <c r="B25">
        <f t="shared" si="1"/>
        <v>0</v>
      </c>
      <c r="C25">
        <f t="shared" si="2"/>
        <v>0</v>
      </c>
      <c r="D25">
        <f t="shared" si="3"/>
        <v>0</v>
      </c>
      <c r="E25">
        <f t="shared" si="4"/>
        <v>0</v>
      </c>
      <c r="H25" s="76" t="s">
        <v>900</v>
      </c>
      <c r="I25">
        <f>'Calculations - Dual'!O329</f>
        <v>734.99999999999989</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732</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0.10000000000000002</v>
      </c>
    </row>
    <row r="28" spans="1:11" ht="13">
      <c r="A28">
        <v>33</v>
      </c>
      <c r="B28">
        <f t="shared" si="1"/>
        <v>0</v>
      </c>
      <c r="C28">
        <f t="shared" si="2"/>
        <v>0</v>
      </c>
      <c r="D28">
        <f t="shared" si="3"/>
        <v>0</v>
      </c>
      <c r="E28">
        <f t="shared" si="4"/>
        <v>0</v>
      </c>
      <c r="H28" s="76" t="s">
        <v>902</v>
      </c>
      <c r="I28">
        <f>'Calculations - Dual'!G327</f>
        <v>0.10000000000000002</v>
      </c>
      <c r="K28" s="17"/>
    </row>
    <row r="29" spans="1:11">
      <c r="A29">
        <v>39</v>
      </c>
      <c r="B29">
        <f t="shared" si="1"/>
        <v>0</v>
      </c>
      <c r="C29">
        <f t="shared" si="2"/>
        <v>0</v>
      </c>
      <c r="D29">
        <f t="shared" si="3"/>
        <v>0</v>
      </c>
      <c r="E29">
        <f t="shared" si="4"/>
        <v>0</v>
      </c>
      <c r="H29" s="76" t="s">
        <v>903</v>
      </c>
      <c r="I29">
        <f>'Calculations - Dual'!N327</f>
        <v>0.10000000000000002</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47000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6.0975609756097567E-2</v>
      </c>
      <c r="J3" s="639" t="s">
        <v>686</v>
      </c>
      <c r="K3" s="640" t="s">
        <v>687</v>
      </c>
      <c r="L3" s="269">
        <f>1/Rcs_gain</f>
        <v>5</v>
      </c>
      <c r="M3" s="639" t="s">
        <v>688</v>
      </c>
      <c r="N3" s="194" t="s">
        <v>689</v>
      </c>
      <c r="O3" s="641">
        <f>gmEA</f>
        <v>5.9999999999999995E-4</v>
      </c>
      <c r="P3" s="642" t="s">
        <v>690</v>
      </c>
      <c r="Q3" s="643">
        <f>1/(2*Pi*D25*D26)</f>
        <v>723431.56033525639</v>
      </c>
      <c r="R3" s="639" t="s">
        <v>8</v>
      </c>
      <c r="S3" s="642"/>
      <c r="T3" s="643"/>
      <c r="U3" s="639"/>
      <c r="V3" s="644" t="s">
        <v>692</v>
      </c>
      <c r="W3" s="643">
        <f>Am*Afb*Aea</f>
        <v>190140.84507042254</v>
      </c>
      <c r="X3" s="645" t="s">
        <v>686</v>
      </c>
      <c r="AA3" s="170">
        <f>MIN(z_RHP/10,'Calculations - Single'!Y212/10)</f>
        <v>14.051783573662044</v>
      </c>
      <c r="AB3" s="170" t="s">
        <v>2</v>
      </c>
    </row>
    <row r="4" spans="1:44" ht="13">
      <c r="B4" s="170">
        <f>BODE_TYPE*0+IF('Variable Mgmt'!Y17="BCM",2, 1)</f>
        <v>1</v>
      </c>
      <c r="H4" s="646" t="s">
        <v>693</v>
      </c>
      <c r="I4" s="643">
        <f>1/(2*Pi*Rcomp*Ccomp)</f>
        <v>602.85963361271354</v>
      </c>
      <c r="J4" s="639" t="s">
        <v>8</v>
      </c>
      <c r="K4" s="642" t="s">
        <v>694</v>
      </c>
      <c r="L4" s="269">
        <f>CHOOSE(BODE_TYPE, Rload_pri/Rcs_gain*(Lmag/(2*Vout_eff*Npri_sec)*Fsw_DCM)*SQRT(Iout_eff/(Lmag/(2*Vout_eff*Npri_sec)*Fsw_DCM*Npri_sec)), Rload_pri/(Rcs_gain*2*(2*M+1)))</f>
        <v>17.323943661971832</v>
      </c>
      <c r="M4" s="639" t="s">
        <v>686</v>
      </c>
      <c r="N4" s="647" t="s">
        <v>755</v>
      </c>
      <c r="O4" s="713">
        <f>REAout</f>
        <v>300000000</v>
      </c>
      <c r="P4" s="642" t="s">
        <v>695</v>
      </c>
      <c r="Q4" s="643">
        <f>CHOOSE(BODE_TYPE, 2/(2*Pi*D25*Rload_sec), 1/(2*Pi*D25*[0]!Rload_sec)*(2*M+1)/(M+1))</f>
        <v>124.03680459744798</v>
      </c>
      <c r="R4" s="639" t="s">
        <v>8</v>
      </c>
      <c r="S4" s="648"/>
      <c r="T4" s="649"/>
      <c r="U4" s="645"/>
      <c r="V4" s="719" t="s">
        <v>696</v>
      </c>
      <c r="W4" s="720">
        <f>AK7</f>
        <v>1</v>
      </c>
      <c r="X4" s="721" t="s">
        <v>2</v>
      </c>
    </row>
    <row r="5" spans="1:44" ht="13">
      <c r="H5" s="638" t="s">
        <v>697</v>
      </c>
      <c r="I5" s="190">
        <f>1/(2*Pi*REAout*Ccomp)</f>
        <v>2.4114385344508542E-2</v>
      </c>
      <c r="J5" s="639" t="s">
        <v>8</v>
      </c>
      <c r="K5" s="642"/>
      <c r="L5" s="190"/>
      <c r="M5" s="639"/>
      <c r="N5" s="647"/>
      <c r="O5" s="647"/>
      <c r="P5" s="648" t="s">
        <v>712</v>
      </c>
      <c r="Q5" s="650">
        <f>Rload_pri/(2*Pi*Lmag*M*(M+1))</f>
        <v>189094.98210743334</v>
      </c>
      <c r="R5" s="645" t="s">
        <v>8</v>
      </c>
      <c r="S5" s="648"/>
      <c r="T5" s="188"/>
      <c r="U5" s="645"/>
      <c r="V5" s="719" t="s">
        <v>698</v>
      </c>
      <c r="W5" s="722">
        <f>AK9</f>
        <v>64.234457769758691</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132629.11939479696</v>
      </c>
      <c r="J7" s="656" t="s">
        <v>8</v>
      </c>
      <c r="K7" s="657"/>
      <c r="L7" s="658"/>
      <c r="M7" s="658"/>
      <c r="N7" s="659"/>
      <c r="O7" s="656"/>
      <c r="P7" s="657"/>
      <c r="Q7" s="657"/>
      <c r="R7" s="656"/>
      <c r="S7" s="657"/>
      <c r="T7" s="657"/>
      <c r="U7" s="656"/>
      <c r="V7" s="657"/>
      <c r="W7" s="657"/>
      <c r="X7" s="656"/>
      <c r="AJ7" s="170" t="s">
        <v>704</v>
      </c>
      <c r="AK7" s="170">
        <f>SUM(AJ12:AJ613)/1000</f>
        <v>1</v>
      </c>
      <c r="AL7" s="197">
        <f>AK7*1000</f>
        <v>1000</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64.234457769758691</v>
      </c>
      <c r="AL9" s="443">
        <f>AK9</f>
        <v>64.234457769758691</v>
      </c>
    </row>
    <row r="10" spans="1:44" ht="14">
      <c r="A10" s="714"/>
      <c r="B10" s="259" t="s">
        <v>762</v>
      </c>
      <c r="G10" s="932" t="s">
        <v>706</v>
      </c>
      <c r="H10" s="935" t="s">
        <v>756</v>
      </c>
      <c r="I10" s="937" t="s">
        <v>707</v>
      </c>
      <c r="J10" s="938"/>
      <c r="K10" s="938"/>
      <c r="L10" s="938"/>
      <c r="M10" s="938"/>
      <c r="N10" s="939"/>
      <c r="O10" s="937" t="s">
        <v>708</v>
      </c>
      <c r="P10" s="938"/>
      <c r="Q10" s="938"/>
      <c r="R10" s="938"/>
      <c r="S10" s="938"/>
      <c r="T10" s="939"/>
      <c r="U10" s="917" t="s">
        <v>760</v>
      </c>
      <c r="V10" s="940"/>
      <c r="W10" s="917" t="s">
        <v>709</v>
      </c>
      <c r="X10" s="918"/>
      <c r="Y10" s="919"/>
      <c r="AD10" s="920" t="s">
        <v>710</v>
      </c>
      <c r="AE10" s="921"/>
      <c r="AG10" s="920" t="s">
        <v>711</v>
      </c>
      <c r="AH10" s="921"/>
      <c r="AM10" s="333" t="s">
        <v>761</v>
      </c>
    </row>
    <row r="11" spans="1:44" ht="13">
      <c r="G11" s="933"/>
      <c r="H11" s="936"/>
      <c r="I11" s="922" t="s">
        <v>695</v>
      </c>
      <c r="J11" s="923"/>
      <c r="K11" s="923" t="s">
        <v>690</v>
      </c>
      <c r="L11" s="924"/>
      <c r="M11" s="925" t="s">
        <v>712</v>
      </c>
      <c r="N11" s="926"/>
      <c r="O11" s="922" t="s">
        <v>713</v>
      </c>
      <c r="P11" s="923"/>
      <c r="Q11" s="923" t="s">
        <v>714</v>
      </c>
      <c r="R11" s="924"/>
      <c r="S11" s="925" t="s">
        <v>715</v>
      </c>
      <c r="T11" s="926"/>
      <c r="U11" s="922" t="s">
        <v>691</v>
      </c>
      <c r="V11" s="924"/>
      <c r="W11" s="642"/>
      <c r="X11" s="171"/>
      <c r="Y11" s="664"/>
      <c r="AD11" s="642"/>
      <c r="AE11" s="639"/>
      <c r="AG11" s="642"/>
      <c r="AH11" s="639"/>
    </row>
    <row r="12" spans="1:44" ht="13.5" thickBot="1">
      <c r="A12" s="662"/>
      <c r="B12" s="662"/>
      <c r="C12" s="662"/>
      <c r="D12" s="662"/>
      <c r="E12" s="662"/>
      <c r="F12" s="707"/>
      <c r="G12" s="934"/>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1.0000324983871736</v>
      </c>
      <c r="J13" s="678">
        <f t="shared" ref="J13:J76" si="1">ATAN(G13/pole1)</f>
        <v>8.061948533314451E-3</v>
      </c>
      <c r="K13" s="678">
        <f t="shared" ref="K13:K76" si="2">SQRT(1+(G13/Zero1)^2)</f>
        <v>1.0000000000009552</v>
      </c>
      <c r="L13" s="679">
        <f t="shared" ref="L13:L76" si="3">ATAN(G13/Zero1)</f>
        <v>1.3823007659991194E-6</v>
      </c>
      <c r="M13" s="678">
        <f t="shared" ref="M13:M76" si="4">SQRT(1+(G13/z_RHP)^2)</f>
        <v>1.0000000000139833</v>
      </c>
      <c r="N13" s="679">
        <f t="shared" ref="N13:N76" si="5">-ATAN(G13/z_RHP)</f>
        <v>-5.2883476274507002E-6</v>
      </c>
      <c r="O13" s="677">
        <f t="shared" ref="O13:O76" si="6">SQRT(1+(G13/Pole2)^2)</f>
        <v>41.481078420356532</v>
      </c>
      <c r="P13" s="680">
        <f t="shared" ref="P13:P76" si="7">ATAN(G13/Pole2)</f>
        <v>1.5466866140207001</v>
      </c>
      <c r="Q13" s="678">
        <f t="shared" ref="Q13:Q76" si="8">SQRT(1+(G13/Zero2)^2)</f>
        <v>1.0000013757429473</v>
      </c>
      <c r="R13" s="679">
        <f t="shared" ref="R13:R76" si="9">ATAN(G13/Zero2)</f>
        <v>1.6587593978490416E-3</v>
      </c>
      <c r="S13" s="677">
        <f t="shared" ref="S13:S76" si="10">SQRT(1+(G13/pole4)^2)</f>
        <v>1.0000000000284244</v>
      </c>
      <c r="T13" s="680">
        <f t="shared" ref="T13:T76" si="11">ATAN(G13/pole4)</f>
        <v>7.539822359857125E-6</v>
      </c>
      <c r="U13" s="681">
        <f>IMABS(IMPRODUCT(AO13, AR13))</f>
        <v>0.99959999987892756</v>
      </c>
      <c r="V13" s="682">
        <f>IMARGUMENT(IMPRODUCT(AO13, AR13))</f>
        <v>-1.9160114416023615E-5</v>
      </c>
      <c r="W13" s="683">
        <f t="shared" ref="W13:W76" si="12">20*LOG10(((K13*Q13*M13*U13)/(I13*O13*S13))*Adc)</f>
        <v>73.220762248117254</v>
      </c>
      <c r="X13" s="684">
        <f t="shared" ref="X13:X76" si="13">((L13+R13+N13+V13)-(J13+P13+T13))*radconv</f>
        <v>-88.987244621025084</v>
      </c>
      <c r="Y13" s="685">
        <f t="shared" ref="Y13:Y76" si="14">IF(X13&gt;0,X13,X13+180)</f>
        <v>91.012755378974916</v>
      </c>
      <c r="AA13" s="170">
        <f t="shared" ref="AA13:AA76" si="15">IF(W13&lt;0,G13,1000000000)</f>
        <v>1000000000</v>
      </c>
      <c r="AB13" s="170">
        <f t="shared" ref="AB13:AB76" si="16">G13^2</f>
        <v>1</v>
      </c>
      <c r="AD13" s="686">
        <f t="shared" ref="AD13:AD76" si="17">20*LOG10((Q13/(O13*S13))*Aea)</f>
        <v>72.74846127931653</v>
      </c>
      <c r="AE13" s="687">
        <f t="shared" ref="AE13:AE76" si="18">(R13-(P13+T13))*radconv</f>
        <v>-88.524007401194396</v>
      </c>
      <c r="AG13" s="686">
        <f t="shared" ref="AG13:AG76" si="19">20*LOG10((K13*M13/(I13*U13))*Acs*Am)</f>
        <v>38.755528120402658</v>
      </c>
      <c r="AH13" s="687">
        <f t="shared" ref="AH13:AH76" si="20">(L13+N13-(J13+V13))*radconv</f>
        <v>-0.46104163244613461</v>
      </c>
      <c r="AJ13" s="170">
        <f t="shared" ref="AJ13:AJ76" si="21">SUM((W14&lt;0)*(W13&gt;0))*G13</f>
        <v>0</v>
      </c>
      <c r="AK13" s="170">
        <f t="shared" ref="AK13:AK44" si="22">IF(AJ13&gt;0,Y11,0)</f>
        <v>0</v>
      </c>
      <c r="AM13" s="170" t="str">
        <f>IMSUB(1,IMEXP(COMPLEX(0,-2*Pi*G13*Tsw)))</f>
        <v>3.74602016073311E-10+0.0000273715909394574i</v>
      </c>
      <c r="AN13" s="170" t="str">
        <f>COMPLEX(0, 2*Pi*G13*Tsw)</f>
        <v>0.0000273715909428752i</v>
      </c>
      <c r="AO13" s="170" t="str">
        <f>IMDIV(AM13, AN13)</f>
        <v>0.999999999875133-0.0000136857962277425i</v>
      </c>
      <c r="AP13" s="170" t="str">
        <f>IMDIV(IMEXP(COMPLEX(0,-2*Pi*G13*Tsw)),6)</f>
        <v>0.166666666604233-0.0000045619318232429i</v>
      </c>
      <c r="AQ13" s="170" t="str">
        <f>IMSUB(1, AP13)</f>
        <v>0.833333333395767+0.0000045619318232429i</v>
      </c>
      <c r="AR13" s="170" t="str">
        <f>IMDIV(0.833, AQ13)</f>
        <v>0.999599999895153-5.47212845963239E-06i</v>
      </c>
    </row>
    <row r="14" spans="1:44" ht="13">
      <c r="A14" s="333" t="s">
        <v>736</v>
      </c>
      <c r="B14" s="711">
        <f>Vout+Vfwd1</f>
        <v>16.399999999999999</v>
      </c>
      <c r="C14" s="170" t="s">
        <v>0</v>
      </c>
      <c r="D14" s="170" t="s">
        <v>763</v>
      </c>
      <c r="G14" s="688">
        <v>1.0965</v>
      </c>
      <c r="H14" s="676">
        <f t="shared" ref="H14:H77" si="23">G14/1000</f>
        <v>1.0965E-3</v>
      </c>
      <c r="I14" s="677">
        <f t="shared" si="0"/>
        <v>1.0000390730805593</v>
      </c>
      <c r="J14" s="678">
        <f t="shared" si="1"/>
        <v>8.8398878213431804E-3</v>
      </c>
      <c r="K14" s="678">
        <f t="shared" si="2"/>
        <v>1.0000000000011486</v>
      </c>
      <c r="L14" s="679">
        <f t="shared" si="3"/>
        <v>1.5156927899178391E-6</v>
      </c>
      <c r="M14" s="678">
        <f t="shared" si="4"/>
        <v>1.0000000000168123</v>
      </c>
      <c r="N14" s="679">
        <f t="shared" si="5"/>
        <v>-5.7986731734887567E-6</v>
      </c>
      <c r="O14" s="677">
        <f t="shared" si="6"/>
        <v>45.481778440065405</v>
      </c>
      <c r="P14" s="680">
        <f t="shared" si="7"/>
        <v>1.5488077278014645</v>
      </c>
      <c r="Q14" s="689">
        <f t="shared" si="8"/>
        <v>1.0000016540723682</v>
      </c>
      <c r="R14" s="690">
        <f t="shared" si="9"/>
        <v>1.8188293422526727E-3</v>
      </c>
      <c r="S14" s="677">
        <f t="shared" si="10"/>
        <v>1.0000000000341751</v>
      </c>
      <c r="T14" s="680">
        <f t="shared" si="11"/>
        <v>8.2674152175516415E-6</v>
      </c>
      <c r="U14" s="681">
        <f t="shared" ref="U14:U77" si="24">IMABS(IMPRODUCT(AO14, AR14))</f>
        <v>0.99959999985443426</v>
      </c>
      <c r="V14" s="682">
        <f t="shared" ref="V14:V77" si="25">IMARGUMENT(IMPRODUCT(AO14, AR14))</f>
        <v>-2.1009077303959368E-5</v>
      </c>
      <c r="W14" s="683">
        <f t="shared" si="12"/>
        <v>72.420959567624351</v>
      </c>
      <c r="X14" s="684">
        <f t="shared" si="13"/>
        <v>-89.144346016859558</v>
      </c>
      <c r="Y14" s="687">
        <f t="shared" si="14"/>
        <v>90.855653983140442</v>
      </c>
      <c r="AA14" s="170">
        <f t="shared" si="15"/>
        <v>1000000000</v>
      </c>
      <c r="AB14" s="170">
        <f t="shared" si="16"/>
        <v>1.2023122500000001</v>
      </c>
      <c r="AD14" s="686">
        <f t="shared" si="17"/>
        <v>71.948715704027791</v>
      </c>
      <c r="AE14" s="687">
        <f t="shared" si="18"/>
        <v>-88.636408624586394</v>
      </c>
      <c r="AG14" s="686">
        <f t="shared" si="19"/>
        <v>38.755471015624124</v>
      </c>
      <c r="AH14" s="687">
        <f t="shared" si="20"/>
        <v>-0.50552992934844765</v>
      </c>
      <c r="AJ14" s="170">
        <f t="shared" si="21"/>
        <v>0</v>
      </c>
      <c r="AK14" s="170">
        <f t="shared" si="22"/>
        <v>0</v>
      </c>
      <c r="AM14" s="170" t="str">
        <f t="shared" ref="AM14:AM77" si="26">IMSUB(1,IMEXP(COMPLEX(0,-2*Pi*G14*Tsw)))</f>
        <v>4.50388948358693E-10+0.0000300129494643568i</v>
      </c>
      <c r="AN14" s="170" t="str">
        <f t="shared" ref="AN14:AN77" si="27">COMPLEX(0, 2*Pi*G14*Tsw)</f>
        <v>0.0000300129494688626i</v>
      </c>
      <c r="AO14" s="170" t="str">
        <f t="shared" ref="AO14:AO77" si="28">IMDIV(AM14, AN14)</f>
        <v>0.999999999849872-0.0000150064874105744i</v>
      </c>
      <c r="AP14" s="170" t="str">
        <f t="shared" ref="AP14:AP77" si="29">IMDIV(IMEXP(COMPLEX(0,-2*Pi*G14*Tsw)),6)</f>
        <v>0.166666666591602-5.00215824405947E-06i</v>
      </c>
      <c r="AQ14" s="170" t="str">
        <f t="shared" ref="AQ14:AQ77" si="30">IMSUB(1, AP14)</f>
        <v>0.833333333408398+5.00215824405947E-06i</v>
      </c>
      <c r="AR14" s="170" t="str">
        <f t="shared" ref="AR14:AR77" si="31">IMDIV(0.833, AQ14)</f>
        <v>0.999599999873942-6.00018885561706E-06i</v>
      </c>
    </row>
    <row r="15" spans="1:44" ht="13">
      <c r="A15" s="333" t="s">
        <v>735</v>
      </c>
      <c r="B15" s="711">
        <f>'Design Converter'!E11+IF(MODE=2,ABS('Design Converter'!E13*'Design Converter'!L14),0)</f>
        <v>1</v>
      </c>
      <c r="C15" s="170" t="s">
        <v>1</v>
      </c>
      <c r="G15" s="688">
        <v>1.2022999999999999</v>
      </c>
      <c r="H15" s="676">
        <f t="shared" si="23"/>
        <v>1.2022999999999999E-3</v>
      </c>
      <c r="I15" s="677">
        <f>SQRT(1+(G15/pole1)^2)</f>
        <v>1.0000469769004712</v>
      </c>
      <c r="J15" s="678">
        <f t="shared" si="1"/>
        <v>9.6927871657801635E-3</v>
      </c>
      <c r="K15" s="678">
        <f t="shared" si="2"/>
        <v>1.0000000000013811</v>
      </c>
      <c r="L15" s="679">
        <f t="shared" si="3"/>
        <v>1.6619402109602695E-6</v>
      </c>
      <c r="M15" s="678">
        <f t="shared" si="4"/>
        <v>1.0000000000202132</v>
      </c>
      <c r="N15" s="679">
        <f t="shared" si="5"/>
        <v>-6.3581803524575692E-6</v>
      </c>
      <c r="O15" s="677">
        <f t="shared" si="6"/>
        <v>49.868233759885435</v>
      </c>
      <c r="P15" s="680">
        <f t="shared" si="7"/>
        <v>1.5507421368594212</v>
      </c>
      <c r="Q15" s="689">
        <f t="shared" si="8"/>
        <v>1.0000019886706133</v>
      </c>
      <c r="R15" s="690">
        <f t="shared" si="9"/>
        <v>1.9943256091165141E-3</v>
      </c>
      <c r="S15" s="677">
        <f t="shared" si="10"/>
        <v>1.0000000000410882</v>
      </c>
      <c r="T15" s="680">
        <f t="shared" si="11"/>
        <v>9.0651284231796871E-6</v>
      </c>
      <c r="U15" s="681">
        <f t="shared" si="24"/>
        <v>0.99959999982498537</v>
      </c>
      <c r="V15" s="682">
        <f t="shared" si="25"/>
        <v>-2.3036213780832417E-5</v>
      </c>
      <c r="W15" s="683">
        <f t="shared" si="12"/>
        <v>71.621162857929164</v>
      </c>
      <c r="X15" s="684">
        <f t="shared" si="13"/>
        <v>-89.294177359282216</v>
      </c>
      <c r="Y15" s="687">
        <f t="shared" si="14"/>
        <v>90.705822640717784</v>
      </c>
      <c r="AA15" s="170">
        <f t="shared" si="15"/>
        <v>1000000000</v>
      </c>
      <c r="AB15" s="170">
        <f t="shared" si="16"/>
        <v>1.4455252899999997</v>
      </c>
      <c r="AD15" s="686">
        <f t="shared" si="17"/>
        <v>71.148987643310818</v>
      </c>
      <c r="AE15" s="687">
        <f t="shared" si="18"/>
        <v>-88.737232609762756</v>
      </c>
      <c r="AG15" s="686">
        <f t="shared" si="19"/>
        <v>38.755402367157721</v>
      </c>
      <c r="AH15" s="687">
        <f t="shared" si="20"/>
        <v>-0.55430499386524501</v>
      </c>
      <c r="AJ15" s="170">
        <f t="shared" si="21"/>
        <v>0</v>
      </c>
      <c r="AK15" s="170">
        <f t="shared" si="22"/>
        <v>0</v>
      </c>
      <c r="AM15" s="170" t="str">
        <f t="shared" si="26"/>
        <v>5.41496958383902E-10+0.0000329088637846788i</v>
      </c>
      <c r="AN15" s="170" t="str">
        <f t="shared" si="27"/>
        <v>0.0000329088637906188i</v>
      </c>
      <c r="AO15" s="170" t="str">
        <f t="shared" si="28"/>
        <v>0.999999999819501-0.0000164544410232195i</v>
      </c>
      <c r="AP15" s="170" t="str">
        <f t="shared" si="29"/>
        <v>0.166666666576417-0.0000054848106307798i</v>
      </c>
      <c r="AQ15" s="170" t="str">
        <f t="shared" si="30"/>
        <v>0.833333333423583+0.0000054848106307798i</v>
      </c>
      <c r="AR15" s="170" t="str">
        <f t="shared" si="31"/>
        <v>0.999599999848441-6.57914004612294E-06i</v>
      </c>
    </row>
    <row r="16" spans="1:44" ht="13">
      <c r="A16" s="333" t="s">
        <v>3</v>
      </c>
      <c r="B16" s="711">
        <f>VIN_nom</f>
        <v>24</v>
      </c>
      <c r="C16" s="170" t="s">
        <v>0</v>
      </c>
      <c r="G16" s="688">
        <v>1.3183</v>
      </c>
      <c r="H16" s="676">
        <f t="shared" si="23"/>
        <v>1.3183000000000001E-3</v>
      </c>
      <c r="I16" s="677">
        <f t="shared" si="0"/>
        <v>1.0000564787537902</v>
      </c>
      <c r="J16" s="678">
        <f t="shared" si="1"/>
        <v>1.062789684841153E-2</v>
      </c>
      <c r="K16" s="678">
        <f t="shared" si="2"/>
        <v>1.0000000000016604</v>
      </c>
      <c r="L16" s="679">
        <f t="shared" si="3"/>
        <v>1.8222870998157825E-6</v>
      </c>
      <c r="M16" s="678">
        <f t="shared" si="4"/>
        <v>1.0000000000243019</v>
      </c>
      <c r="N16" s="679">
        <f t="shared" si="5"/>
        <v>-6.9716286772203014E-6</v>
      </c>
      <c r="O16" s="677">
        <f t="shared" si="6"/>
        <v>54.677758245434056</v>
      </c>
      <c r="P16" s="680">
        <f t="shared" si="7"/>
        <v>1.5525063348816508</v>
      </c>
      <c r="Q16" s="689">
        <f t="shared" si="8"/>
        <v>1.0000023909229392</v>
      </c>
      <c r="R16" s="690">
        <f t="shared" si="9"/>
        <v>2.1867410342287712E-3</v>
      </c>
      <c r="S16" s="677">
        <f t="shared" si="10"/>
        <v>1.0000000000493992</v>
      </c>
      <c r="T16" s="680">
        <f t="shared" si="11"/>
        <v>9.9397478168606589E-6</v>
      </c>
      <c r="U16" s="681">
        <f t="shared" si="24"/>
        <v>0.99959999978958602</v>
      </c>
      <c r="V16" s="682">
        <f t="shared" si="25"/>
        <v>-2.5258767453139451E-5</v>
      </c>
      <c r="W16" s="683">
        <f t="shared" si="12"/>
        <v>70.821349546407589</v>
      </c>
      <c r="X16" s="684">
        <f t="shared" si="13"/>
        <v>-89.438015122515182</v>
      </c>
      <c r="Y16" s="687">
        <f t="shared" si="14"/>
        <v>90.561984877484818</v>
      </c>
      <c r="AA16" s="170">
        <f t="shared" si="15"/>
        <v>1000000000</v>
      </c>
      <c r="AB16" s="170">
        <f t="shared" si="16"/>
        <v>1.7379148900000001</v>
      </c>
      <c r="AD16" s="686">
        <f t="shared" si="17"/>
        <v>70.349256859839201</v>
      </c>
      <c r="AE16" s="687">
        <f t="shared" si="18"/>
        <v>-88.827339230992592</v>
      </c>
      <c r="AG16" s="686">
        <f t="shared" si="19"/>
        <v>38.755319839722951</v>
      </c>
      <c r="AH16" s="687">
        <f t="shared" si="20"/>
        <v>-0.6077814499777503</v>
      </c>
      <c r="AJ16" s="170">
        <f t="shared" si="21"/>
        <v>0</v>
      </c>
      <c r="AK16" s="170">
        <f t="shared" si="22"/>
        <v>0</v>
      </c>
      <c r="AM16" s="170" t="str">
        <f t="shared" si="26"/>
        <v>6.51026010878297E-10+0.0000360839683321618i</v>
      </c>
      <c r="AN16" s="170" t="str">
        <f t="shared" si="27"/>
        <v>0.0000360839683399923i</v>
      </c>
      <c r="AO16" s="170" t="str">
        <f t="shared" si="28"/>
        <v>0.999999999782992-0.0000180419737858144i</v>
      </c>
      <c r="AP16" s="170" t="str">
        <f t="shared" si="29"/>
        <v>0.166666666558162-6.01399472202697E-06i</v>
      </c>
      <c r="AQ16" s="170" t="str">
        <f t="shared" si="30"/>
        <v>0.833333333441838+6.01399472202697E-06i</v>
      </c>
      <c r="AR16" s="170" t="str">
        <f t="shared" si="31"/>
        <v>0.999599999817785-7.21390694671149E-06i</v>
      </c>
    </row>
    <row r="17" spans="1:44">
      <c r="G17" s="688">
        <v>1.4454</v>
      </c>
      <c r="H17" s="676">
        <f t="shared" si="23"/>
        <v>1.4454000000000001E-3</v>
      </c>
      <c r="I17" s="677">
        <f t="shared" si="0"/>
        <v>1.0000678938166674</v>
      </c>
      <c r="J17" s="678">
        <f t="shared" si="1"/>
        <v>1.1652465454250254E-2</v>
      </c>
      <c r="K17" s="678">
        <f t="shared" si="2"/>
        <v>1.000000000001996</v>
      </c>
      <c r="L17" s="679">
        <f t="shared" si="3"/>
        <v>1.9979775271737414E-6</v>
      </c>
      <c r="M17" s="678">
        <f t="shared" si="4"/>
        <v>1.0000000000292135</v>
      </c>
      <c r="N17" s="679">
        <f t="shared" si="5"/>
        <v>-7.6437776606396321E-6</v>
      </c>
      <c r="O17" s="677">
        <f t="shared" si="6"/>
        <v>59.947667003743611</v>
      </c>
      <c r="P17" s="680">
        <f t="shared" si="7"/>
        <v>1.5541143367700194</v>
      </c>
      <c r="Q17" s="689">
        <f t="shared" si="8"/>
        <v>1.0000028741740929</v>
      </c>
      <c r="R17" s="690">
        <f t="shared" si="9"/>
        <v>2.3975684385927256E-3</v>
      </c>
      <c r="S17" s="677">
        <f t="shared" si="10"/>
        <v>1.0000000000593838</v>
      </c>
      <c r="T17" s="680">
        <f t="shared" si="11"/>
        <v>1.0898059238712556E-5</v>
      </c>
      <c r="U17" s="681">
        <f t="shared" si="24"/>
        <v>0.99959999974705582</v>
      </c>
      <c r="V17" s="682">
        <f t="shared" si="25"/>
        <v>-2.7694016777434124E-5</v>
      </c>
      <c r="W17" s="683">
        <f t="shared" si="12"/>
        <v>70.022022884068136</v>
      </c>
      <c r="X17" s="684">
        <f t="shared" si="13"/>
        <v>-89.576993662475232</v>
      </c>
      <c r="Y17" s="687">
        <f t="shared" si="14"/>
        <v>90.423006337524768</v>
      </c>
      <c r="AA17" s="170">
        <f t="shared" si="15"/>
        <v>1000000000</v>
      </c>
      <c r="AB17" s="170">
        <f t="shared" si="16"/>
        <v>2.0891811599999999</v>
      </c>
      <c r="AD17" s="686">
        <f t="shared" si="17"/>
        <v>69.550029341634712</v>
      </c>
      <c r="AE17" s="687">
        <f t="shared" si="18"/>
        <v>-88.907446339460904</v>
      </c>
      <c r="AG17" s="686">
        <f t="shared" si="19"/>
        <v>38.755220696327108</v>
      </c>
      <c r="AH17" s="687">
        <f t="shared" si="20"/>
        <v>-0.66637382245248489</v>
      </c>
      <c r="AJ17" s="170">
        <f t="shared" si="21"/>
        <v>0</v>
      </c>
      <c r="AK17" s="170">
        <f t="shared" si="22"/>
        <v>0</v>
      </c>
      <c r="AM17" s="170" t="str">
        <f t="shared" si="26"/>
        <v>7.826109760245E-10+0.000039562897538511i</v>
      </c>
      <c r="AN17" s="170" t="str">
        <f t="shared" si="27"/>
        <v>0.0000395628975488318i</v>
      </c>
      <c r="AO17" s="170" t="str">
        <f t="shared" si="28"/>
        <v>0.999999999739129-0.0000197814372685554i</v>
      </c>
      <c r="AP17" s="170" t="str">
        <f t="shared" si="29"/>
        <v>0.166666666536231-0.0000065938162564185i</v>
      </c>
      <c r="AQ17" s="170" t="str">
        <f t="shared" si="30"/>
        <v>0.833333333463769+0.0000065938162564185i</v>
      </c>
      <c r="AR17" s="170" t="str">
        <f t="shared" si="31"/>
        <v>0.999599999780956-7.90941447292791E-06i</v>
      </c>
    </row>
    <row r="18" spans="1:44">
      <c r="A18" s="170" t="s">
        <v>742</v>
      </c>
      <c r="B18" s="715">
        <f>Vout_eff*Npri_sec/Vin_eff</f>
        <v>0.68333333333333324</v>
      </c>
      <c r="C18" s="170" t="s">
        <v>686</v>
      </c>
      <c r="G18" s="688">
        <v>1.5849</v>
      </c>
      <c r="H18" s="676">
        <f t="shared" si="23"/>
        <v>1.5849E-3</v>
      </c>
      <c r="I18" s="677">
        <f t="shared" si="0"/>
        <v>1.0000816309537166</v>
      </c>
      <c r="J18" s="678">
        <f t="shared" si="1"/>
        <v>1.2776963731095308E-2</v>
      </c>
      <c r="K18" s="678">
        <f t="shared" si="2"/>
        <v>1.0000000000023999</v>
      </c>
      <c r="L18" s="679">
        <f t="shared" si="3"/>
        <v>2.1908084840298945E-6</v>
      </c>
      <c r="M18" s="678">
        <f t="shared" si="4"/>
        <v>1.0000000000351248</v>
      </c>
      <c r="N18" s="679">
        <f t="shared" si="5"/>
        <v>-8.3815021546284833E-6</v>
      </c>
      <c r="O18" s="677">
        <f t="shared" si="6"/>
        <v>65.731861622362814</v>
      </c>
      <c r="P18" s="680">
        <f t="shared" si="7"/>
        <v>1.5555824175348851</v>
      </c>
      <c r="Q18" s="689">
        <f t="shared" si="8"/>
        <v>1.0000034557361348</v>
      </c>
      <c r="R18" s="690">
        <f t="shared" si="9"/>
        <v>2.6289641241698971E-3</v>
      </c>
      <c r="S18" s="677">
        <f t="shared" si="10"/>
        <v>1.0000000000713998</v>
      </c>
      <c r="T18" s="680">
        <f t="shared" si="11"/>
        <v>1.1949864457795191E-5</v>
      </c>
      <c r="U18" s="681">
        <f t="shared" si="24"/>
        <v>0.99959999969587598</v>
      </c>
      <c r="V18" s="682">
        <f t="shared" si="25"/>
        <v>-3.0366869188471337E-5</v>
      </c>
      <c r="W18" s="683">
        <f t="shared" si="12"/>
        <v>69.22183570306737</v>
      </c>
      <c r="X18" s="684">
        <f t="shared" si="13"/>
        <v>-89.712524130855371</v>
      </c>
      <c r="Y18" s="687">
        <f t="shared" si="14"/>
        <v>90.287475869144629</v>
      </c>
      <c r="AA18" s="170">
        <f t="shared" si="15"/>
        <v>1000000000</v>
      </c>
      <c r="AB18" s="170">
        <f t="shared" si="16"/>
        <v>2.51190801</v>
      </c>
      <c r="AD18" s="686">
        <f t="shared" si="17"/>
        <v>68.749961471360237</v>
      </c>
      <c r="AE18" s="687">
        <f t="shared" si="18"/>
        <v>-88.978363439171886</v>
      </c>
      <c r="AG18" s="686">
        <f t="shared" si="19"/>
        <v>38.755101386490253</v>
      </c>
      <c r="AH18" s="687">
        <f t="shared" si="20"/>
        <v>-0.73068090479646941</v>
      </c>
      <c r="AJ18" s="170">
        <f t="shared" si="21"/>
        <v>0</v>
      </c>
      <c r="AK18" s="170">
        <f t="shared" si="22"/>
        <v>0</v>
      </c>
      <c r="AM18" s="170" t="str">
        <f t="shared" si="26"/>
        <v>9.40965971807373E-10+0.0000433812344717561i</v>
      </c>
      <c r="AN18" s="170" t="str">
        <f t="shared" si="27"/>
        <v>0.0000433812344853629i</v>
      </c>
      <c r="AO18" s="170" t="str">
        <f t="shared" si="28"/>
        <v>0.999999999686344-0.0000216906222925689i</v>
      </c>
      <c r="AP18" s="170" t="str">
        <f t="shared" si="29"/>
        <v>0.166666666509839-7.23020574529268E-06i</v>
      </c>
      <c r="AQ18" s="170" t="str">
        <f t="shared" si="30"/>
        <v>0.833333333490161+7.23020574529268E-06i</v>
      </c>
      <c r="AR18" s="170" t="str">
        <f t="shared" si="31"/>
        <v>0.999599999736635-0.0000086727763916763i</v>
      </c>
    </row>
    <row r="19" spans="1:44">
      <c r="A19" s="170" t="s">
        <v>759</v>
      </c>
      <c r="B19" s="170">
        <f>1/'Calculations - Single'!AQ105/1000*0+1/CHOOSE(MODE, 'Calculations - Single'!AQ105,'Calculations - Dual'!AP105)/1000</f>
        <v>4.3563240038257606E-6</v>
      </c>
      <c r="C19" s="170" t="s">
        <v>51</v>
      </c>
      <c r="G19" s="688">
        <v>1.7378</v>
      </c>
      <c r="H19" s="676">
        <f t="shared" si="23"/>
        <v>1.7378000000000001E-3</v>
      </c>
      <c r="I19" s="677">
        <f t="shared" si="0"/>
        <v>1.0000981402456446</v>
      </c>
      <c r="J19" s="678">
        <f t="shared" si="1"/>
        <v>1.4009441106645247E-2</v>
      </c>
      <c r="K19" s="678">
        <f t="shared" si="2"/>
        <v>1.0000000000028852</v>
      </c>
      <c r="L19" s="679">
        <f t="shared" si="3"/>
        <v>2.402162271150179E-6</v>
      </c>
      <c r="M19" s="678">
        <f t="shared" si="4"/>
        <v>1.0000000000422289</v>
      </c>
      <c r="N19" s="679">
        <f t="shared" si="5"/>
        <v>-9.1900905068107744E-6</v>
      </c>
      <c r="O19" s="677">
        <f t="shared" si="6"/>
        <v>72.071805994186306</v>
      </c>
      <c r="P19" s="680">
        <f t="shared" si="7"/>
        <v>1.5569208303346704</v>
      </c>
      <c r="Q19" s="689">
        <f t="shared" si="8"/>
        <v>1.0000041546675449</v>
      </c>
      <c r="R19" s="690">
        <f t="shared" si="9"/>
        <v>2.88258674126048E-3</v>
      </c>
      <c r="S19" s="677">
        <f t="shared" si="10"/>
        <v>1.0000000000858404</v>
      </c>
      <c r="T19" s="680">
        <f t="shared" si="11"/>
        <v>1.3102703296458176E-5</v>
      </c>
      <c r="U19" s="681">
        <f t="shared" si="24"/>
        <v>0.99959999963436685</v>
      </c>
      <c r="V19" s="682">
        <f t="shared" si="25"/>
        <v>-3.3296447577384641E-5</v>
      </c>
      <c r="W19" s="683">
        <f t="shared" si="12"/>
        <v>68.421908937255651</v>
      </c>
      <c r="X19" s="684">
        <f t="shared" si="13"/>
        <v>-89.845561906394693</v>
      </c>
      <c r="Y19" s="687">
        <f t="shared" si="14"/>
        <v>90.154438093605307</v>
      </c>
      <c r="AA19" s="170">
        <f t="shared" si="15"/>
        <v>1000000000</v>
      </c>
      <c r="AB19" s="170">
        <f t="shared" si="16"/>
        <v>3.0199488400000001</v>
      </c>
      <c r="AD19" s="686">
        <f t="shared" si="17"/>
        <v>67.950178091016525</v>
      </c>
      <c r="AE19" s="687">
        <f t="shared" si="18"/>
        <v>-89.040583391168525</v>
      </c>
      <c r="AG19" s="686">
        <f t="shared" si="19"/>
        <v>38.754958002091207</v>
      </c>
      <c r="AH19" s="687">
        <f t="shared" si="20"/>
        <v>-0.80116302338389855</v>
      </c>
      <c r="AJ19" s="170">
        <f t="shared" si="21"/>
        <v>0</v>
      </c>
      <c r="AK19" s="170">
        <f t="shared" si="22"/>
        <v>0</v>
      </c>
      <c r="AM19" s="170" t="str">
        <f t="shared" si="26"/>
        <v>1.13127895939868E-09+0.0000475663507225916i</v>
      </c>
      <c r="AN19" s="170" t="str">
        <f t="shared" si="27"/>
        <v>0.0000475663507405285i</v>
      </c>
      <c r="AO19" s="170" t="str">
        <f t="shared" si="28"/>
        <v>0.999999999622908-0.0000237831774308216i</v>
      </c>
      <c r="AP19" s="170" t="str">
        <f t="shared" si="29"/>
        <v>0.16666666647812-7.92772512043193E-06i</v>
      </c>
      <c r="AQ19" s="170" t="str">
        <f t="shared" si="30"/>
        <v>0.83333333352188+7.92772512043193E-06i</v>
      </c>
      <c r="AR19" s="170" t="str">
        <f t="shared" si="31"/>
        <v>0.999599999683368-9.50946483129673E-06i</v>
      </c>
    </row>
    <row r="20" spans="1:44">
      <c r="G20" s="688">
        <v>1.9055</v>
      </c>
      <c r="H20" s="676">
        <f t="shared" si="23"/>
        <v>1.9055000000000001E-3</v>
      </c>
      <c r="I20" s="677">
        <f t="shared" si="0"/>
        <v>1.0001179943331278</v>
      </c>
      <c r="J20" s="678">
        <f t="shared" si="1"/>
        <v>1.5361167408565343E-2</v>
      </c>
      <c r="K20" s="678">
        <f t="shared" si="2"/>
        <v>1.0000000000034688</v>
      </c>
      <c r="L20" s="679">
        <f t="shared" si="3"/>
        <v>2.6339741096069081E-6</v>
      </c>
      <c r="M20" s="678">
        <f t="shared" si="4"/>
        <v>1.0000000000507723</v>
      </c>
      <c r="N20" s="679">
        <f t="shared" si="5"/>
        <v>-1.0076946403860162E-5</v>
      </c>
      <c r="O20" s="677">
        <f t="shared" si="6"/>
        <v>79.02555060928357</v>
      </c>
      <c r="P20" s="680">
        <f t="shared" si="7"/>
        <v>1.5581418538798804</v>
      </c>
      <c r="Q20" s="689">
        <f t="shared" si="8"/>
        <v>1.0000049952176433</v>
      </c>
      <c r="R20" s="690">
        <f t="shared" si="9"/>
        <v>3.1607584057532501E-3</v>
      </c>
      <c r="S20" s="677">
        <f t="shared" si="10"/>
        <v>1.0000000001032072</v>
      </c>
      <c r="T20" s="680">
        <f t="shared" si="11"/>
        <v>1.4367131505991475E-5</v>
      </c>
      <c r="U20" s="681">
        <f t="shared" si="24"/>
        <v>0.99959999956039203</v>
      </c>
      <c r="V20" s="682">
        <f t="shared" si="25"/>
        <v>-3.6509601806211065E-5</v>
      </c>
      <c r="W20" s="683">
        <f t="shared" si="12"/>
        <v>67.621701293624668</v>
      </c>
      <c r="X20" s="684">
        <f t="shared" si="13"/>
        <v>-89.977325630009275</v>
      </c>
      <c r="Y20" s="687">
        <f t="shared" si="14"/>
        <v>90.022674369990725</v>
      </c>
      <c r="AA20" s="170">
        <f t="shared" si="15"/>
        <v>1000000000</v>
      </c>
      <c r="AB20" s="170">
        <f t="shared" si="16"/>
        <v>3.63093025</v>
      </c>
      <c r="AD20" s="686">
        <f t="shared" si="17"/>
        <v>67.150142879727568</v>
      </c>
      <c r="AE20" s="687">
        <f t="shared" si="18"/>
        <v>-89.094677271101318</v>
      </c>
      <c r="AG20" s="686">
        <f t="shared" si="19"/>
        <v>38.754785571034759</v>
      </c>
      <c r="AH20" s="687">
        <f t="shared" si="20"/>
        <v>-0.87846466671279266</v>
      </c>
      <c r="AJ20" s="170">
        <f t="shared" si="21"/>
        <v>0</v>
      </c>
      <c r="AK20" s="170">
        <f t="shared" si="22"/>
        <v>0</v>
      </c>
      <c r="AM20" s="170" t="str">
        <f t="shared" si="26"/>
        <v>1.36015398943812E-09+0.0000521565665180016i</v>
      </c>
      <c r="AN20" s="170" t="str">
        <f t="shared" si="27"/>
        <v>0.0000521565665416486i</v>
      </c>
      <c r="AO20" s="170" t="str">
        <f t="shared" si="28"/>
        <v>0.999999999546615-0.0000260782884999149i</v>
      </c>
      <c r="AP20" s="170" t="str">
        <f t="shared" si="29"/>
        <v>0.166666666439974-0.0000086927610863336i</v>
      </c>
      <c r="AQ20" s="170" t="str">
        <f t="shared" si="30"/>
        <v>0.833333333560026+0.0000086927610863336i</v>
      </c>
      <c r="AR20" s="170" t="str">
        <f t="shared" si="31"/>
        <v>0.999599999619309-0.0000104271407714713i</v>
      </c>
    </row>
    <row r="21" spans="1:44" ht="13">
      <c r="A21" s="333" t="s">
        <v>738</v>
      </c>
      <c r="B21" s="718">
        <f>Vout_eff/Iout_eff</f>
        <v>16.399999999999999</v>
      </c>
      <c r="C21" s="706" t="s">
        <v>45</v>
      </c>
      <c r="D21" s="706"/>
      <c r="E21" s="706"/>
      <c r="G21" s="688">
        <v>2.0893000000000002</v>
      </c>
      <c r="H21" s="676">
        <f t="shared" si="23"/>
        <v>2.0893000000000001E-3</v>
      </c>
      <c r="I21" s="677">
        <f t="shared" si="0"/>
        <v>1.0001418533745947</v>
      </c>
      <c r="J21" s="678">
        <f t="shared" si="1"/>
        <v>1.6842601222761308E-2</v>
      </c>
      <c r="K21" s="678">
        <f t="shared" si="2"/>
        <v>1.0000000000041704</v>
      </c>
      <c r="L21" s="679">
        <f t="shared" si="3"/>
        <v>2.8880409903957706E-6</v>
      </c>
      <c r="M21" s="678">
        <f t="shared" si="4"/>
        <v>1.0000000000610396</v>
      </c>
      <c r="N21" s="679">
        <f t="shared" si="5"/>
        <v>-1.1048944697686135E-5</v>
      </c>
      <c r="O21" s="677">
        <f t="shared" si="6"/>
        <v>86.64700044448918</v>
      </c>
      <c r="P21" s="680">
        <f t="shared" si="7"/>
        <v>1.5592549901574646</v>
      </c>
      <c r="Q21" s="689">
        <f t="shared" si="8"/>
        <v>1.0000060053441167</v>
      </c>
      <c r="R21" s="690">
        <f t="shared" si="9"/>
        <v>3.4656353135989102E-3</v>
      </c>
      <c r="S21" s="677">
        <f t="shared" si="10"/>
        <v>1.0000000001240776</v>
      </c>
      <c r="T21" s="680">
        <f t="shared" si="11"/>
        <v>1.5752950855444943E-5</v>
      </c>
      <c r="U21" s="681">
        <f t="shared" si="24"/>
        <v>0.9995999994714958</v>
      </c>
      <c r="V21" s="682">
        <f t="shared" si="25"/>
        <v>-4.003122369976786E-5</v>
      </c>
      <c r="W21" s="683">
        <f t="shared" si="12"/>
        <v>66.821782808619957</v>
      </c>
      <c r="X21" s="684">
        <f t="shared" si="13"/>
        <v>-90.108837696090276</v>
      </c>
      <c r="Y21" s="687">
        <f t="shared" si="14"/>
        <v>89.891162303909724</v>
      </c>
      <c r="AA21" s="170">
        <f t="shared" si="15"/>
        <v>1000000000</v>
      </c>
      <c r="AB21" s="170">
        <f t="shared" si="16"/>
        <v>4.3651744900000002</v>
      </c>
      <c r="AD21" s="686">
        <f t="shared" si="17"/>
        <v>66.350431605479557</v>
      </c>
      <c r="AE21" s="687">
        <f t="shared" si="18"/>
        <v>-89.141066523392141</v>
      </c>
      <c r="AG21" s="686">
        <f t="shared" si="19"/>
        <v>38.754578361822965</v>
      </c>
      <c r="AH21" s="687">
        <f t="shared" si="20"/>
        <v>-0.96318393235940036</v>
      </c>
      <c r="AJ21" s="170">
        <f t="shared" si="21"/>
        <v>0</v>
      </c>
      <c r="AK21" s="170">
        <f t="shared" si="22"/>
        <v>0</v>
      </c>
      <c r="AM21" s="170" t="str">
        <f t="shared" si="26"/>
        <v>1.63520297302711E-09+0.0000571874649257781i</v>
      </c>
      <c r="AN21" s="170" t="str">
        <f t="shared" si="27"/>
        <v>0.0000571874649569491i</v>
      </c>
      <c r="AO21" s="170" t="str">
        <f t="shared" si="28"/>
        <v>0.999999999454933-0.0000285937307110587i</v>
      </c>
      <c r="AP21" s="170" t="str">
        <f t="shared" si="29"/>
        <v>0.166666666394133-9.53124415429635E-06i</v>
      </c>
      <c r="AQ21" s="170" t="str">
        <f t="shared" si="30"/>
        <v>0.833333333605867+9.53124415429635E-06i</v>
      </c>
      <c r="AR21" s="170" t="str">
        <f t="shared" si="31"/>
        <v>0.999599999542326-0.0000114329179789879i</v>
      </c>
    </row>
    <row r="22" spans="1:44">
      <c r="A22" s="170" t="s">
        <v>737</v>
      </c>
      <c r="B22" s="718">
        <f>Rload_sec*(Npri_sec^2)</f>
        <v>16.399999999999999</v>
      </c>
      <c r="C22" s="706" t="s">
        <v>45</v>
      </c>
      <c r="D22" s="706"/>
      <c r="E22" s="706"/>
      <c r="G22" s="688">
        <v>2.2909000000000002</v>
      </c>
      <c r="H22" s="676">
        <f t="shared" si="23"/>
        <v>2.2909000000000002E-3</v>
      </c>
      <c r="I22" s="677">
        <f t="shared" si="0"/>
        <v>1.0001705470051541</v>
      </c>
      <c r="J22" s="678">
        <f t="shared" si="1"/>
        <v>1.8467418342240308E-2</v>
      </c>
      <c r="K22" s="678">
        <f t="shared" si="2"/>
        <v>1.000000000005014</v>
      </c>
      <c r="L22" s="679">
        <f t="shared" si="3"/>
        <v>3.1667128248188145E-6</v>
      </c>
      <c r="M22" s="678">
        <f t="shared" si="4"/>
        <v>1.0000000000733875</v>
      </c>
      <c r="N22" s="679">
        <f t="shared" si="5"/>
        <v>-1.211507557924702E-5</v>
      </c>
      <c r="O22" s="677">
        <f t="shared" si="6"/>
        <v>95.006647680281318</v>
      </c>
      <c r="P22" s="680">
        <f>ATAN(G22/Pole2)</f>
        <v>1.5602705531782721</v>
      </c>
      <c r="Q22" s="689">
        <f t="shared" si="8"/>
        <v>1.0000072201844172</v>
      </c>
      <c r="R22" s="690">
        <f t="shared" si="9"/>
        <v>3.8000370984872535E-3</v>
      </c>
      <c r="S22" s="677">
        <f t="shared" si="10"/>
        <v>1.000000000149178</v>
      </c>
      <c r="T22" s="680">
        <f t="shared" si="11"/>
        <v>1.7272979042806173E-5</v>
      </c>
      <c r="U22" s="681">
        <f t="shared" si="24"/>
        <v>0.99959999936458332</v>
      </c>
      <c r="V22" s="682">
        <f t="shared" si="25"/>
        <v>-4.3893909111093902E-5</v>
      </c>
      <c r="W22" s="683">
        <f t="shared" si="12"/>
        <v>66.021534941116059</v>
      </c>
      <c r="X22" s="684">
        <f t="shared" si="13"/>
        <v>-90.241314048505956</v>
      </c>
      <c r="Y22" s="687">
        <f t="shared" si="14"/>
        <v>89.758685951494044</v>
      </c>
      <c r="AA22" s="170">
        <f t="shared" si="15"/>
        <v>1000000000</v>
      </c>
      <c r="AB22" s="170">
        <f t="shared" si="16"/>
        <v>5.2482228100000006</v>
      </c>
      <c r="AD22" s="686">
        <f t="shared" si="17"/>
        <v>65.550432929574811</v>
      </c>
      <c r="AE22" s="687">
        <f t="shared" si="18"/>
        <v>-89.180181278622797</v>
      </c>
      <c r="AG22" s="686">
        <f t="shared" si="19"/>
        <v>38.754329172081817</v>
      </c>
      <c r="AH22" s="687">
        <f t="shared" si="20"/>
        <v>-1.0561028984006107</v>
      </c>
      <c r="AJ22" s="170">
        <f t="shared" si="21"/>
        <v>0</v>
      </c>
      <c r="AK22" s="170">
        <f t="shared" si="22"/>
        <v>0</v>
      </c>
      <c r="AM22" s="170" t="str">
        <f t="shared" si="26"/>
        <v>1.9659950334372E-09+0.0000627055776499398i</v>
      </c>
      <c r="AN22" s="170" t="str">
        <f t="shared" si="27"/>
        <v>0.0000627055776910327i</v>
      </c>
      <c r="AO22" s="170" t="str">
        <f t="shared" si="28"/>
        <v>0.999999999344669-0.0000313527935764214i</v>
      </c>
      <c r="AP22" s="170" t="str">
        <f t="shared" si="29"/>
        <v>0.166666666339001-0.0000104509296083233i</v>
      </c>
      <c r="AQ22" s="170" t="str">
        <f t="shared" si="30"/>
        <v>0.833333333660999+0.0000104509296083233i</v>
      </c>
      <c r="AR22" s="170" t="str">
        <f t="shared" si="31"/>
        <v>0.999599999449742-0.0000125360990719459i</v>
      </c>
    </row>
    <row r="23" spans="1:44">
      <c r="B23" s="633"/>
      <c r="G23" s="688">
        <v>2.5118999999999998</v>
      </c>
      <c r="H23" s="676">
        <f t="shared" si="23"/>
        <v>2.5118999999999996E-3</v>
      </c>
      <c r="I23" s="677">
        <f t="shared" si="0"/>
        <v>1.0002050354881407</v>
      </c>
      <c r="J23" s="678">
        <f t="shared" si="1"/>
        <v>2.0248479513760503E-2</v>
      </c>
      <c r="K23" s="678">
        <f t="shared" si="2"/>
        <v>1.0000000000060281</v>
      </c>
      <c r="L23" s="679">
        <f t="shared" si="3"/>
        <v>3.4722012941014451E-6</v>
      </c>
      <c r="M23" s="678">
        <f t="shared" si="4"/>
        <v>1.0000000000882296</v>
      </c>
      <c r="N23" s="679">
        <f t="shared" si="5"/>
        <v>-1.3283800404735898E-5</v>
      </c>
      <c r="O23" s="677">
        <f t="shared" si="6"/>
        <v>104.17083874180429</v>
      </c>
      <c r="P23" s="680">
        <f t="shared" si="7"/>
        <v>1.5611965638335439</v>
      </c>
      <c r="Q23" s="689">
        <f t="shared" si="8"/>
        <v>1.0000086804132404</v>
      </c>
      <c r="R23" s="690">
        <f t="shared" si="9"/>
        <v>4.1666174409713212E-3</v>
      </c>
      <c r="S23" s="677">
        <f t="shared" si="10"/>
        <v>1.0000000001793481</v>
      </c>
      <c r="T23" s="680">
        <f t="shared" si="11"/>
        <v>1.8939279783819518E-5</v>
      </c>
      <c r="U23" s="681">
        <f t="shared" si="24"/>
        <v>0.99959999923607445</v>
      </c>
      <c r="V23" s="682">
        <f t="shared" si="25"/>
        <v>-4.8128284291253764E-5</v>
      </c>
      <c r="W23" s="683">
        <f t="shared" si="12"/>
        <v>65.221404782132112</v>
      </c>
      <c r="X23" s="684">
        <f t="shared" si="13"/>
        <v>-90.375801876323251</v>
      </c>
      <c r="Y23" s="687">
        <f t="shared" si="14"/>
        <v>89.624198123676749</v>
      </c>
      <c r="AA23" s="170">
        <f t="shared" si="15"/>
        <v>1000000000</v>
      </c>
      <c r="AB23" s="170">
        <f t="shared" si="16"/>
        <v>6.309641609999999</v>
      </c>
      <c r="AD23" s="686">
        <f t="shared" si="17"/>
        <v>64.750602278482063</v>
      </c>
      <c r="AE23" s="687">
        <f t="shared" si="18"/>
        <v>-89.212329746513802</v>
      </c>
      <c r="AG23" s="686">
        <f t="shared" si="19"/>
        <v>38.754029666423946</v>
      </c>
      <c r="AH23" s="687">
        <f t="shared" si="20"/>
        <v>-1.1579570346729637</v>
      </c>
      <c r="AJ23" s="170">
        <f t="shared" si="21"/>
        <v>0</v>
      </c>
      <c r="AK23" s="170">
        <f t="shared" si="22"/>
        <v>0</v>
      </c>
      <c r="AM23" s="170" t="str">
        <f t="shared" si="26"/>
        <v>2.36360397920521E-09+0.0000687546992352385i</v>
      </c>
      <c r="AN23" s="170" t="str">
        <f t="shared" si="27"/>
        <v>0.0000687546992894081i</v>
      </c>
      <c r="AO23" s="170" t="str">
        <f t="shared" si="28"/>
        <v>0.999999999212132-0.0000343773444380307i</v>
      </c>
      <c r="AP23" s="170" t="str">
        <f t="shared" si="29"/>
        <v>0.166666666272733-0.0000114591165392064i</v>
      </c>
      <c r="AQ23" s="170" t="str">
        <f t="shared" si="30"/>
        <v>0.833333333727267+0.0000114591165392064i</v>
      </c>
      <c r="AR23" s="170" t="str">
        <f t="shared" si="31"/>
        <v>0.999599999338456-0.0000137454394555143i</v>
      </c>
    </row>
    <row r="24" spans="1:44">
      <c r="D24" s="712"/>
      <c r="E24" s="189"/>
      <c r="G24" s="688">
        <v>2.7542</v>
      </c>
      <c r="H24" s="676">
        <f t="shared" si="23"/>
        <v>2.7542000000000001E-3</v>
      </c>
      <c r="I24" s="677">
        <f t="shared" si="0"/>
        <v>1.0002464939651339</v>
      </c>
      <c r="J24" s="678">
        <f t="shared" si="1"/>
        <v>2.2201051463963308E-2</v>
      </c>
      <c r="K24" s="678">
        <f t="shared" si="2"/>
        <v>1.0000000000072471</v>
      </c>
      <c r="L24" s="679">
        <f t="shared" si="3"/>
        <v>3.8071327696988057E-6</v>
      </c>
      <c r="M24" s="678">
        <f t="shared" si="4"/>
        <v>1.000000000106072</v>
      </c>
      <c r="N24" s="679">
        <f t="shared" si="5"/>
        <v>-1.4565167034630527E-5</v>
      </c>
      <c r="O24" s="677">
        <f t="shared" si="6"/>
        <v>114.21836075530548</v>
      </c>
      <c r="P24" s="680">
        <f t="shared" si="7"/>
        <v>1.5620410551441892</v>
      </c>
      <c r="Q24" s="689">
        <f t="shared" si="8"/>
        <v>1.0000104358126938</v>
      </c>
      <c r="R24" s="690">
        <f t="shared" si="9"/>
        <v>4.568527539473238E-3</v>
      </c>
      <c r="S24" s="677">
        <f t="shared" si="10"/>
        <v>1.0000000002156171</v>
      </c>
      <c r="T24" s="680">
        <f t="shared" si="11"/>
        <v>2.0766178740926974E-5</v>
      </c>
      <c r="U24" s="681">
        <f t="shared" si="24"/>
        <v>0.99959999908158825</v>
      </c>
      <c r="V24" s="682">
        <f t="shared" si="25"/>
        <v>-5.2770791149492311E-5</v>
      </c>
      <c r="W24" s="683">
        <f t="shared" si="12"/>
        <v>64.421264765144542</v>
      </c>
      <c r="X24" s="684">
        <f t="shared" si="13"/>
        <v>-90.513458940359499</v>
      </c>
      <c r="Y24" s="687">
        <f t="shared" si="14"/>
        <v>89.486541059640501</v>
      </c>
      <c r="AA24" s="170">
        <f t="shared" si="15"/>
        <v>1000000000</v>
      </c>
      <c r="AB24" s="170">
        <f t="shared" si="16"/>
        <v>7.5856176399999997</v>
      </c>
      <c r="AD24" s="686">
        <f t="shared" si="17"/>
        <v>63.950822285146714</v>
      </c>
      <c r="AE24" s="687">
        <f t="shared" si="18"/>
        <v>-89.237792455690339</v>
      </c>
      <c r="AG24" s="686">
        <f t="shared" si="19"/>
        <v>38.753669645456498</v>
      </c>
      <c r="AH24" s="687">
        <f t="shared" si="20"/>
        <v>-1.2696193974333922</v>
      </c>
      <c r="AJ24" s="170">
        <f t="shared" si="21"/>
        <v>0</v>
      </c>
      <c r="AK24" s="170">
        <f t="shared" si="22"/>
        <v>0</v>
      </c>
      <c r="AM24" s="170" t="str">
        <f t="shared" si="26"/>
        <v>2.84158796493017E-09+0.0000753868357034607i</v>
      </c>
      <c r="AN24" s="170" t="str">
        <f t="shared" si="27"/>
        <v>0.0000753868357748668i</v>
      </c>
      <c r="AO24" s="170" t="str">
        <f t="shared" si="28"/>
        <v>0.999999999052804-0.0000376934240006599i</v>
      </c>
      <c r="AP24" s="170" t="str">
        <f t="shared" si="29"/>
        <v>0.166666666193069-0.0000125644726172434i</v>
      </c>
      <c r="AQ24" s="170" t="str">
        <f t="shared" si="30"/>
        <v>0.833333333806931+0.0000125644726172434i</v>
      </c>
      <c r="AR24" s="170" t="str">
        <f t="shared" si="31"/>
        <v>0.999599999204674-0.0000150713361732791i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1.0002963591922247</v>
      </c>
      <c r="J25" s="678">
        <f t="shared" si="1"/>
        <v>2.4342802635975411E-2</v>
      </c>
      <c r="K25" s="678">
        <f t="shared" si="2"/>
        <v>1.0000000000087135</v>
      </c>
      <c r="L25" s="679">
        <f t="shared" si="3"/>
        <v>4.1745483132957498E-6</v>
      </c>
      <c r="M25" s="678">
        <f t="shared" si="4"/>
        <v>1.0000000001275335</v>
      </c>
      <c r="N25" s="679">
        <f t="shared" si="5"/>
        <v>-1.5970809833692125E-5</v>
      </c>
      <c r="O25" s="677">
        <f t="shared" si="6"/>
        <v>125.24044178386858</v>
      </c>
      <c r="P25" s="680">
        <f t="shared" si="7"/>
        <v>1.5628116006807875</v>
      </c>
      <c r="Q25" s="689">
        <f t="shared" si="8"/>
        <v>1.0000125472558896</v>
      </c>
      <c r="R25" s="690">
        <f t="shared" si="9"/>
        <v>5.0094160730513081E-3</v>
      </c>
      <c r="S25" s="677">
        <f t="shared" si="10"/>
        <v>1.0000000002592424</v>
      </c>
      <c r="T25" s="680">
        <f t="shared" si="11"/>
        <v>2.2770263523264659E-5</v>
      </c>
      <c r="U25" s="681">
        <f t="shared" si="24"/>
        <v>0.99959999889576701</v>
      </c>
      <c r="V25" s="682">
        <f t="shared" si="25"/>
        <v>-5.7863542243998785E-5</v>
      </c>
      <c r="W25" s="683">
        <f t="shared" si="12"/>
        <v>63.620676737159762</v>
      </c>
      <c r="X25" s="684">
        <f t="shared" si="13"/>
        <v>-90.655526303188864</v>
      </c>
      <c r="Y25" s="687">
        <f t="shared" si="14"/>
        <v>89.344473696811136</v>
      </c>
      <c r="AA25" s="170">
        <f t="shared" si="15"/>
        <v>1000000000</v>
      </c>
      <c r="AB25" s="170">
        <f t="shared" si="16"/>
        <v>9.1204000000000001</v>
      </c>
      <c r="AD25" s="686">
        <f t="shared" si="17"/>
        <v>63.150667264907405</v>
      </c>
      <c r="AE25" s="687">
        <f t="shared" si="18"/>
        <v>-89.256795236271856</v>
      </c>
      <c r="AG25" s="686">
        <f t="shared" si="19"/>
        <v>38.753236640940358</v>
      </c>
      <c r="AH25" s="687">
        <f t="shared" si="20"/>
        <v>-1.3921003933929261</v>
      </c>
      <c r="AJ25" s="170">
        <f t="shared" si="21"/>
        <v>0</v>
      </c>
      <c r="AK25" s="170">
        <f t="shared" si="22"/>
        <v>0</v>
      </c>
      <c r="AM25" s="170" t="str">
        <f t="shared" si="26"/>
        <v>3.41651995583447E-09+0.000082662204553344i</v>
      </c>
      <c r="AN25" s="170" t="str">
        <f t="shared" si="27"/>
        <v>0.000082662204647483i</v>
      </c>
      <c r="AO25" s="170" t="str">
        <f t="shared" si="28"/>
        <v>0.99999999886116-0.0000413311013225982i</v>
      </c>
      <c r="AP25" s="170" t="str">
        <f t="shared" si="29"/>
        <v>0.166666666097247-0.000013777034092224i</v>
      </c>
      <c r="AQ25" s="170" t="str">
        <f t="shared" si="30"/>
        <v>0.833333333902753+0.000013777034092224i</v>
      </c>
      <c r="AR25" s="170" t="str">
        <f t="shared" si="31"/>
        <v>0.999599999043757-0.0000165258279072033i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1.0003562776390371</v>
      </c>
      <c r="J26" s="678">
        <f t="shared" si="1"/>
        <v>2.668976931545395E-2</v>
      </c>
      <c r="K26" s="678">
        <f t="shared" si="2"/>
        <v>1.0000000000104754</v>
      </c>
      <c r="L26" s="679">
        <f t="shared" si="3"/>
        <v>4.577212526423834E-6</v>
      </c>
      <c r="M26" s="678">
        <f t="shared" si="4"/>
        <v>1.0000000001533229</v>
      </c>
      <c r="N26" s="679">
        <f t="shared" si="5"/>
        <v>-1.7511305497150826E-5</v>
      </c>
      <c r="O26" s="677">
        <f t="shared" si="6"/>
        <v>137.32001697170557</v>
      </c>
      <c r="P26" s="680">
        <f t="shared" si="7"/>
        <v>1.5635140029151406</v>
      </c>
      <c r="Q26" s="689">
        <f t="shared" si="8"/>
        <v>1.0000150845158777</v>
      </c>
      <c r="R26" s="690">
        <f t="shared" si="9"/>
        <v>5.492599796302176E-3</v>
      </c>
      <c r="S26" s="677">
        <f t="shared" si="10"/>
        <v>1.0000000003116658</v>
      </c>
      <c r="T26" s="680">
        <f t="shared" si="11"/>
        <v>2.4966613775480511E-5</v>
      </c>
      <c r="U26" s="681">
        <f t="shared" si="24"/>
        <v>0.99959999867247129</v>
      </c>
      <c r="V26" s="682">
        <f t="shared" si="25"/>
        <v>-6.3444879889352715E-5</v>
      </c>
      <c r="W26" s="683">
        <f t="shared" si="12"/>
        <v>62.82039334753734</v>
      </c>
      <c r="X26" s="684">
        <f t="shared" si="13"/>
        <v>-90.803068705857527</v>
      </c>
      <c r="Y26" s="687">
        <f t="shared" si="14"/>
        <v>89.196931294142473</v>
      </c>
      <c r="AA26" s="170">
        <f t="shared" si="15"/>
        <v>1000000000</v>
      </c>
      <c r="AB26" s="170">
        <f t="shared" si="16"/>
        <v>10.964707690000001</v>
      </c>
      <c r="AD26" s="686">
        <f t="shared" si="17"/>
        <v>62.350904152227038</v>
      </c>
      <c r="AE26" s="687">
        <f t="shared" si="18"/>
        <v>-89.269481373363433</v>
      </c>
      <c r="AG26" s="686">
        <f t="shared" si="19"/>
        <v>38.752716367878911</v>
      </c>
      <c r="AH26" s="687">
        <f t="shared" si="20"/>
        <v>-1.5263170847870293</v>
      </c>
      <c r="AJ26" s="170">
        <f t="shared" si="21"/>
        <v>0</v>
      </c>
      <c r="AK26" s="170">
        <f t="shared" si="22"/>
        <v>0</v>
      </c>
      <c r="AM26" s="170" t="str">
        <f t="shared" si="26"/>
        <v>4.10740097489537E-09+0.0000906355489650503i</v>
      </c>
      <c r="AN26" s="170" t="str">
        <f t="shared" si="27"/>
        <v>0.0000906355490891425i</v>
      </c>
      <c r="AO26" s="170" t="str">
        <f t="shared" si="28"/>
        <v>0.999999998630866-0.0000453177700821962i</v>
      </c>
      <c r="AP26" s="170" t="str">
        <f t="shared" si="29"/>
        <v>0.1666666659821-0.0000151059248275084i</v>
      </c>
      <c r="AQ26" s="170" t="str">
        <f t="shared" si="30"/>
        <v>0.8333333340179+0.0000151059248275084i</v>
      </c>
      <c r="AR26" s="170" t="str">
        <f t="shared" si="31"/>
        <v>0.999599998850388-0.0000181198589133686i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1.0004283319966552</v>
      </c>
      <c r="J27" s="678">
        <f t="shared" si="1"/>
        <v>2.9263600676190295E-2</v>
      </c>
      <c r="K27" s="678">
        <f t="shared" si="2"/>
        <v>1.0000000000125944</v>
      </c>
      <c r="L27" s="679">
        <f t="shared" si="3"/>
        <v>5.018857621150659E-6</v>
      </c>
      <c r="M27" s="678">
        <f t="shared" si="4"/>
        <v>1.0000000001843379</v>
      </c>
      <c r="N27" s="679">
        <f t="shared" si="5"/>
        <v>-1.9200932563567356E-5</v>
      </c>
      <c r="O27" s="677">
        <f t="shared" si="6"/>
        <v>150.56904940798606</v>
      </c>
      <c r="P27" s="680">
        <f t="shared" si="7"/>
        <v>1.5641548068038957</v>
      </c>
      <c r="Q27" s="689">
        <f t="shared" si="8"/>
        <v>1.0000181358664568</v>
      </c>
      <c r="R27" s="690">
        <f t="shared" si="9"/>
        <v>6.0225563292905012E-3</v>
      </c>
      <c r="S27" s="677">
        <f t="shared" si="10"/>
        <v>1.0000000003747114</v>
      </c>
      <c r="T27" s="680">
        <f t="shared" si="11"/>
        <v>2.7375587017849377E-5</v>
      </c>
      <c r="U27" s="681">
        <f t="shared" si="24"/>
        <v>0.99959999840393188</v>
      </c>
      <c r="V27" s="682">
        <f t="shared" si="25"/>
        <v>-6.9566541215913304E-5</v>
      </c>
      <c r="W27" s="683">
        <f t="shared" si="12"/>
        <v>62.019757034689206</v>
      </c>
      <c r="X27" s="684">
        <f t="shared" si="13"/>
        <v>-90.957449739295413</v>
      </c>
      <c r="Y27" s="687">
        <f t="shared" si="14"/>
        <v>89.042550260704587</v>
      </c>
      <c r="AA27" s="170">
        <f t="shared" si="15"/>
        <v>1000000000</v>
      </c>
      <c r="AB27" s="170">
        <f t="shared" si="16"/>
        <v>13.182708639999998</v>
      </c>
      <c r="AD27" s="686">
        <f t="shared" si="17"/>
        <v>61.550893452192895</v>
      </c>
      <c r="AE27" s="687">
        <f t="shared" si="18"/>
        <v>-89.275970483026214</v>
      </c>
      <c r="AG27" s="686">
        <f t="shared" si="19"/>
        <v>38.752090759731779</v>
      </c>
      <c r="AH27" s="687">
        <f t="shared" si="20"/>
        <v>-1.6735075178460912</v>
      </c>
      <c r="AJ27" s="170">
        <f t="shared" si="21"/>
        <v>0</v>
      </c>
      <c r="AK27" s="170">
        <f t="shared" si="22"/>
        <v>0</v>
      </c>
      <c r="AM27" s="170" t="str">
        <f t="shared" si="26"/>
        <v>4.93826901593053E-09+0.0000993807722318014i</v>
      </c>
      <c r="AN27" s="170" t="str">
        <f t="shared" si="27"/>
        <v>0.0000993807723953911i</v>
      </c>
      <c r="AO27" s="170" t="str">
        <f t="shared" si="28"/>
        <v>0.99999999835391-0.0000496903867509038i</v>
      </c>
      <c r="AP27" s="170" t="str">
        <f t="shared" si="29"/>
        <v>0.166666665843622-0.0000165634620386336i</v>
      </c>
      <c r="AQ27" s="170" t="str">
        <f t="shared" si="30"/>
        <v>0.833333334156378+0.0000165634620386336i</v>
      </c>
      <c r="AR27" s="170" t="str">
        <f t="shared" si="31"/>
        <v>0.999599998617838-0.0000198682039374868i</v>
      </c>
    </row>
    <row r="28" spans="1:44">
      <c r="B28" s="633"/>
      <c r="D28" s="189"/>
      <c r="G28" s="688">
        <v>3.9811000000000001</v>
      </c>
      <c r="H28" s="676">
        <f t="shared" si="23"/>
        <v>3.9811000000000004E-3</v>
      </c>
      <c r="I28" s="677">
        <f t="shared" si="0"/>
        <v>1.0005149478312547</v>
      </c>
      <c r="J28" s="678">
        <f t="shared" si="1"/>
        <v>3.208510409070249E-2</v>
      </c>
      <c r="K28" s="678">
        <f t="shared" si="2"/>
        <v>1.0000000000151419</v>
      </c>
      <c r="L28" s="679">
        <f t="shared" si="3"/>
        <v>5.503077579467048E-6</v>
      </c>
      <c r="M28" s="678">
        <f t="shared" si="4"/>
        <v>1.0000000002216236</v>
      </c>
      <c r="N28" s="679">
        <f t="shared" si="5"/>
        <v>-2.1053440736729623E-5</v>
      </c>
      <c r="O28" s="677">
        <f t="shared" si="6"/>
        <v>165.09535596624119</v>
      </c>
      <c r="P28" s="680">
        <f t="shared" si="7"/>
        <v>1.5647391841878078</v>
      </c>
      <c r="Q28" s="689">
        <f t="shared" si="8"/>
        <v>1.0000218041435389</v>
      </c>
      <c r="R28" s="690">
        <f t="shared" si="9"/>
        <v>6.6035971049774522E-3</v>
      </c>
      <c r="S28" s="677">
        <f t="shared" si="10"/>
        <v>1.0000000004505036</v>
      </c>
      <c r="T28" s="680">
        <f t="shared" si="11"/>
        <v>3.0016786788380891E-5</v>
      </c>
      <c r="U28" s="681">
        <f t="shared" si="24"/>
        <v>0.99959999808110001</v>
      </c>
      <c r="V28" s="682">
        <f t="shared" si="25"/>
        <v>-7.627832936545081E-5</v>
      </c>
      <c r="W28" s="683">
        <f t="shared" si="12"/>
        <v>61.219053943789</v>
      </c>
      <c r="X28" s="684">
        <f t="shared" si="13"/>
        <v>-91.119915434457056</v>
      </c>
      <c r="Y28" s="687">
        <f t="shared" si="14"/>
        <v>88.880084565542944</v>
      </c>
      <c r="AA28" s="170">
        <f t="shared" si="15"/>
        <v>1000000000</v>
      </c>
      <c r="AB28" s="170">
        <f t="shared" si="16"/>
        <v>15.849157210000001</v>
      </c>
      <c r="AD28" s="686">
        <f t="shared" si="17"/>
        <v>60.750942344668417</v>
      </c>
      <c r="AE28" s="687">
        <f t="shared" si="18"/>
        <v>-89.276312986195506</v>
      </c>
      <c r="AG28" s="686">
        <f t="shared" si="19"/>
        <v>38.751338781966474</v>
      </c>
      <c r="AH28" s="687">
        <f t="shared" si="20"/>
        <v>-1.8348615955696783</v>
      </c>
      <c r="AJ28" s="170">
        <f t="shared" si="21"/>
        <v>0</v>
      </c>
      <c r="AK28" s="170">
        <f t="shared" si="22"/>
        <v>0</v>
      </c>
      <c r="AM28" s="170" t="str">
        <f t="shared" si="26"/>
        <v>5.93712601304475E-09+0.000108969040487026i</v>
      </c>
      <c r="AN28" s="170" t="str">
        <f t="shared" si="27"/>
        <v>0.00010896904070268i</v>
      </c>
      <c r="AO28" s="170" t="str">
        <f t="shared" si="28"/>
        <v>0.999999998020961-0.0000544845212434611i</v>
      </c>
      <c r="AP28" s="170" t="str">
        <f t="shared" si="29"/>
        <v>0.166666665677146-0.0000181615067478377i</v>
      </c>
      <c r="AQ28" s="170" t="str">
        <f t="shared" si="30"/>
        <v>0.833333334322854+0.0000181615067478377i</v>
      </c>
      <c r="AR28" s="170" t="str">
        <f t="shared" si="31"/>
        <v>0.99959999833827-0.0000217850905120827i</v>
      </c>
    </row>
    <row r="29" spans="1:44">
      <c r="B29" s="633"/>
      <c r="D29" s="189"/>
      <c r="G29" s="688">
        <v>4.3651999999999997</v>
      </c>
      <c r="H29" s="676">
        <f t="shared" si="23"/>
        <v>4.3651999999999996E-3</v>
      </c>
      <c r="I29" s="677">
        <f t="shared" si="0"/>
        <v>1.000619074262374</v>
      </c>
      <c r="J29" s="678">
        <f t="shared" si="1"/>
        <v>3.5178261854466701E-2</v>
      </c>
      <c r="K29" s="678">
        <f t="shared" si="2"/>
        <v>1.0000000000182045</v>
      </c>
      <c r="L29" s="679">
        <f t="shared" si="3"/>
        <v>6.0340193036699671E-6</v>
      </c>
      <c r="M29" s="678">
        <f t="shared" si="4"/>
        <v>1.0000000002664515</v>
      </c>
      <c r="N29" s="679">
        <f t="shared" si="5"/>
        <v>-2.3084695059462362E-5</v>
      </c>
      <c r="O29" s="677">
        <f t="shared" si="6"/>
        <v>181.02334120811881</v>
      </c>
      <c r="P29" s="680">
        <f t="shared" si="7"/>
        <v>1.5652721491974999</v>
      </c>
      <c r="Q29" s="689">
        <f t="shared" si="8"/>
        <v>1.000026214416452</v>
      </c>
      <c r="R29" s="690">
        <f t="shared" si="9"/>
        <v>7.2406966241779381E-3</v>
      </c>
      <c r="S29" s="677">
        <f t="shared" si="10"/>
        <v>1.0000000005416272</v>
      </c>
      <c r="T29" s="680">
        <f t="shared" si="11"/>
        <v>3.2912832553987678E-5</v>
      </c>
      <c r="U29" s="681">
        <f t="shared" si="24"/>
        <v>0.99959999769295849</v>
      </c>
      <c r="V29" s="682">
        <f t="shared" si="25"/>
        <v>-8.3637726212301122E-5</v>
      </c>
      <c r="W29" s="683">
        <f t="shared" si="12"/>
        <v>60.418193936899911</v>
      </c>
      <c r="X29" s="684">
        <f t="shared" si="13"/>
        <v>-91.291847407147415</v>
      </c>
      <c r="Y29" s="687">
        <f t="shared" si="14"/>
        <v>88.708152592852585</v>
      </c>
      <c r="AA29" s="170">
        <f t="shared" si="15"/>
        <v>1000000000</v>
      </c>
      <c r="AB29" s="170">
        <f t="shared" si="16"/>
        <v>19.054971039999998</v>
      </c>
      <c r="AD29" s="686">
        <f t="shared" si="17"/>
        <v>59.950986258894396</v>
      </c>
      <c r="AE29" s="687">
        <f t="shared" si="18"/>
        <v>-89.270512449492017</v>
      </c>
      <c r="AG29" s="686">
        <f t="shared" si="19"/>
        <v>38.750434867596809</v>
      </c>
      <c r="AH29" s="687">
        <f t="shared" si="20"/>
        <v>-2.0117507802043759</v>
      </c>
      <c r="AJ29" s="170">
        <f t="shared" si="21"/>
        <v>0</v>
      </c>
      <c r="AK29" s="170">
        <f t="shared" si="22"/>
        <v>0</v>
      </c>
      <c r="AM29" s="170" t="str">
        <f t="shared" si="26"/>
        <v>7.13802994489754E-09+0.000119482468499549i</v>
      </c>
      <c r="AN29" s="170" t="str">
        <f t="shared" si="27"/>
        <v>0.000119482468783839i</v>
      </c>
      <c r="AO29" s="170" t="str">
        <f t="shared" si="28"/>
        <v>0.999999997620655-0.0000597412324799822i</v>
      </c>
      <c r="AP29" s="170" t="str">
        <f t="shared" si="29"/>
        <v>0.166666665476995-0.0000199137447499248i</v>
      </c>
      <c r="AQ29" s="170" t="str">
        <f t="shared" si="30"/>
        <v>0.833333334523005+0.0000199137447499248i</v>
      </c>
      <c r="AR29" s="170" t="str">
        <f t="shared" si="31"/>
        <v>0.999599998002151-0.0000238869350205871i</v>
      </c>
    </row>
    <row r="30" spans="1:44">
      <c r="A30" s="170" t="s">
        <v>18</v>
      </c>
      <c r="B30" s="714">
        <f>Vref</f>
        <v>1</v>
      </c>
      <c r="C30" s="170" t="s">
        <v>0</v>
      </c>
      <c r="D30" s="189"/>
      <c r="G30" s="688">
        <v>4.7862999999999998</v>
      </c>
      <c r="H30" s="676">
        <f t="shared" si="23"/>
        <v>4.7862999999999994E-3</v>
      </c>
      <c r="I30" s="677">
        <f t="shared" si="0"/>
        <v>1.0007442299105775</v>
      </c>
      <c r="J30" s="678">
        <f t="shared" si="1"/>
        <v>3.8568604807111571E-2</v>
      </c>
      <c r="K30" s="678">
        <f t="shared" si="2"/>
        <v>1.0000000000218865</v>
      </c>
      <c r="L30" s="679">
        <f t="shared" si="3"/>
        <v>6.6161061562092637E-6</v>
      </c>
      <c r="M30" s="678">
        <f t="shared" si="4"/>
        <v>1.0000000003203389</v>
      </c>
      <c r="N30" s="679">
        <f t="shared" si="5"/>
        <v>-2.5311618244097713E-5</v>
      </c>
      <c r="O30" s="677">
        <f t="shared" si="6"/>
        <v>198.48570377827409</v>
      </c>
      <c r="P30" s="680">
        <f t="shared" si="7"/>
        <v>1.5657581592518495</v>
      </c>
      <c r="Q30" s="689">
        <f t="shared" si="8"/>
        <v>1.0000315159630555</v>
      </c>
      <c r="R30" s="690">
        <f t="shared" si="9"/>
        <v>7.9391605808811529E-3</v>
      </c>
      <c r="S30" s="677">
        <f t="shared" si="10"/>
        <v>1.0000000006511665</v>
      </c>
      <c r="T30" s="680">
        <f t="shared" si="11"/>
        <v>3.6087851746001876E-5</v>
      </c>
      <c r="U30" s="681">
        <f t="shared" si="24"/>
        <v>0.99959999722638215</v>
      </c>
      <c r="V30" s="682">
        <f t="shared" si="25"/>
        <v>-9.1706054511454736E-5</v>
      </c>
      <c r="W30" s="683">
        <f t="shared" si="12"/>
        <v>59.617260532418882</v>
      </c>
      <c r="X30" s="684">
        <f t="shared" si="13"/>
        <v>-91.474665476237519</v>
      </c>
      <c r="Y30" s="687">
        <f t="shared" si="14"/>
        <v>88.525334523762481</v>
      </c>
      <c r="AA30" s="170">
        <f t="shared" si="15"/>
        <v>1000000000</v>
      </c>
      <c r="AB30" s="170">
        <f t="shared" si="16"/>
        <v>22.908667689999998</v>
      </c>
      <c r="AD30" s="686">
        <f t="shared" si="17"/>
        <v>59.151139205605723</v>
      </c>
      <c r="AE30" s="687">
        <f t="shared" si="18"/>
        <v>-89.258521652731943</v>
      </c>
      <c r="AG30" s="686">
        <f t="shared" si="19"/>
        <v>38.749348524512939</v>
      </c>
      <c r="AH30" s="687">
        <f t="shared" si="20"/>
        <v>-2.2056350837349457</v>
      </c>
      <c r="AJ30" s="170">
        <f t="shared" si="21"/>
        <v>0</v>
      </c>
      <c r="AK30" s="170">
        <f t="shared" si="22"/>
        <v>0</v>
      </c>
      <c r="AM30" s="170" t="str">
        <f t="shared" si="26"/>
        <v>8.58163295980319E-09+0.000131008645355127i</v>
      </c>
      <c r="AN30" s="170" t="str">
        <f t="shared" si="27"/>
        <v>0.000131008645729883i</v>
      </c>
      <c r="AO30" s="170" t="str">
        <f t="shared" si="28"/>
        <v>0.999999997139456-0.0000655043253977071i</v>
      </c>
      <c r="AP30" s="170" t="str">
        <f t="shared" si="29"/>
        <v>0.166666665236395-0.0000218347742258545i</v>
      </c>
      <c r="AQ30" s="170" t="str">
        <f t="shared" si="30"/>
        <v>0.833333334763605+0.0000218347742258545i</v>
      </c>
      <c r="AR30" s="170" t="str">
        <f t="shared" si="31"/>
        <v>0.999599997598104-0.0000261912482715105i</v>
      </c>
    </row>
    <row r="31" spans="1:44">
      <c r="A31" s="170" t="s">
        <v>745</v>
      </c>
      <c r="B31" s="714">
        <v>600</v>
      </c>
      <c r="C31" s="170" t="s">
        <v>753</v>
      </c>
      <c r="D31" s="708">
        <f>B31*0.000001</f>
        <v>5.9999999999999995E-4</v>
      </c>
      <c r="E31" s="170" t="s">
        <v>754</v>
      </c>
      <c r="G31" s="688">
        <v>5.2481</v>
      </c>
      <c r="H31" s="676">
        <f t="shared" si="23"/>
        <v>5.2481000000000003E-3</v>
      </c>
      <c r="I31" s="677">
        <f t="shared" si="0"/>
        <v>1.0008947028688198</v>
      </c>
      <c r="J31" s="678">
        <f t="shared" si="1"/>
        <v>4.2285607481443922E-2</v>
      </c>
      <c r="K31" s="678">
        <f t="shared" si="2"/>
        <v>1.0000000000263136</v>
      </c>
      <c r="L31" s="679">
        <f t="shared" si="3"/>
        <v>7.2544526499173395E-6</v>
      </c>
      <c r="M31" s="678">
        <f t="shared" si="4"/>
        <v>1.0000000003851359</v>
      </c>
      <c r="N31" s="679">
        <f t="shared" si="5"/>
        <v>-2.7753777176756761E-5</v>
      </c>
      <c r="O31" s="677">
        <f t="shared" si="6"/>
        <v>217.63587692879409</v>
      </c>
      <c r="P31" s="680">
        <f t="shared" si="7"/>
        <v>1.5662014799668371</v>
      </c>
      <c r="Q31" s="689">
        <f t="shared" si="8"/>
        <v>1.0000378907820855</v>
      </c>
      <c r="R31" s="690">
        <f t="shared" si="9"/>
        <v>8.7051232843783164E-3</v>
      </c>
      <c r="S31" s="677">
        <f t="shared" si="10"/>
        <v>1.0000000007828822</v>
      </c>
      <c r="T31" s="680">
        <f t="shared" si="11"/>
        <v>3.9569741706863713E-5</v>
      </c>
      <c r="U31" s="681">
        <f t="shared" si="24"/>
        <v>0.99959999666534483</v>
      </c>
      <c r="V31" s="682">
        <f t="shared" si="25"/>
        <v>-1.0055419544130034E-4</v>
      </c>
      <c r="W31" s="683">
        <f t="shared" si="12"/>
        <v>58.815984811696779</v>
      </c>
      <c r="X31" s="684">
        <f t="shared" si="13"/>
        <v>-91.669957827474533</v>
      </c>
      <c r="Y31" s="687">
        <f t="shared" si="14"/>
        <v>88.330042172525467</v>
      </c>
      <c r="AA31" s="170">
        <f t="shared" si="15"/>
        <v>1000000000</v>
      </c>
      <c r="AB31" s="170">
        <f t="shared" si="16"/>
        <v>27.542553609999999</v>
      </c>
      <c r="AD31" s="686">
        <f t="shared" si="17"/>
        <v>58.351169410510025</v>
      </c>
      <c r="AE31" s="687">
        <f t="shared" si="18"/>
        <v>-89.240235126075234</v>
      </c>
      <c r="AG31" s="686">
        <f t="shared" si="19"/>
        <v>38.748042608636659</v>
      </c>
      <c r="AH31" s="687">
        <f t="shared" si="20"/>
        <v>-2.4182000393638883</v>
      </c>
      <c r="AJ31" s="170">
        <f t="shared" si="21"/>
        <v>0</v>
      </c>
      <c r="AK31" s="170">
        <f t="shared" si="22"/>
        <v>0</v>
      </c>
      <c r="AM31" s="170" t="str">
        <f t="shared" si="26"/>
        <v>1.03174959686925E-08+0.000143648845933271i</v>
      </c>
      <c r="AN31" s="170" t="str">
        <f t="shared" si="27"/>
        <v>0.000143648846427303i</v>
      </c>
      <c r="AO31" s="170" t="str">
        <f t="shared" si="28"/>
        <v>0.999999996560835-0.0000718244261983261i</v>
      </c>
      <c r="AP31" s="170" t="str">
        <f t="shared" si="29"/>
        <v>0.166666664947084-0.0000239414743222118i</v>
      </c>
      <c r="AQ31" s="170" t="str">
        <f t="shared" si="30"/>
        <v>0.833333335052916+0.0000239414743222118i</v>
      </c>
      <c r="AR31" s="170" t="str">
        <f t="shared" si="31"/>
        <v>0.999599997112257-0.0000287182771367552i</v>
      </c>
    </row>
    <row r="32" spans="1:44">
      <c r="A32" s="170" t="s">
        <v>741</v>
      </c>
      <c r="B32" s="714">
        <v>300</v>
      </c>
      <c r="C32" s="706" t="s">
        <v>747</v>
      </c>
      <c r="D32" s="708">
        <f>B32*1000000</f>
        <v>300000000</v>
      </c>
      <c r="E32" s="706" t="s">
        <v>45</v>
      </c>
      <c r="G32" s="688">
        <v>5.7544000000000004</v>
      </c>
      <c r="H32" s="676">
        <f t="shared" si="23"/>
        <v>5.7544000000000007E-3</v>
      </c>
      <c r="I32" s="677">
        <f t="shared" si="0"/>
        <v>1.0010755620427594</v>
      </c>
      <c r="J32" s="678">
        <f t="shared" si="1"/>
        <v>4.6359441296013222E-2</v>
      </c>
      <c r="K32" s="678">
        <f t="shared" si="2"/>
        <v>1.0000000000316356</v>
      </c>
      <c r="L32" s="679">
        <f t="shared" si="3"/>
        <v>7.9543115277026403E-6</v>
      </c>
      <c r="M32" s="678">
        <f t="shared" si="4"/>
        <v>1.0000000004630309</v>
      </c>
      <c r="N32" s="679">
        <f t="shared" si="5"/>
        <v>-3.043126757829225E-5</v>
      </c>
      <c r="O32" s="677">
        <f t="shared" si="6"/>
        <v>238.63144112662681</v>
      </c>
      <c r="P32" s="680">
        <f t="shared" si="7"/>
        <v>1.5666057518978735</v>
      </c>
      <c r="Q32" s="689">
        <f t="shared" si="8"/>
        <v>1.0000455541341657</v>
      </c>
      <c r="R32" s="690">
        <f t="shared" si="9"/>
        <v>9.5448839612682496E-3</v>
      </c>
      <c r="S32" s="677">
        <f t="shared" si="10"/>
        <v>1.0000000009412224</v>
      </c>
      <c r="T32" s="680">
        <f t="shared" si="11"/>
        <v>4.3387153761159373E-5</v>
      </c>
      <c r="U32" s="681">
        <f t="shared" si="24"/>
        <v>0.99959999599089977</v>
      </c>
      <c r="V32" s="682">
        <f t="shared" si="25"/>
        <v>-1.1025496041739621E-4</v>
      </c>
      <c r="W32" s="683">
        <f t="shared" si="12"/>
        <v>58.01453850207438</v>
      </c>
      <c r="X32" s="684">
        <f t="shared" si="13"/>
        <v>-91.879307488993689</v>
      </c>
      <c r="Y32" s="687">
        <f t="shared" si="14"/>
        <v>88.120692511006311</v>
      </c>
      <c r="AA32" s="170">
        <f t="shared" si="15"/>
        <v>1000000000</v>
      </c>
      <c r="AB32" s="170">
        <f t="shared" si="16"/>
        <v>33.113119360000006</v>
      </c>
      <c r="AD32" s="686">
        <f t="shared" si="17"/>
        <v>57.551292482810453</v>
      </c>
      <c r="AE32" s="687">
        <f t="shared" si="18"/>
        <v>-89.215502180483497</v>
      </c>
      <c r="AG32" s="686">
        <f t="shared" si="19"/>
        <v>38.746473238434838</v>
      </c>
      <c r="AH32" s="687">
        <f t="shared" si="20"/>
        <v>-2.6511710206911623</v>
      </c>
      <c r="AJ32" s="170">
        <f t="shared" si="21"/>
        <v>0</v>
      </c>
      <c r="AK32" s="170">
        <f t="shared" si="22"/>
        <v>0</v>
      </c>
      <c r="AM32" s="170" t="str">
        <f t="shared" si="26"/>
        <v>1.24042409677116E-08+0.000157507082270429i</v>
      </c>
      <c r="AN32" s="170" t="str">
        <f t="shared" si="27"/>
        <v>0.000157507082921681i</v>
      </c>
      <c r="AO32" s="170" t="str">
        <f t="shared" si="28"/>
        <v>0.999999995865253-0.0000787535438890675i</v>
      </c>
      <c r="AP32" s="170" t="str">
        <f t="shared" si="29"/>
        <v>0.166666664599293-0.0000262511803784048i</v>
      </c>
      <c r="AQ32" s="170" t="str">
        <f t="shared" si="30"/>
        <v>0.833333335400707+0.0000262511803784048i</v>
      </c>
      <c r="AR32" s="170" t="str">
        <f t="shared" si="31"/>
        <v>0.999599996528202-0.0000314888157000186i</v>
      </c>
    </row>
    <row r="33" spans="1:44">
      <c r="A33" s="170" t="s">
        <v>771</v>
      </c>
      <c r="B33" s="633">
        <f>RCS/1000</f>
        <v>0.02</v>
      </c>
      <c r="C33" s="706" t="s">
        <v>45</v>
      </c>
      <c r="D33" s="189"/>
      <c r="G33" s="688">
        <v>6.3095999999999997</v>
      </c>
      <c r="H33" s="676">
        <f t="shared" si="23"/>
        <v>6.3095999999999994E-3</v>
      </c>
      <c r="I33" s="677">
        <f t="shared" si="0"/>
        <v>1.0012929801112203</v>
      </c>
      <c r="J33" s="678">
        <f t="shared" si="1"/>
        <v>5.0824963984059626E-2</v>
      </c>
      <c r="K33" s="678">
        <f t="shared" si="2"/>
        <v>1.0000000000380345</v>
      </c>
      <c r="L33" s="679">
        <f t="shared" si="3"/>
        <v>8.7217649129324459E-6</v>
      </c>
      <c r="M33" s="678">
        <f t="shared" si="4"/>
        <v>1.0000000005566902</v>
      </c>
      <c r="N33" s="679">
        <f t="shared" si="5"/>
        <v>-3.3367358178090473E-5</v>
      </c>
      <c r="O33" s="677">
        <f t="shared" si="6"/>
        <v>261.65485831584613</v>
      </c>
      <c r="P33" s="680">
        <f t="shared" si="7"/>
        <v>1.5669744889706418</v>
      </c>
      <c r="Q33" s="689">
        <f t="shared" si="8"/>
        <v>1.0000547683121201</v>
      </c>
      <c r="R33" s="690">
        <f t="shared" si="9"/>
        <v>1.0465735769359785E-2</v>
      </c>
      <c r="S33" s="677">
        <f t="shared" si="10"/>
        <v>1.0000000011316077</v>
      </c>
      <c r="T33" s="680">
        <f t="shared" si="11"/>
        <v>4.7573263126766496E-5</v>
      </c>
      <c r="U33" s="681">
        <f t="shared" si="24"/>
        <v>0.9995999951799619</v>
      </c>
      <c r="V33" s="682">
        <f t="shared" si="25"/>
        <v>-1.2089265575242543E-4</v>
      </c>
      <c r="W33" s="683">
        <f t="shared" si="12"/>
        <v>57.212709508700414</v>
      </c>
      <c r="X33" s="684">
        <f t="shared" si="13"/>
        <v>-92.104502843660356</v>
      </c>
      <c r="Y33" s="687">
        <f t="shared" si="14"/>
        <v>87.895497156339644</v>
      </c>
      <c r="AA33" s="170">
        <f t="shared" si="15"/>
        <v>1000000000</v>
      </c>
      <c r="AB33" s="170">
        <f t="shared" si="16"/>
        <v>39.811052159999996</v>
      </c>
      <c r="AD33" s="686">
        <f t="shared" si="17"/>
        <v>56.751349731155116</v>
      </c>
      <c r="AE33" s="687">
        <f t="shared" si="18"/>
        <v>-89.184108182705856</v>
      </c>
      <c r="AG33" s="686">
        <f t="shared" si="19"/>
        <v>38.744587010809269</v>
      </c>
      <c r="AH33" s="687">
        <f t="shared" si="20"/>
        <v>-2.9065413830411857</v>
      </c>
      <c r="AJ33" s="170">
        <f t="shared" si="21"/>
        <v>0</v>
      </c>
      <c r="AK33" s="170">
        <f t="shared" si="22"/>
        <v>0</v>
      </c>
      <c r="AM33" s="170" t="str">
        <f t="shared" si="26"/>
        <v>1.4913300039332E-08+0.000172703789354637i</v>
      </c>
      <c r="AN33" s="170" t="str">
        <f t="shared" si="27"/>
        <v>0.000172703790213165i</v>
      </c>
      <c r="AO33" s="170" t="str">
        <f t="shared" si="28"/>
        <v>0.999999995028899-0.0000863518977836259i</v>
      </c>
      <c r="AP33" s="170" t="str">
        <f t="shared" si="29"/>
        <v>0.166666664181117-0.0000287839648924395i</v>
      </c>
      <c r="AQ33" s="170" t="str">
        <f t="shared" si="30"/>
        <v>0.833333335818883+0.0000287839648924395i</v>
      </c>
      <c r="AR33" s="170" t="str">
        <f t="shared" si="31"/>
        <v>0.999599995825947-0.0000345269413206219i</v>
      </c>
    </row>
    <row r="34" spans="1:44">
      <c r="A34" s="170" t="s">
        <v>752</v>
      </c>
      <c r="B34" s="715">
        <f>10*B33</f>
        <v>0.2</v>
      </c>
      <c r="C34" s="706" t="s">
        <v>45</v>
      </c>
      <c r="D34" s="189"/>
      <c r="E34" s="706"/>
      <c r="G34" s="688">
        <v>6.9183000000000003</v>
      </c>
      <c r="H34" s="676">
        <f t="shared" si="23"/>
        <v>6.9183000000000005E-3</v>
      </c>
      <c r="I34" s="677">
        <f t="shared" si="0"/>
        <v>1.0015542836157036</v>
      </c>
      <c r="J34" s="678">
        <f t="shared" si="1"/>
        <v>5.5718455067755711E-2</v>
      </c>
      <c r="K34" s="678">
        <f t="shared" si="2"/>
        <v>1.000000000045727</v>
      </c>
      <c r="L34" s="679">
        <f t="shared" si="3"/>
        <v>9.5631713891262694E-6</v>
      </c>
      <c r="M34" s="678">
        <f t="shared" si="4"/>
        <v>1.0000000006692813</v>
      </c>
      <c r="N34" s="679">
        <f t="shared" si="5"/>
        <v>-3.6586375375008866E-5</v>
      </c>
      <c r="O34" s="677">
        <f t="shared" si="6"/>
        <v>286.89688447426761</v>
      </c>
      <c r="P34" s="680">
        <f t="shared" si="7"/>
        <v>1.5673107468566088</v>
      </c>
      <c r="Q34" s="689">
        <f t="shared" si="8"/>
        <v>1.0000658448900821</v>
      </c>
      <c r="R34" s="690">
        <f t="shared" si="9"/>
        <v>1.1475301941743558E-2</v>
      </c>
      <c r="S34" s="677">
        <f t="shared" si="10"/>
        <v>1.0000000013604764</v>
      </c>
      <c r="T34" s="680">
        <f t="shared" si="11"/>
        <v>5.2162752985877223E-5</v>
      </c>
      <c r="U34" s="681">
        <f t="shared" si="24"/>
        <v>0.99959999420510426</v>
      </c>
      <c r="V34" s="682">
        <f t="shared" si="25"/>
        <v>-1.3255541178315691E-4</v>
      </c>
      <c r="W34" s="683">
        <f t="shared" si="12"/>
        <v>56.410598694179569</v>
      </c>
      <c r="X34" s="684">
        <f t="shared" si="13"/>
        <v>-92.347368919152402</v>
      </c>
      <c r="Y34" s="687">
        <f t="shared" si="14"/>
        <v>87.652631080847598</v>
      </c>
      <c r="AA34" s="170">
        <f t="shared" si="15"/>
        <v>1000000000</v>
      </c>
      <c r="AB34" s="170">
        <f t="shared" si="16"/>
        <v>47.862874890000008</v>
      </c>
      <c r="AD34" s="686">
        <f t="shared" si="17"/>
        <v>55.95150535091777</v>
      </c>
      <c r="AE34" s="687">
        <f t="shared" si="18"/>
        <v>-89.145793417938251</v>
      </c>
      <c r="AG34" s="686">
        <f t="shared" si="19"/>
        <v>38.742320593467568</v>
      </c>
      <c r="AH34" s="687">
        <f t="shared" si="20"/>
        <v>-3.1863857699032105</v>
      </c>
      <c r="AJ34" s="170">
        <f t="shared" si="21"/>
        <v>0</v>
      </c>
      <c r="AK34" s="170">
        <f t="shared" si="22"/>
        <v>0</v>
      </c>
      <c r="AM34" s="170" t="str">
        <f t="shared" si="26"/>
        <v>1.79295279734148E-08+0.000189364876488352i</v>
      </c>
      <c r="AN34" s="170" t="str">
        <f t="shared" si="27"/>
        <v>0.000189364877620093i</v>
      </c>
      <c r="AO34" s="170" t="str">
        <f t="shared" si="28"/>
        <v>0.99999999402349-0.000094682436356468i</v>
      </c>
      <c r="AP34" s="170" t="str">
        <f t="shared" si="29"/>
        <v>0.166666663678412-0.0000315608127480587i</v>
      </c>
      <c r="AQ34" s="170" t="str">
        <f t="shared" si="30"/>
        <v>0.833333336321588+0.0000315608127480587i</v>
      </c>
      <c r="AR34" s="170" t="str">
        <f t="shared" si="31"/>
        <v>0.99959999498174-0.0000378578257817404i</v>
      </c>
    </row>
    <row r="35" spans="1:44">
      <c r="B35" s="633"/>
      <c r="D35" s="189"/>
      <c r="G35" s="688">
        <v>7.5857999999999999</v>
      </c>
      <c r="H35" s="676">
        <f t="shared" si="23"/>
        <v>7.5858000000000002E-3</v>
      </c>
      <c r="I35" s="677">
        <f t="shared" si="0"/>
        <v>1.001868383902623</v>
      </c>
      <c r="J35" s="678">
        <f t="shared" si="1"/>
        <v>6.1081576346274667E-2</v>
      </c>
      <c r="K35" s="678">
        <f t="shared" si="2"/>
        <v>1.0000000000549765</v>
      </c>
      <c r="L35" s="679">
        <f t="shared" si="3"/>
        <v>1.0485857150338482E-5</v>
      </c>
      <c r="M35" s="678">
        <f t="shared" si="4"/>
        <v>1.0000000008046606</v>
      </c>
      <c r="N35" s="679">
        <f t="shared" si="5"/>
        <v>-4.0116347411169467E-5</v>
      </c>
      <c r="O35" s="677">
        <f t="shared" si="6"/>
        <v>314.57730396013636</v>
      </c>
      <c r="P35" s="680">
        <f t="shared" si="7"/>
        <v>1.5676174525670992</v>
      </c>
      <c r="Q35" s="689">
        <f t="shared" si="8"/>
        <v>1.0000791631707298</v>
      </c>
      <c r="R35" s="690">
        <f t="shared" si="9"/>
        <v>1.2582364542704521E-2</v>
      </c>
      <c r="S35" s="677">
        <f t="shared" si="10"/>
        <v>1.0000000016356674</v>
      </c>
      <c r="T35" s="680">
        <f t="shared" si="11"/>
        <v>5.7195584396119377E-5</v>
      </c>
      <c r="U35" s="681">
        <f t="shared" si="24"/>
        <v>0.99959999303293823</v>
      </c>
      <c r="V35" s="682">
        <f t="shared" si="25"/>
        <v>-1.4534479165374237E-4</v>
      </c>
      <c r="W35" s="683">
        <f t="shared" si="12"/>
        <v>55.607959696955163</v>
      </c>
      <c r="X35" s="684">
        <f t="shared" si="13"/>
        <v>-92.609966585787745</v>
      </c>
      <c r="Y35" s="687">
        <f t="shared" si="14"/>
        <v>87.390033414212255</v>
      </c>
      <c r="AA35" s="170">
        <f t="shared" si="15"/>
        <v>1000000000</v>
      </c>
      <c r="AB35" s="170">
        <f t="shared" si="16"/>
        <v>57.544361639999998</v>
      </c>
      <c r="AD35" s="686">
        <f t="shared" si="17"/>
        <v>55.151589942118804</v>
      </c>
      <c r="AE35" s="687">
        <f t="shared" si="18"/>
        <v>-89.100224705956805</v>
      </c>
      <c r="AG35" s="686">
        <f t="shared" si="19"/>
        <v>38.739597025412891</v>
      </c>
      <c r="AH35" s="687">
        <f t="shared" si="20"/>
        <v>-3.4930865935399722</v>
      </c>
      <c r="AJ35" s="170">
        <f t="shared" si="21"/>
        <v>0</v>
      </c>
      <c r="AK35" s="170">
        <f t="shared" si="22"/>
        <v>0</v>
      </c>
      <c r="AM35" s="170" t="str">
        <f t="shared" si="26"/>
        <v>2.1556233020803E-08+0.000207635413082516i</v>
      </c>
      <c r="AN35" s="170" t="str">
        <f t="shared" si="27"/>
        <v>0.000207635414574462i</v>
      </c>
      <c r="AO35" s="170" t="str">
        <f t="shared" si="28"/>
        <v>0.999999992814588-0.000103817708867157i</v>
      </c>
      <c r="AP35" s="170" t="str">
        <f t="shared" si="29"/>
        <v>0.166666663073961-0.0000346059021804193i</v>
      </c>
      <c r="AQ35" s="170" t="str">
        <f t="shared" si="30"/>
        <v>0.833333336926039+0.0000346059021804193i</v>
      </c>
      <c r="AR35" s="170" t="str">
        <f t="shared" si="31"/>
        <v>0.999599993966669-0.000041510471353948i</v>
      </c>
    </row>
    <row r="36" spans="1:44">
      <c r="B36" s="633"/>
      <c r="D36" s="189"/>
      <c r="G36" s="688">
        <v>8.3176000000000005</v>
      </c>
      <c r="H36" s="676">
        <f t="shared" si="23"/>
        <v>8.3176000000000014E-3</v>
      </c>
      <c r="I36" s="677">
        <f t="shared" si="0"/>
        <v>1.002245833337553</v>
      </c>
      <c r="J36" s="678">
        <f t="shared" si="1"/>
        <v>6.6957273502375986E-2</v>
      </c>
      <c r="K36" s="678">
        <f t="shared" si="2"/>
        <v>1.0000000000660954</v>
      </c>
      <c r="L36" s="679">
        <f t="shared" si="3"/>
        <v>1.1497424850774981E-5</v>
      </c>
      <c r="M36" s="678">
        <f t="shared" si="4"/>
        <v>1.0000000009673999</v>
      </c>
      <c r="N36" s="679">
        <f t="shared" si="5"/>
        <v>-4.3986360198125736E-5</v>
      </c>
      <c r="O36" s="677">
        <f t="shared" si="6"/>
        <v>344.92419513536737</v>
      </c>
      <c r="P36" s="680">
        <f t="shared" si="7"/>
        <v>1.5678971349869852</v>
      </c>
      <c r="Q36" s="689">
        <f t="shared" si="8"/>
        <v>1.0000951728313778</v>
      </c>
      <c r="R36" s="690">
        <f t="shared" si="9"/>
        <v>1.3796034485872131E-2</v>
      </c>
      <c r="S36" s="677">
        <f t="shared" si="10"/>
        <v>1.0000000019664743</v>
      </c>
      <c r="T36" s="680">
        <f t="shared" si="11"/>
        <v>6.2713226379320042E-5</v>
      </c>
      <c r="U36" s="681">
        <f t="shared" si="24"/>
        <v>0.99959999162388091</v>
      </c>
      <c r="V36" s="682">
        <f t="shared" si="25"/>
        <v>-1.5936616020751273E-4</v>
      </c>
      <c r="W36" s="683">
        <f t="shared" si="12"/>
        <v>54.804901505423985</v>
      </c>
      <c r="X36" s="684">
        <f t="shared" si="13"/>
        <v>-92.894388971331523</v>
      </c>
      <c r="Y36" s="687">
        <f t="shared" si="14"/>
        <v>87.105611028668477</v>
      </c>
      <c r="AA36" s="170">
        <f t="shared" si="15"/>
        <v>1000000000</v>
      </c>
      <c r="AB36" s="170">
        <f t="shared" si="16"/>
        <v>69.182469760000004</v>
      </c>
      <c r="AD36" s="686">
        <f t="shared" si="17"/>
        <v>54.351803515142848</v>
      </c>
      <c r="AE36" s="687">
        <f t="shared" si="18"/>
        <v>-89.047027300292612</v>
      </c>
      <c r="AG36" s="686">
        <f t="shared" si="19"/>
        <v>38.736325285345295</v>
      </c>
      <c r="AH36" s="687">
        <f t="shared" si="20"/>
        <v>-3.8290996542638487</v>
      </c>
      <c r="AJ36" s="170">
        <f t="shared" si="21"/>
        <v>0</v>
      </c>
      <c r="AK36" s="170">
        <f t="shared" si="22"/>
        <v>0</v>
      </c>
      <c r="AM36" s="170" t="str">
        <f t="shared" si="26"/>
        <v>2.59158909887702E-08+0.000227665942859736i</v>
      </c>
      <c r="AN36" s="170" t="str">
        <f t="shared" si="27"/>
        <v>0.000227665944826458i</v>
      </c>
      <c r="AO36" s="170" t="str">
        <f t="shared" si="28"/>
        <v>0.999999991361369-0.000113832971411359i</v>
      </c>
      <c r="AP36" s="170" t="str">
        <f t="shared" si="29"/>
        <v>0.166666662347352-0.000037944323809956i</v>
      </c>
      <c r="AQ36" s="170" t="str">
        <f t="shared" si="30"/>
        <v>0.833333337652648+0.000037944323809956i</v>
      </c>
      <c r="AR36" s="170" t="str">
        <f t="shared" si="31"/>
        <v>0.999599992746454-0.0000455149747303291i</v>
      </c>
    </row>
    <row r="37" spans="1:44">
      <c r="A37" s="189" t="s">
        <v>743</v>
      </c>
      <c r="B37" s="714">
        <f>'Design Converter'!E60*0.001</f>
        <v>1.2E-2</v>
      </c>
      <c r="C37" s="706" t="s">
        <v>747</v>
      </c>
      <c r="D37" s="189">
        <f>B37*1000000</f>
        <v>12000</v>
      </c>
      <c r="E37" s="706" t="s">
        <v>45</v>
      </c>
      <c r="G37" s="688">
        <v>9.1201000000000008</v>
      </c>
      <c r="H37" s="676">
        <f t="shared" si="23"/>
        <v>9.1201000000000008E-3</v>
      </c>
      <c r="I37" s="677">
        <f t="shared" si="0"/>
        <v>1.0026994934222198</v>
      </c>
      <c r="J37" s="678">
        <f t="shared" si="1"/>
        <v>7.3395294913685183E-2</v>
      </c>
      <c r="K37" s="678">
        <f t="shared" si="2"/>
        <v>1.0000000000794647</v>
      </c>
      <c r="L37" s="679">
        <f t="shared" si="3"/>
        <v>1.260672121532874E-5</v>
      </c>
      <c r="M37" s="678">
        <f t="shared" si="4"/>
        <v>1.000000001163079</v>
      </c>
      <c r="N37" s="679">
        <f t="shared" si="5"/>
        <v>-4.8230259160165683E-5</v>
      </c>
      <c r="O37" s="677">
        <f t="shared" si="6"/>
        <v>378.20295852369134</v>
      </c>
      <c r="P37" s="680">
        <f t="shared" si="7"/>
        <v>1.5681522407488675</v>
      </c>
      <c r="Q37" s="689">
        <f t="shared" si="8"/>
        <v>1.000114422635999</v>
      </c>
      <c r="R37" s="690">
        <f t="shared" si="9"/>
        <v>1.5126911556200119E-2</v>
      </c>
      <c r="S37" s="677">
        <f t="shared" si="10"/>
        <v>1.0000000023642392</v>
      </c>
      <c r="T37" s="680">
        <f t="shared" si="11"/>
        <v>6.8763933797053088E-5</v>
      </c>
      <c r="U37" s="681">
        <f t="shared" si="24"/>
        <v>0.99959998992961541</v>
      </c>
      <c r="V37" s="682">
        <f t="shared" si="25"/>
        <v>-1.7474215033681833E-4</v>
      </c>
      <c r="W37" s="683">
        <f t="shared" si="12"/>
        <v>54.001112705763859</v>
      </c>
      <c r="X37" s="684">
        <f t="shared" si="13"/>
        <v>-93.203030530109487</v>
      </c>
      <c r="Y37" s="687">
        <f t="shared" si="14"/>
        <v>86.796969469890513</v>
      </c>
      <c r="AA37" s="170">
        <f t="shared" si="15"/>
        <v>1000000000</v>
      </c>
      <c r="AB37" s="170">
        <f t="shared" si="16"/>
        <v>83.176224010000013</v>
      </c>
      <c r="AD37" s="686">
        <f t="shared" si="17"/>
        <v>53.551945450532216</v>
      </c>
      <c r="AE37" s="687">
        <f t="shared" si="18"/>
        <v>-88.985736824525475</v>
      </c>
      <c r="AG37" s="686">
        <f t="shared" si="19"/>
        <v>38.732394579739996</v>
      </c>
      <c r="AH37" s="687">
        <f t="shared" si="20"/>
        <v>-4.1972697301264619</v>
      </c>
      <c r="AJ37" s="170">
        <f t="shared" si="21"/>
        <v>0</v>
      </c>
      <c r="AK37" s="170">
        <f t="shared" si="22"/>
        <v>0</v>
      </c>
      <c r="AM37" s="170" t="str">
        <f t="shared" si="26"/>
        <v>3.1157978974683E-08+0.000249631643965443i</v>
      </c>
      <c r="AN37" s="170" t="str">
        <f t="shared" si="27"/>
        <v>0.000249631646558116i</v>
      </c>
      <c r="AO37" s="170" t="str">
        <f t="shared" si="28"/>
        <v>0.999999989614005-0.000124815821248165i</v>
      </c>
      <c r="AP37" s="170" t="str">
        <f t="shared" si="29"/>
        <v>0.16666666147367-0.0000416052739942405i</v>
      </c>
      <c r="AQ37" s="170" t="str">
        <f t="shared" si="30"/>
        <v>0.83333333852633+0.0000416052739942405i</v>
      </c>
      <c r="AR37" s="170" t="str">
        <f t="shared" si="31"/>
        <v>0.999599991279256-0.0000499063575151804i</v>
      </c>
    </row>
    <row r="38" spans="1:44">
      <c r="A38" s="189" t="s">
        <v>744</v>
      </c>
      <c r="B38" s="714">
        <f>'Design Converter'!E62*1000</f>
        <v>22000</v>
      </c>
      <c r="C38" s="170" t="s">
        <v>15</v>
      </c>
      <c r="D38" s="189">
        <f>B38*0.000000000001</f>
        <v>2.1999999999999998E-8</v>
      </c>
      <c r="E38" s="170" t="s">
        <v>13</v>
      </c>
      <c r="G38" s="688">
        <v>10</v>
      </c>
      <c r="H38" s="676">
        <f t="shared" si="23"/>
        <v>0.01</v>
      </c>
      <c r="I38" s="677">
        <f t="shared" si="0"/>
        <v>1.0032446277200848</v>
      </c>
      <c r="J38" s="678">
        <f t="shared" si="1"/>
        <v>8.0447236551575985E-2</v>
      </c>
      <c r="K38" s="678">
        <f t="shared" si="2"/>
        <v>1.0000000000955378</v>
      </c>
      <c r="L38" s="679">
        <f t="shared" si="3"/>
        <v>1.3823007659119586E-5</v>
      </c>
      <c r="M38" s="678">
        <f t="shared" si="4"/>
        <v>1.000000001398331</v>
      </c>
      <c r="N38" s="679">
        <f t="shared" si="5"/>
        <v>-5.2883476225700925E-5</v>
      </c>
      <c r="O38" s="677">
        <f t="shared" si="6"/>
        <v>414.69143551751449</v>
      </c>
      <c r="P38" s="680">
        <f t="shared" si="7"/>
        <v>1.56838489293463</v>
      </c>
      <c r="Q38" s="689">
        <f t="shared" si="8"/>
        <v>1.0001375649272986</v>
      </c>
      <c r="R38" s="690">
        <f t="shared" si="9"/>
        <v>1.65860880896395E-2</v>
      </c>
      <c r="S38" s="677">
        <f t="shared" si="10"/>
        <v>1.0000000028424461</v>
      </c>
      <c r="T38" s="680">
        <f t="shared" si="11"/>
        <v>7.5398223457123098E-5</v>
      </c>
      <c r="U38" s="681">
        <f t="shared" si="24"/>
        <v>0.99959998789271176</v>
      </c>
      <c r="V38" s="682">
        <f t="shared" si="25"/>
        <v>-1.9160113454017965E-4</v>
      </c>
      <c r="W38" s="683">
        <f t="shared" si="12"/>
        <v>53.196589840779467</v>
      </c>
      <c r="X38" s="684">
        <f t="shared" si="13"/>
        <v>-93.538345342182879</v>
      </c>
      <c r="Y38" s="687">
        <f t="shared" si="14"/>
        <v>86.461654657817121</v>
      </c>
      <c r="AA38" s="170">
        <f t="shared" si="15"/>
        <v>1000000000</v>
      </c>
      <c r="AB38" s="170">
        <f t="shared" si="16"/>
        <v>100</v>
      </c>
      <c r="AD38" s="686">
        <f t="shared" si="17"/>
        <v>52.752143546593906</v>
      </c>
      <c r="AE38" s="687">
        <f t="shared" si="18"/>
        <v>-88.915842272651275</v>
      </c>
      <c r="AG38" s="686">
        <f t="shared" si="19"/>
        <v>38.727673654092698</v>
      </c>
      <c r="AH38" s="687">
        <f t="shared" si="20"/>
        <v>-4.600547196788364</v>
      </c>
      <c r="AJ38" s="170">
        <f t="shared" si="21"/>
        <v>0</v>
      </c>
      <c r="AK38" s="170">
        <f t="shared" si="22"/>
        <v>0</v>
      </c>
      <c r="AM38" s="170" t="str">
        <f t="shared" si="26"/>
        <v>3.74601990538181E-08+0.000273715906010934i</v>
      </c>
      <c r="AN38" s="170" t="str">
        <f t="shared" si="27"/>
        <v>0.000273715909428752i</v>
      </c>
      <c r="AO38" s="170" t="str">
        <f t="shared" si="28"/>
        <v>0.999999987513265-0.000136857952948361i</v>
      </c>
      <c r="AP38" s="170" t="str">
        <f t="shared" si="29"/>
        <v>0.1666666604233-0.000045619317668489i</v>
      </c>
      <c r="AQ38" s="170" t="str">
        <f t="shared" si="30"/>
        <v>0.8333333395767+0.000045619317668489i</v>
      </c>
      <c r="AR38" s="170" t="str">
        <f t="shared" si="31"/>
        <v>0.99959998951534-0.0000547212829457682i</v>
      </c>
    </row>
    <row r="39" spans="1:44">
      <c r="A39" s="189" t="s">
        <v>750</v>
      </c>
      <c r="B39" s="714">
        <f>'Design Converter'!E64</f>
        <v>100</v>
      </c>
      <c r="C39" s="170" t="s">
        <v>15</v>
      </c>
      <c r="D39" s="189">
        <f>B39*0.000000000001</f>
        <v>1E-10</v>
      </c>
      <c r="E39" s="170" t="s">
        <v>13</v>
      </c>
      <c r="G39" s="688">
        <v>10.965</v>
      </c>
      <c r="H39" s="676">
        <f t="shared" si="23"/>
        <v>1.0964999999999999E-2</v>
      </c>
      <c r="I39" s="677">
        <f t="shared" si="0"/>
        <v>1.0038997802482124</v>
      </c>
      <c r="J39" s="678">
        <f t="shared" si="1"/>
        <v>8.8171976377310557E-2</v>
      </c>
      <c r="K39" s="678">
        <f t="shared" si="2"/>
        <v>1.0000000001148663</v>
      </c>
      <c r="L39" s="679">
        <f t="shared" si="3"/>
        <v>1.5156927898029319E-5</v>
      </c>
      <c r="M39" s="678">
        <f t="shared" si="4"/>
        <v>1.0000000016812305</v>
      </c>
      <c r="N39" s="679">
        <f t="shared" si="5"/>
        <v>-5.7986731670544786E-5</v>
      </c>
      <c r="O39" s="677">
        <f t="shared" si="6"/>
        <v>454.70893658154534</v>
      </c>
      <c r="P39" s="680">
        <f t="shared" si="7"/>
        <v>1.5685971159907142</v>
      </c>
      <c r="Q39" s="689">
        <f t="shared" si="8"/>
        <v>1.0001653936960684</v>
      </c>
      <c r="R39" s="690">
        <f t="shared" si="9"/>
        <v>1.8186308222925343E-2</v>
      </c>
      <c r="S39" s="677">
        <f t="shared" si="10"/>
        <v>1.0000000034175076</v>
      </c>
      <c r="T39" s="680">
        <f t="shared" si="11"/>
        <v>8.2674151989040319E-5</v>
      </c>
      <c r="U39" s="681">
        <f t="shared" si="24"/>
        <v>0.99959998544326112</v>
      </c>
      <c r="V39" s="682">
        <f t="shared" si="25"/>
        <v>-2.1009064318583528E-4</v>
      </c>
      <c r="W39" s="683">
        <f t="shared" si="12"/>
        <v>52.390992700181521</v>
      </c>
      <c r="X39" s="684">
        <f t="shared" si="13"/>
        <v>-93.903106175757173</v>
      </c>
      <c r="Y39" s="687">
        <f t="shared" si="14"/>
        <v>86.096893824242827</v>
      </c>
      <c r="AA39" s="170">
        <f t="shared" si="15"/>
        <v>1000000000</v>
      </c>
      <c r="AB39" s="170">
        <f t="shared" si="16"/>
        <v>120.23122499999999</v>
      </c>
      <c r="AD39" s="686">
        <f t="shared" si="17"/>
        <v>51.952216751847146</v>
      </c>
      <c r="AE39" s="687">
        <f t="shared" si="18"/>
        <v>-88.836732778057637</v>
      </c>
      <c r="AG39" s="686">
        <f t="shared" si="19"/>
        <v>38.722003350809864</v>
      </c>
      <c r="AH39" s="687">
        <f t="shared" si="20"/>
        <v>-5.0422987833325559</v>
      </c>
      <c r="AJ39" s="170">
        <f t="shared" si="21"/>
        <v>0</v>
      </c>
      <c r="AK39" s="170">
        <f t="shared" si="22"/>
        <v>0</v>
      </c>
      <c r="AM39" s="170" t="str">
        <f t="shared" si="26"/>
        <v>4.50388559780635E-08+0.000300129490182796i</v>
      </c>
      <c r="AN39" s="170" t="str">
        <f t="shared" si="27"/>
        <v>0.000300129494688626i</v>
      </c>
      <c r="AO39" s="170" t="str">
        <f t="shared" si="28"/>
        <v>0.999999984987047-0.000150064744635611i</v>
      </c>
      <c r="AP39" s="170" t="str">
        <f t="shared" si="29"/>
        <v>0.166666659160191-0.0000500215816971327i</v>
      </c>
      <c r="AQ39" s="170" t="str">
        <f t="shared" si="30"/>
        <v>0.833333340839809+0.0000500215816971327i</v>
      </c>
      <c r="AR39" s="170" t="str">
        <f t="shared" si="31"/>
        <v>0.999599987394165-0.0000600018863801848i</v>
      </c>
    </row>
    <row r="40" spans="1:44">
      <c r="B40" s="633"/>
      <c r="D40" s="189"/>
      <c r="G40" s="688">
        <v>12.023</v>
      </c>
      <c r="H40" s="676">
        <f t="shared" si="23"/>
        <v>1.2022999999999999E-2</v>
      </c>
      <c r="I40" s="677">
        <f t="shared" si="0"/>
        <v>1.0046868172605574</v>
      </c>
      <c r="J40" s="678">
        <f t="shared" si="1"/>
        <v>9.6629032489390296E-2</v>
      </c>
      <c r="K40" s="678">
        <f t="shared" si="2"/>
        <v>1.0000000001381024</v>
      </c>
      <c r="L40" s="679">
        <f t="shared" si="3"/>
        <v>1.661940210808788E-5</v>
      </c>
      <c r="M40" s="678">
        <f t="shared" si="4"/>
        <v>1.0000000020213229</v>
      </c>
      <c r="N40" s="679">
        <f t="shared" si="5"/>
        <v>-6.3581803439752933E-5</v>
      </c>
      <c r="O40" s="677">
        <f t="shared" si="6"/>
        <v>498.58306613146993</v>
      </c>
      <c r="P40" s="680">
        <f t="shared" si="7"/>
        <v>1.5687906416074282</v>
      </c>
      <c r="Q40" s="689">
        <f t="shared" si="8"/>
        <v>1.0001988474889045</v>
      </c>
      <c r="R40" s="690">
        <f t="shared" si="9"/>
        <v>1.9940639118383039E-2</v>
      </c>
      <c r="S40" s="677">
        <f t="shared" si="10"/>
        <v>1.0000000041088275</v>
      </c>
      <c r="T40" s="680">
        <f t="shared" si="11"/>
        <v>9.0651283985966345E-5</v>
      </c>
      <c r="U40" s="681">
        <f t="shared" si="24"/>
        <v>0.9995999824986127</v>
      </c>
      <c r="V40" s="682">
        <f t="shared" si="25"/>
        <v>-2.3036204351570107E-4</v>
      </c>
      <c r="W40" s="683">
        <f t="shared" si="12"/>
        <v>51.584395614043679</v>
      </c>
      <c r="X40" s="684">
        <f t="shared" si="13"/>
        <v>-94.300087545502876</v>
      </c>
      <c r="Y40" s="687">
        <f t="shared" si="14"/>
        <v>85.699912454497124</v>
      </c>
      <c r="AA40" s="170">
        <f t="shared" si="15"/>
        <v>1000000000</v>
      </c>
      <c r="AB40" s="170">
        <f t="shared" si="16"/>
        <v>144.55252899999999</v>
      </c>
      <c r="AD40" s="686">
        <f t="shared" si="17"/>
        <v>51.15242658109571</v>
      </c>
      <c r="AE40" s="687">
        <f t="shared" si="18"/>
        <v>-88.74776227883828</v>
      </c>
      <c r="AG40" s="686">
        <f t="shared" si="19"/>
        <v>38.715196486597698</v>
      </c>
      <c r="AH40" s="687">
        <f t="shared" si="20"/>
        <v>-5.5259277209275117</v>
      </c>
      <c r="AJ40" s="170">
        <f t="shared" si="21"/>
        <v>0</v>
      </c>
      <c r="AK40" s="170">
        <f t="shared" si="22"/>
        <v>0</v>
      </c>
      <c r="AM40" s="170" t="str">
        <f t="shared" si="26"/>
        <v>5.41496649741902E-08+0.000329088631966175i</v>
      </c>
      <c r="AN40" s="170" t="str">
        <f t="shared" si="27"/>
        <v>0.000329088637906188i</v>
      </c>
      <c r="AO40" s="170" t="str">
        <f t="shared" si="28"/>
        <v>0.999999981950112-0.000164544316445305i</v>
      </c>
      <c r="AP40" s="170" t="str">
        <f t="shared" si="29"/>
        <v>0.166666657641723-0.0000548481053276958i</v>
      </c>
      <c r="AQ40" s="170" t="str">
        <f t="shared" si="30"/>
        <v>0.833333342358277+0.0000548481053276958i</v>
      </c>
      <c r="AR40" s="170" t="str">
        <f t="shared" si="31"/>
        <v>0.999599984844159-0.0000657913975926383i</v>
      </c>
    </row>
    <row r="41" spans="1:44" ht="13">
      <c r="A41" s="333" t="str">
        <f>V3</f>
        <v>Adc</v>
      </c>
      <c r="B41" s="170">
        <f>Adc</f>
        <v>190140.84507042254</v>
      </c>
      <c r="C41" s="170" t="str">
        <f>X3</f>
        <v>V/V</v>
      </c>
      <c r="D41" s="172">
        <f>10*LOG10(B41)</f>
        <v>52.790754197759313</v>
      </c>
      <c r="E41" s="170" t="s">
        <v>781</v>
      </c>
      <c r="G41" s="688">
        <v>13.183</v>
      </c>
      <c r="H41" s="676">
        <f t="shared" si="23"/>
        <v>1.3183E-2</v>
      </c>
      <c r="I41" s="677">
        <f t="shared" si="0"/>
        <v>1.0056321741785086</v>
      </c>
      <c r="J41" s="678">
        <f t="shared" si="1"/>
        <v>0.10588546753681188</v>
      </c>
      <c r="K41" s="678">
        <f t="shared" si="2"/>
        <v>1.0000000001660365</v>
      </c>
      <c r="L41" s="679">
        <f t="shared" si="3"/>
        <v>1.822287099616089E-5</v>
      </c>
      <c r="M41" s="678">
        <f t="shared" si="4"/>
        <v>1.0000000024301803</v>
      </c>
      <c r="N41" s="679">
        <f t="shared" si="5"/>
        <v>-6.9716286660383725E-5</v>
      </c>
      <c r="O41" s="677">
        <f t="shared" si="6"/>
        <v>546.68704454615818</v>
      </c>
      <c r="P41" s="680">
        <f t="shared" si="7"/>
        <v>1.5689671256685134</v>
      </c>
      <c r="Q41" s="689">
        <f t="shared" si="8"/>
        <v>1.0002390640039407</v>
      </c>
      <c r="R41" s="690">
        <f t="shared" si="9"/>
        <v>2.1863960634928958E-2</v>
      </c>
      <c r="S41" s="677">
        <f t="shared" si="10"/>
        <v>1.0000000049399294</v>
      </c>
      <c r="T41" s="680">
        <f t="shared" si="11"/>
        <v>9.9397477844535679E-5</v>
      </c>
      <c r="U41" s="681">
        <f t="shared" si="24"/>
        <v>0.99959997895856834</v>
      </c>
      <c r="V41" s="682">
        <f t="shared" si="25"/>
        <v>-2.5258777601367809E-4</v>
      </c>
      <c r="W41" s="683">
        <f t="shared" si="12"/>
        <v>50.776550541556922</v>
      </c>
      <c r="X41" s="684">
        <f t="shared" si="13"/>
        <v>-94.732389962519605</v>
      </c>
      <c r="Y41" s="687">
        <f t="shared" si="14"/>
        <v>85.267610037480395</v>
      </c>
      <c r="AA41" s="170">
        <f t="shared" si="15"/>
        <v>1000000000</v>
      </c>
      <c r="AB41" s="170">
        <f t="shared" si="16"/>
        <v>173.79148899999998</v>
      </c>
      <c r="AD41" s="686">
        <f t="shared" si="17"/>
        <v>50.352750653509936</v>
      </c>
      <c r="AE41" s="687">
        <f t="shared" si="18"/>
        <v>-88.648176985026112</v>
      </c>
      <c r="AG41" s="686">
        <f t="shared" si="19"/>
        <v>38.707027403218206</v>
      </c>
      <c r="AH41" s="687">
        <f t="shared" si="20"/>
        <v>-6.0552685504160557</v>
      </c>
      <c r="AJ41" s="170">
        <f t="shared" si="21"/>
        <v>0</v>
      </c>
      <c r="AK41" s="170">
        <f t="shared" si="22"/>
        <v>0</v>
      </c>
      <c r="AM41" s="170" t="str">
        <f t="shared" si="26"/>
        <v>6.51026379472341E-08+0.000360839675569385i</v>
      </c>
      <c r="AN41" s="170" t="str">
        <f t="shared" si="27"/>
        <v>0.000360839683399923i</v>
      </c>
      <c r="AO41" s="170" t="str">
        <f t="shared" si="28"/>
        <v>0.999999978299122-0.00018041984000712i</v>
      </c>
      <c r="AP41" s="170" t="str">
        <f t="shared" si="29"/>
        <v>0.166666655816227-0.0000601399459282308i</v>
      </c>
      <c r="AQ41" s="170" t="str">
        <f t="shared" si="30"/>
        <v>0.833333344183773+0.0000601399459282308i</v>
      </c>
      <c r="AR41" s="170" t="str">
        <f t="shared" si="31"/>
        <v>0.999599981778553-0.0000721390656855385i</v>
      </c>
    </row>
    <row r="42" spans="1:44" ht="13">
      <c r="A42" s="333" t="str">
        <f>V4</f>
        <v>Crossover</v>
      </c>
      <c r="B42" s="332">
        <f>W4</f>
        <v>1</v>
      </c>
      <c r="C42" s="170" t="str">
        <f>X4</f>
        <v>kHz</v>
      </c>
      <c r="G42" s="688">
        <v>14.454000000000001</v>
      </c>
      <c r="H42" s="676">
        <f t="shared" si="23"/>
        <v>1.4454E-2</v>
      </c>
      <c r="I42" s="677">
        <f t="shared" si="0"/>
        <v>1.0067667179096158</v>
      </c>
      <c r="J42" s="678">
        <f t="shared" si="1"/>
        <v>0.11600672298686454</v>
      </c>
      <c r="K42" s="678">
        <f t="shared" si="2"/>
        <v>1.0000000001995957</v>
      </c>
      <c r="L42" s="679">
        <f t="shared" si="3"/>
        <v>1.9979775269105413E-5</v>
      </c>
      <c r="M42" s="678">
        <f t="shared" si="4"/>
        <v>1.0000000029213667</v>
      </c>
      <c r="N42" s="679">
        <f t="shared" si="5"/>
        <v>-7.6437776459016481E-5</v>
      </c>
      <c r="O42" s="677">
        <f t="shared" si="6"/>
        <v>599.39409232922299</v>
      </c>
      <c r="P42" s="680">
        <f t="shared" si="7"/>
        <v>1.5691279745760516</v>
      </c>
      <c r="Q42" s="689">
        <f t="shared" si="8"/>
        <v>1.0002873765297005</v>
      </c>
      <c r="R42" s="690">
        <f t="shared" si="9"/>
        <v>2.3971137875155993E-2</v>
      </c>
      <c r="S42" s="677">
        <f t="shared" si="10"/>
        <v>1.0000000059383847</v>
      </c>
      <c r="T42" s="680">
        <f t="shared" si="11"/>
        <v>1.0898059195999424E-4</v>
      </c>
      <c r="U42" s="681">
        <f t="shared" si="24"/>
        <v>0.99959997470568573</v>
      </c>
      <c r="V42" s="682">
        <f t="shared" si="25"/>
        <v>-2.7694027914453869E-4</v>
      </c>
      <c r="W42" s="683">
        <f t="shared" si="12"/>
        <v>49.967702697987178</v>
      </c>
      <c r="X42" s="684">
        <f t="shared" si="13"/>
        <v>-95.203007602150393</v>
      </c>
      <c r="Y42" s="687">
        <f t="shared" si="14"/>
        <v>84.796992397849607</v>
      </c>
      <c r="AA42" s="170">
        <f t="shared" si="15"/>
        <v>1000000000</v>
      </c>
      <c r="AB42" s="170">
        <f t="shared" si="16"/>
        <v>208.91811600000003</v>
      </c>
      <c r="AD42" s="686">
        <f t="shared" si="17"/>
        <v>49.553696648844188</v>
      </c>
      <c r="AE42" s="687">
        <f t="shared" si="18"/>
        <v>-88.537209657882926</v>
      </c>
      <c r="AG42" s="686">
        <f t="shared" si="19"/>
        <v>38.697233638223921</v>
      </c>
      <c r="AH42" s="687">
        <f t="shared" si="20"/>
        <v>-6.6340629258868997</v>
      </c>
      <c r="AJ42" s="170">
        <f t="shared" si="21"/>
        <v>0</v>
      </c>
      <c r="AK42" s="170">
        <f t="shared" si="22"/>
        <v>0</v>
      </c>
      <c r="AM42" s="170" t="str">
        <f t="shared" si="26"/>
        <v>7.8261142011371E-08+0.000395628965167526i</v>
      </c>
      <c r="AN42" s="170" t="str">
        <f t="shared" si="27"/>
        <v>0.000395628975488318i</v>
      </c>
      <c r="AO42" s="170" t="str">
        <f t="shared" si="28"/>
        <v>0.999999973912952-0.000197814484934463i</v>
      </c>
      <c r="AP42" s="170" t="str">
        <f t="shared" si="29"/>
        <v>0.166666653623143-0.0000659381608612543i</v>
      </c>
      <c r="AQ42" s="170" t="str">
        <f t="shared" si="30"/>
        <v>0.833333346376857+0.0000659381608612543i</v>
      </c>
      <c r="AR42" s="170" t="str">
        <f t="shared" si="31"/>
        <v>0.999599978095646-0.0000790941397450929i</v>
      </c>
    </row>
    <row r="43" spans="1:44" ht="13">
      <c r="A43" s="333" t="str">
        <f>V5</f>
        <v>Phase Margin</v>
      </c>
      <c r="B43" s="531">
        <f>W5</f>
        <v>64.234457769758691</v>
      </c>
      <c r="C43" s="170" t="str">
        <f>X5</f>
        <v>°</v>
      </c>
      <c r="G43" s="688">
        <v>15.849</v>
      </c>
      <c r="H43" s="676">
        <f t="shared" si="23"/>
        <v>1.5848999999999999E-2</v>
      </c>
      <c r="I43" s="677">
        <f t="shared" si="0"/>
        <v>1.008130377036907</v>
      </c>
      <c r="J43" s="678">
        <f t="shared" si="1"/>
        <v>0.12708792762214025</v>
      </c>
      <c r="K43" s="678">
        <f t="shared" si="2"/>
        <v>1.0000000002399823</v>
      </c>
      <c r="L43" s="679">
        <f t="shared" si="3"/>
        <v>2.1908084836828966E-5</v>
      </c>
      <c r="M43" s="678">
        <f t="shared" si="4"/>
        <v>1.0000000035124788</v>
      </c>
      <c r="N43" s="679">
        <f t="shared" si="5"/>
        <v>-8.3815021351981824E-5</v>
      </c>
      <c r="O43" s="677">
        <f t="shared" si="6"/>
        <v>657.24330596373909</v>
      </c>
      <c r="P43" s="680">
        <f t="shared" si="7"/>
        <v>1.5692748196501956</v>
      </c>
      <c r="Q43" s="689">
        <f t="shared" si="8"/>
        <v>1.0003455145204454</v>
      </c>
      <c r="R43" s="690">
        <f t="shared" si="9"/>
        <v>2.628364762350742E-2</v>
      </c>
      <c r="S43" s="677">
        <f t="shared" si="10"/>
        <v>1.0000000071399631</v>
      </c>
      <c r="T43" s="680">
        <f t="shared" si="11"/>
        <v>1.1949864401482943E-4</v>
      </c>
      <c r="U43" s="681">
        <f t="shared" si="24"/>
        <v>0.99959996958761099</v>
      </c>
      <c r="V43" s="682">
        <f t="shared" si="25"/>
        <v>-3.0366863723844977E-4</v>
      </c>
      <c r="W43" s="683">
        <f>20*LOG10(((K43*Q43*M43*U43)/(I43*O43*S43))*Adc)</f>
        <v>49.156176181039264</v>
      </c>
      <c r="X43" s="684">
        <f t="shared" si="13"/>
        <v>-95.716276677686821</v>
      </c>
      <c r="Y43" s="687">
        <f t="shared" si="14"/>
        <v>84.283723322313179</v>
      </c>
      <c r="AA43" s="170">
        <f t="shared" si="15"/>
        <v>1000000000</v>
      </c>
      <c r="AB43" s="170">
        <f t="shared" si="16"/>
        <v>251.19080099999999</v>
      </c>
      <c r="AD43" s="686">
        <f t="shared" si="17"/>
        <v>48.753927192641285</v>
      </c>
      <c r="AE43" s="687">
        <f t="shared" si="18"/>
        <v>-88.413728852060586</v>
      </c>
      <c r="AG43" s="686">
        <f t="shared" si="19"/>
        <v>38.685476666424535</v>
      </c>
      <c r="AH43" s="687">
        <f t="shared" si="20"/>
        <v>-7.2677499630179758</v>
      </c>
      <c r="AJ43" s="170">
        <f t="shared" si="21"/>
        <v>0</v>
      </c>
      <c r="AK43" s="170">
        <f t="shared" si="22"/>
        <v>0</v>
      </c>
      <c r="AM43" s="170" t="str">
        <f t="shared" si="26"/>
        <v>9.4096573977076E-08+0.000433812331246877i</v>
      </c>
      <c r="AN43" s="170" t="str">
        <f t="shared" si="27"/>
        <v>0.000433812344853629i</v>
      </c>
      <c r="AO43" s="170" t="str">
        <f t="shared" si="28"/>
        <v>0.999999968634475-0.000216906169437905i</v>
      </c>
      <c r="AP43" s="170" t="str">
        <f t="shared" si="29"/>
        <v>0.166666650983904-0.0000723020552078128i</v>
      </c>
      <c r="AQ43" s="170" t="str">
        <f t="shared" si="30"/>
        <v>0.833333349016096+0.0000723020552078128i</v>
      </c>
      <c r="AR43" s="170" t="str">
        <f t="shared" si="31"/>
        <v>0.999599973663499-0.0000867277573456988i</v>
      </c>
    </row>
    <row r="44" spans="1:44">
      <c r="G44" s="688">
        <v>17.378</v>
      </c>
      <c r="H44" s="676">
        <f t="shared" si="23"/>
        <v>1.7378000000000001E-2</v>
      </c>
      <c r="I44" s="677">
        <f t="shared" si="0"/>
        <v>1.009766810842839</v>
      </c>
      <c r="J44" s="678">
        <f t="shared" si="1"/>
        <v>0.13919752592335941</v>
      </c>
      <c r="K44" s="678">
        <f t="shared" si="2"/>
        <v>1.0000000002885192</v>
      </c>
      <c r="L44" s="679">
        <f t="shared" si="3"/>
        <v>2.4021622706927532E-5</v>
      </c>
      <c r="M44" s="678">
        <f t="shared" si="4"/>
        <v>1.000000004222888</v>
      </c>
      <c r="N44" s="679">
        <f t="shared" si="5"/>
        <v>-9.1900904811970165E-5</v>
      </c>
      <c r="O44" s="677">
        <f t="shared" si="6"/>
        <v>720.6493751654566</v>
      </c>
      <c r="P44" s="680">
        <f t="shared" si="7"/>
        <v>1.5694086889846319</v>
      </c>
      <c r="Q44" s="689">
        <f t="shared" si="8"/>
        <v>1.0004153813467094</v>
      </c>
      <c r="R44" s="690">
        <f t="shared" si="9"/>
        <v>2.8817967067005051E-2</v>
      </c>
      <c r="S44" s="677">
        <f t="shared" si="10"/>
        <v>1.0000000085840417</v>
      </c>
      <c r="T44" s="680">
        <f t="shared" si="11"/>
        <v>1.3102703222225238E-4</v>
      </c>
      <c r="U44" s="681">
        <f t="shared" si="24"/>
        <v>0.9995999634366155</v>
      </c>
      <c r="V44" s="682">
        <f t="shared" si="25"/>
        <v>-3.3296444903894317E-4</v>
      </c>
      <c r="W44" s="683">
        <f t="shared" si="12"/>
        <v>48.342738067758397</v>
      </c>
      <c r="X44" s="684">
        <f t="shared" si="13"/>
        <v>-96.275251136961828</v>
      </c>
      <c r="Y44" s="687">
        <f t="shared" si="14"/>
        <v>83.724748863038172</v>
      </c>
      <c r="AA44" s="170">
        <f t="shared" si="15"/>
        <v>1000000000</v>
      </c>
      <c r="AB44" s="170">
        <f t="shared" si="16"/>
        <v>301.99488400000001</v>
      </c>
      <c r="AD44" s="686">
        <f t="shared" si="17"/>
        <v>47.954576946586833</v>
      </c>
      <c r="AE44" s="687">
        <f t="shared" si="18"/>
        <v>-88.27685371971215</v>
      </c>
      <c r="AG44" s="686">
        <f t="shared" si="19"/>
        <v>38.671388906094627</v>
      </c>
      <c r="AH44" s="687">
        <f t="shared" si="20"/>
        <v>-7.9602425018904315</v>
      </c>
      <c r="AJ44" s="170">
        <f t="shared" si="21"/>
        <v>0</v>
      </c>
      <c r="AK44" s="170">
        <f t="shared" si="22"/>
        <v>0</v>
      </c>
      <c r="AM44" s="170" t="str">
        <f t="shared" si="26"/>
        <v>1.1312788394946E-07+0.000475663489468349i</v>
      </c>
      <c r="AN44" s="170" t="str">
        <f t="shared" si="27"/>
        <v>0.000475663507405285i</v>
      </c>
      <c r="AO44" s="170" t="str">
        <f t="shared" si="28"/>
        <v>0.999999962290704-0.000237831749100463i</v>
      </c>
      <c r="AP44" s="170" t="str">
        <f t="shared" si="29"/>
        <v>0.166666647812019-0.0000792772482447248i</v>
      </c>
      <c r="AQ44" s="170" t="str">
        <f t="shared" si="30"/>
        <v>0.833333352187981+0.0000792772482447248i</v>
      </c>
      <c r="AR44" s="170" t="str">
        <f t="shared" si="31"/>
        <v>0.999599968336864-0.0000950946396507416i</v>
      </c>
    </row>
    <row r="45" spans="1:44">
      <c r="G45" s="688">
        <v>19.055</v>
      </c>
      <c r="H45" s="676">
        <f t="shared" si="23"/>
        <v>1.9054999999999999E-2</v>
      </c>
      <c r="I45" s="677">
        <f t="shared" si="0"/>
        <v>1.011731317540294</v>
      </c>
      <c r="J45" s="678">
        <f t="shared" si="1"/>
        <v>0.15243206697729533</v>
      </c>
      <c r="K45" s="678">
        <f t="shared" si="2"/>
        <v>1.000000000346891</v>
      </c>
      <c r="L45" s="679">
        <f t="shared" si="3"/>
        <v>2.633974109003865E-5</v>
      </c>
      <c r="M45" s="678">
        <f t="shared" si="4"/>
        <v>1.0000000050772424</v>
      </c>
      <c r="N45" s="679">
        <f t="shared" si="5"/>
        <v>-1.0076946370092516E-4</v>
      </c>
      <c r="O45" s="677">
        <f t="shared" si="6"/>
        <v>790.19286564106847</v>
      </c>
      <c r="P45" s="680">
        <f t="shared" si="7"/>
        <v>1.569530812626897</v>
      </c>
      <c r="Q45" s="689">
        <f t="shared" si="8"/>
        <v>1.0004993983125907</v>
      </c>
      <c r="R45" s="690">
        <f t="shared" si="9"/>
        <v>3.1597169774894851E-2</v>
      </c>
      <c r="S45" s="677">
        <f t="shared" si="10"/>
        <v>1.0000000103207234</v>
      </c>
      <c r="T45" s="680">
        <f t="shared" si="11"/>
        <v>1.4367131408127211E-4</v>
      </c>
      <c r="U45" s="681">
        <f t="shared" si="24"/>
        <v>0.99959995603929075</v>
      </c>
      <c r="V45" s="682">
        <f t="shared" si="25"/>
        <v>-3.650959585756543E-4</v>
      </c>
      <c r="W45" s="683">
        <f t="shared" si="12"/>
        <v>47.526403599788367</v>
      </c>
      <c r="X45" s="684">
        <f t="shared" si="13"/>
        <v>-96.884235844014256</v>
      </c>
      <c r="Y45" s="687">
        <f t="shared" si="14"/>
        <v>83.115764155985744</v>
      </c>
      <c r="AA45" s="170">
        <f t="shared" si="15"/>
        <v>1000000000</v>
      </c>
      <c r="AB45" s="170">
        <f t="shared" si="16"/>
        <v>363.09302500000001</v>
      </c>
      <c r="AD45" s="686">
        <f t="shared" si="17"/>
        <v>47.155124562706156</v>
      </c>
      <c r="AE45" s="687">
        <f t="shared" si="18"/>
        <v>-88.125338767231639</v>
      </c>
      <c r="AG45" s="686">
        <f t="shared" si="19"/>
        <v>38.654506950561398</v>
      </c>
      <c r="AH45" s="687">
        <f t="shared" si="20"/>
        <v>-8.7170601616474688</v>
      </c>
      <c r="AJ45" s="170">
        <f t="shared" si="21"/>
        <v>0</v>
      </c>
      <c r="AK45" s="170">
        <f t="shared" ref="AK45:AK53" si="32">IF(AJ45&gt;0,Y43,0)</f>
        <v>0</v>
      </c>
      <c r="AM45" s="170" t="str">
        <f t="shared" si="26"/>
        <v>1.3601536896779E-07+0.000521565641769504i</v>
      </c>
      <c r="AN45" s="170" t="str">
        <f t="shared" si="27"/>
        <v>0.000521565665416486i</v>
      </c>
      <c r="AO45" s="170" t="str">
        <f t="shared" si="28"/>
        <v>0.999999954661544-0.000260782827525998i</v>
      </c>
      <c r="AP45" s="170" t="str">
        <f t="shared" si="29"/>
        <v>0.166666643997438-0.000086927606961584i</v>
      </c>
      <c r="AQ45" s="170" t="str">
        <f t="shared" si="30"/>
        <v>0.833333356002562+0.000086927606961584i</v>
      </c>
      <c r="AR45" s="170" t="str">
        <f t="shared" si="31"/>
        <v>0.999599961930932-0.000104271396294953i</v>
      </c>
    </row>
    <row r="46" spans="1:44">
      <c r="G46" s="688">
        <v>20.893000000000001</v>
      </c>
      <c r="H46" s="676">
        <f t="shared" si="23"/>
        <v>2.0893000000000002E-2</v>
      </c>
      <c r="I46" s="677">
        <f t="shared" si="0"/>
        <v>1.0140871201020907</v>
      </c>
      <c r="J46" s="678">
        <f t="shared" si="1"/>
        <v>0.16687547157482963</v>
      </c>
      <c r="K46" s="678">
        <f t="shared" si="2"/>
        <v>1.0000000004170391</v>
      </c>
      <c r="L46" s="679">
        <f t="shared" si="3"/>
        <v>2.8880409896008491E-5</v>
      </c>
      <c r="M46" s="678">
        <f t="shared" si="4"/>
        <v>1.0000000061039589</v>
      </c>
      <c r="N46" s="679">
        <f t="shared" si="5"/>
        <v>-1.1048944653174213E-4</v>
      </c>
      <c r="O46" s="677">
        <f t="shared" si="6"/>
        <v>866.41287421340337</v>
      </c>
      <c r="P46" s="680">
        <f t="shared" si="7"/>
        <v>1.5696421423964577</v>
      </c>
      <c r="Q46" s="689">
        <f t="shared" si="8"/>
        <v>1.0006003560012182</v>
      </c>
      <c r="R46" s="690">
        <f t="shared" si="9"/>
        <v>3.4642626889554662E-2</v>
      </c>
      <c r="S46" s="677">
        <f t="shared" si="10"/>
        <v>1.000000012407773</v>
      </c>
      <c r="T46" s="680">
        <f t="shared" si="11"/>
        <v>1.5752950726441979E-4</v>
      </c>
      <c r="U46" s="681">
        <f t="shared" si="24"/>
        <v>0.99959994714958711</v>
      </c>
      <c r="V46" s="682">
        <f t="shared" si="25"/>
        <v>-4.003122442447877E-4</v>
      </c>
      <c r="W46" s="683">
        <f t="shared" si="12"/>
        <v>46.707242620999011</v>
      </c>
      <c r="X46" s="684">
        <f t="shared" si="13"/>
        <v>-97.546891961495362</v>
      </c>
      <c r="Y46" s="687">
        <f t="shared" si="14"/>
        <v>82.453108038504638</v>
      </c>
      <c r="AA46" s="170">
        <f t="shared" si="15"/>
        <v>1000000000</v>
      </c>
      <c r="AB46" s="170">
        <f t="shared" si="16"/>
        <v>436.51744900000006</v>
      </c>
      <c r="AD46" s="686">
        <f t="shared" si="17"/>
        <v>46.35616511678591</v>
      </c>
      <c r="AE46" s="687">
        <f t="shared" si="18"/>
        <v>-87.958019669593412</v>
      </c>
      <c r="AG46" s="686">
        <f t="shared" si="19"/>
        <v>38.634305572184047</v>
      </c>
      <c r="AH46" s="687">
        <f t="shared" si="20"/>
        <v>-9.5429998876842621</v>
      </c>
      <c r="AJ46" s="170">
        <f t="shared" si="21"/>
        <v>0</v>
      </c>
      <c r="AK46" s="170">
        <f t="shared" si="32"/>
        <v>0</v>
      </c>
      <c r="AM46" s="170" t="str">
        <f t="shared" si="26"/>
        <v>1.63520302964848E-07+0.000571874618398452i</v>
      </c>
      <c r="AN46" s="170" t="str">
        <f t="shared" si="27"/>
        <v>0.000571874649569491i</v>
      </c>
      <c r="AO46" s="170" t="str">
        <f t="shared" si="28"/>
        <v>0.999999945493232-0.000285937317011598i</v>
      </c>
      <c r="AP46" s="170" t="str">
        <f t="shared" si="29"/>
        <v>0.166666639413283-0.000095312436399742i</v>
      </c>
      <c r="AQ46" s="170" t="str">
        <f t="shared" si="30"/>
        <v>0.833333360586717+0.000095312436399742i</v>
      </c>
      <c r="AR46" s="170" t="str">
        <f t="shared" si="31"/>
        <v>0.999599954232633-0.000114329164736552i</v>
      </c>
    </row>
    <row r="47" spans="1:44">
      <c r="G47" s="688">
        <v>22.909000000000002</v>
      </c>
      <c r="H47" s="676">
        <f t="shared" si="23"/>
        <v>2.2909000000000002E-2</v>
      </c>
      <c r="I47" s="677">
        <f t="shared" si="0"/>
        <v>1.0169131278820835</v>
      </c>
      <c r="J47" s="678">
        <f t="shared" si="1"/>
        <v>0.18263701777728969</v>
      </c>
      <c r="K47" s="678">
        <f t="shared" si="2"/>
        <v>1.0000000005014034</v>
      </c>
      <c r="L47" s="679">
        <f t="shared" si="3"/>
        <v>3.166712823770866E-5</v>
      </c>
      <c r="M47" s="678">
        <f t="shared" si="4"/>
        <v>1.0000000073387527</v>
      </c>
      <c r="N47" s="679">
        <f t="shared" si="5"/>
        <v>-1.2115075520566721E-4</v>
      </c>
      <c r="O47" s="677">
        <f t="shared" si="6"/>
        <v>950.01437375679222</v>
      </c>
      <c r="P47" s="680">
        <f t="shared" si="7"/>
        <v>1.5697437109479255</v>
      </c>
      <c r="Q47" s="689">
        <f t="shared" si="8"/>
        <v>1.0007217605791088</v>
      </c>
      <c r="R47" s="690">
        <f t="shared" si="9"/>
        <v>3.798227826330601E-2</v>
      </c>
      <c r="S47" s="677">
        <f t="shared" si="10"/>
        <v>1.0000000149177901</v>
      </c>
      <c r="T47" s="680">
        <f t="shared" si="11"/>
        <v>1.7272978872740892E-4</v>
      </c>
      <c r="U47" s="681">
        <f t="shared" si="24"/>
        <v>0.99959993645827072</v>
      </c>
      <c r="V47" s="682">
        <f t="shared" si="25"/>
        <v>-4.3893902971585224E-4</v>
      </c>
      <c r="W47" s="683">
        <f t="shared" si="12"/>
        <v>45.884018999509792</v>
      </c>
      <c r="X47" s="684">
        <f t="shared" si="13"/>
        <v>-98.267968803440411</v>
      </c>
      <c r="Y47" s="687">
        <f t="shared" si="14"/>
        <v>81.732031196559589</v>
      </c>
      <c r="AA47" s="170">
        <f t="shared" si="15"/>
        <v>1000000000</v>
      </c>
      <c r="AB47" s="170">
        <f t="shared" si="16"/>
        <v>524.82228100000009</v>
      </c>
      <c r="AD47" s="686">
        <f t="shared" si="17"/>
        <v>45.557113319267835</v>
      </c>
      <c r="AE47" s="687">
        <f t="shared" si="18"/>
        <v>-87.773362101927006</v>
      </c>
      <c r="AG47" s="686">
        <f t="shared" si="19"/>
        <v>38.610133934014435</v>
      </c>
      <c r="AH47" s="687">
        <f t="shared" si="20"/>
        <v>-10.444307993723349</v>
      </c>
      <c r="AJ47" s="170">
        <f t="shared" si="21"/>
        <v>0</v>
      </c>
      <c r="AK47" s="170">
        <f t="shared" si="32"/>
        <v>0</v>
      </c>
      <c r="AM47" s="170" t="str">
        <f t="shared" si="26"/>
        <v>1.96599467039427E-07+0.000627055735817383i</v>
      </c>
      <c r="AN47" s="170" t="str">
        <f t="shared" si="27"/>
        <v>0.000627055776910327i</v>
      </c>
      <c r="AO47" s="170" t="str">
        <f t="shared" si="28"/>
        <v>0.999999934466844-0.00031352787786778i</v>
      </c>
      <c r="AP47" s="170" t="str">
        <f t="shared" si="29"/>
        <v>0.166666633900089-0.000104509289302897i</v>
      </c>
      <c r="AQ47" s="170" t="str">
        <f t="shared" si="30"/>
        <v>0.833333366099911+0.000104509289302897i</v>
      </c>
      <c r="AR47" s="170" t="str">
        <f t="shared" si="31"/>
        <v>0.999599944974174-0.000125360970874579i</v>
      </c>
    </row>
    <row r="48" spans="1:44">
      <c r="A48" s="170" t="s">
        <v>802</v>
      </c>
      <c r="G48" s="688">
        <v>25.119</v>
      </c>
      <c r="H48" s="676">
        <f t="shared" si="23"/>
        <v>2.5118999999999999E-2</v>
      </c>
      <c r="I48" s="677">
        <f t="shared" si="0"/>
        <v>1.0202996136347779</v>
      </c>
      <c r="J48" s="678">
        <f t="shared" si="1"/>
        <v>0.19981022756199293</v>
      </c>
      <c r="K48" s="678">
        <f t="shared" si="2"/>
        <v>1.0000000006028091</v>
      </c>
      <c r="L48" s="679">
        <f t="shared" si="3"/>
        <v>3.4722012927200167E-5</v>
      </c>
      <c r="M48" s="678">
        <f t="shared" si="4"/>
        <v>1.0000000088229677</v>
      </c>
      <c r="N48" s="679">
        <f t="shared" si="5"/>
        <v>-1.3283800327382222E-4</v>
      </c>
      <c r="O48" s="677">
        <f t="shared" si="6"/>
        <v>1041.6608682374026</v>
      </c>
      <c r="P48" s="680">
        <f t="shared" si="7"/>
        <v>1.569836321303576</v>
      </c>
      <c r="Q48" s="689">
        <f t="shared" si="8"/>
        <v>1.0008676686670759</v>
      </c>
      <c r="R48" s="690">
        <f t="shared" si="9"/>
        <v>4.1642328396550535E-2</v>
      </c>
      <c r="S48" s="677">
        <f t="shared" si="10"/>
        <v>1.0000000179348159</v>
      </c>
      <c r="T48" s="680">
        <f t="shared" si="11"/>
        <v>1.8939279559635679E-4</v>
      </c>
      <c r="U48" s="681">
        <f t="shared" si="24"/>
        <v>0.99959992360737082</v>
      </c>
      <c r="V48" s="682">
        <f t="shared" si="25"/>
        <v>-4.8128287624738328E-4</v>
      </c>
      <c r="W48" s="683">
        <f t="shared" si="12"/>
        <v>45.056484380458855</v>
      </c>
      <c r="X48" s="684">
        <f t="shared" si="13"/>
        <v>-99.051397444419635</v>
      </c>
      <c r="Y48" s="687">
        <f t="shared" si="14"/>
        <v>80.948602555580365</v>
      </c>
      <c r="AA48" s="170">
        <f t="shared" si="15"/>
        <v>1000000000</v>
      </c>
      <c r="AB48" s="170">
        <f t="shared" si="16"/>
        <v>630.96416099999999</v>
      </c>
      <c r="AD48" s="686">
        <f t="shared" si="17"/>
        <v>44.758456163741599</v>
      </c>
      <c r="AE48" s="687">
        <f t="shared" si="18"/>
        <v>-87.569917578738881</v>
      </c>
      <c r="AG48" s="686">
        <f t="shared" si="19"/>
        <v>38.581256693822077</v>
      </c>
      <c r="AH48" s="687">
        <f t="shared" si="20"/>
        <v>-11.42632891049595</v>
      </c>
      <c r="AJ48" s="170">
        <f t="shared" si="21"/>
        <v>0</v>
      </c>
      <c r="AK48" s="170">
        <f t="shared" si="32"/>
        <v>0</v>
      </c>
      <c r="AM48" s="170" t="str">
        <f t="shared" si="26"/>
        <v>2.36360424010762E-07+0.000687546938724447i</v>
      </c>
      <c r="AN48" s="170" t="str">
        <f t="shared" si="27"/>
        <v>0.000687546992894081i</v>
      </c>
      <c r="AO48" s="170" t="str">
        <f t="shared" si="28"/>
        <v>0.99999992121319-0.000343773482327155i</v>
      </c>
      <c r="AP48" s="170" t="str">
        <f t="shared" si="29"/>
        <v>0.166666627273263-0.000114591156454074i</v>
      </c>
      <c r="AQ48" s="170" t="str">
        <f t="shared" si="30"/>
        <v>0.833333372726737+0.000114591156454074i</v>
      </c>
      <c r="AR48" s="170" t="str">
        <f t="shared" si="31"/>
        <v>0.999599933845562-0.00013745436839518i</v>
      </c>
    </row>
    <row r="49" spans="1:44" ht="13">
      <c r="A49" s="170">
        <v>0.1</v>
      </c>
      <c r="C49" s="333" t="s">
        <v>803</v>
      </c>
      <c r="D49" s="761">
        <f>Fco_desire*1000</f>
        <v>1000</v>
      </c>
      <c r="E49" s="761" t="s">
        <v>8</v>
      </c>
      <c r="G49" s="688">
        <v>27.542000000000002</v>
      </c>
      <c r="H49" s="676">
        <f t="shared" si="23"/>
        <v>2.7542000000000001E-2</v>
      </c>
      <c r="I49" s="677">
        <f t="shared" si="0"/>
        <v>1.0243558312199288</v>
      </c>
      <c r="J49" s="678">
        <f t="shared" si="1"/>
        <v>0.21850196051625798</v>
      </c>
      <c r="K49" s="678">
        <f t="shared" si="2"/>
        <v>1.000000000724713</v>
      </c>
      <c r="L49" s="679">
        <f t="shared" si="3"/>
        <v>3.8071327678778143E-5</v>
      </c>
      <c r="M49" s="678">
        <f t="shared" si="4"/>
        <v>1.0000000106072044</v>
      </c>
      <c r="N49" s="679">
        <f t="shared" si="5"/>
        <v>-1.4565166932663365E-4</v>
      </c>
      <c r="O49" s="677">
        <f t="shared" si="6"/>
        <v>1142.1402686898448</v>
      </c>
      <c r="P49" s="680">
        <f t="shared" si="7"/>
        <v>1.5699207774817536</v>
      </c>
      <c r="Q49" s="689">
        <f t="shared" si="8"/>
        <v>1.0010430427456056</v>
      </c>
      <c r="R49" s="690">
        <f t="shared" si="9"/>
        <v>4.5653848395890304E-2</v>
      </c>
      <c r="S49" s="677">
        <f t="shared" si="10"/>
        <v>1.0000000215617086</v>
      </c>
      <c r="T49" s="680">
        <f t="shared" si="11"/>
        <v>2.0766178445409144E-4</v>
      </c>
      <c r="U49" s="681">
        <f t="shared" si="24"/>
        <v>0.99959990815876698</v>
      </c>
      <c r="V49" s="682">
        <f t="shared" si="25"/>
        <v>-5.2770782647861231E-4</v>
      </c>
      <c r="W49" s="683">
        <f t="shared" si="12"/>
        <v>44.223681733239317</v>
      </c>
      <c r="X49" s="684">
        <f t="shared" si="13"/>
        <v>-99.901599629680291</v>
      </c>
      <c r="Y49" s="687">
        <f t="shared" si="14"/>
        <v>80.098400370319709</v>
      </c>
      <c r="AA49" s="170">
        <f t="shared" si="15"/>
        <v>1000000000</v>
      </c>
      <c r="AB49" s="170">
        <f t="shared" si="16"/>
        <v>758.56176400000004</v>
      </c>
      <c r="AD49" s="686">
        <f t="shared" si="17"/>
        <v>43.960116070992612</v>
      </c>
      <c r="AE49" s="687">
        <f t="shared" si="18"/>
        <v>-87.345960131609388</v>
      </c>
      <c r="AG49" s="686">
        <f t="shared" si="19"/>
        <v>38.546794407828685</v>
      </c>
      <c r="AH49" s="687">
        <f t="shared" si="20"/>
        <v>-12.495168635455297</v>
      </c>
      <c r="AJ49" s="170">
        <f t="shared" si="21"/>
        <v>0</v>
      </c>
      <c r="AK49" s="170">
        <f t="shared" si="32"/>
        <v>0</v>
      </c>
      <c r="AM49" s="170" t="str">
        <f t="shared" si="26"/>
        <v>2.84158736985063E-07+0.000753868286342573i</v>
      </c>
      <c r="AN49" s="170" t="str">
        <f t="shared" si="27"/>
        <v>0.000753868357748668i</v>
      </c>
      <c r="AO49" s="170" t="str">
        <f t="shared" si="28"/>
        <v>0.999999905280419-0.000376934161069801i</v>
      </c>
      <c r="AP49" s="170" t="str">
        <f t="shared" si="29"/>
        <v>0.166666619306877-0.000125644714390429i</v>
      </c>
      <c r="AQ49" s="170" t="str">
        <f t="shared" si="30"/>
        <v>0.833333380693123+0.000125644714390429i</v>
      </c>
      <c r="AR49" s="170" t="str">
        <f t="shared" si="31"/>
        <v>0.99959992046739-0.000150713327248883i</v>
      </c>
    </row>
    <row r="50" spans="1:44">
      <c r="A50" s="170">
        <v>0.2</v>
      </c>
      <c r="C50" s="760" t="s">
        <v>810</v>
      </c>
      <c r="D50" s="170">
        <f>SQRT(1+(D49/Zero1)^2)*SQRT(1+(D49/z_RHP)^2)/SQRT(1+(D49/pole1)^2)/D58</f>
        <v>0.12315952548691964</v>
      </c>
      <c r="G50" s="688">
        <v>30.2</v>
      </c>
      <c r="H50" s="676">
        <f t="shared" si="23"/>
        <v>3.0199999999999998E-2</v>
      </c>
      <c r="I50" s="677">
        <f t="shared" si="0"/>
        <v>1.0292135936344933</v>
      </c>
      <c r="J50" s="678">
        <f t="shared" si="1"/>
        <v>0.23882917913019622</v>
      </c>
      <c r="K50" s="678">
        <f t="shared" si="2"/>
        <v>1.0000000008713426</v>
      </c>
      <c r="L50" s="679">
        <f t="shared" si="3"/>
        <v>4.1745483108950245E-5</v>
      </c>
      <c r="M50" s="678">
        <f t="shared" si="4"/>
        <v>1.0000000127533384</v>
      </c>
      <c r="N50" s="679">
        <f t="shared" si="5"/>
        <v>-1.5970809699262573E-4</v>
      </c>
      <c r="O50" s="677">
        <f t="shared" si="6"/>
        <v>1252.3648932407268</v>
      </c>
      <c r="P50" s="680">
        <f t="shared" si="7"/>
        <v>1.5699978373836543</v>
      </c>
      <c r="Q50" s="689">
        <f t="shared" si="8"/>
        <v>1.0012539472687811</v>
      </c>
      <c r="R50" s="690">
        <f t="shared" si="9"/>
        <v>5.0052739176716161E-2</v>
      </c>
      <c r="S50" s="677">
        <f t="shared" si="10"/>
        <v>1.0000000259242448</v>
      </c>
      <c r="T50" s="680">
        <f t="shared" si="11"/>
        <v>2.2770263133665424E-4</v>
      </c>
      <c r="U50" s="681">
        <f t="shared" si="24"/>
        <v>0.99959988957672341</v>
      </c>
      <c r="V50" s="682">
        <f t="shared" si="25"/>
        <v>-5.7863540045692032E-4</v>
      </c>
      <c r="W50" s="683">
        <f t="shared" si="12"/>
        <v>43.384189133657216</v>
      </c>
      <c r="X50" s="684">
        <f t="shared" si="13"/>
        <v>-100.82330184879508</v>
      </c>
      <c r="Y50" s="687">
        <f t="shared" si="14"/>
        <v>79.176698151204917</v>
      </c>
      <c r="AA50" s="170">
        <f t="shared" si="15"/>
        <v>1000000000</v>
      </c>
      <c r="AB50" s="170">
        <f t="shared" si="16"/>
        <v>912.04</v>
      </c>
      <c r="AD50" s="686">
        <f t="shared" si="17"/>
        <v>43.161717005191107</v>
      </c>
      <c r="AE50" s="687">
        <f t="shared" si="18"/>
        <v>-87.099485718140258</v>
      </c>
      <c r="AG50" s="686">
        <f t="shared" si="19"/>
        <v>38.505701196980446</v>
      </c>
      <c r="AH50" s="687">
        <f t="shared" si="20"/>
        <v>-13.657509397932966</v>
      </c>
      <c r="AJ50" s="170">
        <f t="shared" si="21"/>
        <v>0</v>
      </c>
      <c r="AK50" s="170">
        <f t="shared" si="32"/>
        <v>0</v>
      </c>
      <c r="AM50" s="170" t="str">
        <f t="shared" si="26"/>
        <v>3.41651984037128E-07+0.000826621952335807i</v>
      </c>
      <c r="AN50" s="170" t="str">
        <f t="shared" si="27"/>
        <v>0.00082662204647483i</v>
      </c>
      <c r="AO50" s="170" t="str">
        <f t="shared" si="28"/>
        <v>0.999999886116003-0.000413310999257907i</v>
      </c>
      <c r="AP50" s="170" t="str">
        <f t="shared" si="29"/>
        <v>0.166666609724669-0.000137770325389301i</v>
      </c>
      <c r="AQ50" s="170" t="str">
        <f t="shared" si="30"/>
        <v>0.833333390275331+0.000137770325389301i</v>
      </c>
      <c r="AR50" s="170" t="str">
        <f t="shared" si="31"/>
        <v>0.999599904375725-0.000165258233609789i</v>
      </c>
    </row>
    <row r="51" spans="1:44" ht="13">
      <c r="A51" s="170">
        <v>0.3</v>
      </c>
      <c r="C51" s="333" t="s">
        <v>811</v>
      </c>
      <c r="D51" s="761">
        <f>20*LOG(D50*Acs*Am)</f>
        <v>20.561695480532535</v>
      </c>
      <c r="E51" s="333" t="s">
        <v>781</v>
      </c>
      <c r="G51" s="688">
        <v>33.113</v>
      </c>
      <c r="H51" s="676">
        <f t="shared" si="23"/>
        <v>3.3112999999999997E-2</v>
      </c>
      <c r="I51" s="677">
        <f t="shared" si="0"/>
        <v>1.0350208795879532</v>
      </c>
      <c r="J51" s="678">
        <f t="shared" si="1"/>
        <v>0.2608772439691428</v>
      </c>
      <c r="K51" s="678">
        <f t="shared" si="2"/>
        <v>1.0000000010475436</v>
      </c>
      <c r="L51" s="679">
        <f t="shared" si="3"/>
        <v>4.5772125232592459E-5</v>
      </c>
      <c r="M51" s="678">
        <f t="shared" si="4"/>
        <v>1.0000000153322908</v>
      </c>
      <c r="N51" s="679">
        <f t="shared" si="5"/>
        <v>-1.7511305319948466E-4</v>
      </c>
      <c r="O51" s="677">
        <f t="shared" si="6"/>
        <v>1373.1641220593224</v>
      </c>
      <c r="P51" s="680">
        <f t="shared" si="7"/>
        <v>1.5700680816621222</v>
      </c>
      <c r="Q51" s="689">
        <f t="shared" si="8"/>
        <v>1.0015073269476251</v>
      </c>
      <c r="R51" s="690">
        <f t="shared" si="9"/>
        <v>5.4871413644436783E-2</v>
      </c>
      <c r="S51" s="677">
        <f t="shared" si="10"/>
        <v>1.0000000311665898</v>
      </c>
      <c r="T51" s="680">
        <f t="shared" si="11"/>
        <v>2.4966613261918544E-4</v>
      </c>
      <c r="U51" s="681">
        <f t="shared" si="24"/>
        <v>0.99959986724716965</v>
      </c>
      <c r="V51" s="682">
        <f t="shared" si="25"/>
        <v>-6.3444880217004601E-4</v>
      </c>
      <c r="W51" s="683">
        <f t="shared" si="12"/>
        <v>42.537683508023186</v>
      </c>
      <c r="X51" s="684">
        <f t="shared" si="13"/>
        <v>-101.81960612013945</v>
      </c>
      <c r="Y51" s="687">
        <f t="shared" si="14"/>
        <v>78.180393879860546</v>
      </c>
      <c r="AA51" s="170">
        <f t="shared" si="15"/>
        <v>1000000000</v>
      </c>
      <c r="AB51" s="170">
        <f t="shared" si="16"/>
        <v>1096.470769</v>
      </c>
      <c r="AD51" s="686">
        <f t="shared" si="17"/>
        <v>42.364083495762529</v>
      </c>
      <c r="AE51" s="687">
        <f t="shared" si="18"/>
        <v>-86.828679124600953</v>
      </c>
      <c r="AG51" s="686">
        <f t="shared" si="19"/>
        <v>38.456829468834336</v>
      </c>
      <c r="AH51" s="687">
        <f t="shared" si="20"/>
        <v>-14.918224518092481</v>
      </c>
      <c r="AJ51" s="170">
        <f t="shared" si="21"/>
        <v>0</v>
      </c>
      <c r="AK51" s="170">
        <f t="shared" si="32"/>
        <v>0</v>
      </c>
      <c r="AM51" s="170" t="str">
        <f t="shared" si="26"/>
        <v>4.10740110035057E-07+0.000906355366799237i</v>
      </c>
      <c r="AN51" s="170" t="str">
        <f t="shared" si="27"/>
        <v>0.000906355490891425i</v>
      </c>
      <c r="AO51" s="170" t="str">
        <f t="shared" si="28"/>
        <v>0.999999863086626-0.000453177714663684i</v>
      </c>
      <c r="AP51" s="170" t="str">
        <f t="shared" si="29"/>
        <v>0.166666598209982-0.000151059227799873i</v>
      </c>
      <c r="AQ51" s="170" t="str">
        <f t="shared" si="30"/>
        <v>0.833333401790018+0.000151059227799873i</v>
      </c>
      <c r="AR51" s="170" t="str">
        <f t="shared" si="31"/>
        <v>0.999599885038795-0.000181198529206262i</v>
      </c>
    </row>
    <row r="52" spans="1:44">
      <c r="A52" s="170">
        <v>0.4</v>
      </c>
      <c r="C52" s="170" t="s">
        <v>694</v>
      </c>
      <c r="D52" s="170" t="str">
        <f>IMSUB(1,IMEXP(COMPLEX(0,-2*Pi*D49*Tsw)))</f>
        <v>0.000374578608180021+0.0273681732533771i</v>
      </c>
      <c r="G52" s="688">
        <v>36.308</v>
      </c>
      <c r="H52" s="676">
        <f t="shared" si="23"/>
        <v>3.6308E-2</v>
      </c>
      <c r="I52" s="677">
        <f t="shared" si="0"/>
        <v>1.0419619696327527</v>
      </c>
      <c r="J52" s="678">
        <f t="shared" si="1"/>
        <v>0.28476418927656783</v>
      </c>
      <c r="K52" s="678">
        <f t="shared" si="2"/>
        <v>1.0000000012594465</v>
      </c>
      <c r="L52" s="679">
        <f t="shared" si="3"/>
        <v>5.0188576169788103E-5</v>
      </c>
      <c r="M52" s="678">
        <f t="shared" si="4"/>
        <v>1.0000000184337905</v>
      </c>
      <c r="N52" s="679">
        <f t="shared" si="5"/>
        <v>-1.9200932329963024E-4</v>
      </c>
      <c r="O52" s="677">
        <f t="shared" si="6"/>
        <v>1505.6576184386859</v>
      </c>
      <c r="P52" s="680">
        <f t="shared" si="7"/>
        <v>1.5701321651280793</v>
      </c>
      <c r="Q52" s="689">
        <f t="shared" si="8"/>
        <v>1.0018119614889511</v>
      </c>
      <c r="R52" s="690">
        <f t="shared" si="9"/>
        <v>6.0153631794256986E-2</v>
      </c>
      <c r="S52" s="677">
        <f t="shared" si="10"/>
        <v>1.0000000374711375</v>
      </c>
      <c r="T52" s="680">
        <f t="shared" si="11"/>
        <v>2.7375586340825102E-4</v>
      </c>
      <c r="U52" s="681">
        <f t="shared" si="24"/>
        <v>0.99959984039320793</v>
      </c>
      <c r="V52" s="682">
        <f t="shared" si="25"/>
        <v>-6.9566535131121009E-4</v>
      </c>
      <c r="W52" s="683">
        <f t="shared" si="12"/>
        <v>41.682194179534008</v>
      </c>
      <c r="X52" s="684">
        <f t="shared" si="13"/>
        <v>-102.89485290940029</v>
      </c>
      <c r="Y52" s="687">
        <f t="shared" si="14"/>
        <v>77.105147090599715</v>
      </c>
      <c r="AA52" s="170">
        <f t="shared" si="15"/>
        <v>1000000000</v>
      </c>
      <c r="AB52" s="170">
        <f t="shared" si="16"/>
        <v>1318.2708640000001</v>
      </c>
      <c r="AD52" s="686">
        <f t="shared" si="17"/>
        <v>41.566649513280979</v>
      </c>
      <c r="AE52" s="687">
        <f t="shared" si="18"/>
        <v>-86.531082269848525</v>
      </c>
      <c r="AG52" s="686">
        <f t="shared" si="19"/>
        <v>38.398774589514545</v>
      </c>
      <c r="AH52" s="687">
        <f t="shared" si="20"/>
        <v>-16.284053262293426</v>
      </c>
      <c r="AJ52" s="170">
        <f t="shared" si="21"/>
        <v>0</v>
      </c>
      <c r="AK52" s="170">
        <f t="shared" si="32"/>
        <v>0</v>
      </c>
      <c r="AM52" s="170" t="str">
        <f t="shared" si="26"/>
        <v>4.93826854963686E-07+0.000993807560364259i</v>
      </c>
      <c r="AN52" s="170" t="str">
        <f t="shared" si="27"/>
        <v>0.000993807723953912i</v>
      </c>
      <c r="AO52" s="170" t="str">
        <f t="shared" si="28"/>
        <v>0.999999835391043-0.00049690382058913i</v>
      </c>
      <c r="AP52" s="170" t="str">
        <f t="shared" si="29"/>
        <v>0.166666584362191-0.000165634593394043i</v>
      </c>
      <c r="AQ52" s="170" t="str">
        <f t="shared" si="30"/>
        <v>0.833333415637809+0.000165634593394043i</v>
      </c>
      <c r="AR52" s="170" t="str">
        <f t="shared" si="31"/>
        <v>0.999599861783822-0.000198681960373068i</v>
      </c>
    </row>
    <row r="53" spans="1:44">
      <c r="A53" s="170">
        <v>0.5</v>
      </c>
      <c r="C53" s="170" t="s">
        <v>804</v>
      </c>
      <c r="D53" s="170" t="str">
        <f>COMPLEX(0, 2*Pi*D49*Tsw)</f>
        <v>0.0273715909428752i</v>
      </c>
      <c r="G53" s="688">
        <v>39.811</v>
      </c>
      <c r="H53" s="676">
        <f t="shared" si="23"/>
        <v>3.9810999999999999E-2</v>
      </c>
      <c r="I53" s="677">
        <f t="shared" si="0"/>
        <v>1.0502457252366444</v>
      </c>
      <c r="J53" s="678">
        <f t="shared" si="1"/>
        <v>0.31057460488990862</v>
      </c>
      <c r="K53" s="678">
        <f t="shared" si="2"/>
        <v>1.000000001514193</v>
      </c>
      <c r="L53" s="679">
        <f t="shared" si="3"/>
        <v>5.503077573967451E-5</v>
      </c>
      <c r="M53" s="678">
        <f t="shared" si="4"/>
        <v>1.0000000221623682</v>
      </c>
      <c r="N53" s="679">
        <f t="shared" si="5"/>
        <v>-2.1053440428777517E-4</v>
      </c>
      <c r="O53" s="677">
        <f t="shared" si="6"/>
        <v>1650.9235767175865</v>
      </c>
      <c r="P53" s="680">
        <f t="shared" si="7"/>
        <v>1.5701906052004797</v>
      </c>
      <c r="Q53" s="689">
        <f t="shared" si="8"/>
        <v>1.0021780661388771</v>
      </c>
      <c r="R53" s="690">
        <f t="shared" si="9"/>
        <v>6.5941188381333393E-2</v>
      </c>
      <c r="S53" s="677">
        <f t="shared" si="10"/>
        <v>1.0000000450503734</v>
      </c>
      <c r="T53" s="680">
        <f t="shared" si="11"/>
        <v>3.0016785895884399E-4</v>
      </c>
      <c r="U53" s="681">
        <f t="shared" si="24"/>
        <v>0.99959980810977</v>
      </c>
      <c r="V53" s="682">
        <f t="shared" si="25"/>
        <v>-7.627832126348925E-4</v>
      </c>
      <c r="W53" s="683">
        <f t="shared" si="12"/>
        <v>40.816571516142226</v>
      </c>
      <c r="X53" s="684">
        <f t="shared" si="13"/>
        <v>-104.0515694336296</v>
      </c>
      <c r="Y53" s="687">
        <f t="shared" si="14"/>
        <v>75.948430566370405</v>
      </c>
      <c r="AA53" s="170">
        <f t="shared" si="15"/>
        <v>1000000000</v>
      </c>
      <c r="AB53" s="170">
        <f t="shared" si="16"/>
        <v>1584.9157210000001</v>
      </c>
      <c r="AD53" s="686">
        <f t="shared" si="17"/>
        <v>40.769808185878482</v>
      </c>
      <c r="AE53" s="687">
        <f t="shared" si="18"/>
        <v>-86.204341368719113</v>
      </c>
      <c r="AG53" s="686">
        <f t="shared" si="19"/>
        <v>38.329993814570543</v>
      </c>
      <c r="AH53" s="687">
        <f t="shared" si="20"/>
        <v>-17.759819547275782</v>
      </c>
      <c r="AJ53" s="170">
        <f t="shared" si="21"/>
        <v>0</v>
      </c>
      <c r="AK53" s="170">
        <f t="shared" si="32"/>
        <v>0</v>
      </c>
      <c r="AM53" s="170" t="str">
        <f t="shared" si="26"/>
        <v>5.93712533025759E-07+0.00108969019137251i</v>
      </c>
      <c r="AN53" s="170" t="str">
        <f t="shared" si="27"/>
        <v>0.0010896904070268i</v>
      </c>
      <c r="AO53" s="170" t="str">
        <f t="shared" si="28"/>
        <v>0.999999802095817-0.00054484514977579i</v>
      </c>
      <c r="AP53" s="170" t="str">
        <f t="shared" si="29"/>
        <v>0.166666567714578-0.000181615031895418i</v>
      </c>
      <c r="AQ53" s="170" t="str">
        <f t="shared" si="30"/>
        <v>0.833333432285422+0.000181615031895418i</v>
      </c>
      <c r="AR53" s="170" t="str">
        <f t="shared" si="31"/>
        <v>0.999599833827034-0.000217850800975631i</v>
      </c>
    </row>
    <row r="54" spans="1:44">
      <c r="A54" s="170">
        <v>0.6</v>
      </c>
      <c r="C54" s="170" t="s">
        <v>805</v>
      </c>
      <c r="D54" s="170" t="str">
        <f>IMDIV(D52, D53)</f>
        <v>0.99987513734568-0.0136849410383843i</v>
      </c>
      <c r="G54" s="688">
        <v>43.652000000000001</v>
      </c>
      <c r="H54" s="676">
        <f t="shared" si="23"/>
        <v>4.3652000000000003E-2</v>
      </c>
      <c r="I54" s="677">
        <f t="shared" si="0"/>
        <v>1.0601194167493617</v>
      </c>
      <c r="J54" s="678">
        <f t="shared" si="1"/>
        <v>0.33839120418513197</v>
      </c>
      <c r="K54" s="678">
        <f t="shared" si="2"/>
        <v>1.0000000018204693</v>
      </c>
      <c r="L54" s="679">
        <f t="shared" si="3"/>
        <v>6.0340192964200345E-5</v>
      </c>
      <c r="M54" s="678">
        <f t="shared" si="4"/>
        <v>1.000000026645157</v>
      </c>
      <c r="N54" s="679">
        <f t="shared" si="5"/>
        <v>-2.3084694653499458E-4</v>
      </c>
      <c r="O54" s="677">
        <f t="shared" si="6"/>
        <v>1810.2060673346286</v>
      </c>
      <c r="P54" s="680">
        <f t="shared" si="7"/>
        <v>1.5702439034719904</v>
      </c>
      <c r="Q54" s="689">
        <f t="shared" si="8"/>
        <v>1.0026180489149117</v>
      </c>
      <c r="R54" s="690">
        <f t="shared" si="9"/>
        <v>7.2282083945029635E-2</v>
      </c>
      <c r="S54" s="677">
        <f t="shared" si="10"/>
        <v>1.0000000541627259</v>
      </c>
      <c r="T54" s="680">
        <f t="shared" si="11"/>
        <v>3.2912831377439566E-4</v>
      </c>
      <c r="U54" s="681">
        <f t="shared" si="24"/>
        <v>0.99959976929608707</v>
      </c>
      <c r="V54" s="682">
        <f t="shared" si="25"/>
        <v>-8.3637718560501857E-4</v>
      </c>
      <c r="W54" s="683">
        <f t="shared" si="12"/>
        <v>39.939085382015755</v>
      </c>
      <c r="X54" s="684">
        <f t="shared" si="13"/>
        <v>-105.29182593857536</v>
      </c>
      <c r="Y54" s="687">
        <f t="shared" si="14"/>
        <v>74.708174061424643</v>
      </c>
      <c r="AA54" s="170">
        <f t="shared" si="15"/>
        <v>1000000000</v>
      </c>
      <c r="AB54" s="170">
        <f t="shared" si="16"/>
        <v>1905.497104</v>
      </c>
      <c r="AD54" s="686">
        <f t="shared" si="17"/>
        <v>39.973599676044692</v>
      </c>
      <c r="AE54" s="687">
        <f t="shared" si="18"/>
        <v>-85.845747892022956</v>
      </c>
      <c r="AG54" s="686">
        <f t="shared" si="19"/>
        <v>38.248716864810547</v>
      </c>
      <c r="AH54" s="687">
        <f t="shared" si="20"/>
        <v>-19.350236280810492</v>
      </c>
      <c r="AJ54" s="170">
        <f t="shared" si="21"/>
        <v>0</v>
      </c>
      <c r="AK54" s="170">
        <f t="shared" ref="AK54:AK85" si="33">IF(AJ54&gt;0,Y54,0)</f>
        <v>0</v>
      </c>
      <c r="AM54" s="170" t="str">
        <f t="shared" si="26"/>
        <v>7.13802931984198E-07+0.00119482440354859i</v>
      </c>
      <c r="AN54" s="170" t="str">
        <f t="shared" si="27"/>
        <v>0.00119482468783839i</v>
      </c>
      <c r="AO54" s="170" t="str">
        <f t="shared" si="28"/>
        <v>0.99999976206568-0.000597412272486243i</v>
      </c>
      <c r="AP54" s="170" t="str">
        <f t="shared" si="29"/>
        <v>0.166666547699511-0.000199137400591432i</v>
      </c>
      <c r="AQ54" s="170" t="str">
        <f t="shared" si="30"/>
        <v>0.833333452300489+0.000199137400591432i</v>
      </c>
      <c r="AR54" s="170" t="str">
        <f t="shared" si="31"/>
        <v>0.999599800215193-0.000238869212914773i</v>
      </c>
    </row>
    <row r="55" spans="1:44">
      <c r="A55" s="170">
        <v>0.7</v>
      </c>
      <c r="C55" s="170" t="s">
        <v>806</v>
      </c>
      <c r="D55" s="170" t="str">
        <f>IMDIV(IMEXP(COMPLEX(0,-2*Pi*D49*Tsw)),6)</f>
        <v>0.166604236898637-0.00456136220889618i</v>
      </c>
      <c r="G55" s="688">
        <v>47.863</v>
      </c>
      <c r="H55" s="676">
        <f t="shared" si="23"/>
        <v>4.7863000000000003E-2</v>
      </c>
      <c r="I55" s="677">
        <f t="shared" si="0"/>
        <v>1.0718681681678397</v>
      </c>
      <c r="J55" s="678">
        <f t="shared" si="1"/>
        <v>0.36827275561366091</v>
      </c>
      <c r="K55" s="678">
        <f t="shared" si="2"/>
        <v>1.000000002188643</v>
      </c>
      <c r="L55" s="679">
        <f t="shared" si="3"/>
        <v>6.6161061466522687E-5</v>
      </c>
      <c r="M55" s="678">
        <f t="shared" si="4"/>
        <v>1.0000000320339004</v>
      </c>
      <c r="N55" s="679">
        <f t="shared" si="5"/>
        <v>-2.5311617708950024E-4</v>
      </c>
      <c r="O55" s="677">
        <f t="shared" si="6"/>
        <v>1984.8320988022326</v>
      </c>
      <c r="P55" s="680">
        <f t="shared" si="7"/>
        <v>1.5702925058203621</v>
      </c>
      <c r="Q55" s="689">
        <f t="shared" si="8"/>
        <v>1.0031466951232491</v>
      </c>
      <c r="R55" s="690">
        <f t="shared" si="9"/>
        <v>7.9227088937320361E-2</v>
      </c>
      <c r="S55" s="677">
        <f t="shared" si="10"/>
        <v>1.0000000651166501</v>
      </c>
      <c r="T55" s="680">
        <f t="shared" si="11"/>
        <v>3.6087850195054734E-4</v>
      </c>
      <c r="U55" s="681">
        <f t="shared" si="24"/>
        <v>0.9995997226383101</v>
      </c>
      <c r="V55" s="682">
        <f t="shared" si="25"/>
        <v>-9.1706039414217574E-4</v>
      </c>
      <c r="W55" s="683">
        <f t="shared" si="12"/>
        <v>39.048016632338935</v>
      </c>
      <c r="X55" s="684">
        <f t="shared" si="13"/>
        <v>-106.61616233776051</v>
      </c>
      <c r="Y55" s="687">
        <f t="shared" si="14"/>
        <v>73.383837662239486</v>
      </c>
      <c r="AA55" s="170">
        <f t="shared" si="15"/>
        <v>1000000000</v>
      </c>
      <c r="AB55" s="170">
        <f t="shared" si="16"/>
        <v>2290.8667689999997</v>
      </c>
      <c r="AD55" s="686">
        <f t="shared" si="17"/>
        <v>39.178262975486327</v>
      </c>
      <c r="AE55" s="687">
        <f t="shared" si="18"/>
        <v>-85.452432278035346</v>
      </c>
      <c r="AG55" s="686">
        <f t="shared" si="19"/>
        <v>38.152985626545245</v>
      </c>
      <c r="AH55" s="687">
        <f t="shared" si="20"/>
        <v>-21.058642679319199</v>
      </c>
      <c r="AJ55" s="170">
        <f t="shared" si="21"/>
        <v>0</v>
      </c>
      <c r="AK55" s="170">
        <f t="shared" si="33"/>
        <v>0</v>
      </c>
      <c r="AM55" s="170" t="str">
        <f t="shared" si="26"/>
        <v>8.58163139993984E-07+0.00131008608254284i</v>
      </c>
      <c r="AN55" s="170" t="str">
        <f t="shared" si="27"/>
        <v>0.00131008645729883i</v>
      </c>
      <c r="AO55" s="170" t="str">
        <f t="shared" si="28"/>
        <v>0.999999713945604-0.000655043134911391i</v>
      </c>
      <c r="AP55" s="170" t="str">
        <f t="shared" si="29"/>
        <v>0.166666523639477-0.000218347680423807i</v>
      </c>
      <c r="AQ55" s="170" t="str">
        <f t="shared" si="30"/>
        <v>0.833333476360523+0.000218347680423807i</v>
      </c>
      <c r="AR55" s="170" t="str">
        <f t="shared" si="31"/>
        <v>0.999599759810534-0.000261912301735493i</v>
      </c>
    </row>
    <row r="56" spans="1:44">
      <c r="A56" s="170">
        <v>0.8</v>
      </c>
      <c r="C56" s="170" t="s">
        <v>807</v>
      </c>
      <c r="D56" s="170" t="str">
        <f>IMSUB(1, D55)</f>
        <v>0.833395763101363+0.00456136220889618i</v>
      </c>
      <c r="G56" s="688">
        <v>52.481000000000002</v>
      </c>
      <c r="H56" s="676">
        <f t="shared" si="23"/>
        <v>5.2481E-2</v>
      </c>
      <c r="I56" s="677">
        <f t="shared" si="0"/>
        <v>1.0858271607794103</v>
      </c>
      <c r="J56" s="678">
        <f t="shared" si="1"/>
        <v>0.40026725956757769</v>
      </c>
      <c r="K56" s="678">
        <f t="shared" si="2"/>
        <v>1.000000002631354</v>
      </c>
      <c r="L56" s="679">
        <f t="shared" si="3"/>
        <v>7.2544526373185777E-5</v>
      </c>
      <c r="M56" s="678">
        <f t="shared" si="4"/>
        <v>1.0000000385136067</v>
      </c>
      <c r="N56" s="679">
        <f t="shared" si="5"/>
        <v>-2.7753776471284064E-4</v>
      </c>
      <c r="O56" s="677">
        <f t="shared" si="6"/>
        <v>2176.336024757326</v>
      </c>
      <c r="P56" s="680">
        <f t="shared" si="7"/>
        <v>1.570336838910759</v>
      </c>
      <c r="Q56" s="689">
        <f t="shared" si="8"/>
        <v>1.0037819982387861</v>
      </c>
      <c r="R56" s="690">
        <f t="shared" si="9"/>
        <v>8.6834520652643618E-2</v>
      </c>
      <c r="S56" s="677">
        <f t="shared" si="10"/>
        <v>1.0000000782882199</v>
      </c>
      <c r="T56" s="680">
        <f t="shared" si="11"/>
        <v>3.956973966228636E-4</v>
      </c>
      <c r="U56" s="681">
        <f t="shared" si="24"/>
        <v>0.99959966653457477</v>
      </c>
      <c r="V56" s="682">
        <f t="shared" si="25"/>
        <v>-1.0055417593223233E-3</v>
      </c>
      <c r="W56" s="683">
        <f t="shared" si="12"/>
        <v>38.141085144033362</v>
      </c>
      <c r="X56" s="684">
        <f t="shared" si="13"/>
        <v>-108.02407684509829</v>
      </c>
      <c r="Y56" s="687">
        <f t="shared" si="14"/>
        <v>71.975923154901707</v>
      </c>
      <c r="AA56" s="170">
        <f t="shared" si="15"/>
        <v>1000000000</v>
      </c>
      <c r="AB56" s="170">
        <f t="shared" si="16"/>
        <v>2754.255361</v>
      </c>
      <c r="AD56" s="686">
        <f t="shared" si="17"/>
        <v>38.383718458860024</v>
      </c>
      <c r="AE56" s="687">
        <f t="shared" si="18"/>
        <v>-85.021093622005026</v>
      </c>
      <c r="AG56" s="686">
        <f t="shared" si="19"/>
        <v>38.040599629877988</v>
      </c>
      <c r="AH56" s="687">
        <f t="shared" si="20"/>
        <v>-22.887756625094948</v>
      </c>
      <c r="AJ56" s="170">
        <f t="shared" si="21"/>
        <v>0</v>
      </c>
      <c r="AK56" s="170">
        <f t="shared" si="33"/>
        <v>0</v>
      </c>
      <c r="AM56" s="170" t="str">
        <f t="shared" si="26"/>
        <v>1.03174937704509E-06+0.00143648797024097i</v>
      </c>
      <c r="AN56" s="170" t="str">
        <f t="shared" si="27"/>
        <v>0.00143648846427303i</v>
      </c>
      <c r="AO56" s="170" t="str">
        <f t="shared" si="28"/>
        <v>0.999999656083517-0.000718244108954423i</v>
      </c>
      <c r="AP56" s="170" t="str">
        <f t="shared" si="29"/>
        <v>0.166666494708437-0.000239414661706828i</v>
      </c>
      <c r="AQ56" s="170" t="str">
        <f t="shared" si="30"/>
        <v>0.833333505291563+0.000239414661706828i</v>
      </c>
      <c r="AR56" s="170" t="str">
        <f t="shared" si="31"/>
        <v>0.999599711225873-0.000287182532786383i</v>
      </c>
    </row>
    <row r="57" spans="1:44">
      <c r="A57" s="170">
        <v>0.9</v>
      </c>
      <c r="C57" s="170" t="s">
        <v>808</v>
      </c>
      <c r="D57" s="170" t="str">
        <f>IMDIV(0.833,D56)</f>
        <v>0.99949517878913-0.00547046162022324i</v>
      </c>
      <c r="G57" s="688">
        <v>57.544000000000004</v>
      </c>
      <c r="H57" s="676">
        <f t="shared" si="23"/>
        <v>5.7544000000000005E-2</v>
      </c>
      <c r="I57" s="677">
        <f t="shared" si="0"/>
        <v>1.102373843994243</v>
      </c>
      <c r="J57" s="678">
        <f t="shared" si="1"/>
        <v>0.43437492269375222</v>
      </c>
      <c r="K57" s="678">
        <f t="shared" si="2"/>
        <v>1.0000000031635536</v>
      </c>
      <c r="L57" s="679">
        <f t="shared" si="3"/>
        <v>7.9543115110944723E-5</v>
      </c>
      <c r="M57" s="678">
        <f t="shared" si="4"/>
        <v>1.0000000463031014</v>
      </c>
      <c r="N57" s="679">
        <f t="shared" si="5"/>
        <v>-3.0431266648311322E-4</v>
      </c>
      <c r="O57" s="677">
        <f t="shared" si="6"/>
        <v>2386.2936678910828</v>
      </c>
      <c r="P57" s="680">
        <f t="shared" si="7"/>
        <v>1.5703772668766962</v>
      </c>
      <c r="Q57" s="689">
        <f t="shared" si="8"/>
        <v>1.0045451878094223</v>
      </c>
      <c r="R57" s="690">
        <f t="shared" si="9"/>
        <v>9.516342477945465E-2</v>
      </c>
      <c r="S57" s="677">
        <f t="shared" si="10"/>
        <v>1.0000000941222513</v>
      </c>
      <c r="T57" s="680">
        <f t="shared" si="11"/>
        <v>4.3387151065919799E-4</v>
      </c>
      <c r="U57" s="681">
        <f t="shared" si="24"/>
        <v>0.99959959909020801</v>
      </c>
      <c r="V57" s="682">
        <f t="shared" si="25"/>
        <v>-1.1025493615829979E-3</v>
      </c>
      <c r="W57" s="683">
        <f t="shared" si="12"/>
        <v>37.216363243625622</v>
      </c>
      <c r="X57" s="684">
        <f t="shared" si="13"/>
        <v>-109.512285731452</v>
      </c>
      <c r="Y57" s="687">
        <f t="shared" si="14"/>
        <v>70.487714268548004</v>
      </c>
      <c r="AA57" s="170">
        <f t="shared" si="15"/>
        <v>1000000000</v>
      </c>
      <c r="AB57" s="170">
        <f t="shared" si="16"/>
        <v>3311.3119360000005</v>
      </c>
      <c r="AD57" s="686">
        <f t="shared" si="17"/>
        <v>37.590361058833118</v>
      </c>
      <c r="AE57" s="687">
        <f t="shared" si="18"/>
        <v>-84.548386134472935</v>
      </c>
      <c r="AG57" s="686">
        <f t="shared" si="19"/>
        <v>37.90923630159508</v>
      </c>
      <c r="AH57" s="687">
        <f t="shared" si="20"/>
        <v>-24.837556746587577</v>
      </c>
      <c r="AJ57" s="170">
        <f t="shared" si="21"/>
        <v>0</v>
      </c>
      <c r="AK57" s="170">
        <f t="shared" si="33"/>
        <v>0</v>
      </c>
      <c r="AM57" s="170" t="str">
        <f t="shared" si="26"/>
        <v>1.24042380200695E-06+0.00157507017796497i</v>
      </c>
      <c r="AN57" s="170" t="str">
        <f t="shared" si="27"/>
        <v>0.00157507082921681i</v>
      </c>
      <c r="AO57" s="170" t="str">
        <f t="shared" si="28"/>
        <v>0.999999586525363-0.000787535251747212i</v>
      </c>
      <c r="AP57" s="170" t="str">
        <f t="shared" si="29"/>
        <v>0.166666459929366-0.000262511696327495i</v>
      </c>
      <c r="AQ57" s="170" t="str">
        <f t="shared" si="30"/>
        <v>0.833333540070634+0.000262511696327495i</v>
      </c>
      <c r="AR57" s="170" t="str">
        <f t="shared" si="31"/>
        <v>0.999599652820469-0.000314887842493457i</v>
      </c>
    </row>
    <row r="58" spans="1:44">
      <c r="A58" s="170">
        <v>1</v>
      </c>
      <c r="C58" s="170" t="s">
        <v>809</v>
      </c>
      <c r="D58" s="170">
        <f>IMABS(IMPRODUCT(D54, D57))</f>
        <v>0.99947894796047254</v>
      </c>
      <c r="G58" s="688">
        <v>63.095999999999997</v>
      </c>
      <c r="H58" s="676">
        <f t="shared" si="23"/>
        <v>6.3095999999999999E-2</v>
      </c>
      <c r="I58" s="677">
        <f t="shared" si="0"/>
        <v>1.1219461671581399</v>
      </c>
      <c r="J58" s="678">
        <f t="shared" si="1"/>
        <v>0.47057360973337325</v>
      </c>
      <c r="K58" s="678">
        <f t="shared" si="2"/>
        <v>1.0000000038034591</v>
      </c>
      <c r="L58" s="679">
        <f t="shared" si="3"/>
        <v>8.7217648910383478E-5</v>
      </c>
      <c r="M58" s="678">
        <f t="shared" si="4"/>
        <v>1.0000000556690281</v>
      </c>
      <c r="N58" s="679">
        <f t="shared" si="5"/>
        <v>-3.3367356952121777E-4</v>
      </c>
      <c r="O58" s="677">
        <f t="shared" si="6"/>
        <v>2616.5296650388946</v>
      </c>
      <c r="P58" s="680">
        <f t="shared" si="7"/>
        <v>1.5704141411702863</v>
      </c>
      <c r="Q58" s="689">
        <f t="shared" si="8"/>
        <v>1.005462064118207</v>
      </c>
      <c r="R58" s="690">
        <f t="shared" si="9"/>
        <v>0.10428151957716671</v>
      </c>
      <c r="S58" s="677">
        <f t="shared" si="10"/>
        <v>1.0000001131607621</v>
      </c>
      <c r="T58" s="680">
        <f t="shared" si="11"/>
        <v>4.7573259573705152E-4</v>
      </c>
      <c r="U58" s="681">
        <f t="shared" si="24"/>
        <v>0.9995995179965218</v>
      </c>
      <c r="V58" s="682">
        <f t="shared" si="25"/>
        <v>-1.2089262430398868E-3</v>
      </c>
      <c r="W58" s="683">
        <f t="shared" si="12"/>
        <v>36.271388834167013</v>
      </c>
      <c r="X58" s="684">
        <f t="shared" si="13"/>
        <v>-111.07573806408622</v>
      </c>
      <c r="Y58" s="687">
        <f t="shared" si="14"/>
        <v>68.924261935913776</v>
      </c>
      <c r="AA58" s="170">
        <f t="shared" si="15"/>
        <v>1000000000</v>
      </c>
      <c r="AB58" s="170">
        <f t="shared" si="16"/>
        <v>3981.1052159999995</v>
      </c>
      <c r="AD58" s="686">
        <f t="shared" si="17"/>
        <v>36.798249648339763</v>
      </c>
      <c r="AE58" s="687">
        <f t="shared" si="18"/>
        <v>-84.03046898966808</v>
      </c>
      <c r="AG58" s="686">
        <f t="shared" si="19"/>
        <v>37.756374711935784</v>
      </c>
      <c r="AH58" s="687">
        <f t="shared" si="20"/>
        <v>-26.906736331322254</v>
      </c>
      <c r="AJ58" s="170">
        <f t="shared" si="21"/>
        <v>0</v>
      </c>
      <c r="AK58" s="170">
        <f t="shared" si="33"/>
        <v>0</v>
      </c>
      <c r="AM58" s="170" t="str">
        <f t="shared" si="26"/>
        <v>1.49132958704445E-06+0.00172703704360399i</v>
      </c>
      <c r="AN58" s="170" t="str">
        <f t="shared" si="27"/>
        <v>0.00172703790213165i</v>
      </c>
      <c r="AO58" s="170" t="str">
        <f t="shared" si="28"/>
        <v>0.999999502890088-0.000863518736446797i</v>
      </c>
      <c r="AP58" s="170" t="str">
        <f t="shared" si="29"/>
        <v>0.166666418111735-0.000287839507267332i</v>
      </c>
      <c r="AQ58" s="170" t="str">
        <f t="shared" si="30"/>
        <v>0.833333581888265+0.000287839507267332i</v>
      </c>
      <c r="AR58" s="170" t="str">
        <f t="shared" si="31"/>
        <v>0.999599582595043-0.000345268998600571i</v>
      </c>
    </row>
    <row r="59" spans="1:44">
      <c r="A59" s="170">
        <v>1.2</v>
      </c>
      <c r="G59" s="688">
        <v>69.183000000000007</v>
      </c>
      <c r="H59" s="676">
        <f t="shared" si="23"/>
        <v>6.9183000000000008E-2</v>
      </c>
      <c r="I59" s="677">
        <f t="shared" si="0"/>
        <v>1.1450320095510649</v>
      </c>
      <c r="J59" s="678">
        <f t="shared" si="1"/>
        <v>0.50878288190263932</v>
      </c>
      <c r="K59" s="678">
        <f t="shared" si="2"/>
        <v>1.0000000045727122</v>
      </c>
      <c r="L59" s="679">
        <f t="shared" si="3"/>
        <v>9.5631713602647113E-5</v>
      </c>
      <c r="M59" s="678">
        <f t="shared" si="4"/>
        <v>1.000000066928141</v>
      </c>
      <c r="N59" s="679">
        <f t="shared" si="5"/>
        <v>-3.6586373758894599E-4</v>
      </c>
      <c r="O59" s="677">
        <f t="shared" si="6"/>
        <v>2868.951591105038</v>
      </c>
      <c r="P59" s="680">
        <f t="shared" si="7"/>
        <v>1.5704477674036021</v>
      </c>
      <c r="Q59" s="689">
        <f t="shared" si="8"/>
        <v>1.0065631681972902</v>
      </c>
      <c r="R59" s="690">
        <f t="shared" si="9"/>
        <v>0.11425823482448468</v>
      </c>
      <c r="S59" s="677">
        <f t="shared" si="10"/>
        <v>1.0000001360476309</v>
      </c>
      <c r="T59" s="680">
        <f t="shared" si="11"/>
        <v>5.2162748302109153E-4</v>
      </c>
      <c r="U59" s="681">
        <f t="shared" si="24"/>
        <v>0.99959942051094708</v>
      </c>
      <c r="V59" s="682">
        <f t="shared" si="25"/>
        <v>-1.3255537630397511E-3</v>
      </c>
      <c r="W59" s="683">
        <f t="shared" si="12"/>
        <v>35.304031486390684</v>
      </c>
      <c r="X59" s="684">
        <f t="shared" si="13"/>
        <v>-112.70594518207976</v>
      </c>
      <c r="Y59" s="687">
        <f t="shared" si="14"/>
        <v>67.294054817920241</v>
      </c>
      <c r="AA59" s="170">
        <f t="shared" si="15"/>
        <v>1000000000</v>
      </c>
      <c r="AB59" s="170">
        <f t="shared" si="16"/>
        <v>4786.2874890000012</v>
      </c>
      <c r="AD59" s="686">
        <f t="shared" si="17"/>
        <v>36.007805210526847</v>
      </c>
      <c r="AE59" s="687">
        <f t="shared" si="18"/>
        <v>-83.463401536537489</v>
      </c>
      <c r="AG59" s="686">
        <f t="shared" si="19"/>
        <v>37.579463496148833</v>
      </c>
      <c r="AH59" s="687">
        <f t="shared" si="20"/>
        <v>-29.090646373088966</v>
      </c>
      <c r="AJ59" s="170">
        <f t="shared" si="21"/>
        <v>0</v>
      </c>
      <c r="AK59" s="170">
        <f t="shared" si="33"/>
        <v>0</v>
      </c>
      <c r="AM59" s="170" t="str">
        <f t="shared" si="26"/>
        <v>1.79295230795518E-06+0.00189364764446015i</v>
      </c>
      <c r="AN59" s="170" t="str">
        <f t="shared" si="27"/>
        <v>0.00189364877620093i</v>
      </c>
      <c r="AO59" s="170" t="str">
        <f t="shared" si="28"/>
        <v>0.999999402349161-0.000946824105129057i</v>
      </c>
      <c r="AP59" s="170" t="str">
        <f t="shared" si="29"/>
        <v>0.166666367841282-0.000315607940743358i</v>
      </c>
      <c r="AQ59" s="170" t="str">
        <f t="shared" si="30"/>
        <v>0.833333632158718+0.000315607940743358i</v>
      </c>
      <c r="AR59" s="170" t="str">
        <f t="shared" si="31"/>
        <v>0.999599498174596-0.000378577711270018i</v>
      </c>
    </row>
    <row r="60" spans="1:44">
      <c r="A60" s="170">
        <v>1.5</v>
      </c>
      <c r="C60" s="170" t="s">
        <v>743</v>
      </c>
      <c r="D60" s="170">
        <f>10^(-D51/20)/O3*'Design Converter'!E40/10*Acs</f>
        <v>13123.306185304225</v>
      </c>
      <c r="G60" s="688">
        <v>75.858000000000004</v>
      </c>
      <c r="H60" s="676">
        <f t="shared" si="23"/>
        <v>7.5858000000000009E-2</v>
      </c>
      <c r="I60" s="677">
        <f t="shared" si="0"/>
        <v>1.1721884943836318</v>
      </c>
      <c r="J60" s="678">
        <f t="shared" si="1"/>
        <v>0.54888820758396095</v>
      </c>
      <c r="K60" s="678">
        <f t="shared" si="2"/>
        <v>1.0000000054976599</v>
      </c>
      <c r="L60" s="679">
        <f t="shared" si="3"/>
        <v>1.0485857112291015E-4</v>
      </c>
      <c r="M60" s="678">
        <f t="shared" si="4"/>
        <v>1.0000000804660634</v>
      </c>
      <c r="N60" s="679">
        <f t="shared" si="5"/>
        <v>-4.0116345280686585E-4</v>
      </c>
      <c r="O60" s="677">
        <f t="shared" si="6"/>
        <v>3145.7573041610831</v>
      </c>
      <c r="P60" s="680">
        <f t="shared" si="7"/>
        <v>1.570478438312044</v>
      </c>
      <c r="Q60" s="689">
        <f t="shared" si="8"/>
        <v>1.0078855395463775</v>
      </c>
      <c r="R60" s="690">
        <f t="shared" si="9"/>
        <v>0.12517242301330894</v>
      </c>
      <c r="S60" s="677">
        <f t="shared" si="10"/>
        <v>1.0000001635667306</v>
      </c>
      <c r="T60" s="680">
        <f t="shared" si="11"/>
        <v>5.719557822162556E-4</v>
      </c>
      <c r="U60" s="681">
        <f t="shared" si="24"/>
        <v>0.99959930329462687</v>
      </c>
      <c r="V60" s="682">
        <f t="shared" si="25"/>
        <v>-1.4534474007878637E-3</v>
      </c>
      <c r="W60" s="683">
        <f t="shared" si="12"/>
        <v>34.311797543992284</v>
      </c>
      <c r="X60" s="684">
        <f t="shared" si="13"/>
        <v>-114.39193670462944</v>
      </c>
      <c r="Y60" s="687">
        <f t="shared" si="14"/>
        <v>65.608063295370556</v>
      </c>
      <c r="AA60" s="170">
        <f t="shared" si="15"/>
        <v>1000000000</v>
      </c>
      <c r="AB60" s="170">
        <f t="shared" si="16"/>
        <v>5754.4361640000006</v>
      </c>
      <c r="AD60" s="686">
        <f t="shared" si="17"/>
        <v>35.219168693688999</v>
      </c>
      <c r="AE60" s="687">
        <f t="shared" si="18"/>
        <v>-82.842705528538602</v>
      </c>
      <c r="AG60" s="686">
        <f t="shared" si="19"/>
        <v>37.375868107660452</v>
      </c>
      <c r="AH60" s="687">
        <f t="shared" si="20"/>
        <v>-31.382678372281731</v>
      </c>
      <c r="AJ60" s="170">
        <f t="shared" si="21"/>
        <v>0</v>
      </c>
      <c r="AK60" s="170">
        <f t="shared" si="33"/>
        <v>0</v>
      </c>
      <c r="AM60" s="170" t="str">
        <f t="shared" si="26"/>
        <v>2.15562249494816E-06+0.00207635265379917i</v>
      </c>
      <c r="AN60" s="170" t="str">
        <f t="shared" si="27"/>
        <v>0.00207635414574462i</v>
      </c>
      <c r="AO60" s="170" t="str">
        <f t="shared" si="28"/>
        <v>0.999999281459065-0.00103817669994591i</v>
      </c>
      <c r="AP60" s="170" t="str">
        <f t="shared" si="29"/>
        <v>0.166666307396251-0.000346058775633195i</v>
      </c>
      <c r="AQ60" s="170" t="str">
        <f t="shared" si="30"/>
        <v>0.833333692603749+0.000346058775633195i</v>
      </c>
      <c r="AR60" s="170" t="str">
        <f t="shared" si="31"/>
        <v>0.999599396667756-0.000415103993039928i</v>
      </c>
    </row>
    <row r="61" spans="1:44">
      <c r="A61" s="170">
        <v>1.8</v>
      </c>
      <c r="C61" s="170" t="s">
        <v>744</v>
      </c>
      <c r="D61" s="170">
        <f>1/(6.28*D60*pole1*2)</f>
        <v>4.8912124791265742E-8</v>
      </c>
      <c r="G61" s="688">
        <v>83.176000000000002</v>
      </c>
      <c r="H61" s="676">
        <f t="shared" si="23"/>
        <v>8.3176E-2</v>
      </c>
      <c r="I61" s="677">
        <f t="shared" si="0"/>
        <v>1.2040228586902457</v>
      </c>
      <c r="J61" s="678">
        <f t="shared" si="1"/>
        <v>0.59070360408364908</v>
      </c>
      <c r="K61" s="678">
        <f t="shared" si="2"/>
        <v>1.0000000066095389</v>
      </c>
      <c r="L61" s="679">
        <f t="shared" si="3"/>
        <v>1.1497424800619814E-4</v>
      </c>
      <c r="M61" s="678">
        <f t="shared" si="4"/>
        <v>1.0000000967399896</v>
      </c>
      <c r="N61" s="679">
        <f t="shared" si="5"/>
        <v>-4.3986357389667506E-4</v>
      </c>
      <c r="O61" s="677">
        <f t="shared" si="6"/>
        <v>3449.227600344474</v>
      </c>
      <c r="P61" s="680">
        <f t="shared" si="7"/>
        <v>1.5705064068099386</v>
      </c>
      <c r="Q61" s="689">
        <f t="shared" si="8"/>
        <v>1.0094728684131955</v>
      </c>
      <c r="R61" s="690">
        <f t="shared" si="9"/>
        <v>0.13710352720889396</v>
      </c>
      <c r="S61" s="677">
        <f t="shared" si="10"/>
        <v>1.0000001966474192</v>
      </c>
      <c r="T61" s="680">
        <f t="shared" si="11"/>
        <v>6.2713218239941054E-4</v>
      </c>
      <c r="U61" s="681">
        <f t="shared" si="24"/>
        <v>0.99959916238902902</v>
      </c>
      <c r="V61" s="682">
        <f t="shared" si="25"/>
        <v>-1.593660952826425E-3</v>
      </c>
      <c r="W61" s="683">
        <f t="shared" si="12"/>
        <v>33.292786577835692</v>
      </c>
      <c r="X61" s="684">
        <f t="shared" si="13"/>
        <v>-116.11861579388588</v>
      </c>
      <c r="Y61" s="687">
        <f t="shared" si="14"/>
        <v>63.88138420611412</v>
      </c>
      <c r="AA61" s="170">
        <f t="shared" si="15"/>
        <v>1000000000</v>
      </c>
      <c r="AB61" s="170">
        <f t="shared" si="16"/>
        <v>6918.2469760000004</v>
      </c>
      <c r="AD61" s="686">
        <f t="shared" si="17"/>
        <v>34.432904359821116</v>
      </c>
      <c r="AE61" s="687">
        <f t="shared" si="18"/>
        <v>-82.163867464172952</v>
      </c>
      <c r="AG61" s="686">
        <f t="shared" si="19"/>
        <v>37.143123924134059</v>
      </c>
      <c r="AH61" s="687">
        <f t="shared" si="20"/>
        <v>-33.772128236360736</v>
      </c>
      <c r="AJ61" s="170">
        <f t="shared" si="21"/>
        <v>0</v>
      </c>
      <c r="AK61" s="170">
        <f t="shared" si="33"/>
        <v>0</v>
      </c>
      <c r="AM61" s="170" t="str">
        <f t="shared" si="26"/>
        <v>2.59158800197667E-06+0.00227665748154315i</v>
      </c>
      <c r="AN61" s="170" t="str">
        <f t="shared" si="27"/>
        <v>0.00227665944826459i</v>
      </c>
      <c r="AO61" s="170" t="str">
        <f t="shared" si="28"/>
        <v>0.999999136137185-0.00113832923231102i</v>
      </c>
      <c r="AP61" s="170" t="str">
        <f t="shared" si="29"/>
        <v>0.166666234735333-0.000379442913590525i</v>
      </c>
      <c r="AQ61" s="170" t="str">
        <f t="shared" si="30"/>
        <v>0.833333765264667+0.000379442913590525i</v>
      </c>
      <c r="AR61" s="170" t="str">
        <f t="shared" si="31"/>
        <v>0.99959927464652-0.000455148797522188i</v>
      </c>
    </row>
    <row r="62" spans="1:44">
      <c r="A62" s="170">
        <v>2</v>
      </c>
      <c r="C62" s="170" t="s">
        <v>812</v>
      </c>
      <c r="D62" s="170">
        <f>D61/150</f>
        <v>3.2608083194177159E-10</v>
      </c>
      <c r="G62" s="688">
        <v>91.201000000000008</v>
      </c>
      <c r="H62" s="676">
        <f t="shared" si="23"/>
        <v>9.1201000000000004E-2</v>
      </c>
      <c r="I62" s="677">
        <f t="shared" si="0"/>
        <v>1.2412201299195933</v>
      </c>
      <c r="J62" s="678">
        <f t="shared" si="1"/>
        <v>0.63400946565797855</v>
      </c>
      <c r="K62" s="678">
        <f t="shared" si="2"/>
        <v>1.000000007946471</v>
      </c>
      <c r="L62" s="679">
        <f t="shared" si="3"/>
        <v>1.2606721149210638E-4</v>
      </c>
      <c r="M62" s="678">
        <f t="shared" si="4"/>
        <v>1.0000001163078884</v>
      </c>
      <c r="N62" s="679">
        <f t="shared" si="5"/>
        <v>-4.8230255457856655E-4</v>
      </c>
      <c r="O62" s="677">
        <f t="shared" si="6"/>
        <v>3782.0164970035889</v>
      </c>
      <c r="P62" s="680">
        <f t="shared" si="7"/>
        <v>1.5705319175802768</v>
      </c>
      <c r="Q62" s="689">
        <f t="shared" si="8"/>
        <v>1.0113781866610392</v>
      </c>
      <c r="R62" s="690">
        <f t="shared" si="9"/>
        <v>0.15014218562407566</v>
      </c>
      <c r="S62" s="677">
        <f t="shared" si="10"/>
        <v>1.0000002364239025</v>
      </c>
      <c r="T62" s="680">
        <f t="shared" si="11"/>
        <v>6.8763923067146086E-4</v>
      </c>
      <c r="U62" s="681">
        <f t="shared" si="24"/>
        <v>0.99959899296307975</v>
      </c>
      <c r="V62" s="682">
        <f t="shared" si="25"/>
        <v>-1.7474206547386675E-3</v>
      </c>
      <c r="W62" s="683">
        <f t="shared" si="12"/>
        <v>32.244850687458651</v>
      </c>
      <c r="X62" s="684">
        <f t="shared" si="13"/>
        <v>-117.86833302900733</v>
      </c>
      <c r="Y62" s="687">
        <f t="shared" si="14"/>
        <v>62.131666970992669</v>
      </c>
      <c r="AA62" s="170">
        <f t="shared" si="15"/>
        <v>1000000000</v>
      </c>
      <c r="AB62" s="170">
        <f t="shared" si="16"/>
        <v>8317.6224010000005</v>
      </c>
      <c r="AD62" s="686">
        <f t="shared" si="17"/>
        <v>33.649251321998563</v>
      </c>
      <c r="AE62" s="687">
        <f t="shared" si="18"/>
        <v>-81.42173582359159</v>
      </c>
      <c r="AG62" s="686">
        <f t="shared" si="19"/>
        <v>36.878844015990254</v>
      </c>
      <c r="AH62" s="687">
        <f t="shared" si="20"/>
        <v>-36.246357548085918</v>
      </c>
      <c r="AJ62" s="170">
        <f t="shared" si="21"/>
        <v>0</v>
      </c>
      <c r="AK62" s="170">
        <f t="shared" si="33"/>
        <v>0</v>
      </c>
      <c r="AM62" s="170" t="str">
        <f t="shared" si="26"/>
        <v>3.11579633005543E-06+0.00249631387290939i</v>
      </c>
      <c r="AN62" s="170" t="str">
        <f t="shared" si="27"/>
        <v>0.00249631646558116i</v>
      </c>
      <c r="AO62" s="170" t="str">
        <f t="shared" si="28"/>
        <v>0.999998961401006-0.00124815758459136i</v>
      </c>
      <c r="AP62" s="170" t="str">
        <f t="shared" si="29"/>
        <v>0.166666147367278-0.000416052312151565i</v>
      </c>
      <c r="AQ62" s="170" t="str">
        <f t="shared" si="30"/>
        <v>0.833333852632722+0.000416052312151565i</v>
      </c>
      <c r="AR62" s="170" t="str">
        <f t="shared" si="31"/>
        <v>0.999599127927301-0.000499062323083299i</v>
      </c>
    </row>
    <row r="63" spans="1:44">
      <c r="A63" s="170">
        <v>2.5</v>
      </c>
      <c r="G63" s="688">
        <v>100</v>
      </c>
      <c r="H63" s="676">
        <f t="shared" si="23"/>
        <v>0.1</v>
      </c>
      <c r="I63" s="677">
        <f t="shared" si="0"/>
        <v>1.2845148130407624</v>
      </c>
      <c r="J63" s="678">
        <f t="shared" si="1"/>
        <v>0.67851747979613919</v>
      </c>
      <c r="K63" s="678">
        <f t="shared" si="2"/>
        <v>1.0000000095537769</v>
      </c>
      <c r="L63" s="679">
        <f t="shared" si="3"/>
        <v>1.382300757195871E-4</v>
      </c>
      <c r="M63" s="678">
        <f t="shared" si="4"/>
        <v>1.0000001398330933</v>
      </c>
      <c r="N63" s="679">
        <f t="shared" si="5"/>
        <v>-5.288347134509376E-4</v>
      </c>
      <c r="O63" s="677">
        <f t="shared" si="6"/>
        <v>4146.9024185719245</v>
      </c>
      <c r="P63" s="680">
        <f t="shared" si="7"/>
        <v>1.5705551829461257</v>
      </c>
      <c r="Q63" s="689">
        <f t="shared" si="8"/>
        <v>1.0136640853214895</v>
      </c>
      <c r="R63" s="690">
        <f t="shared" si="9"/>
        <v>0.16437937107867232</v>
      </c>
      <c r="S63" s="677">
        <f t="shared" si="10"/>
        <v>1.0000002842445657</v>
      </c>
      <c r="T63" s="680">
        <f t="shared" si="11"/>
        <v>7.5398209312312644E-4</v>
      </c>
      <c r="U63" s="681">
        <f t="shared" si="24"/>
        <v>0.99959878927344836</v>
      </c>
      <c r="V63" s="682">
        <f t="shared" si="25"/>
        <v>-1.9160102176338832E-3</v>
      </c>
      <c r="W63" s="683">
        <f t="shared" si="12"/>
        <v>31.166644183240706</v>
      </c>
      <c r="X63" s="684">
        <f t="shared" si="13"/>
        <v>-119.61948661618321</v>
      </c>
      <c r="Y63" s="687">
        <f t="shared" si="14"/>
        <v>60.38051338381679</v>
      </c>
      <c r="AA63" s="170">
        <f t="shared" si="15"/>
        <v>1000000000</v>
      </c>
      <c r="AB63" s="170">
        <f t="shared" si="16"/>
        <v>10000</v>
      </c>
      <c r="AD63" s="686">
        <f t="shared" si="17"/>
        <v>32.868852502005879</v>
      </c>
      <c r="AE63" s="687">
        <f t="shared" si="18"/>
        <v>-80.611139357263184</v>
      </c>
      <c r="AG63" s="686">
        <f t="shared" si="19"/>
        <v>36.581039871636179</v>
      </c>
      <c r="AH63" s="687">
        <f t="shared" si="20"/>
        <v>-38.788788660720407</v>
      </c>
      <c r="AJ63" s="170">
        <f t="shared" si="21"/>
        <v>0</v>
      </c>
      <c r="AK63" s="170">
        <f t="shared" si="33"/>
        <v>0</v>
      </c>
      <c r="AM63" s="170" t="str">
        <f t="shared" si="26"/>
        <v>3.74601761499171E-06+0.00273715567647127i</v>
      </c>
      <c r="AN63" s="170" t="str">
        <f t="shared" si="27"/>
        <v>0.00273715909428752i</v>
      </c>
      <c r="AO63" s="170" t="str">
        <f t="shared" si="28"/>
        <v>0.999998751327149-0.00136857869270723i</v>
      </c>
      <c r="AP63" s="170" t="str">
        <f t="shared" si="29"/>
        <v>0.166666042330398-0.000456192612745212i</v>
      </c>
      <c r="AQ63" s="170" t="str">
        <f t="shared" si="30"/>
        <v>0.833333957669602+0.000456192612745212i</v>
      </c>
      <c r="AR63" s="170" t="str">
        <f t="shared" si="31"/>
        <v>0.999598951536507-0.000547211178906034i</v>
      </c>
    </row>
    <row r="64" spans="1:44">
      <c r="A64" s="170">
        <v>3</v>
      </c>
      <c r="C64" s="170" t="s">
        <v>743</v>
      </c>
      <c r="D64" s="172">
        <f>D60/1000</f>
        <v>13.123306185304225</v>
      </c>
      <c r="G64" s="688">
        <v>109.65</v>
      </c>
      <c r="H64" s="676">
        <f t="shared" si="23"/>
        <v>0.10965000000000001</v>
      </c>
      <c r="I64" s="677">
        <f t="shared" si="0"/>
        <v>1.3347197751741477</v>
      </c>
      <c r="J64" s="678">
        <f t="shared" si="1"/>
        <v>0.72391129582493841</v>
      </c>
      <c r="K64" s="678">
        <f t="shared" si="2"/>
        <v>1.0000000114866232</v>
      </c>
      <c r="L64" s="679">
        <f t="shared" si="3"/>
        <v>1.5156927783122057E-4</v>
      </c>
      <c r="M64" s="678">
        <f t="shared" si="4"/>
        <v>1.0000001681230388</v>
      </c>
      <c r="N64" s="679">
        <f t="shared" si="5"/>
        <v>-5.7986725236267901E-4</v>
      </c>
      <c r="O64" s="677">
        <f t="shared" si="6"/>
        <v>4547.0784797177166</v>
      </c>
      <c r="P64" s="680">
        <f t="shared" si="7"/>
        <v>1.5705764053634717</v>
      </c>
      <c r="Q64" s="689">
        <f t="shared" si="8"/>
        <v>1.0164061563770357</v>
      </c>
      <c r="R64" s="690">
        <f t="shared" si="9"/>
        <v>0.17991637355063109</v>
      </c>
      <c r="S64" s="677">
        <f t="shared" si="10"/>
        <v>1.0000003417507135</v>
      </c>
      <c r="T64" s="680">
        <f t="shared" si="11"/>
        <v>8.267413334143753E-4</v>
      </c>
      <c r="U64" s="681">
        <f t="shared" si="24"/>
        <v>0.99959854432914363</v>
      </c>
      <c r="V64" s="682">
        <f t="shared" si="25"/>
        <v>-2.1009049487739281E-3</v>
      </c>
      <c r="W64" s="683">
        <f t="shared" si="12"/>
        <v>30.056914126983902</v>
      </c>
      <c r="X64" s="684">
        <f t="shared" si="13"/>
        <v>-121.34829413387179</v>
      </c>
      <c r="Y64" s="687">
        <f t="shared" si="14"/>
        <v>58.651705866128211</v>
      </c>
      <c r="AA64" s="170">
        <f t="shared" si="15"/>
        <v>1000000000</v>
      </c>
      <c r="AB64" s="170">
        <f t="shared" si="16"/>
        <v>12023.122500000001</v>
      </c>
      <c r="AD64" s="686">
        <f t="shared" si="17"/>
        <v>32.092143873465567</v>
      </c>
      <c r="AE64" s="687">
        <f t="shared" si="18"/>
        <v>-79.726319440658827</v>
      </c>
      <c r="AG64" s="686">
        <f t="shared" si="19"/>
        <v>36.248022700746489</v>
      </c>
      <c r="AH64" s="687">
        <f t="shared" si="20"/>
        <v>-41.381228719492093</v>
      </c>
      <c r="AJ64" s="170">
        <f t="shared" si="21"/>
        <v>0</v>
      </c>
      <c r="AK64" s="170">
        <f t="shared" si="33"/>
        <v>0</v>
      </c>
      <c r="AM64" s="170" t="str">
        <f t="shared" si="26"/>
        <v>4.50388229800147E-06+0.00300129044105851i</v>
      </c>
      <c r="AN64" s="170" t="str">
        <f t="shared" si="27"/>
        <v>0.00300129494688626i</v>
      </c>
      <c r="AO64" s="170" t="str">
        <f t="shared" si="28"/>
        <v>0.999998498705449-0.00150064634689573i</v>
      </c>
      <c r="AP64" s="170" t="str">
        <f t="shared" si="29"/>
        <v>0.166665916019617-0.000500215073509752i</v>
      </c>
      <c r="AQ64" s="170" t="str">
        <f t="shared" si="30"/>
        <v>0.833334083980383+0.000500215073509752i</v>
      </c>
      <c r="AR64" s="170" t="str">
        <f t="shared" si="31"/>
        <v>0.999598739420117-0.000600016687822239i</v>
      </c>
    </row>
    <row r="65" spans="1:44">
      <c r="A65" s="170">
        <v>4</v>
      </c>
      <c r="C65" s="170" t="s">
        <v>744</v>
      </c>
      <c r="D65" s="172">
        <f>D61*1000000000</f>
        <v>48.91212479126574</v>
      </c>
      <c r="G65" s="688">
        <v>120.23</v>
      </c>
      <c r="H65" s="676">
        <f t="shared" si="23"/>
        <v>0.12023</v>
      </c>
      <c r="I65" s="677">
        <f t="shared" si="0"/>
        <v>1.3926808958676953</v>
      </c>
      <c r="J65" s="678">
        <f t="shared" si="1"/>
        <v>0.76981480793757784</v>
      </c>
      <c r="K65" s="678">
        <f t="shared" si="2"/>
        <v>1.0000000138102263</v>
      </c>
      <c r="L65" s="679">
        <f t="shared" si="3"/>
        <v>1.66194019566062E-4</v>
      </c>
      <c r="M65" s="678">
        <f t="shared" si="4"/>
        <v>1.0000002021322665</v>
      </c>
      <c r="N65" s="679">
        <f t="shared" si="5"/>
        <v>-6.3581794957477667E-4</v>
      </c>
      <c r="O65" s="677">
        <f t="shared" si="6"/>
        <v>4985.8207331697931</v>
      </c>
      <c r="P65" s="680">
        <f t="shared" si="7"/>
        <v>1.5705957580098917</v>
      </c>
      <c r="Q65" s="689">
        <f t="shared" si="8"/>
        <v>1.0196928222819308</v>
      </c>
      <c r="R65" s="690">
        <f t="shared" si="9"/>
        <v>0.19685014014027233</v>
      </c>
      <c r="S65" s="677">
        <f t="shared" si="10"/>
        <v>1.0000004108826823</v>
      </c>
      <c r="T65" s="680">
        <f t="shared" si="11"/>
        <v>9.0651259402925292E-4</v>
      </c>
      <c r="U65" s="681">
        <f t="shared" si="24"/>
        <v>0.99959824986549339</v>
      </c>
      <c r="V65" s="682">
        <f t="shared" si="25"/>
        <v>-2.3036184695236594E-3</v>
      </c>
      <c r="W65" s="683">
        <f t="shared" si="12"/>
        <v>28.91563814049972</v>
      </c>
      <c r="X65" s="684">
        <f t="shared" si="13"/>
        <v>-123.02780010137106</v>
      </c>
      <c r="Y65" s="687">
        <f t="shared" si="14"/>
        <v>56.972199898628944</v>
      </c>
      <c r="AA65" s="170">
        <f t="shared" si="15"/>
        <v>1000000000</v>
      </c>
      <c r="AB65" s="170">
        <f t="shared" si="16"/>
        <v>14455.252900000001</v>
      </c>
      <c r="AD65" s="686">
        <f t="shared" si="17"/>
        <v>31.320100593682941</v>
      </c>
      <c r="AE65" s="687">
        <f t="shared" si="18"/>
        <v>-78.761765464232525</v>
      </c>
      <c r="AG65" s="686">
        <f t="shared" si="19"/>
        <v>35.878795111457642</v>
      </c>
      <c r="AH65" s="687">
        <f t="shared" si="20"/>
        <v>-44.002059405012709</v>
      </c>
      <c r="AJ65" s="170">
        <f t="shared" si="21"/>
        <v>0</v>
      </c>
      <c r="AK65" s="170">
        <f t="shared" si="33"/>
        <v>0</v>
      </c>
      <c r="AM65" s="170" t="str">
        <f t="shared" si="26"/>
        <v>0.0000054149616930399+0.00329088043905184i</v>
      </c>
      <c r="AN65" s="170" t="str">
        <f t="shared" si="27"/>
        <v>0.00329088637906188i</v>
      </c>
      <c r="AO65" s="170" t="str">
        <f t="shared" si="28"/>
        <v>0.999998195012117-0.00164544170454877i</v>
      </c>
      <c r="AP65" s="170" t="str">
        <f t="shared" si="29"/>
        <v>0.166665764173051-0.000548480073175307i</v>
      </c>
      <c r="AQ65" s="170" t="str">
        <f t="shared" si="30"/>
        <v>0.833334235826949+0.000548480073175307i</v>
      </c>
      <c r="AR65" s="170" t="str">
        <f t="shared" si="31"/>
        <v>0.999598484421141-0.000657911107344791i</v>
      </c>
    </row>
    <row r="66" spans="1:44">
      <c r="A66" s="170">
        <v>5</v>
      </c>
      <c r="C66" s="170" t="s">
        <v>812</v>
      </c>
      <c r="D66" s="172">
        <f>D62*1000000000000</f>
        <v>326.08083194177158</v>
      </c>
      <c r="G66" s="688">
        <v>131.83000000000001</v>
      </c>
      <c r="H66" s="676">
        <f t="shared" si="23"/>
        <v>0.13183</v>
      </c>
      <c r="I66" s="677">
        <f t="shared" si="0"/>
        <v>1.4593172973344137</v>
      </c>
      <c r="J66" s="678">
        <f t="shared" si="1"/>
        <v>0.81584676677708845</v>
      </c>
      <c r="K66" s="678">
        <f t="shared" si="2"/>
        <v>1.0000000166036511</v>
      </c>
      <c r="L66" s="679">
        <f t="shared" si="3"/>
        <v>1.8222870796467204E-4</v>
      </c>
      <c r="M66" s="678">
        <f t="shared" si="4"/>
        <v>1.0000002430180026</v>
      </c>
      <c r="N66" s="679">
        <f t="shared" si="5"/>
        <v>-6.9716275478459255E-4</v>
      </c>
      <c r="O66" s="677">
        <f t="shared" si="6"/>
        <v>5466.8613909135584</v>
      </c>
      <c r="P66" s="680">
        <f t="shared" si="7"/>
        <v>1.5706134064802826</v>
      </c>
      <c r="Q66" s="689">
        <f t="shared" si="8"/>
        <v>1.0236300679190398</v>
      </c>
      <c r="R66" s="690">
        <f t="shared" si="9"/>
        <v>0.21528560054175377</v>
      </c>
      <c r="S66" s="677">
        <f t="shared" si="10"/>
        <v>1.0000004939928113</v>
      </c>
      <c r="T66" s="680">
        <f t="shared" si="11"/>
        <v>9.9397445437464892E-4</v>
      </c>
      <c r="U66" s="681">
        <f t="shared" si="24"/>
        <v>0.99959789586297099</v>
      </c>
      <c r="V66" s="682">
        <f t="shared" si="25"/>
        <v>-2.5258751527738256E-3</v>
      </c>
      <c r="W66" s="683">
        <f t="shared" si="12"/>
        <v>27.743117851915802</v>
      </c>
      <c r="X66" s="684">
        <f t="shared" si="13"/>
        <v>-124.6303158197564</v>
      </c>
      <c r="Y66" s="687">
        <f t="shared" si="14"/>
        <v>55.369684180243596</v>
      </c>
      <c r="AA66" s="170">
        <f t="shared" si="15"/>
        <v>1000000000</v>
      </c>
      <c r="AB66" s="170">
        <f t="shared" si="16"/>
        <v>17379.148900000004</v>
      </c>
      <c r="AD66" s="686">
        <f t="shared" si="17"/>
        <v>30.55354524210529</v>
      </c>
      <c r="AE66" s="687">
        <f t="shared" si="18"/>
        <v>-77.711513766981398</v>
      </c>
      <c r="AG66" s="686">
        <f t="shared" si="19"/>
        <v>35.472836326577763</v>
      </c>
      <c r="AH66" s="687">
        <f t="shared" si="20"/>
        <v>-46.629358080782431</v>
      </c>
      <c r="AJ66" s="170">
        <f t="shared" si="21"/>
        <v>0</v>
      </c>
      <c r="AK66" s="170">
        <f t="shared" si="33"/>
        <v>0</v>
      </c>
      <c r="AM66" s="170" t="str">
        <f t="shared" si="26"/>
        <v>6.51025679199169E-06+0.00360838900346583i</v>
      </c>
      <c r="AN66" s="170" t="str">
        <f t="shared" si="27"/>
        <v>0.00360839683399923i</v>
      </c>
      <c r="AO66" s="170" t="str">
        <f t="shared" si="28"/>
        <v>0.99999782991346-0.00180419645939449i</v>
      </c>
      <c r="AP66" s="170" t="str">
        <f t="shared" si="29"/>
        <v>0.166665581623868-0.000601398167244305i</v>
      </c>
      <c r="AQ66" s="170" t="str">
        <f t="shared" si="30"/>
        <v>0.833334418376132+0.000601398167244305i</v>
      </c>
      <c r="AR66" s="170" t="str">
        <f t="shared" si="31"/>
        <v>0.999598177862941-0.000721386875294263i</v>
      </c>
    </row>
    <row r="67" spans="1:44">
      <c r="A67" s="170">
        <v>6</v>
      </c>
      <c r="G67" s="688">
        <v>144.54</v>
      </c>
      <c r="H67" s="676">
        <f t="shared" si="23"/>
        <v>0.14454</v>
      </c>
      <c r="I67" s="677">
        <f t="shared" si="0"/>
        <v>1.5355528089421056</v>
      </c>
      <c r="J67" s="678">
        <f t="shared" si="1"/>
        <v>0.86159053781721717</v>
      </c>
      <c r="K67" s="678">
        <f t="shared" si="2"/>
        <v>1.0000000199595709</v>
      </c>
      <c r="L67" s="679">
        <f t="shared" si="3"/>
        <v>1.9979775005905508E-4</v>
      </c>
      <c r="M67" s="678">
        <f t="shared" si="4"/>
        <v>1.000000292136642</v>
      </c>
      <c r="N67" s="679">
        <f t="shared" si="5"/>
        <v>-7.6437761721037786E-4</v>
      </c>
      <c r="O67" s="677">
        <f t="shared" si="6"/>
        <v>5993.9326649468876</v>
      </c>
      <c r="P67" s="680">
        <f t="shared" si="7"/>
        <v>1.5706294914197703</v>
      </c>
      <c r="Q67" s="689">
        <f t="shared" si="8"/>
        <v>1.0283401987995353</v>
      </c>
      <c r="R67" s="690">
        <f t="shared" si="9"/>
        <v>0.2353154893235424</v>
      </c>
      <c r="S67" s="677">
        <f t="shared" si="10"/>
        <v>1.0000005938382996</v>
      </c>
      <c r="T67" s="680">
        <f t="shared" si="11"/>
        <v>1.0898054924689149E-3</v>
      </c>
      <c r="U67" s="681">
        <f t="shared" si="24"/>
        <v>0.99959747057764092</v>
      </c>
      <c r="V67" s="682">
        <f t="shared" si="25"/>
        <v>-2.7693993605669553E-3</v>
      </c>
      <c r="W67" s="683">
        <f t="shared" si="12"/>
        <v>26.541212848459587</v>
      </c>
      <c r="X67" s="684">
        <f t="shared" si="13"/>
        <v>-126.12682246823242</v>
      </c>
      <c r="Y67" s="687">
        <f t="shared" si="14"/>
        <v>53.873177531767581</v>
      </c>
      <c r="AA67" s="170">
        <f t="shared" si="15"/>
        <v>1000000000</v>
      </c>
      <c r="AB67" s="170">
        <f t="shared" si="16"/>
        <v>20891.811599999997</v>
      </c>
      <c r="AD67" s="686">
        <f t="shared" si="17"/>
        <v>29.793944009897942</v>
      </c>
      <c r="AE67" s="687">
        <f t="shared" si="18"/>
        <v>-76.570297987539973</v>
      </c>
      <c r="AG67" s="686">
        <f t="shared" si="19"/>
        <v>35.030539946265272</v>
      </c>
      <c r="AH67" s="687">
        <f t="shared" si="20"/>
        <v>-49.239174690036357</v>
      </c>
      <c r="AJ67" s="170">
        <f t="shared" si="21"/>
        <v>0</v>
      </c>
      <c r="AK67" s="170">
        <f t="shared" si="33"/>
        <v>0</v>
      </c>
      <c r="AM67" s="170" t="str">
        <f t="shared" si="26"/>
        <v>7.82610410399176E-06+0.0039562794340993i</v>
      </c>
      <c r="AN67" s="170" t="str">
        <f t="shared" si="27"/>
        <v>0.00395628975488318i</v>
      </c>
      <c r="AO67" s="170" t="str">
        <f t="shared" si="28"/>
        <v>0.999997391297271-0.00197814229716924i</v>
      </c>
      <c r="AP67" s="170" t="str">
        <f t="shared" si="29"/>
        <v>0.166665362315983-0.000659379905683217i</v>
      </c>
      <c r="AQ67" s="170" t="str">
        <f t="shared" si="30"/>
        <v>0.833334637684017+0.000659379905683217i</v>
      </c>
      <c r="AR67" s="170" t="str">
        <f t="shared" si="31"/>
        <v>0.999597809575603-0.000790936413288792i</v>
      </c>
    </row>
    <row r="68" spans="1:44">
      <c r="A68" s="170">
        <v>7</v>
      </c>
      <c r="G68" s="688">
        <v>158.49</v>
      </c>
      <c r="H68" s="676">
        <f t="shared" si="23"/>
        <v>0.15849000000000002</v>
      </c>
      <c r="I68" s="677">
        <f t="shared" si="0"/>
        <v>1.6225553027424509</v>
      </c>
      <c r="J68" s="678">
        <f t="shared" si="1"/>
        <v>0.90674565460350243</v>
      </c>
      <c r="K68" s="678">
        <f t="shared" si="2"/>
        <v>1.0000000239982088</v>
      </c>
      <c r="L68" s="679">
        <f t="shared" si="3"/>
        <v>2.1908084489830808E-4</v>
      </c>
      <c r="M68" s="678">
        <f t="shared" si="4"/>
        <v>1.0000003512478302</v>
      </c>
      <c r="N68" s="679">
        <f t="shared" si="5"/>
        <v>-8.3815001921689356E-4</v>
      </c>
      <c r="O68" s="677">
        <f t="shared" si="6"/>
        <v>6572.4255281756159</v>
      </c>
      <c r="P68" s="680">
        <f t="shared" si="7"/>
        <v>1.5706441759641916</v>
      </c>
      <c r="Q68" s="689">
        <f t="shared" si="8"/>
        <v>1.0339800975441757</v>
      </c>
      <c r="R68" s="690">
        <f t="shared" si="9"/>
        <v>0.25707971881349856</v>
      </c>
      <c r="S68" s="677">
        <f t="shared" si="10"/>
        <v>1.0000007139960481</v>
      </c>
      <c r="T68" s="680">
        <f t="shared" si="11"/>
        <v>1.1949858770262847E-3</v>
      </c>
      <c r="U68" s="681">
        <f t="shared" si="24"/>
        <v>0.99959695877419164</v>
      </c>
      <c r="V68" s="682">
        <f t="shared" si="25"/>
        <v>-3.0366818420144346E-3</v>
      </c>
      <c r="W68" s="683">
        <f t="shared" si="12"/>
        <v>25.309743924460506</v>
      </c>
      <c r="X68" s="684">
        <f t="shared" si="13"/>
        <v>-127.49232551093465</v>
      </c>
      <c r="Y68" s="687">
        <f t="shared" si="14"/>
        <v>52.507674489065352</v>
      </c>
      <c r="AA68" s="170">
        <f t="shared" si="15"/>
        <v>1000000000</v>
      </c>
      <c r="AB68" s="170">
        <f t="shared" si="16"/>
        <v>25119.080100000003</v>
      </c>
      <c r="AD68" s="686">
        <f t="shared" si="17"/>
        <v>29.041174010977763</v>
      </c>
      <c r="AE68" s="687">
        <f t="shared" si="18"/>
        <v>-75.330167246536391</v>
      </c>
      <c r="AG68" s="686">
        <f t="shared" si="19"/>
        <v>34.551849915705517</v>
      </c>
      <c r="AH68" s="687">
        <f t="shared" si="20"/>
        <v>-51.814180157457763</v>
      </c>
      <c r="AJ68" s="170">
        <f t="shared" si="21"/>
        <v>0</v>
      </c>
      <c r="AK68" s="170">
        <f t="shared" si="33"/>
        <v>0</v>
      </c>
      <c r="AM68" s="170" t="str">
        <f t="shared" si="26"/>
        <v>9.40964276996414E-06+0.0043381098417971i</v>
      </c>
      <c r="AN68" s="170" t="str">
        <f t="shared" si="27"/>
        <v>0.00433812344853628i</v>
      </c>
      <c r="AO68" s="170" t="str">
        <f t="shared" si="28"/>
        <v>0.999996863450443-0.00216905832247329i</v>
      </c>
      <c r="AP68" s="170" t="str">
        <f t="shared" si="29"/>
        <v>0.166665098392872-0.000723018306966183i</v>
      </c>
      <c r="AQ68" s="170" t="str">
        <f t="shared" si="30"/>
        <v>0.833334901607128+0.000723018306966183i</v>
      </c>
      <c r="AR68" s="170" t="str">
        <f t="shared" si="31"/>
        <v>0.9995973663658-0.000867271002431124i</v>
      </c>
    </row>
    <row r="69" spans="1:44">
      <c r="A69" s="170">
        <v>8</v>
      </c>
      <c r="G69" s="688">
        <v>173.78</v>
      </c>
      <c r="H69" s="676">
        <f t="shared" si="23"/>
        <v>0.17377999999999999</v>
      </c>
      <c r="I69" s="677">
        <f t="shared" si="0"/>
        <v>1.7213079991598763</v>
      </c>
      <c r="J69" s="678">
        <f t="shared" si="1"/>
        <v>0.95089659165308282</v>
      </c>
      <c r="K69" s="678">
        <f t="shared" si="2"/>
        <v>1.0000000288519175</v>
      </c>
      <c r="L69" s="679">
        <f t="shared" si="3"/>
        <v>2.4021622249501424E-4</v>
      </c>
      <c r="M69" s="678">
        <f t="shared" si="4"/>
        <v>1.0000004222887284</v>
      </c>
      <c r="N69" s="679">
        <f t="shared" si="5"/>
        <v>-9.1900879198225074E-4</v>
      </c>
      <c r="O69" s="677">
        <f t="shared" si="6"/>
        <v>7206.486882846335</v>
      </c>
      <c r="P69" s="680">
        <f t="shared" si="7"/>
        <v>1.5706575629256958</v>
      </c>
      <c r="Q69" s="689">
        <f t="shared" si="8"/>
        <v>1.0407177924433779</v>
      </c>
      <c r="R69" s="690">
        <f t="shared" si="9"/>
        <v>0.28065117096728065</v>
      </c>
      <c r="S69" s="677">
        <f t="shared" si="10"/>
        <v>1.0000008584038</v>
      </c>
      <c r="T69" s="680">
        <f t="shared" si="11"/>
        <v>1.3102695798938974E-3</v>
      </c>
      <c r="U69" s="681">
        <f t="shared" si="24"/>
        <v>0.99959634368046435</v>
      </c>
      <c r="V69" s="682">
        <f t="shared" si="25"/>
        <v>-3.3296385250632717E-3</v>
      </c>
      <c r="W69" s="683">
        <f t="shared" si="12"/>
        <v>24.053013876117134</v>
      </c>
      <c r="X69" s="684">
        <f t="shared" si="13"/>
        <v>-128.69902250741185</v>
      </c>
      <c r="Y69" s="687">
        <f t="shared" si="14"/>
        <v>51.300977492588146</v>
      </c>
      <c r="AA69" s="170">
        <f t="shared" si="15"/>
        <v>1000000000</v>
      </c>
      <c r="AB69" s="170">
        <f t="shared" si="16"/>
        <v>30199.488400000002</v>
      </c>
      <c r="AD69" s="686">
        <f t="shared" si="17"/>
        <v>28.297630225875395</v>
      </c>
      <c r="AE69" s="687">
        <f t="shared" si="18"/>
        <v>-73.986994805610976</v>
      </c>
      <c r="AG69" s="686">
        <f t="shared" si="19"/>
        <v>34.038674342048601</v>
      </c>
      <c r="AH69" s="687">
        <f t="shared" si="20"/>
        <v>-54.330479231784295</v>
      </c>
      <c r="AJ69" s="170">
        <f t="shared" si="21"/>
        <v>0</v>
      </c>
      <c r="AK69" s="170">
        <f t="shared" si="33"/>
        <v>0</v>
      </c>
      <c r="AM69" s="170" t="str">
        <f t="shared" si="26"/>
        <v>0.0000113127672840552+0.00475661713713744i</v>
      </c>
      <c r="AN69" s="170" t="str">
        <f t="shared" si="27"/>
        <v>0.00475663507405285i</v>
      </c>
      <c r="AO69" s="170" t="str">
        <f t="shared" si="28"/>
        <v>0.999996229074728-0.0023783130528061i</v>
      </c>
      <c r="AP69" s="170" t="str">
        <f t="shared" si="29"/>
        <v>0.166664781205453-0.00079276952285624i</v>
      </c>
      <c r="AQ69" s="170" t="str">
        <f t="shared" si="30"/>
        <v>0.833335218794547+0.00079276952285624i</v>
      </c>
      <c r="AR69" s="170" t="str">
        <f t="shared" si="31"/>
        <v>0.999596833709384-0.000950937734342618i</v>
      </c>
    </row>
    <row r="70" spans="1:44">
      <c r="A70" s="170">
        <v>9</v>
      </c>
      <c r="G70" s="688">
        <v>190.55</v>
      </c>
      <c r="H70" s="676">
        <f t="shared" si="23"/>
        <v>0.19055000000000002</v>
      </c>
      <c r="I70" s="677">
        <f t="shared" si="0"/>
        <v>1.833037339822053</v>
      </c>
      <c r="J70" s="678">
        <f t="shared" si="1"/>
        <v>0.99375989007591947</v>
      </c>
      <c r="K70" s="678">
        <f t="shared" si="2"/>
        <v>1.0000000346890974</v>
      </c>
      <c r="L70" s="679">
        <f t="shared" si="3"/>
        <v>2.6339740486995452E-4</v>
      </c>
      <c r="M70" s="678">
        <f t="shared" si="4"/>
        <v>1.0000005077241154</v>
      </c>
      <c r="N70" s="679">
        <f t="shared" si="5"/>
        <v>-1.0076942993329997E-3</v>
      </c>
      <c r="O70" s="677">
        <f t="shared" si="6"/>
        <v>7901.9223921147432</v>
      </c>
      <c r="P70" s="680">
        <f t="shared" si="7"/>
        <v>1.5706697753112138</v>
      </c>
      <c r="Q70" s="689">
        <f t="shared" si="8"/>
        <v>1.0487633681558519</v>
      </c>
      <c r="R70" s="690">
        <f t="shared" si="9"/>
        <v>0.30614020607293402</v>
      </c>
      <c r="S70" s="677">
        <f t="shared" si="10"/>
        <v>1.000001032071806</v>
      </c>
      <c r="T70" s="680">
        <f t="shared" si="11"/>
        <v>1.4367121621712902E-3</v>
      </c>
      <c r="U70" s="681">
        <f t="shared" si="24"/>
        <v>0.99959560395624025</v>
      </c>
      <c r="V70" s="682">
        <f t="shared" si="25"/>
        <v>-3.6509517124840934E-3</v>
      </c>
      <c r="W70" s="683">
        <f t="shared" si="12"/>
        <v>22.773459649038685</v>
      </c>
      <c r="X70" s="684">
        <f t="shared" si="13"/>
        <v>-129.72460182417259</v>
      </c>
      <c r="Y70" s="687">
        <f t="shared" si="14"/>
        <v>50.275398175827405</v>
      </c>
      <c r="AA70" s="170">
        <f t="shared" si="15"/>
        <v>1000000000</v>
      </c>
      <c r="AB70" s="170">
        <f t="shared" si="16"/>
        <v>36309.302500000005</v>
      </c>
      <c r="AD70" s="686">
        <f t="shared" si="17"/>
        <v>27.564336130725216</v>
      </c>
      <c r="AE70" s="687">
        <f t="shared" si="18"/>
        <v>-72.534525012999751</v>
      </c>
      <c r="AG70" s="686">
        <f t="shared" si="19"/>
        <v>33.492427065640243</v>
      </c>
      <c r="AH70" s="687">
        <f t="shared" si="20"/>
        <v>-56.771708562031968</v>
      </c>
      <c r="AJ70" s="170">
        <f t="shared" si="21"/>
        <v>0</v>
      </c>
      <c r="AK70" s="170">
        <f t="shared" si="33"/>
        <v>0</v>
      </c>
      <c r="AM70" s="170" t="str">
        <f t="shared" si="26"/>
        <v>0.0000136015063330053+0.00521563300721441i</v>
      </c>
      <c r="AN70" s="170" t="str">
        <f t="shared" si="27"/>
        <v>0.00521565665416486i</v>
      </c>
      <c r="AO70" s="170" t="str">
        <f t="shared" si="28"/>
        <v>0.999995466160444-0.00260782241525505i</v>
      </c>
      <c r="AP70" s="170" t="str">
        <f t="shared" si="29"/>
        <v>0.166664399748945-0.000869272167869068i</v>
      </c>
      <c r="AQ70" s="170" t="str">
        <f t="shared" si="30"/>
        <v>0.833335600251055+0.000869272167869068i</v>
      </c>
      <c r="AR70" s="170" t="str">
        <f t="shared" si="31"/>
        <v>0.99959619312645-0.00104270254328619i</v>
      </c>
    </row>
    <row r="71" spans="1:44">
      <c r="A71" s="170">
        <v>10</v>
      </c>
      <c r="G71" s="688">
        <v>208.93</v>
      </c>
      <c r="H71" s="676">
        <f t="shared" si="23"/>
        <v>0.20893</v>
      </c>
      <c r="I71" s="677">
        <f t="shared" si="0"/>
        <v>1.9588947689182343</v>
      </c>
      <c r="J71" s="678">
        <f t="shared" si="1"/>
        <v>1.0350395267772021</v>
      </c>
      <c r="K71" s="678">
        <f t="shared" si="2"/>
        <v>1.000000041703903</v>
      </c>
      <c r="L71" s="679">
        <f t="shared" si="3"/>
        <v>2.8880409101087482E-4</v>
      </c>
      <c r="M71" s="678">
        <f t="shared" si="4"/>
        <v>1.0000006103957084</v>
      </c>
      <c r="N71" s="679">
        <f t="shared" si="5"/>
        <v>-1.1048940201985385E-3</v>
      </c>
      <c r="O71" s="677">
        <f t="shared" si="6"/>
        <v>8664.1230289206451</v>
      </c>
      <c r="P71" s="680">
        <f t="shared" si="7"/>
        <v>1.5706809083043141</v>
      </c>
      <c r="Q71" s="689">
        <f t="shared" si="8"/>
        <v>1.0583511907568475</v>
      </c>
      <c r="R71" s="690">
        <f t="shared" si="9"/>
        <v>0.33361134182905711</v>
      </c>
      <c r="S71" s="677">
        <f t="shared" si="10"/>
        <v>1.0000012407765337</v>
      </c>
      <c r="T71" s="680">
        <f t="shared" si="11"/>
        <v>1.5752937826164816E-3</v>
      </c>
      <c r="U71" s="681">
        <f t="shared" si="24"/>
        <v>0.99959471499794195</v>
      </c>
      <c r="V71" s="682">
        <f t="shared" si="25"/>
        <v>-4.0031120735413124E-3</v>
      </c>
      <c r="W71" s="683">
        <f t="shared" si="12"/>
        <v>21.475864022332001</v>
      </c>
      <c r="X71" s="684">
        <f t="shared" si="13"/>
        <v>-130.54863940645035</v>
      </c>
      <c r="Y71" s="687">
        <f t="shared" si="14"/>
        <v>49.451360593549651</v>
      </c>
      <c r="AA71" s="170">
        <f t="shared" si="15"/>
        <v>1000000000</v>
      </c>
      <c r="AB71" s="170">
        <f t="shared" si="16"/>
        <v>43651.744900000005</v>
      </c>
      <c r="AD71" s="686">
        <f t="shared" si="17"/>
        <v>26.843543168903111</v>
      </c>
      <c r="AE71" s="687">
        <f t="shared" si="18"/>
        <v>-70.96912288944182</v>
      </c>
      <c r="AG71" s="686">
        <f t="shared" si="19"/>
        <v>32.915639849797408</v>
      </c>
      <c r="AH71" s="687">
        <f t="shared" si="20"/>
        <v>-59.120793663020791</v>
      </c>
      <c r="AJ71" s="170">
        <f t="shared" si="21"/>
        <v>0</v>
      </c>
      <c r="AK71" s="170">
        <f t="shared" si="33"/>
        <v>0</v>
      </c>
      <c r="AM71" s="170" t="str">
        <f t="shared" si="26"/>
        <v>0.0000163519861759998+0.00571871532470638i</v>
      </c>
      <c r="AN71" s="170" t="str">
        <f t="shared" si="27"/>
        <v>0.00571874649569491i</v>
      </c>
      <c r="AO71" s="170" t="str">
        <f t="shared" si="28"/>
        <v>0.999994549331999-0.00285936545505377i</v>
      </c>
      <c r="AP71" s="170" t="str">
        <f t="shared" si="29"/>
        <v>0.166663941335637-0.000953119220784397i</v>
      </c>
      <c r="AQ71" s="170" t="str">
        <f t="shared" si="30"/>
        <v>0.833336058664363+0.000953119220784397i</v>
      </c>
      <c r="AR71" s="170" t="str">
        <f t="shared" si="31"/>
        <v>0.999595423311215-0.00114327659419063i</v>
      </c>
    </row>
    <row r="72" spans="1:44">
      <c r="A72" s="170">
        <v>11</v>
      </c>
      <c r="G72" s="688">
        <v>229.09</v>
      </c>
      <c r="H72" s="676">
        <f t="shared" si="23"/>
        <v>0.22909000000000002</v>
      </c>
      <c r="I72" s="677">
        <f t="shared" si="0"/>
        <v>2.1002930666676702</v>
      </c>
      <c r="J72" s="678">
        <f t="shared" si="1"/>
        <v>1.0745545261489666</v>
      </c>
      <c r="K72" s="678">
        <f t="shared" si="2"/>
        <v>1.0000000501403492</v>
      </c>
      <c r="L72" s="679">
        <f t="shared" si="3"/>
        <v>3.166712718976012E-4</v>
      </c>
      <c r="M72" s="678">
        <f t="shared" si="4"/>
        <v>1.0000007338750123</v>
      </c>
      <c r="N72" s="679">
        <f t="shared" si="5"/>
        <v>-1.2115069652541967E-3</v>
      </c>
      <c r="O72" s="677">
        <f t="shared" si="6"/>
        <v>9500.138527119012</v>
      </c>
      <c r="P72" s="680">
        <f t="shared" si="7"/>
        <v>1.5706910651717116</v>
      </c>
      <c r="Q72" s="689">
        <f t="shared" si="8"/>
        <v>1.069768297181741</v>
      </c>
      <c r="R72" s="690">
        <f t="shared" si="9"/>
        <v>0.36315185001026279</v>
      </c>
      <c r="S72" s="677">
        <f t="shared" si="10"/>
        <v>1.0000014917779125</v>
      </c>
      <c r="T72" s="680">
        <f t="shared" si="11"/>
        <v>1.7272961866242858E-3</v>
      </c>
      <c r="U72" s="681">
        <f t="shared" si="24"/>
        <v>0.99959364588373834</v>
      </c>
      <c r="V72" s="682">
        <f t="shared" si="25"/>
        <v>-4.38937663125742E-3</v>
      </c>
      <c r="W72" s="683">
        <f t="shared" si="12"/>
        <v>20.163569715363174</v>
      </c>
      <c r="X72" s="684">
        <f t="shared" si="13"/>
        <v>-131.15606982588835</v>
      </c>
      <c r="Y72" s="687">
        <f t="shared" si="14"/>
        <v>48.843930174111648</v>
      </c>
      <c r="AA72" s="170">
        <f t="shared" si="15"/>
        <v>1000000000</v>
      </c>
      <c r="AB72" s="170">
        <f t="shared" si="16"/>
        <v>52482.2281</v>
      </c>
      <c r="AD72" s="686">
        <f t="shared" si="17"/>
        <v>26.136632850629468</v>
      </c>
      <c r="AE72" s="687">
        <f t="shared" si="18"/>
        <v>-69.285867485924101</v>
      </c>
      <c r="AG72" s="686">
        <f t="shared" si="19"/>
        <v>32.310274441058297</v>
      </c>
      <c r="AH72" s="687">
        <f t="shared" si="20"/>
        <v>-61.367216828060705</v>
      </c>
      <c r="AJ72" s="170">
        <f t="shared" si="21"/>
        <v>0</v>
      </c>
      <c r="AK72" s="170">
        <f t="shared" si="33"/>
        <v>0</v>
      </c>
      <c r="AM72" s="170" t="str">
        <f t="shared" si="26"/>
        <v>0.0000196598829490524+0.00627051667623882i</v>
      </c>
      <c r="AN72" s="170" t="str">
        <f t="shared" si="27"/>
        <v>0.00627055776910327i</v>
      </c>
      <c r="AO72" s="170" t="str">
        <f t="shared" si="28"/>
        <v>0.999993446697094-0.0031352686113382i</v>
      </c>
      <c r="AP72" s="170" t="str">
        <f t="shared" si="29"/>
        <v>0.166663390019509-0.00104508611270647i</v>
      </c>
      <c r="AQ72" s="170" t="str">
        <f t="shared" si="30"/>
        <v>0.833336609980491+0.00104508611270647i</v>
      </c>
      <c r="AR72" s="170" t="str">
        <f t="shared" si="31"/>
        <v>0.999594497486608-0.00125358986410727i</v>
      </c>
    </row>
    <row r="73" spans="1:44">
      <c r="A73" s="170">
        <v>12</v>
      </c>
      <c r="G73" s="688">
        <v>251.19</v>
      </c>
      <c r="H73" s="676">
        <f t="shared" si="23"/>
        <v>0.25119000000000002</v>
      </c>
      <c r="I73" s="677">
        <f t="shared" si="0"/>
        <v>2.2585681655260532</v>
      </c>
      <c r="J73" s="678">
        <f t="shared" si="1"/>
        <v>1.1121236243934693</v>
      </c>
      <c r="K73" s="678">
        <f t="shared" si="2"/>
        <v>1.0000000602809074</v>
      </c>
      <c r="L73" s="679">
        <f t="shared" si="3"/>
        <v>3.4722011545771091E-4</v>
      </c>
      <c r="M73" s="678">
        <f t="shared" si="4"/>
        <v>1.0000008822963768</v>
      </c>
      <c r="N73" s="679">
        <f t="shared" si="5"/>
        <v>-1.3283792592022762E-3</v>
      </c>
      <c r="O73" s="677">
        <f t="shared" si="6"/>
        <v>10416.60393034649</v>
      </c>
      <c r="P73" s="680">
        <f t="shared" si="7"/>
        <v>1.5707003262165677</v>
      </c>
      <c r="Q73" s="689">
        <f t="shared" si="8"/>
        <v>1.0833323674231912</v>
      </c>
      <c r="R73" s="690">
        <f t="shared" si="9"/>
        <v>0.39478897982988981</v>
      </c>
      <c r="S73" s="677">
        <f t="shared" si="10"/>
        <v>1.0000017934799859</v>
      </c>
      <c r="T73" s="680">
        <f t="shared" si="11"/>
        <v>1.8939257141299605E-3</v>
      </c>
      <c r="U73" s="681">
        <f t="shared" si="24"/>
        <v>0.99959236081915559</v>
      </c>
      <c r="V73" s="682">
        <f t="shared" si="25"/>
        <v>-4.8128107494855247E-3</v>
      </c>
      <c r="W73" s="683">
        <f t="shared" si="12"/>
        <v>18.842006878474983</v>
      </c>
      <c r="X73" s="684">
        <f t="shared" si="13"/>
        <v>-131.53523132598087</v>
      </c>
      <c r="Y73" s="687">
        <f t="shared" si="14"/>
        <v>48.464768674019126</v>
      </c>
      <c r="AA73" s="170">
        <f t="shared" si="15"/>
        <v>1000000000</v>
      </c>
      <c r="AB73" s="170">
        <f t="shared" si="16"/>
        <v>63096.416100000002</v>
      </c>
      <c r="AD73" s="686">
        <f t="shared" si="17"/>
        <v>25.446145878212356</v>
      </c>
      <c r="AE73" s="687">
        <f t="shared" si="18"/>
        <v>-67.4832712567447</v>
      </c>
      <c r="AG73" s="686">
        <f t="shared" si="19"/>
        <v>31.679220909534944</v>
      </c>
      <c r="AH73" s="687">
        <f t="shared" si="20"/>
        <v>-63.500452581524556</v>
      </c>
      <c r="AJ73" s="170">
        <f t="shared" si="21"/>
        <v>0</v>
      </c>
      <c r="AK73" s="170">
        <f t="shared" si="33"/>
        <v>0</v>
      </c>
      <c r="AM73" s="170" t="str">
        <f t="shared" si="26"/>
        <v>0.000023635950262002+0.0068754157594337i</v>
      </c>
      <c r="AN73" s="170" t="str">
        <f t="shared" si="27"/>
        <v>0.00687546992894081i</v>
      </c>
      <c r="AO73" s="170" t="str">
        <f t="shared" si="28"/>
        <v>0.999992121337498-0.00343772142214041i</v>
      </c>
      <c r="AP73" s="170" t="str">
        <f t="shared" si="29"/>
        <v>0.166662727341623-0.00114590262657228i</v>
      </c>
      <c r="AQ73" s="170" t="str">
        <f t="shared" si="30"/>
        <v>0.833337272658377+0.00114590262657228i</v>
      </c>
      <c r="AR73" s="170" t="str">
        <f t="shared" si="31"/>
        <v>0.999593384656206-0.00137451752437262i</v>
      </c>
    </row>
    <row r="74" spans="1:44">
      <c r="A74" s="170">
        <v>13</v>
      </c>
      <c r="G74" s="688">
        <v>275.42</v>
      </c>
      <c r="H74" s="676">
        <f t="shared" si="23"/>
        <v>0.27542</v>
      </c>
      <c r="I74" s="677">
        <f t="shared" si="0"/>
        <v>2.4352591023189163</v>
      </c>
      <c r="J74" s="678">
        <f t="shared" si="1"/>
        <v>1.1476471295300654</v>
      </c>
      <c r="K74" s="678">
        <f t="shared" si="2"/>
        <v>1.000000072471297</v>
      </c>
      <c r="L74" s="679">
        <f t="shared" si="3"/>
        <v>3.8071325857786428E-4</v>
      </c>
      <c r="M74" s="678">
        <f t="shared" si="4"/>
        <v>1.0000010607198913</v>
      </c>
      <c r="N74" s="679">
        <f t="shared" si="5"/>
        <v>-1.4565156735959885E-3</v>
      </c>
      <c r="O74" s="677">
        <f t="shared" si="6"/>
        <v>11421.398352929078</v>
      </c>
      <c r="P74" s="680">
        <f t="shared" si="7"/>
        <v>1.5707087718414332</v>
      </c>
      <c r="Q74" s="689">
        <f t="shared" si="8"/>
        <v>1.0994168194720626</v>
      </c>
      <c r="R74" s="690">
        <f t="shared" si="9"/>
        <v>0.42854067364285925</v>
      </c>
      <c r="S74" s="677">
        <f t="shared" si="10"/>
        <v>1.0000021561685737</v>
      </c>
      <c r="T74" s="680">
        <f t="shared" si="11"/>
        <v>2.0766148893702394E-3</v>
      </c>
      <c r="U74" s="681">
        <f t="shared" si="24"/>
        <v>0.99959081599536781</v>
      </c>
      <c r="V74" s="682">
        <f t="shared" si="25"/>
        <v>-5.2770545120534142E-3</v>
      </c>
      <c r="W74" s="683">
        <f t="shared" si="12"/>
        <v>17.515903104365272</v>
      </c>
      <c r="X74" s="684">
        <f t="shared" si="13"/>
        <v>-131.67972172271112</v>
      </c>
      <c r="Y74" s="687">
        <f t="shared" si="14"/>
        <v>48.320278277288878</v>
      </c>
      <c r="AA74" s="170">
        <f t="shared" si="15"/>
        <v>1000000000</v>
      </c>
      <c r="AB74" s="170">
        <f t="shared" si="16"/>
        <v>75856.176400000011</v>
      </c>
      <c r="AD74" s="686">
        <f t="shared" si="17"/>
        <v>24.774293328440578</v>
      </c>
      <c r="AE74" s="687">
        <f t="shared" si="18"/>
        <v>-65.56039286501067</v>
      </c>
      <c r="AG74" s="686">
        <f t="shared" si="19"/>
        <v>31.024996532499614</v>
      </c>
      <c r="AH74" s="687">
        <f t="shared" si="20"/>
        <v>-65.514622953407212</v>
      </c>
      <c r="AJ74" s="170">
        <f t="shared" si="21"/>
        <v>0</v>
      </c>
      <c r="AK74" s="170">
        <f t="shared" si="33"/>
        <v>0</v>
      </c>
      <c r="AM74" s="170" t="str">
        <f t="shared" si="26"/>
        <v>0.0000284157404639718+0.00753861217159275i</v>
      </c>
      <c r="AN74" s="170" t="str">
        <f t="shared" si="27"/>
        <v>0.00753868357748668i</v>
      </c>
      <c r="AO74" s="170" t="str">
        <f t="shared" si="28"/>
        <v>0.999990528068568-0.00376932393724971i</v>
      </c>
      <c r="AP74" s="170" t="str">
        <f t="shared" si="29"/>
        <v>0.166661930709923-0.00125643536193212i</v>
      </c>
      <c r="AQ74" s="170" t="str">
        <f t="shared" si="30"/>
        <v>0.833338069290077+0.00125643536193212i</v>
      </c>
      <c r="AR74" s="170" t="str">
        <f t="shared" si="31"/>
        <v>0.99959204688371-0.00150709878918735i</v>
      </c>
    </row>
    <row r="75" spans="1:44">
      <c r="A75" s="170">
        <v>14</v>
      </c>
      <c r="G75" s="688">
        <v>302</v>
      </c>
      <c r="H75" s="676">
        <f t="shared" si="23"/>
        <v>0.30199999999999999</v>
      </c>
      <c r="I75" s="677">
        <f t="shared" si="0"/>
        <v>2.6321212229308149</v>
      </c>
      <c r="J75" s="678">
        <f t="shared" si="1"/>
        <v>1.1810846662574312</v>
      </c>
      <c r="K75" s="678">
        <f t="shared" si="2"/>
        <v>1.0000000871342642</v>
      </c>
      <c r="L75" s="679">
        <f t="shared" si="3"/>
        <v>4.1745480708225497E-4</v>
      </c>
      <c r="M75" s="678">
        <f t="shared" si="4"/>
        <v>1.0000012753330207</v>
      </c>
      <c r="N75" s="679">
        <f t="shared" si="5"/>
        <v>-1.5970796256328022E-3</v>
      </c>
      <c r="O75" s="677">
        <f t="shared" si="6"/>
        <v>12523.644979884479</v>
      </c>
      <c r="P75" s="680">
        <f t="shared" si="7"/>
        <v>1.570716477836972</v>
      </c>
      <c r="Q75" s="689">
        <f t="shared" si="8"/>
        <v>1.1184572822113044</v>
      </c>
      <c r="R75" s="690">
        <f t="shared" si="9"/>
        <v>0.46440396079295992</v>
      </c>
      <c r="S75" s="677">
        <f t="shared" si="10"/>
        <v>1.0000025924211451</v>
      </c>
      <c r="T75" s="680">
        <f t="shared" si="11"/>
        <v>2.2770224173862988E-3</v>
      </c>
      <c r="U75" s="681">
        <f t="shared" si="24"/>
        <v>0.99958895784382074</v>
      </c>
      <c r="V75" s="682">
        <f t="shared" si="25"/>
        <v>-5.786322695042272E-3</v>
      </c>
      <c r="W75" s="683">
        <f t="shared" si="12"/>
        <v>16.189582048516574</v>
      </c>
      <c r="X75" s="684">
        <f t="shared" si="13"/>
        <v>-131.58778799085746</v>
      </c>
      <c r="Y75" s="687">
        <f t="shared" si="14"/>
        <v>48.412212009142536</v>
      </c>
      <c r="AA75" s="170">
        <f t="shared" si="15"/>
        <v>1000000000</v>
      </c>
      <c r="AB75" s="170">
        <f t="shared" si="16"/>
        <v>91204</v>
      </c>
      <c r="AD75" s="686">
        <f t="shared" si="17"/>
        <v>24.123200660239775</v>
      </c>
      <c r="AE75" s="687">
        <f t="shared" si="18"/>
        <v>-63.517501896069071</v>
      </c>
      <c r="AG75" s="686">
        <f t="shared" si="19"/>
        <v>30.349800437493894</v>
      </c>
      <c r="AH75" s="687">
        <f t="shared" si="20"/>
        <v>-67.407222355377314</v>
      </c>
      <c r="AJ75" s="170">
        <f t="shared" si="21"/>
        <v>0</v>
      </c>
      <c r="AK75" s="170">
        <f t="shared" si="33"/>
        <v>0</v>
      </c>
      <c r="AM75" s="170" t="str">
        <f t="shared" si="26"/>
        <v>0.0000341650058429677+0.00826612632604372i</v>
      </c>
      <c r="AN75" s="170" t="str">
        <f t="shared" si="27"/>
        <v>0.0082662204647483i</v>
      </c>
      <c r="AO75" s="170" t="str">
        <f t="shared" si="28"/>
        <v>0.99998861163878-0.00413308669768318i</v>
      </c>
      <c r="AP75" s="170" t="str">
        <f t="shared" si="29"/>
        <v>0.166660972499026-0.00137768772100729i</v>
      </c>
      <c r="AQ75" s="170" t="str">
        <f t="shared" si="30"/>
        <v>0.833339027500974+0.00137768772100729i</v>
      </c>
      <c r="AR75" s="170" t="str">
        <f t="shared" si="31"/>
        <v>0.999590437781657-0.00165253687481531i</v>
      </c>
    </row>
    <row r="76" spans="1:44">
      <c r="A76" s="170">
        <v>15</v>
      </c>
      <c r="G76" s="688">
        <v>331.13</v>
      </c>
      <c r="H76" s="676">
        <f t="shared" si="23"/>
        <v>0.33112999999999998</v>
      </c>
      <c r="I76" s="677">
        <f t="shared" si="0"/>
        <v>2.850758165524049</v>
      </c>
      <c r="J76" s="678">
        <f t="shared" si="1"/>
        <v>1.2123882876490086</v>
      </c>
      <c r="K76" s="678">
        <f t="shared" si="2"/>
        <v>1.000000104754367</v>
      </c>
      <c r="L76" s="679">
        <f t="shared" si="3"/>
        <v>4.5772122068004885E-4</v>
      </c>
      <c r="M76" s="678">
        <f t="shared" si="4"/>
        <v>1.000001533227926</v>
      </c>
      <c r="N76" s="679">
        <f t="shared" si="5"/>
        <v>-1.7511287599744883E-3</v>
      </c>
      <c r="O76" s="677">
        <f t="shared" si="6"/>
        <v>13731.637615779666</v>
      </c>
      <c r="P76" s="680">
        <f t="shared" si="7"/>
        <v>1.5707235022688739</v>
      </c>
      <c r="Q76" s="689">
        <f t="shared" si="8"/>
        <v>1.1409174347768343</v>
      </c>
      <c r="R76" s="690">
        <f t="shared" si="9"/>
        <v>0.50227912292489307</v>
      </c>
      <c r="S76" s="677">
        <f t="shared" si="10"/>
        <v>1.0000031166541616</v>
      </c>
      <c r="T76" s="680">
        <f t="shared" si="11"/>
        <v>2.4966561905914015E-3</v>
      </c>
      <c r="U76" s="681">
        <f t="shared" si="24"/>
        <v>0.9995867249648428</v>
      </c>
      <c r="V76" s="682">
        <f t="shared" si="25"/>
        <v>-6.3444467419111264E-3</v>
      </c>
      <c r="W76" s="683">
        <f t="shared" si="12"/>
        <v>14.869335271852153</v>
      </c>
      <c r="X76" s="684">
        <f t="shared" si="13"/>
        <v>-131.26275042172051</v>
      </c>
      <c r="Y76" s="687">
        <f t="shared" si="14"/>
        <v>48.737249578279489</v>
      </c>
      <c r="AA76" s="170">
        <f t="shared" si="15"/>
        <v>1000000000</v>
      </c>
      <c r="AB76" s="170">
        <f t="shared" si="16"/>
        <v>109647.0769</v>
      </c>
      <c r="AD76" s="686">
        <f t="shared" si="17"/>
        <v>23.49606069360744</v>
      </c>
      <c r="AE76" s="687">
        <f t="shared" si="18"/>
        <v>-61.360401513615393</v>
      </c>
      <c r="AG76" s="686">
        <f t="shared" si="19"/>
        <v>29.656732432536405</v>
      </c>
      <c r="AH76" s="687">
        <f t="shared" si="20"/>
        <v>-69.175328863960303</v>
      </c>
      <c r="AJ76" s="170">
        <f t="shared" si="21"/>
        <v>0</v>
      </c>
      <c r="AK76" s="170">
        <f t="shared" si="33"/>
        <v>0</v>
      </c>
      <c r="AM76" s="170" t="str">
        <f t="shared" si="26"/>
        <v>0.0000410737326149713+0.00906343081723083i</v>
      </c>
      <c r="AN76" s="170" t="str">
        <f t="shared" si="27"/>
        <v>0.00906355490891425i</v>
      </c>
      <c r="AO76" s="170" t="str">
        <f t="shared" si="28"/>
        <v>0.999986308718305-0.00453174643147736i</v>
      </c>
      <c r="AP76" s="170" t="str">
        <f t="shared" si="29"/>
        <v>0.166659821044564-0.00151057180287181i</v>
      </c>
      <c r="AQ76" s="170" t="str">
        <f t="shared" si="30"/>
        <v>0.833340178955436+0.00151057180287181i</v>
      </c>
      <c r="AR76" s="170" t="str">
        <f t="shared" si="31"/>
        <v>0.99958850418177-0.00181192536616255i</v>
      </c>
    </row>
    <row r="77" spans="1:44">
      <c r="A77" s="170">
        <v>16</v>
      </c>
      <c r="G77" s="688">
        <v>363.08</v>
      </c>
      <c r="H77" s="676">
        <f t="shared" si="23"/>
        <v>0.36307999999999996</v>
      </c>
      <c r="I77" s="677">
        <f t="shared" ref="I77:I140" si="34">SQRT(1+(G77/pole1)^2)</f>
        <v>3.0932951065322767</v>
      </c>
      <c r="J77" s="678">
        <f t="shared" ref="J77:J140" si="35">ATAN(G77/pole1)</f>
        <v>1.2416029143402254</v>
      </c>
      <c r="K77" s="678">
        <f t="shared" ref="K77:K140" si="36">SQRT(1+(G77/Zero1)^2)</f>
        <v>1.0000001259446512</v>
      </c>
      <c r="L77" s="679">
        <f t="shared" ref="L77:L140" si="37">ATAN(G77/Zero1)</f>
        <v>5.0188571997939878E-4</v>
      </c>
      <c r="M77" s="678">
        <f t="shared" ref="M77:M140" si="38">SQRT(1+(G77/z_RHP)^2)</f>
        <v>1.0000018433773579</v>
      </c>
      <c r="N77" s="679">
        <f t="shared" ref="N77:N140" si="39">-ATAN(G77/z_RHP)</f>
        <v>-1.9200908969581214E-3</v>
      </c>
      <c r="O77" s="677">
        <f t="shared" ref="O77:O140" si="40">SQRT(1+(G77/Pole2)^2)</f>
        <v>15056.572896786487</v>
      </c>
      <c r="P77" s="680">
        <f t="shared" ref="P77:P140" si="41">ATAN(G77/Pole2)</f>
        <v>1.5707299106185468</v>
      </c>
      <c r="Q77" s="689">
        <f t="shared" ref="Q77:Q140" si="42">SQRT(1+(G77/Zero2)^2)</f>
        <v>1.167356251636146</v>
      </c>
      <c r="R77" s="690">
        <f t="shared" ref="R77:R140" si="43">ATAN(G77/Zero2)</f>
        <v>0.54208174699526834</v>
      </c>
      <c r="S77" s="677">
        <f t="shared" ref="S77:S140" si="44">SQRT(1+(G77/pole4)^2)</f>
        <v>1.0000037471068044</v>
      </c>
      <c r="T77" s="680">
        <f t="shared" ref="T77:T140" si="45">ATAN(G77/pole4)</f>
        <v>2.7375518638701767E-3</v>
      </c>
      <c r="U77" s="681">
        <f t="shared" si="24"/>
        <v>0.99958403967913179</v>
      </c>
      <c r="V77" s="682">
        <f t="shared" si="25"/>
        <v>-6.9565991025828727E-3</v>
      </c>
      <c r="W77" s="683">
        <f t="shared" ref="W77:W140" si="46">20*LOG10(((K77*Q77*M77*U77)/(I77*O77*S77))*Adc)</f>
        <v>13.558997772634502</v>
      </c>
      <c r="X77" s="684">
        <f t="shared" ref="X77:X140" si="47">((L77+R77+N77+V77)-(J77+P77+T77))*radconv</f>
        <v>-130.71249645916009</v>
      </c>
      <c r="Y77" s="687">
        <f t="shared" ref="Y77:Y140" si="48">IF(X77&gt;0,X77,X77+180)</f>
        <v>49.287503540839907</v>
      </c>
      <c r="AA77" s="170">
        <f t="shared" ref="AA77:AA140" si="49">IF(W77&lt;0,G77,1000000000)</f>
        <v>1000000000</v>
      </c>
      <c r="AB77" s="170">
        <f t="shared" ref="AB77:AB140" si="50">G77^2</f>
        <v>131827.0864</v>
      </c>
      <c r="AD77" s="686">
        <f t="shared" ref="AD77:AD140" si="51">20*LOG10((Q77/(O77*S77))*Aea)</f>
        <v>22.894963201777649</v>
      </c>
      <c r="AE77" s="687">
        <f t="shared" ref="AE77:AE140" si="52">(R77-(P77+T77))*radconv</f>
        <v>-59.094048615019112</v>
      </c>
      <c r="AG77" s="686">
        <f t="shared" ref="AG77:AG140" si="53">20*LOG10((K77*M77/(I77*U77))*Acs*Am)</f>
        <v>28.947539092688402</v>
      </c>
      <c r="AH77" s="687">
        <f t="shared" ref="AH77:AH140" si="54">(L77+N77-(J77+V77))*radconv</f>
        <v>-70.821280306545091</v>
      </c>
      <c r="AJ77" s="170">
        <f t="shared" ref="AJ77:AJ140" si="55">SUM((W78&lt;0)*(W77&gt;0))*G77</f>
        <v>0</v>
      </c>
      <c r="AK77" s="170">
        <f t="shared" si="33"/>
        <v>0</v>
      </c>
      <c r="AM77" s="170" t="str">
        <f t="shared" si="26"/>
        <v>0.000049382283168975+0.00993791365068575i</v>
      </c>
      <c r="AN77" s="170" t="str">
        <f t="shared" si="27"/>
        <v>0.00993807723953911i</v>
      </c>
      <c r="AO77" s="170" t="str">
        <f t="shared" si="28"/>
        <v>0.999983539184752-0.00496899772246741i</v>
      </c>
      <c r="AP77" s="170" t="str">
        <f t="shared" si="29"/>
        <v>0.166658436286138-0.00165631894178096i</v>
      </c>
      <c r="AQ77" s="170" t="str">
        <f t="shared" si="30"/>
        <v>0.833341563713862+0.00165631894178096i</v>
      </c>
      <c r="AR77" s="170" t="str">
        <f t="shared" si="31"/>
        <v>0.999586178819138-0.00198674060434728i</v>
      </c>
    </row>
    <row r="78" spans="1:44">
      <c r="A78" s="170">
        <v>17</v>
      </c>
      <c r="G78" s="688">
        <v>398.11</v>
      </c>
      <c r="H78" s="676">
        <f t="shared" ref="H78:H141" si="56">G78/1000</f>
        <v>0.39811000000000002</v>
      </c>
      <c r="I78" s="677">
        <f t="shared" si="34"/>
        <v>3.3617864801002071</v>
      </c>
      <c r="J78" s="678">
        <f t="shared" si="35"/>
        <v>1.2687642728310375</v>
      </c>
      <c r="K78" s="678">
        <f t="shared" si="36"/>
        <v>1.0000001514193027</v>
      </c>
      <c r="L78" s="679">
        <f t="shared" si="37"/>
        <v>5.503077024007878E-4</v>
      </c>
      <c r="M78" s="678">
        <f t="shared" si="38"/>
        <v>1.0000022162343791</v>
      </c>
      <c r="N78" s="679">
        <f t="shared" si="39"/>
        <v>-2.1053409633649063E-3</v>
      </c>
      <c r="O78" s="677">
        <f t="shared" si="40"/>
        <v>16509.232768853883</v>
      </c>
      <c r="P78" s="680">
        <f t="shared" si="41"/>
        <v>1.5707357546281211</v>
      </c>
      <c r="Q78" s="689">
        <f t="shared" si="42"/>
        <v>1.1983687349834851</v>
      </c>
      <c r="R78" s="690">
        <f t="shared" si="43"/>
        <v>0.5836302143230202</v>
      </c>
      <c r="S78" s="677">
        <f t="shared" si="44"/>
        <v>1.0000045050273005</v>
      </c>
      <c r="T78" s="680">
        <f t="shared" si="45"/>
        <v>3.0016696646717636E-3</v>
      </c>
      <c r="U78" s="681">
        <f t="shared" ref="U78:U141" si="57">IMABS(IMPRODUCT(AO78, AR78))</f>
        <v>0.99958081149472822</v>
      </c>
      <c r="V78" s="682">
        <f t="shared" ref="V78:V141" si="58">IMARGUMENT(IMPRODUCT(AO78, AR78))</f>
        <v>-7.6277603910447781E-3</v>
      </c>
      <c r="W78" s="683">
        <f t="shared" si="46"/>
        <v>12.263717098298731</v>
      </c>
      <c r="X78" s="684">
        <f t="shared" si="47"/>
        <v>-129.94993789583361</v>
      </c>
      <c r="Y78" s="687">
        <f t="shared" si="48"/>
        <v>50.050062104166386</v>
      </c>
      <c r="AA78" s="170">
        <f t="shared" si="49"/>
        <v>1000000000</v>
      </c>
      <c r="AB78" s="170">
        <f t="shared" si="50"/>
        <v>158491.57210000002</v>
      </c>
      <c r="AD78" s="686">
        <f t="shared" si="51"/>
        <v>22.322682553695525</v>
      </c>
      <c r="AE78" s="687">
        <f t="shared" si="52"/>
        <v>-56.728964461563486</v>
      </c>
      <c r="AG78" s="686">
        <f t="shared" si="53"/>
        <v>28.22459516916874</v>
      </c>
      <c r="AH78" s="687">
        <f t="shared" si="54"/>
        <v>-72.34689647818351</v>
      </c>
      <c r="AJ78" s="170">
        <f t="shared" si="55"/>
        <v>0</v>
      </c>
      <c r="AK78" s="170">
        <f t="shared" si="33"/>
        <v>0</v>
      </c>
      <c r="AM78" s="170" t="str">
        <f t="shared" ref="AM78:AM141" si="59">IMSUB(1,IMEXP(COMPLEX(0,-2*Pi*G78*Tsw)))</f>
        <v>0.0000593706716699449+0.0108966884172432i</v>
      </c>
      <c r="AN78" s="170" t="str">
        <f t="shared" ref="AN78:AN141" si="60">COMPLEX(0, 2*Pi*G78*Tsw)</f>
        <v>0.010896904070268i</v>
      </c>
      <c r="AO78" s="170" t="str">
        <f t="shared" ref="AO78:AO141" si="61">IMDIV(AM78, AN78)</f>
        <v>0.999980209697781-0.00544839812180569i</v>
      </c>
      <c r="AP78" s="170" t="str">
        <f t="shared" ref="AP78:AP141" si="62">IMDIV(IMEXP(COMPLEX(0,-2*Pi*G78*Tsw)),6)</f>
        <v>0.166656771554722-0.0018161147362072i</v>
      </c>
      <c r="AQ78" s="170" t="str">
        <f t="shared" ref="AQ78:AQ141" si="63">IMSUB(1, AP78)</f>
        <v>0.833343228445278+0.0018161147362072i</v>
      </c>
      <c r="AR78" s="170" t="str">
        <f t="shared" ref="AR78:AR141" si="64">IMDIV(0.833, AQ78)</f>
        <v>0.999583383334988-0.00217840386839086i</v>
      </c>
    </row>
    <row r="79" spans="1:44">
      <c r="A79" s="170">
        <v>18</v>
      </c>
      <c r="G79" s="688">
        <v>436.52</v>
      </c>
      <c r="H79" s="676">
        <f t="shared" si="56"/>
        <v>0.43651999999999996</v>
      </c>
      <c r="I79" s="677">
        <f t="shared" si="34"/>
        <v>3.6585950550587998</v>
      </c>
      <c r="J79" s="678">
        <f t="shared" si="35"/>
        <v>1.2939442401411307</v>
      </c>
      <c r="K79" s="678">
        <f t="shared" si="36"/>
        <v>1.0000001820469282</v>
      </c>
      <c r="L79" s="679">
        <f t="shared" si="37"/>
        <v>6.0340185714268402E-4</v>
      </c>
      <c r="M79" s="678">
        <f t="shared" si="38"/>
        <v>1.0000026645121811</v>
      </c>
      <c r="N79" s="679">
        <f t="shared" si="39"/>
        <v>-2.3084654057338684E-3</v>
      </c>
      <c r="O79" s="677">
        <f t="shared" si="40"/>
        <v>18102.057938850769</v>
      </c>
      <c r="P79" s="680">
        <f t="shared" si="41"/>
        <v>1.5707410844570426</v>
      </c>
      <c r="Q79" s="689">
        <f t="shared" si="42"/>
        <v>1.2346235057678174</v>
      </c>
      <c r="R79" s="690">
        <f t="shared" si="43"/>
        <v>0.6267064167321712</v>
      </c>
      <c r="S79" s="677">
        <f t="shared" si="44"/>
        <v>1.0000054162580696</v>
      </c>
      <c r="T79" s="680">
        <f t="shared" si="45"/>
        <v>3.2912713723392598E-3</v>
      </c>
      <c r="U79" s="681">
        <f t="shared" si="57"/>
        <v>0.9995769303571721</v>
      </c>
      <c r="V79" s="682">
        <f t="shared" si="58"/>
        <v>-8.3636772961156406E-3</v>
      </c>
      <c r="W79" s="683">
        <f t="shared" si="46"/>
        <v>10.987655511968748</v>
      </c>
      <c r="X79" s="684">
        <f t="shared" si="47"/>
        <v>-128.99221852169427</v>
      </c>
      <c r="Y79" s="687">
        <f t="shared" si="48"/>
        <v>51.007781478305731</v>
      </c>
      <c r="AA79" s="170">
        <f t="shared" si="49"/>
        <v>1000000000</v>
      </c>
      <c r="AB79" s="170">
        <f t="shared" si="50"/>
        <v>190549.71039999998</v>
      </c>
      <c r="AD79" s="686">
        <f t="shared" si="51"/>
        <v>21.78153486846146</v>
      </c>
      <c r="AE79" s="687">
        <f t="shared" si="52"/>
        <v>-54.277778195558831</v>
      </c>
      <c r="AG79" s="686">
        <f t="shared" si="53"/>
        <v>27.489748718743229</v>
      </c>
      <c r="AH79" s="687">
        <f t="shared" si="54"/>
        <v>-73.75603350448668</v>
      </c>
      <c r="AJ79" s="170">
        <f t="shared" si="55"/>
        <v>0</v>
      </c>
      <c r="AK79" s="170">
        <f t="shared" si="33"/>
        <v>0</v>
      </c>
      <c r="AM79" s="170" t="str">
        <f t="shared" si="59"/>
        <v>0.0000713794525459832+0.0119479625905907i</v>
      </c>
      <c r="AN79" s="170" t="str">
        <f t="shared" si="60"/>
        <v>0.0119482468783839i</v>
      </c>
      <c r="AO79" s="170" t="str">
        <f t="shared" si="61"/>
        <v>0.999976206735926-0.00597405236705637i</v>
      </c>
      <c r="AP79" s="170" t="str">
        <f t="shared" si="62"/>
        <v>0.166654770091242-0.00199132709843178i</v>
      </c>
      <c r="AQ79" s="170" t="str">
        <f t="shared" si="63"/>
        <v>0.833345229908758+0.00199132709843178i</v>
      </c>
      <c r="AR79" s="170" t="str">
        <f t="shared" si="64"/>
        <v>0.99958002243226-0.00238855484411706i</v>
      </c>
    </row>
    <row r="80" spans="1:44">
      <c r="A80" s="170">
        <v>19</v>
      </c>
      <c r="G80" s="688">
        <v>478.63</v>
      </c>
      <c r="H80" s="676">
        <f t="shared" si="56"/>
        <v>0.47863</v>
      </c>
      <c r="I80" s="677">
        <f t="shared" si="34"/>
        <v>3.9862434688749251</v>
      </c>
      <c r="J80" s="678">
        <f t="shared" si="35"/>
        <v>1.3172249243245735</v>
      </c>
      <c r="K80" s="678">
        <f t="shared" si="36"/>
        <v>1.0000002188642794</v>
      </c>
      <c r="L80" s="679">
        <f t="shared" si="37"/>
        <v>6.6161051909530762E-4</v>
      </c>
      <c r="M80" s="678">
        <f t="shared" si="38"/>
        <v>1.0000032033849613</v>
      </c>
      <c r="N80" s="679">
        <f t="shared" si="39"/>
        <v>-2.5311564194386298E-3</v>
      </c>
      <c r="O80" s="677">
        <f t="shared" si="40"/>
        <v>19848.318494108451</v>
      </c>
      <c r="P80" s="680">
        <f t="shared" si="41"/>
        <v>1.5707459446932228</v>
      </c>
      <c r="Q80" s="689">
        <f t="shared" si="42"/>
        <v>1.276843449162703</v>
      </c>
      <c r="R80" s="690">
        <f t="shared" si="43"/>
        <v>0.67103042787802358</v>
      </c>
      <c r="S80" s="677">
        <f t="shared" si="44"/>
        <v>1.0000065116440231</v>
      </c>
      <c r="T80" s="680">
        <f t="shared" si="45"/>
        <v>3.6087695101552604E-3</v>
      </c>
      <c r="U80" s="681">
        <f t="shared" si="57"/>
        <v>0.99957226491309326</v>
      </c>
      <c r="V80" s="682">
        <f t="shared" si="58"/>
        <v>-9.1704792872615865E-3</v>
      </c>
      <c r="W80" s="683">
        <f t="shared" si="46"/>
        <v>9.7347677429487334</v>
      </c>
      <c r="X80" s="684">
        <f t="shared" si="47"/>
        <v>-127.86064496641724</v>
      </c>
      <c r="Y80" s="687">
        <f t="shared" si="48"/>
        <v>52.13935503358276</v>
      </c>
      <c r="AA80" s="170">
        <f t="shared" si="49"/>
        <v>1000000000</v>
      </c>
      <c r="AB80" s="170">
        <f t="shared" si="50"/>
        <v>229086.67689999999</v>
      </c>
      <c r="AD80" s="686">
        <f t="shared" si="51"/>
        <v>21.273672192752542</v>
      </c>
      <c r="AE80" s="687">
        <f t="shared" si="52"/>
        <v>-51.756669197250567</v>
      </c>
      <c r="AG80" s="686">
        <f t="shared" si="53"/>
        <v>26.744804706989179</v>
      </c>
      <c r="AH80" s="687">
        <f t="shared" si="54"/>
        <v>-75.053116249421421</v>
      </c>
      <c r="AJ80" s="170">
        <f t="shared" si="55"/>
        <v>0</v>
      </c>
      <c r="AK80" s="170">
        <f t="shared" si="33"/>
        <v>0</v>
      </c>
      <c r="AM80" s="170" t="str">
        <f t="shared" si="59"/>
        <v>0.0000858150988799489+0.0131004898201814i</v>
      </c>
      <c r="AN80" s="170" t="str">
        <f t="shared" si="60"/>
        <v>0.0131008645729883i</v>
      </c>
      <c r="AO80" s="170" t="str">
        <f t="shared" si="61"/>
        <v>0.999971394803388-0.00655033859802541i</v>
      </c>
      <c r="AP80" s="170" t="str">
        <f t="shared" si="62"/>
        <v>0.166652364150187-0.00218341497003023i</v>
      </c>
      <c r="AQ80" s="170" t="str">
        <f t="shared" si="63"/>
        <v>0.833347635849813+0.00218341497003023i</v>
      </c>
      <c r="AR80" s="170" t="str">
        <f t="shared" si="64"/>
        <v>0.999575982372921-0.0026189420473607i</v>
      </c>
    </row>
    <row r="81" spans="1:44">
      <c r="A81" s="170">
        <v>20</v>
      </c>
      <c r="G81" s="688">
        <v>524.80999999999995</v>
      </c>
      <c r="H81" s="676">
        <f t="shared" si="56"/>
        <v>0.52481</v>
      </c>
      <c r="I81" s="677">
        <f t="shared" si="34"/>
        <v>4.3476502054129824</v>
      </c>
      <c r="J81" s="678">
        <f t="shared" si="35"/>
        <v>1.3387090830914981</v>
      </c>
      <c r="K81" s="678">
        <f t="shared" si="36"/>
        <v>1.0000002631353817</v>
      </c>
      <c r="L81" s="679">
        <f t="shared" si="37"/>
        <v>7.2544513774427217E-4</v>
      </c>
      <c r="M81" s="678">
        <f t="shared" si="38"/>
        <v>1.0000038513533234</v>
      </c>
      <c r="N81" s="679">
        <f t="shared" si="39"/>
        <v>-2.7753705924340195E-3</v>
      </c>
      <c r="O81" s="677">
        <f t="shared" si="40"/>
        <v>21763.357973108195</v>
      </c>
      <c r="P81" s="680">
        <f t="shared" si="41"/>
        <v>1.5707503780032814</v>
      </c>
      <c r="Q81" s="689">
        <f t="shared" si="42"/>
        <v>1.3258318139285401</v>
      </c>
      <c r="R81" s="690">
        <f t="shared" si="43"/>
        <v>0.71629515941120314</v>
      </c>
      <c r="S81" s="677">
        <f t="shared" si="44"/>
        <v>1.0000078287916569</v>
      </c>
      <c r="T81" s="680">
        <f t="shared" si="45"/>
        <v>3.9569535206471834E-3</v>
      </c>
      <c r="U81" s="681">
        <f t="shared" si="57"/>
        <v>0.99956665502161535</v>
      </c>
      <c r="V81" s="682">
        <f t="shared" si="58"/>
        <v>-1.0055253261758238E-2</v>
      </c>
      <c r="W81" s="683">
        <f t="shared" si="46"/>
        <v>8.5078700332320292</v>
      </c>
      <c r="X81" s="684">
        <f t="shared" si="47"/>
        <v>-126.57935079702992</v>
      </c>
      <c r="Y81" s="687">
        <f t="shared" si="48"/>
        <v>53.420649202970083</v>
      </c>
      <c r="AA81" s="170">
        <f t="shared" si="49"/>
        <v>1000000000</v>
      </c>
      <c r="AB81" s="170">
        <f t="shared" si="50"/>
        <v>275425.53609999997</v>
      </c>
      <c r="AD81" s="686">
        <f t="shared" si="51"/>
        <v>20.800632708670381</v>
      </c>
      <c r="AE81" s="687">
        <f t="shared" si="52"/>
        <v>-49.183394600917012</v>
      </c>
      <c r="AG81" s="686">
        <f t="shared" si="53"/>
        <v>25.991043977126989</v>
      </c>
      <c r="AH81" s="687">
        <f t="shared" si="54"/>
        <v>-76.243709047128476</v>
      </c>
      <c r="AJ81" s="170">
        <f t="shared" si="55"/>
        <v>0</v>
      </c>
      <c r="AK81" s="170">
        <f t="shared" si="33"/>
        <v>0</v>
      </c>
      <c r="AM81" s="170" t="str">
        <f t="shared" si="59"/>
        <v>0.000103173181232985+0.0143643906157167i</v>
      </c>
      <c r="AN81" s="170" t="str">
        <f t="shared" si="60"/>
        <v>0.0143648846427303i</v>
      </c>
      <c r="AO81" s="170" t="str">
        <f t="shared" si="61"/>
        <v>0.999965608703036-0.00718231881417846i</v>
      </c>
      <c r="AP81" s="170" t="str">
        <f t="shared" si="62"/>
        <v>0.166649471136461-0.00239406510261945i</v>
      </c>
      <c r="AQ81" s="170" t="str">
        <f t="shared" si="63"/>
        <v>0.833350528863539+0.00239406510261945i</v>
      </c>
      <c r="AR81" s="170" t="str">
        <f t="shared" si="64"/>
        <v>0.999571124494656-0.0028715867619382i</v>
      </c>
    </row>
    <row r="82" spans="1:44">
      <c r="A82" s="170">
        <v>21</v>
      </c>
      <c r="G82" s="688">
        <v>575.44000000000005</v>
      </c>
      <c r="H82" s="676">
        <f t="shared" si="56"/>
        <v>0.57544000000000006</v>
      </c>
      <c r="I82" s="677">
        <f t="shared" si="34"/>
        <v>4.7458201811978027</v>
      </c>
      <c r="J82" s="678">
        <f t="shared" si="35"/>
        <v>1.3584933433247122</v>
      </c>
      <c r="K82" s="678">
        <f t="shared" si="36"/>
        <v>1.0000003163553095</v>
      </c>
      <c r="L82" s="679">
        <f t="shared" si="37"/>
        <v>7.9543098502783151E-4</v>
      </c>
      <c r="M82" s="678">
        <f t="shared" si="38"/>
        <v>1.0000046302995151</v>
      </c>
      <c r="N82" s="679">
        <f t="shared" si="39"/>
        <v>-3.0431173650734768E-3</v>
      </c>
      <c r="O82" s="677">
        <f t="shared" si="40"/>
        <v>23862.934604564201</v>
      </c>
      <c r="P82" s="680">
        <f t="shared" si="41"/>
        <v>1.5707544208006481</v>
      </c>
      <c r="Q82" s="689">
        <f t="shared" si="42"/>
        <v>1.3824266472788826</v>
      </c>
      <c r="R82" s="690">
        <f t="shared" si="43"/>
        <v>0.7621318523147943</v>
      </c>
      <c r="S82" s="677">
        <f t="shared" si="44"/>
        <v>1.0000094121812746</v>
      </c>
      <c r="T82" s="680">
        <f t="shared" si="45"/>
        <v>4.3386881545006729E-3</v>
      </c>
      <c r="U82" s="681">
        <f t="shared" si="57"/>
        <v>0.99955991128183852</v>
      </c>
      <c r="V82" s="682">
        <f t="shared" si="58"/>
        <v>-1.1025276994410041E-2</v>
      </c>
      <c r="W82" s="683">
        <f t="shared" si="46"/>
        <v>7.3097855388192556</v>
      </c>
      <c r="X82" s="684">
        <f t="shared" si="47"/>
        <v>-125.17566890828891</v>
      </c>
      <c r="Y82" s="687">
        <f t="shared" si="48"/>
        <v>54.824331091711088</v>
      </c>
      <c r="AA82" s="170">
        <f t="shared" si="49"/>
        <v>1000000000</v>
      </c>
      <c r="AB82" s="170">
        <f t="shared" si="50"/>
        <v>331131.19360000006</v>
      </c>
      <c r="AD82" s="686">
        <f t="shared" si="51"/>
        <v>20.363733258876053</v>
      </c>
      <c r="AE82" s="687">
        <f t="shared" si="52"/>
        <v>-46.579248966368631</v>
      </c>
      <c r="AG82" s="686">
        <f t="shared" si="53"/>
        <v>25.229976134451512</v>
      </c>
      <c r="AH82" s="687">
        <f t="shared" si="54"/>
        <v>-77.333016260991869</v>
      </c>
      <c r="AJ82" s="170">
        <f t="shared" si="55"/>
        <v>0</v>
      </c>
      <c r="AK82" s="170">
        <f t="shared" si="33"/>
        <v>0</v>
      </c>
      <c r="AM82" s="170" t="str">
        <f t="shared" si="59"/>
        <v>0.000124039841454038+0.0157500570483295i</v>
      </c>
      <c r="AN82" s="170" t="str">
        <f t="shared" si="60"/>
        <v>0.0157507082921681i</v>
      </c>
      <c r="AO82" s="170" t="str">
        <f t="shared" si="61"/>
        <v>0.999958653044262-0.00787519133445673i</v>
      </c>
      <c r="AP82" s="170" t="str">
        <f t="shared" si="62"/>
        <v>0.166645993359758-0.00262500950805492i</v>
      </c>
      <c r="AQ82" s="170" t="str">
        <f t="shared" si="63"/>
        <v>0.833354006640242+0.00262500950805492i</v>
      </c>
      <c r="AR82" s="170" t="str">
        <f t="shared" si="64"/>
        <v>0.999565284803768-0.00314856394236338i</v>
      </c>
    </row>
    <row r="83" spans="1:44">
      <c r="A83" s="170">
        <v>22</v>
      </c>
      <c r="G83" s="688">
        <v>630.96</v>
      </c>
      <c r="H83" s="676">
        <f t="shared" si="56"/>
        <v>0.63096000000000008</v>
      </c>
      <c r="I83" s="677">
        <f t="shared" si="34"/>
        <v>5.1842376681710958</v>
      </c>
      <c r="J83" s="678">
        <f t="shared" si="35"/>
        <v>1.37668727946675</v>
      </c>
      <c r="K83" s="678">
        <f t="shared" si="36"/>
        <v>1.0000003803458437</v>
      </c>
      <c r="L83" s="679">
        <f t="shared" si="37"/>
        <v>8.7217627016294985E-4</v>
      </c>
      <c r="M83" s="678">
        <f t="shared" si="38"/>
        <v>1.0000055668874679</v>
      </c>
      <c r="N83" s="679">
        <f t="shared" si="39"/>
        <v>-3.3367234356071127E-3</v>
      </c>
      <c r="O83" s="677">
        <f t="shared" si="40"/>
        <v>26165.294758570086</v>
      </c>
      <c r="P83" s="680">
        <f t="shared" si="41"/>
        <v>1.5707581082305935</v>
      </c>
      <c r="Q83" s="689">
        <f t="shared" si="42"/>
        <v>1.4475483543165555</v>
      </c>
      <c r="R83" s="690">
        <f t="shared" si="43"/>
        <v>0.80816932745682368</v>
      </c>
      <c r="S83" s="677">
        <f t="shared" si="44"/>
        <v>1.0000113160128137</v>
      </c>
      <c r="T83" s="680">
        <f t="shared" si="45"/>
        <v>4.7572904272395172E-3</v>
      </c>
      <c r="U83" s="681">
        <f t="shared" si="57"/>
        <v>0.9995518029200231</v>
      </c>
      <c r="V83" s="682">
        <f t="shared" si="58"/>
        <v>-1.2088976866289795E-2</v>
      </c>
      <c r="W83" s="683">
        <f t="shared" si="46"/>
        <v>6.1420188026303721</v>
      </c>
      <c r="X83" s="684">
        <f t="shared" si="47"/>
        <v>-123.67791777393828</v>
      </c>
      <c r="Y83" s="687">
        <f t="shared" si="48"/>
        <v>56.322082226061724</v>
      </c>
      <c r="AA83" s="170">
        <f t="shared" si="49"/>
        <v>1000000000</v>
      </c>
      <c r="AB83" s="170">
        <f t="shared" si="50"/>
        <v>398110.52160000004</v>
      </c>
      <c r="AD83" s="686">
        <f t="shared" si="51"/>
        <v>19.963500780967514</v>
      </c>
      <c r="AE83" s="687">
        <f t="shared" si="52"/>
        <v>-43.965691356001123</v>
      </c>
      <c r="AG83" s="686">
        <f t="shared" si="53"/>
        <v>24.462582795431199</v>
      </c>
      <c r="AH83" s="687">
        <f t="shared" si="54"/>
        <v>-78.326931710214794</v>
      </c>
      <c r="AJ83" s="170">
        <f t="shared" si="55"/>
        <v>0</v>
      </c>
      <c r="AK83" s="170">
        <f t="shared" si="33"/>
        <v>0</v>
      </c>
      <c r="AM83" s="170" t="str">
        <f t="shared" si="59"/>
        <v>0.000149129289031991+0.0172695205063327i</v>
      </c>
      <c r="AN83" s="170" t="str">
        <f t="shared" si="60"/>
        <v>0.0172703790213165i</v>
      </c>
      <c r="AO83" s="170" t="str">
        <f t="shared" si="61"/>
        <v>0.999950289742759-0.00863497488085951i</v>
      </c>
      <c r="AP83" s="170" t="str">
        <f t="shared" si="62"/>
        <v>0.166641811785161-0.00287825341772212i</v>
      </c>
      <c r="AQ83" s="170" t="str">
        <f t="shared" si="63"/>
        <v>0.833358188214839+0.00287825341772212i</v>
      </c>
      <c r="AR83" s="170" t="str">
        <f t="shared" si="64"/>
        <v>0.999558263489136-0.00345227541864425i</v>
      </c>
    </row>
    <row r="84" spans="1:44">
      <c r="A84" s="170">
        <v>23</v>
      </c>
      <c r="G84" s="688">
        <v>691.83</v>
      </c>
      <c r="H84" s="676">
        <f t="shared" si="56"/>
        <v>0.69183000000000006</v>
      </c>
      <c r="I84" s="677">
        <f t="shared" si="34"/>
        <v>5.6665536518818049</v>
      </c>
      <c r="J84" s="678">
        <f t="shared" si="35"/>
        <v>1.393393146674605</v>
      </c>
      <c r="K84" s="678">
        <f t="shared" si="36"/>
        <v>1.0000004572711305</v>
      </c>
      <c r="L84" s="679">
        <f t="shared" si="37"/>
        <v>9.5631684741106029E-4</v>
      </c>
      <c r="M84" s="678">
        <f t="shared" si="38"/>
        <v>1.0000066927919247</v>
      </c>
      <c r="N84" s="679">
        <f t="shared" si="39"/>
        <v>-3.6586212148766186E-3</v>
      </c>
      <c r="O84" s="677">
        <f t="shared" si="40"/>
        <v>28689.514185681375</v>
      </c>
      <c r="P84" s="680">
        <f t="shared" si="41"/>
        <v>1.5707614708543698</v>
      </c>
      <c r="Q84" s="689">
        <f t="shared" si="42"/>
        <v>1.522150175618904</v>
      </c>
      <c r="R84" s="690">
        <f t="shared" si="43"/>
        <v>0.85400975140284141</v>
      </c>
      <c r="S84" s="677">
        <f t="shared" si="44"/>
        <v>1.0000136046714765</v>
      </c>
      <c r="T84" s="680">
        <f t="shared" si="45"/>
        <v>5.2162279932947931E-3</v>
      </c>
      <c r="U84" s="681">
        <f t="shared" si="57"/>
        <v>0.9995420558178203</v>
      </c>
      <c r="V84" s="682">
        <f t="shared" si="58"/>
        <v>-1.3255161194906941E-2</v>
      </c>
      <c r="W84" s="683">
        <f t="shared" si="46"/>
        <v>5.0057798254384602</v>
      </c>
      <c r="X84" s="684">
        <f t="shared" si="47"/>
        <v>-122.115558407206</v>
      </c>
      <c r="Y84" s="687">
        <f t="shared" si="48"/>
        <v>57.884441592794005</v>
      </c>
      <c r="AA84" s="170">
        <f t="shared" si="49"/>
        <v>1000000000</v>
      </c>
      <c r="AB84" s="170">
        <f t="shared" si="50"/>
        <v>478628.74890000006</v>
      </c>
      <c r="AD84" s="686">
        <f t="shared" si="51"/>
        <v>19.600018093123609</v>
      </c>
      <c r="AE84" s="687">
        <f t="shared" si="52"/>
        <v>-41.365716379578416</v>
      </c>
      <c r="AG84" s="686">
        <f t="shared" si="53"/>
        <v>23.689995907341977</v>
      </c>
      <c r="AH84" s="687">
        <f t="shared" si="54"/>
        <v>-79.230912439424458</v>
      </c>
      <c r="AJ84" s="170">
        <f t="shared" si="55"/>
        <v>0</v>
      </c>
      <c r="AK84" s="170">
        <f t="shared" si="33"/>
        <v>0</v>
      </c>
      <c r="AM84" s="170" t="str">
        <f t="shared" si="59"/>
        <v>0.000179289926644954+0.0189353560413146i</v>
      </c>
      <c r="AN84" s="170" t="str">
        <f t="shared" si="60"/>
        <v>0.0189364877620093i</v>
      </c>
      <c r="AO84" s="170" t="str">
        <f t="shared" si="61"/>
        <v>0.99994023597676-0.0094679609491602i</v>
      </c>
      <c r="AP84" s="170" t="str">
        <f t="shared" si="62"/>
        <v>0.166636785012226-0.00315589267355243i</v>
      </c>
      <c r="AQ84" s="170" t="str">
        <f t="shared" si="63"/>
        <v>0.833363214987774+0.00315589267355243i</v>
      </c>
      <c r="AR84" s="170" t="str">
        <f t="shared" si="64"/>
        <v>0.999549823219183-0.0037852306259934i</v>
      </c>
    </row>
    <row r="85" spans="1:44">
      <c r="A85" s="170">
        <v>24</v>
      </c>
      <c r="G85" s="688">
        <v>758.58</v>
      </c>
      <c r="H85" s="676">
        <f t="shared" si="56"/>
        <v>0.75858000000000003</v>
      </c>
      <c r="I85" s="677">
        <f t="shared" si="34"/>
        <v>6.1969820587554185</v>
      </c>
      <c r="J85" s="678">
        <f t="shared" si="35"/>
        <v>1.4087187809515751</v>
      </c>
      <c r="K85" s="678">
        <f t="shared" si="36"/>
        <v>1.0000005497658497</v>
      </c>
      <c r="L85" s="679">
        <f t="shared" si="37"/>
        <v>1.0485853307546833E-3</v>
      </c>
      <c r="M85" s="678">
        <f t="shared" si="38"/>
        <v>1.0000080465742829</v>
      </c>
      <c r="N85" s="679">
        <f t="shared" si="39"/>
        <v>-4.011613223445524E-3</v>
      </c>
      <c r="O85" s="677">
        <f t="shared" si="40"/>
        <v>31457.571468062826</v>
      </c>
      <c r="P85" s="680">
        <f t="shared" si="41"/>
        <v>1.5707645379455513</v>
      </c>
      <c r="Q85" s="689">
        <f t="shared" si="42"/>
        <v>1.6072728712540534</v>
      </c>
      <c r="R85" s="690">
        <f t="shared" si="43"/>
        <v>0.89928244291501536</v>
      </c>
      <c r="S85" s="677">
        <f t="shared" si="44"/>
        <v>1.0000163565406395</v>
      </c>
      <c r="T85" s="680">
        <f t="shared" si="45"/>
        <v>5.7194960784361093E-3</v>
      </c>
      <c r="U85" s="681">
        <f t="shared" si="57"/>
        <v>0.99953033628974852</v>
      </c>
      <c r="V85" s="682">
        <f t="shared" si="58"/>
        <v>-1.4533977768337959E-2</v>
      </c>
      <c r="W85" s="683">
        <f t="shared" si="46"/>
        <v>3.9010442602804303</v>
      </c>
      <c r="X85" s="684">
        <f t="shared" si="47"/>
        <v>-120.5169384356319</v>
      </c>
      <c r="Y85" s="687">
        <f t="shared" si="48"/>
        <v>59.4830615643681</v>
      </c>
      <c r="AA85" s="170">
        <f t="shared" si="49"/>
        <v>1000000000</v>
      </c>
      <c r="AB85" s="170">
        <f t="shared" si="50"/>
        <v>575443.61640000006</v>
      </c>
      <c r="AD85" s="686">
        <f t="shared" si="51"/>
        <v>19.27259648169095</v>
      </c>
      <c r="AE85" s="687">
        <f t="shared" si="52"/>
        <v>-38.800793094424563</v>
      </c>
      <c r="AG85" s="686">
        <f t="shared" si="53"/>
        <v>22.912885637140718</v>
      </c>
      <c r="AH85" s="687">
        <f t="shared" si="54"/>
        <v>-80.050674167978784</v>
      </c>
      <c r="AJ85" s="170">
        <f t="shared" si="55"/>
        <v>0</v>
      </c>
      <c r="AK85" s="170">
        <f t="shared" si="33"/>
        <v>0</v>
      </c>
      <c r="AM85" s="170" t="str">
        <f t="shared" si="59"/>
        <v>0.000215554582518984+0.020762049543836i</v>
      </c>
      <c r="AN85" s="170" t="str">
        <f t="shared" si="60"/>
        <v>0.0207635414574462i</v>
      </c>
      <c r="AO85" s="170" t="str">
        <f t="shared" si="61"/>
        <v>0.999928147439913-0.0103813977476218i</v>
      </c>
      <c r="AP85" s="170" t="str">
        <f t="shared" si="62"/>
        <v>0.166630740902913-0.00346034159063933i</v>
      </c>
      <c r="AQ85" s="170" t="str">
        <f t="shared" si="63"/>
        <v>0.833369259097087+0.00346034159063933i</v>
      </c>
      <c r="AR85" s="170" t="str">
        <f t="shared" si="64"/>
        <v>0.999539675100595-0.00415031952701506i</v>
      </c>
    </row>
    <row r="86" spans="1:44">
      <c r="A86" s="170">
        <v>25</v>
      </c>
      <c r="G86" s="688">
        <v>831.76</v>
      </c>
      <c r="H86" s="676">
        <f t="shared" si="56"/>
        <v>0.83175999999999994</v>
      </c>
      <c r="I86" s="677">
        <f t="shared" si="34"/>
        <v>6.7799044554376389</v>
      </c>
      <c r="J86" s="678">
        <f t="shared" si="35"/>
        <v>1.4227615352419363</v>
      </c>
      <c r="K86" s="678">
        <f t="shared" si="36"/>
        <v>1.0000006609536727</v>
      </c>
      <c r="L86" s="679">
        <f t="shared" si="37"/>
        <v>1.1497419785107155E-3</v>
      </c>
      <c r="M86" s="678">
        <f t="shared" si="38"/>
        <v>1.0000096739526372</v>
      </c>
      <c r="N86" s="679">
        <f t="shared" si="39"/>
        <v>-4.3986076547104661E-3</v>
      </c>
      <c r="O86" s="677">
        <f t="shared" si="40"/>
        <v>34492.274568340799</v>
      </c>
      <c r="P86" s="680">
        <f t="shared" si="41"/>
        <v>1.5707673347955966</v>
      </c>
      <c r="Q86" s="689">
        <f t="shared" si="42"/>
        <v>1.7039798139169653</v>
      </c>
      <c r="R86" s="690">
        <f t="shared" si="43"/>
        <v>0.94361925213319608</v>
      </c>
      <c r="S86" s="677">
        <f t="shared" si="44"/>
        <v>1.0000196645505188</v>
      </c>
      <c r="T86" s="680">
        <f t="shared" si="45"/>
        <v>6.2712404321246286E-3</v>
      </c>
      <c r="U86" s="681">
        <f t="shared" si="57"/>
        <v>0.99951624877025846</v>
      </c>
      <c r="V86" s="682">
        <f t="shared" si="58"/>
        <v>-1.5935955385728725E-2</v>
      </c>
      <c r="W86" s="683">
        <f t="shared" si="46"/>
        <v>2.8276052816049368</v>
      </c>
      <c r="X86" s="684">
        <f t="shared" si="47"/>
        <v>-118.90969451170258</v>
      </c>
      <c r="Y86" s="687">
        <f t="shared" si="48"/>
        <v>61.090305488297417</v>
      </c>
      <c r="AA86" s="170">
        <f t="shared" si="49"/>
        <v>1000000000</v>
      </c>
      <c r="AB86" s="170">
        <f t="shared" si="50"/>
        <v>691824.69759999996</v>
      </c>
      <c r="AD86" s="686">
        <f t="shared" si="51"/>
        <v>18.980131521036284</v>
      </c>
      <c r="AE86" s="687">
        <f t="shared" si="52"/>
        <v>-36.292253916819703</v>
      </c>
      <c r="AG86" s="686">
        <f t="shared" si="53"/>
        <v>22.132156461117031</v>
      </c>
      <c r="AH86" s="687">
        <f t="shared" si="54"/>
        <v>-80.791314620574141</v>
      </c>
      <c r="AJ86" s="170">
        <f t="shared" si="55"/>
        <v>0</v>
      </c>
      <c r="AK86" s="170">
        <f>IF(AJ86&gt;0,Y86,0)</f>
        <v>0</v>
      </c>
      <c r="AM86" s="170" t="str">
        <f t="shared" si="59"/>
        <v>0.000259147718472019+0.0227646278116612i</v>
      </c>
      <c r="AN86" s="170" t="str">
        <f t="shared" si="60"/>
        <v>0.0227665944826458i</v>
      </c>
      <c r="AO86" s="170" t="str">
        <f t="shared" si="61"/>
        <v>0.999913615934693-0.0113828055693423i</v>
      </c>
      <c r="AP86" s="170" t="str">
        <f t="shared" si="62"/>
        <v>0.166623475380255-0.00379410463527687i</v>
      </c>
      <c r="AQ86" s="170" t="str">
        <f t="shared" si="63"/>
        <v>0.833376524619745+0.00379410463527687i</v>
      </c>
      <c r="AR86" s="170" t="str">
        <f t="shared" si="64"/>
        <v>0.999527476684614-0.00455053834652476i</v>
      </c>
    </row>
    <row r="87" spans="1:44">
      <c r="A87" s="170">
        <v>26</v>
      </c>
      <c r="G87" s="688">
        <v>912.01</v>
      </c>
      <c r="H87" s="676">
        <f t="shared" si="56"/>
        <v>0.91200999999999999</v>
      </c>
      <c r="I87" s="677">
        <f t="shared" si="34"/>
        <v>7.4204272849857658</v>
      </c>
      <c r="J87" s="678">
        <f t="shared" si="35"/>
        <v>1.4356219198077425</v>
      </c>
      <c r="K87" s="678">
        <f t="shared" si="36"/>
        <v>1.0000007946467835</v>
      </c>
      <c r="L87" s="679">
        <f t="shared" si="37"/>
        <v>1.2606714537406671E-3</v>
      </c>
      <c r="M87" s="678">
        <f t="shared" si="38"/>
        <v>1.0000116307218745</v>
      </c>
      <c r="N87" s="679">
        <f t="shared" si="39"/>
        <v>-4.8229885232120278E-3</v>
      </c>
      <c r="O87" s="677">
        <f t="shared" si="40"/>
        <v>37820.163661210259</v>
      </c>
      <c r="P87" s="680">
        <f t="shared" si="41"/>
        <v>1.5707698858728245</v>
      </c>
      <c r="Q87" s="689">
        <f t="shared" si="42"/>
        <v>1.813445241902045</v>
      </c>
      <c r="R87" s="690">
        <f t="shared" si="43"/>
        <v>0.98671102471235461</v>
      </c>
      <c r="S87" s="677">
        <f t="shared" si="44"/>
        <v>1.000023642113556</v>
      </c>
      <c r="T87" s="680">
        <f t="shared" si="45"/>
        <v>6.8762850106883003E-3</v>
      </c>
      <c r="U87" s="681">
        <f t="shared" si="57"/>
        <v>0.99949931057095198</v>
      </c>
      <c r="V87" s="682">
        <f t="shared" si="58"/>
        <v>-1.7473344226399203E-2</v>
      </c>
      <c r="W87" s="683">
        <f t="shared" si="46"/>
        <v>1.7841035238937921</v>
      </c>
      <c r="X87" s="684">
        <f t="shared" si="47"/>
        <v>-117.31842156858204</v>
      </c>
      <c r="Y87" s="687">
        <f t="shared" si="48"/>
        <v>62.681578431417961</v>
      </c>
      <c r="AA87" s="170">
        <f t="shared" si="49"/>
        <v>1000000000</v>
      </c>
      <c r="AB87" s="170">
        <f t="shared" si="50"/>
        <v>831762.24009999994</v>
      </c>
      <c r="AD87" s="686">
        <f t="shared" si="51"/>
        <v>18.72086560102148</v>
      </c>
      <c r="AE87" s="687">
        <f t="shared" si="52"/>
        <v>-33.858089880242261</v>
      </c>
      <c r="AG87" s="686">
        <f t="shared" si="53"/>
        <v>21.348215014985897</v>
      </c>
      <c r="AH87" s="687">
        <f t="shared" si="54"/>
        <v>-81.458033929747899</v>
      </c>
      <c r="AJ87" s="170">
        <f t="shared" si="55"/>
        <v>0</v>
      </c>
      <c r="AK87" s="170">
        <f t="shared" ref="AK87:AK150" si="65">IF(AJ87&gt;0,Y87,0)</f>
        <v>0</v>
      </c>
      <c r="AM87" s="170" t="str">
        <f t="shared" si="59"/>
        <v>0.000311563614824983+0.024960572064019i</v>
      </c>
      <c r="AN87" s="170" t="str">
        <f t="shared" si="60"/>
        <v>0.0249631646558116i</v>
      </c>
      <c r="AO87" s="170" t="str">
        <f t="shared" si="61"/>
        <v>0.999896143304411-0.0124809341732419i</v>
      </c>
      <c r="AP87" s="170" t="str">
        <f t="shared" si="62"/>
        <v>0.166614739397529-0.00416009534400317i</v>
      </c>
      <c r="AQ87" s="170" t="str">
        <f t="shared" si="63"/>
        <v>0.833385260602471+0.00416009534400317i</v>
      </c>
      <c r="AR87" s="170" t="str">
        <f t="shared" si="64"/>
        <v>0.999512810122266-0.00498937140387534i</v>
      </c>
    </row>
    <row r="88" spans="1:44">
      <c r="A88" s="170">
        <v>27</v>
      </c>
      <c r="G88" s="688">
        <v>1000</v>
      </c>
      <c r="H88" s="676">
        <f t="shared" si="56"/>
        <v>1</v>
      </c>
      <c r="I88" s="677">
        <f t="shared" si="34"/>
        <v>8.1239048795585038</v>
      </c>
      <c r="J88" s="678">
        <f t="shared" si="35"/>
        <v>1.4473898214161474</v>
      </c>
      <c r="K88" s="678">
        <f t="shared" si="36"/>
        <v>1.0000009553772475</v>
      </c>
      <c r="L88" s="679">
        <f t="shared" si="37"/>
        <v>1.3822998855881213E-3</v>
      </c>
      <c r="M88" s="678">
        <f t="shared" si="38"/>
        <v>1.0000139832125496</v>
      </c>
      <c r="N88" s="679">
        <f t="shared" si="39"/>
        <v>-5.2882983292566023E-3</v>
      </c>
      <c r="O88" s="677">
        <f t="shared" si="40"/>
        <v>41469.022992057195</v>
      </c>
      <c r="P88" s="680">
        <f t="shared" si="41"/>
        <v>1.5707722124095569</v>
      </c>
      <c r="Q88" s="689">
        <f t="shared" si="42"/>
        <v>1.9368757799779597</v>
      </c>
      <c r="R88" s="690">
        <f t="shared" si="43"/>
        <v>1.0282768072320181</v>
      </c>
      <c r="S88" s="677">
        <f t="shared" si="44"/>
        <v>1.0000284240566466</v>
      </c>
      <c r="T88" s="680">
        <f t="shared" si="45"/>
        <v>7.5396794879507905E-3</v>
      </c>
      <c r="U88" s="681">
        <f t="shared" si="57"/>
        <v>0.99947894796047254</v>
      </c>
      <c r="V88" s="682">
        <f t="shared" si="58"/>
        <v>-1.9158965440198732E-2</v>
      </c>
      <c r="W88" s="683">
        <f t="shared" si="46"/>
        <v>0.76912698906182231</v>
      </c>
      <c r="X88" s="684">
        <f t="shared" si="47"/>
        <v>-115.76554223024131</v>
      </c>
      <c r="Y88" s="687">
        <f t="shared" si="48"/>
        <v>64.234457769758691</v>
      </c>
      <c r="AA88" s="170">
        <f t="shared" si="49"/>
        <v>1000000000</v>
      </c>
      <c r="AB88" s="170">
        <f t="shared" si="50"/>
        <v>1000000</v>
      </c>
      <c r="AD88" s="686">
        <f t="shared" si="51"/>
        <v>18.492762516222733</v>
      </c>
      <c r="AE88" s="687">
        <f t="shared" si="52"/>
        <v>-31.514688971464238</v>
      </c>
      <c r="AG88" s="686">
        <f t="shared" si="53"/>
        <v>20.561695480532535</v>
      </c>
      <c r="AH88" s="687">
        <f t="shared" si="54"/>
        <v>-82.055397537147613</v>
      </c>
      <c r="AJ88" s="170">
        <f t="shared" si="55"/>
        <v>1000</v>
      </c>
      <c r="AK88" s="170">
        <f t="shared" si="65"/>
        <v>64.234457769758691</v>
      </c>
      <c r="AM88" s="170" t="str">
        <f t="shared" si="59"/>
        <v>0.000374578608180021+0.0273681732533771i</v>
      </c>
      <c r="AN88" s="170" t="str">
        <f t="shared" si="60"/>
        <v>0.0273715909428752i</v>
      </c>
      <c r="AO88" s="170" t="str">
        <f t="shared" si="61"/>
        <v>0.99987513734568-0.0136849410383843i</v>
      </c>
      <c r="AP88" s="170" t="str">
        <f t="shared" si="62"/>
        <v>0.166604236898637-0.00456136220889618i</v>
      </c>
      <c r="AQ88" s="170" t="str">
        <f t="shared" si="63"/>
        <v>0.833395763101363+0.00456136220889618i</v>
      </c>
      <c r="AR88" s="170" t="str">
        <f t="shared" si="64"/>
        <v>0.99949517878913-0.00547046162022324i</v>
      </c>
    </row>
    <row r="89" spans="1:44">
      <c r="A89" s="170">
        <v>28</v>
      </c>
      <c r="G89" s="688">
        <v>1096.5</v>
      </c>
      <c r="H89" s="676">
        <f t="shared" si="56"/>
        <v>1.0965</v>
      </c>
      <c r="I89" s="677">
        <f t="shared" si="34"/>
        <v>8.8964986272180564</v>
      </c>
      <c r="J89" s="678">
        <f t="shared" si="35"/>
        <v>1.4581545029391465</v>
      </c>
      <c r="K89" s="678">
        <f t="shared" si="36"/>
        <v>1.0000011486616569</v>
      </c>
      <c r="L89" s="679">
        <f t="shared" si="37"/>
        <v>1.5156916292411388E-3</v>
      </c>
      <c r="M89" s="678">
        <f t="shared" si="38"/>
        <v>1.0000168121639623</v>
      </c>
      <c r="N89" s="679">
        <f t="shared" si="39"/>
        <v>-5.7986081821558288E-3</v>
      </c>
      <c r="O89" s="677">
        <f t="shared" si="40"/>
        <v>45470.783708566079</v>
      </c>
      <c r="P89" s="680">
        <f t="shared" si="41"/>
        <v>1.5707743346514031</v>
      </c>
      <c r="Q89" s="689">
        <f t="shared" si="42"/>
        <v>2.0756077356075542</v>
      </c>
      <c r="R89" s="690">
        <f t="shared" si="43"/>
        <v>1.0681039249755644</v>
      </c>
      <c r="S89" s="677">
        <f t="shared" si="44"/>
        <v>1.0000341744932433</v>
      </c>
      <c r="T89" s="680">
        <f t="shared" si="45"/>
        <v>8.2672268657621138E-3</v>
      </c>
      <c r="U89" s="681">
        <f t="shared" si="57"/>
        <v>0.99945446271403582</v>
      </c>
      <c r="V89" s="682">
        <f t="shared" si="58"/>
        <v>-2.1007550933909425E-2</v>
      </c>
      <c r="W89" s="683">
        <f t="shared" si="46"/>
        <v>-0.21949770028511603</v>
      </c>
      <c r="X89" s="684">
        <f t="shared" si="47"/>
        <v>-114.26970624411246</v>
      </c>
      <c r="Y89" s="687">
        <f t="shared" si="48"/>
        <v>65.730293755887544</v>
      </c>
      <c r="AA89" s="170">
        <f t="shared" si="49"/>
        <v>1096.5</v>
      </c>
      <c r="AB89" s="170">
        <f t="shared" si="50"/>
        <v>1202312.25</v>
      </c>
      <c r="AD89" s="686">
        <f t="shared" si="51"/>
        <v>18.293410092880627</v>
      </c>
      <c r="AE89" s="687">
        <f t="shared" si="52"/>
        <v>-29.274570201674035</v>
      </c>
      <c r="AG89" s="686">
        <f t="shared" si="53"/>
        <v>19.772848793783485</v>
      </c>
      <c r="AH89" s="687">
        <f t="shared" si="54"/>
        <v>-82.587848026849471</v>
      </c>
      <c r="AJ89" s="170">
        <f t="shared" si="55"/>
        <v>0</v>
      </c>
      <c r="AK89" s="170">
        <f t="shared" si="65"/>
        <v>0</v>
      </c>
      <c r="AM89" s="170" t="str">
        <f t="shared" si="59"/>
        <v>0.000450354760614946+0.030008443842019i</v>
      </c>
      <c r="AN89" s="170" t="str">
        <f t="shared" si="60"/>
        <v>0.0300129494688626i</v>
      </c>
      <c r="AO89" s="170" t="str">
        <f t="shared" si="61"/>
        <v>0.999849877238881-0.0150053483108074i</v>
      </c>
      <c r="AP89" s="170" t="str">
        <f t="shared" si="62"/>
        <v>0.166591607539898-0.00500140730700317i</v>
      </c>
      <c r="AQ89" s="170" t="str">
        <f t="shared" si="63"/>
        <v>0.833408392460102+0.00500140730700317i</v>
      </c>
      <c r="AR89" s="170" t="str">
        <f t="shared" si="64"/>
        <v>0.999473978348898-0.00599799150536274i</v>
      </c>
    </row>
    <row r="90" spans="1:44">
      <c r="A90" s="170">
        <v>29</v>
      </c>
      <c r="G90" s="688">
        <v>1202.3</v>
      </c>
      <c r="H90" s="676">
        <f t="shared" si="56"/>
        <v>1.2022999999999999</v>
      </c>
      <c r="I90" s="677">
        <f t="shared" si="34"/>
        <v>9.7445373297804458</v>
      </c>
      <c r="J90" s="678">
        <f t="shared" si="35"/>
        <v>1.4679937477372482</v>
      </c>
      <c r="K90" s="678">
        <f t="shared" si="36"/>
        <v>1.0000013810216788</v>
      </c>
      <c r="L90" s="679">
        <f t="shared" si="37"/>
        <v>1.6619386808463053E-3</v>
      </c>
      <c r="M90" s="678">
        <f t="shared" si="38"/>
        <v>1.0000202130244145</v>
      </c>
      <c r="N90" s="679">
        <f t="shared" si="39"/>
        <v>-6.3580946750523776E-3</v>
      </c>
      <c r="O90" s="677">
        <f t="shared" si="40"/>
        <v>49858.206338882439</v>
      </c>
      <c r="P90" s="680">
        <f t="shared" si="41"/>
        <v>1.5707762699161298</v>
      </c>
      <c r="Q90" s="689">
        <f t="shared" si="42"/>
        <v>2.2309964547997212</v>
      </c>
      <c r="R90" s="690">
        <f t="shared" si="43"/>
        <v>1.1060117895660415</v>
      </c>
      <c r="S90" s="677">
        <f t="shared" si="44"/>
        <v>1.000041087432578</v>
      </c>
      <c r="T90" s="680">
        <f t="shared" si="45"/>
        <v>9.0648801220008322E-3</v>
      </c>
      <c r="U90" s="681">
        <f t="shared" si="57"/>
        <v>0.99942502962258473</v>
      </c>
      <c r="V90" s="682">
        <f t="shared" si="58"/>
        <v>-2.303420922820321E-2</v>
      </c>
      <c r="W90" s="683">
        <f t="shared" si="46"/>
        <v>-1.1836363638024945</v>
      </c>
      <c r="X90" s="684">
        <f t="shared" si="47"/>
        <v>-112.84710168191739</v>
      </c>
      <c r="Y90" s="687">
        <f t="shared" si="48"/>
        <v>67.152898318082606</v>
      </c>
      <c r="AA90" s="170">
        <f t="shared" si="49"/>
        <v>1202.3</v>
      </c>
      <c r="AB90" s="170">
        <f t="shared" si="50"/>
        <v>1445525.2899999998</v>
      </c>
      <c r="AD90" s="686">
        <f t="shared" si="51"/>
        <v>18.120337819749587</v>
      </c>
      <c r="AE90" s="687">
        <f t="shared" si="52"/>
        <v>-27.148422595455216</v>
      </c>
      <c r="AG90" s="686">
        <f t="shared" si="53"/>
        <v>18.982293995186549</v>
      </c>
      <c r="AH90" s="687">
        <f t="shared" si="54"/>
        <v>-83.05915313705141</v>
      </c>
      <c r="AJ90" s="170">
        <f t="shared" si="55"/>
        <v>0</v>
      </c>
      <c r="AK90" s="170">
        <f t="shared" si="65"/>
        <v>0</v>
      </c>
      <c r="AM90" s="170" t="str">
        <f t="shared" si="59"/>
        <v>0.000541447789986993+0.0329029240990066i</v>
      </c>
      <c r="AN90" s="170" t="str">
        <f t="shared" si="60"/>
        <v>0.0329088637906188i</v>
      </c>
      <c r="AO90" s="170" t="str">
        <f t="shared" si="61"/>
        <v>0.999819510887705-0.0164529469455989i</v>
      </c>
      <c r="AP90" s="170" t="str">
        <f t="shared" si="62"/>
        <v>0.166576425368336-0.00548382068316777i</v>
      </c>
      <c r="AQ90" s="170" t="str">
        <f t="shared" si="63"/>
        <v>0.833423574631664+0.00548382068316777i</v>
      </c>
      <c r="AR90" s="170" t="str">
        <f t="shared" si="64"/>
        <v>0.999448494636434-0.00657624345348094i</v>
      </c>
    </row>
    <row r="91" spans="1:44">
      <c r="A91" s="170">
        <v>30</v>
      </c>
      <c r="G91" s="688">
        <v>1318.3</v>
      </c>
      <c r="H91" s="676">
        <f t="shared" si="56"/>
        <v>1.3183</v>
      </c>
      <c r="I91" s="677">
        <f t="shared" si="34"/>
        <v>10.675237581896795</v>
      </c>
      <c r="J91" s="678">
        <f t="shared" si="35"/>
        <v>1.4769840542190331</v>
      </c>
      <c r="K91" s="678">
        <f t="shared" si="36"/>
        <v>1.0000016603637587</v>
      </c>
      <c r="L91" s="679">
        <f t="shared" si="37"/>
        <v>1.8222850827138385E-3</v>
      </c>
      <c r="M91" s="678">
        <f t="shared" si="38"/>
        <v>1.0000243015079258</v>
      </c>
      <c r="N91" s="679">
        <f t="shared" si="39"/>
        <v>-6.9715157318615308E-3</v>
      </c>
      <c r="O91" s="677">
        <f t="shared" si="40"/>
        <v>54668.613003680017</v>
      </c>
      <c r="P91" s="680">
        <f t="shared" si="41"/>
        <v>1.5707780347632332</v>
      </c>
      <c r="Q91" s="689">
        <f t="shared" si="42"/>
        <v>2.404548106150886</v>
      </c>
      <c r="R91" s="690">
        <f t="shared" si="43"/>
        <v>1.1418876726108755</v>
      </c>
      <c r="S91" s="677">
        <f t="shared" si="44"/>
        <v>1.0000493980732499</v>
      </c>
      <c r="T91" s="680">
        <f t="shared" si="45"/>
        <v>9.9394204922459324E-3</v>
      </c>
      <c r="U91" s="681">
        <f t="shared" si="57"/>
        <v>0.99938964855413348</v>
      </c>
      <c r="V91" s="682">
        <f t="shared" si="58"/>
        <v>-2.5256147441474856E-2</v>
      </c>
      <c r="W91" s="683">
        <f t="shared" si="46"/>
        <v>-2.1256409172619812</v>
      </c>
      <c r="X91" s="684">
        <f t="shared" si="47"/>
        <v>-111.51014715156234</v>
      </c>
      <c r="Y91" s="687">
        <f t="shared" si="48"/>
        <v>68.489852848437664</v>
      </c>
      <c r="AA91" s="170">
        <f t="shared" si="49"/>
        <v>1318.3</v>
      </c>
      <c r="AB91" s="170">
        <f t="shared" si="50"/>
        <v>1737914.89</v>
      </c>
      <c r="AD91" s="686">
        <f t="shared" si="51"/>
        <v>17.970929337955202</v>
      </c>
      <c r="AE91" s="687">
        <f t="shared" si="52"/>
        <v>-25.143094498909214</v>
      </c>
      <c r="AG91" s="686">
        <f t="shared" si="53"/>
        <v>18.190312920117645</v>
      </c>
      <c r="AH91" s="687">
        <f t="shared" si="54"/>
        <v>-83.472911339032777</v>
      </c>
      <c r="AJ91" s="170">
        <f t="shared" si="55"/>
        <v>0</v>
      </c>
      <c r="AK91" s="170">
        <f t="shared" si="65"/>
        <v>0</v>
      </c>
      <c r="AM91" s="170" t="str">
        <f t="shared" si="59"/>
        <v>0.000650955749420978+0.0360761383112699i</v>
      </c>
      <c r="AN91" s="170" t="str">
        <f t="shared" si="60"/>
        <v>0.0360839683399923i</v>
      </c>
      <c r="AO91" s="170" t="str">
        <f t="shared" si="61"/>
        <v>0.999783005332212-0.0180400266203403i</v>
      </c>
      <c r="AP91" s="170" t="str">
        <f t="shared" si="62"/>
        <v>0.166558174041763-0.00601268971854498i</v>
      </c>
      <c r="AQ91" s="170" t="str">
        <f t="shared" si="63"/>
        <v>0.833441825958237+0.00601268971854498i</v>
      </c>
      <c r="AR91" s="170" t="str">
        <f t="shared" si="64"/>
        <v>0.999417862207755-0.00721008871581144i</v>
      </c>
    </row>
    <row r="92" spans="1:44">
      <c r="A92" s="170">
        <v>31</v>
      </c>
      <c r="G92" s="688">
        <v>1445.4</v>
      </c>
      <c r="H92" s="676">
        <f t="shared" si="56"/>
        <v>1.4454</v>
      </c>
      <c r="I92" s="677">
        <f t="shared" si="34"/>
        <v>11.695821600255329</v>
      </c>
      <c r="J92" s="678">
        <f t="shared" si="35"/>
        <v>1.4851911891208989</v>
      </c>
      <c r="K92" s="678">
        <f t="shared" si="36"/>
        <v>1.0000019959551076</v>
      </c>
      <c r="L92" s="679">
        <f t="shared" si="37"/>
        <v>1.9979748685978144E-3</v>
      </c>
      <c r="M92" s="678">
        <f t="shared" si="38"/>
        <v>1.000029213241757</v>
      </c>
      <c r="N92" s="679">
        <f t="shared" si="39"/>
        <v>-7.6436287974828146E-3</v>
      </c>
      <c r="O92" s="677">
        <f t="shared" si="40"/>
        <v>59939.325823633779</v>
      </c>
      <c r="P92" s="680">
        <f t="shared" si="41"/>
        <v>1.5707796432572307</v>
      </c>
      <c r="Q92" s="689">
        <f t="shared" si="42"/>
        <v>2.5977598901181707</v>
      </c>
      <c r="R92" s="690">
        <f t="shared" si="43"/>
        <v>1.1756458786525235</v>
      </c>
      <c r="S92" s="677">
        <f t="shared" si="44"/>
        <v>1.0000593820844741</v>
      </c>
      <c r="T92" s="680">
        <f t="shared" si="45"/>
        <v>1.0897627824093899E-2</v>
      </c>
      <c r="U92" s="681">
        <f t="shared" si="57"/>
        <v>0.99934714772485378</v>
      </c>
      <c r="V92" s="682">
        <f t="shared" si="58"/>
        <v>-2.7690561550728941E-2</v>
      </c>
      <c r="W92" s="683">
        <f t="shared" si="46"/>
        <v>-3.04728039733914</v>
      </c>
      <c r="X92" s="684">
        <f t="shared" si="47"/>
        <v>-110.26909662055533</v>
      </c>
      <c r="Y92" s="687">
        <f t="shared" si="48"/>
        <v>69.730903379444669</v>
      </c>
      <c r="AA92" s="170">
        <f t="shared" si="49"/>
        <v>1445.4</v>
      </c>
      <c r="AB92" s="170">
        <f t="shared" si="50"/>
        <v>2089181.1600000001</v>
      </c>
      <c r="AD92" s="686">
        <f t="shared" si="51"/>
        <v>17.842677392846113</v>
      </c>
      <c r="AE92" s="687">
        <f t="shared" si="52"/>
        <v>-23.263885162573263</v>
      </c>
      <c r="AG92" s="686">
        <f t="shared" si="53"/>
        <v>17.397664166790847</v>
      </c>
      <c r="AH92" s="687">
        <f t="shared" si="54"/>
        <v>-83.832106835948267</v>
      </c>
      <c r="AJ92" s="170">
        <f t="shared" si="55"/>
        <v>0</v>
      </c>
      <c r="AK92" s="170">
        <f t="shared" si="65"/>
        <v>0</v>
      </c>
      <c r="AM92" s="170" t="str">
        <f t="shared" si="59"/>
        <v>0.00078250935644697+0.0395525775645606i</v>
      </c>
      <c r="AN92" s="170" t="str">
        <f t="shared" si="60"/>
        <v>0.0395628975488318i</v>
      </c>
      <c r="AO92" s="170" t="str">
        <f t="shared" si="61"/>
        <v>0.999739149938185-0.0197788687110476i</v>
      </c>
      <c r="AP92" s="170" t="str">
        <f t="shared" si="62"/>
        <v>0.166536248440592-0.0065920962607601i</v>
      </c>
      <c r="AQ92" s="170" t="str">
        <f t="shared" si="63"/>
        <v>0.833463751559408+0.0065920962607601i</v>
      </c>
      <c r="AR92" s="170" t="str">
        <f t="shared" si="64"/>
        <v>0.999381067253365-0.00790438238518375i</v>
      </c>
    </row>
    <row r="93" spans="1:44">
      <c r="A93" s="170">
        <v>32</v>
      </c>
      <c r="G93" s="688">
        <v>1584.9</v>
      </c>
      <c r="H93" s="676">
        <f t="shared" si="56"/>
        <v>1.5849000000000002</v>
      </c>
      <c r="I93" s="677">
        <f t="shared" si="34"/>
        <v>12.816730122998012</v>
      </c>
      <c r="J93" s="678">
        <f t="shared" si="35"/>
        <v>1.4926939263743524</v>
      </c>
      <c r="K93" s="678">
        <f t="shared" si="36"/>
        <v>1.0000023998180274</v>
      </c>
      <c r="L93" s="679">
        <f t="shared" si="37"/>
        <v>2.1908049790114919E-3</v>
      </c>
      <c r="M93" s="678">
        <f t="shared" si="38"/>
        <v>1.000035124172332</v>
      </c>
      <c r="N93" s="679">
        <f t="shared" si="39"/>
        <v>-8.381305897432717E-3</v>
      </c>
      <c r="O93" s="677">
        <f t="shared" si="40"/>
        <v>65724.254528609541</v>
      </c>
      <c r="P93" s="680">
        <f t="shared" si="41"/>
        <v>1.5707811117117099</v>
      </c>
      <c r="Q93" s="689">
        <f t="shared" si="42"/>
        <v>2.8127360721806669</v>
      </c>
      <c r="R93" s="690">
        <f t="shared" si="43"/>
        <v>1.2073198582016342</v>
      </c>
      <c r="S93" s="677">
        <f t="shared" si="44"/>
        <v>1.0000713970815152</v>
      </c>
      <c r="T93" s="680">
        <f t="shared" si="45"/>
        <v>1.1949295696491606E-2</v>
      </c>
      <c r="U93" s="681">
        <f t="shared" si="57"/>
        <v>0.99929600745770075</v>
      </c>
      <c r="V93" s="682">
        <f t="shared" si="58"/>
        <v>-3.036229393954849E-2</v>
      </c>
      <c r="W93" s="683">
        <f t="shared" si="46"/>
        <v>-3.9523812732137795</v>
      </c>
      <c r="X93" s="684">
        <f t="shared" si="47"/>
        <v>-109.12882313975366</v>
      </c>
      <c r="Y93" s="687">
        <f t="shared" si="48"/>
        <v>70.871176860246337</v>
      </c>
      <c r="AA93" s="170">
        <f t="shared" si="49"/>
        <v>1584.9</v>
      </c>
      <c r="AB93" s="170">
        <f t="shared" si="50"/>
        <v>2511908.0100000002</v>
      </c>
      <c r="AD93" s="686">
        <f t="shared" si="51"/>
        <v>17.732896257180506</v>
      </c>
      <c r="AE93" s="687">
        <f t="shared" si="52"/>
        <v>-21.509440078802729</v>
      </c>
      <c r="AG93" s="686">
        <f t="shared" si="53"/>
        <v>16.603233427133002</v>
      </c>
      <c r="AH93" s="687">
        <f t="shared" si="54"/>
        <v>-84.140120458831774</v>
      </c>
      <c r="AJ93" s="170">
        <f t="shared" si="55"/>
        <v>0</v>
      </c>
      <c r="AK93" s="170">
        <f t="shared" si="65"/>
        <v>0</v>
      </c>
      <c r="AM93" s="170" t="str">
        <f t="shared" si="59"/>
        <v>0.000940818192568971+0.0433676290136669i</v>
      </c>
      <c r="AN93" s="170" t="str">
        <f t="shared" si="60"/>
        <v>0.0433812344853629i</v>
      </c>
      <c r="AO93" s="170" t="str">
        <f t="shared" si="61"/>
        <v>0.99968637426165-0.0216872157680623i</v>
      </c>
      <c r="AP93" s="170" t="str">
        <f t="shared" si="62"/>
        <v>0.166509863634572-0.00722793816894448i</v>
      </c>
      <c r="AQ93" s="170" t="str">
        <f t="shared" si="63"/>
        <v>0.833490136365428+0.00722793816894448i</v>
      </c>
      <c r="AR93" s="170" t="str">
        <f t="shared" si="64"/>
        <v>0.999336795139121-0.00866614282529415i</v>
      </c>
    </row>
    <row r="94" spans="1:44">
      <c r="A94" s="170">
        <v>33</v>
      </c>
      <c r="G94" s="688">
        <v>1737.8</v>
      </c>
      <c r="H94" s="676">
        <f t="shared" si="56"/>
        <v>1.7378</v>
      </c>
      <c r="I94" s="677">
        <f t="shared" si="34"/>
        <v>14.046000241961329</v>
      </c>
      <c r="J94" s="678">
        <f t="shared" si="35"/>
        <v>1.4995414004790455</v>
      </c>
      <c r="K94" s="678">
        <f t="shared" si="36"/>
        <v>1.0000028851876264</v>
      </c>
      <c r="L94" s="679">
        <f t="shared" si="37"/>
        <v>2.4021576507048908E-3</v>
      </c>
      <c r="M94" s="678">
        <f t="shared" si="38"/>
        <v>1.0000422279901624</v>
      </c>
      <c r="N94" s="679">
        <f t="shared" si="39"/>
        <v>-9.1898317953492178E-3</v>
      </c>
      <c r="O94" s="677">
        <f t="shared" si="40"/>
        <v>72064.868141582192</v>
      </c>
      <c r="P94" s="680">
        <f t="shared" si="41"/>
        <v>1.5707824504078884</v>
      </c>
      <c r="Q94" s="689">
        <f t="shared" si="42"/>
        <v>3.0511231294101857</v>
      </c>
      <c r="R94" s="690">
        <f t="shared" si="43"/>
        <v>1.236877229078299</v>
      </c>
      <c r="S94" s="677">
        <f t="shared" si="44"/>
        <v>1.0000858367328749</v>
      </c>
      <c r="T94" s="680">
        <f t="shared" si="45"/>
        <v>1.3101953546761918E-2</v>
      </c>
      <c r="U94" s="681">
        <f t="shared" si="57"/>
        <v>0.99923455598714395</v>
      </c>
      <c r="V94" s="682">
        <f t="shared" si="58"/>
        <v>-3.3290421352037247E-2</v>
      </c>
      <c r="W94" s="683">
        <f t="shared" si="46"/>
        <v>-4.841827083718389</v>
      </c>
      <c r="X94" s="684">
        <f t="shared" si="47"/>
        <v>-108.0957458801586</v>
      </c>
      <c r="Y94" s="687">
        <f t="shared" si="48"/>
        <v>71.904254119841397</v>
      </c>
      <c r="AA94" s="170">
        <f t="shared" si="49"/>
        <v>1737.8</v>
      </c>
      <c r="AB94" s="170">
        <f t="shared" si="50"/>
        <v>3019948.84</v>
      </c>
      <c r="AD94" s="686">
        <f t="shared" si="51"/>
        <v>17.639427321827526</v>
      </c>
      <c r="AE94" s="687">
        <f t="shared" si="52"/>
        <v>-19.882046603891581</v>
      </c>
      <c r="AG94" s="686">
        <f t="shared" si="53"/>
        <v>15.808324858268572</v>
      </c>
      <c r="AH94" s="687">
        <f t="shared" si="54"/>
        <v>-84.398897988540128</v>
      </c>
      <c r="AJ94" s="170">
        <f t="shared" si="55"/>
        <v>0</v>
      </c>
      <c r="AK94" s="170">
        <f t="shared" si="65"/>
        <v>0</v>
      </c>
      <c r="AM94" s="170" t="str">
        <f t="shared" si="59"/>
        <v>0.00113106557882803+0.0475484158338848i</v>
      </c>
      <c r="AN94" s="170" t="str">
        <f t="shared" si="60"/>
        <v>0.0475663507405285i</v>
      </c>
      <c r="AO94" s="170" t="str">
        <f t="shared" si="61"/>
        <v>0.999622949703635-0.0237786914745241i</v>
      </c>
      <c r="AP94" s="170" t="str">
        <f t="shared" si="62"/>
        <v>0.166478155736862-0.00792473597231413i</v>
      </c>
      <c r="AQ94" s="170" t="str">
        <f t="shared" si="63"/>
        <v>0.833521844263138+0.00792473597231413i</v>
      </c>
      <c r="AR94" s="170" t="str">
        <f t="shared" si="64"/>
        <v>0.999283600094413-0.00950072124289974i</v>
      </c>
    </row>
    <row r="95" spans="1:44">
      <c r="A95" s="170">
        <v>34</v>
      </c>
      <c r="G95" s="688">
        <v>1905.5</v>
      </c>
      <c r="H95" s="676">
        <f t="shared" si="56"/>
        <v>1.9055</v>
      </c>
      <c r="I95" s="677">
        <f t="shared" si="34"/>
        <v>15.394888402264916</v>
      </c>
      <c r="J95" s="678">
        <f t="shared" si="35"/>
        <v>1.5057939351152385</v>
      </c>
      <c r="K95" s="678">
        <f t="shared" si="36"/>
        <v>1.0000034689037884</v>
      </c>
      <c r="L95" s="679">
        <f t="shared" si="37"/>
        <v>2.6339680182926122E-3</v>
      </c>
      <c r="M95" s="678">
        <f t="shared" si="38"/>
        <v>1.0000507711355624</v>
      </c>
      <c r="N95" s="679">
        <f t="shared" si="39"/>
        <v>-1.0076605337648033E-2</v>
      </c>
      <c r="O95" s="677">
        <f t="shared" si="40"/>
        <v>79019.223294717565</v>
      </c>
      <c r="P95" s="680">
        <f t="shared" si="41"/>
        <v>1.5707836716464614</v>
      </c>
      <c r="Q95" s="689">
        <f t="shared" si="42"/>
        <v>3.3151863052565691</v>
      </c>
      <c r="R95" s="690">
        <f t="shared" si="43"/>
        <v>1.2643817409628095</v>
      </c>
      <c r="S95" s="677">
        <f t="shared" si="44"/>
        <v>1.0001032019085525</v>
      </c>
      <c r="T95" s="680">
        <f t="shared" si="45"/>
        <v>1.4366143101455521E-2</v>
      </c>
      <c r="U95" s="681">
        <f t="shared" si="57"/>
        <v>0.9991606672713782</v>
      </c>
      <c r="V95" s="682">
        <f t="shared" si="58"/>
        <v>-3.6501655383568081E-2</v>
      </c>
      <c r="W95" s="683">
        <f t="shared" si="46"/>
        <v>-5.718237497363682</v>
      </c>
      <c r="X95" s="684">
        <f t="shared" si="47"/>
        <v>-107.17211675695397</v>
      </c>
      <c r="Y95" s="687">
        <f t="shared" si="48"/>
        <v>72.827883243046031</v>
      </c>
      <c r="AA95" s="170">
        <f t="shared" si="49"/>
        <v>1905.5</v>
      </c>
      <c r="AB95" s="170">
        <f t="shared" si="50"/>
        <v>3630930.25</v>
      </c>
      <c r="AD95" s="686">
        <f t="shared" si="51"/>
        <v>17.560057411005438</v>
      </c>
      <c r="AE95" s="687">
        <f t="shared" si="52"/>
        <v>-18.378656851428307</v>
      </c>
      <c r="AG95" s="686">
        <f t="shared" si="53"/>
        <v>15.01256896466273</v>
      </c>
      <c r="AH95" s="687">
        <f t="shared" si="54"/>
        <v>-84.610678303307282</v>
      </c>
      <c r="AJ95" s="170">
        <f t="shared" si="55"/>
        <v>0</v>
      </c>
      <c r="AK95" s="170">
        <f t="shared" si="65"/>
        <v>0</v>
      </c>
      <c r="AM95" s="170" t="str">
        <f t="shared" si="59"/>
        <v>0.00135984540830902+0.0521329227751827i</v>
      </c>
      <c r="AN95" s="170" t="str">
        <f t="shared" si="60"/>
        <v>0.0521565665416486i</v>
      </c>
      <c r="AO95" s="170" t="str">
        <f t="shared" si="61"/>
        <v>0.999546677091042-0.0260723720612081i</v>
      </c>
      <c r="AP95" s="170" t="str">
        <f t="shared" si="62"/>
        <v>0.166440025765282-0.00868882046253045i</v>
      </c>
      <c r="AQ95" s="170" t="str">
        <f t="shared" si="63"/>
        <v>0.833559974234718+0.00868882046253045i</v>
      </c>
      <c r="AR95" s="170" t="str">
        <f t="shared" si="64"/>
        <v>0.999219643856626-0.0104156153803747i</v>
      </c>
    </row>
    <row r="96" spans="1:44">
      <c r="A96" s="170">
        <v>35</v>
      </c>
      <c r="G96" s="688">
        <v>2089.3000000000002</v>
      </c>
      <c r="H96" s="676">
        <f t="shared" si="56"/>
        <v>2.0893000000000002</v>
      </c>
      <c r="I96" s="677">
        <f t="shared" si="34"/>
        <v>16.873851711139409</v>
      </c>
      <c r="J96" s="678">
        <f t="shared" si="35"/>
        <v>1.5114982897790417</v>
      </c>
      <c r="K96" s="678">
        <f t="shared" si="36"/>
        <v>1.0000041703816851</v>
      </c>
      <c r="L96" s="679">
        <f t="shared" si="37"/>
        <v>2.8880329609384052E-3</v>
      </c>
      <c r="M96" s="678">
        <f t="shared" si="38"/>
        <v>1.0000610377266692</v>
      </c>
      <c r="N96" s="679">
        <f t="shared" si="39"/>
        <v>-1.1048495115700441E-2</v>
      </c>
      <c r="O96" s="677">
        <f t="shared" si="40"/>
        <v>86641.22971788494</v>
      </c>
      <c r="P96" s="680">
        <f t="shared" si="41"/>
        <v>1.5707847849457877</v>
      </c>
      <c r="Q96" s="689">
        <f t="shared" si="42"/>
        <v>3.6070381613789024</v>
      </c>
      <c r="R96" s="690">
        <f t="shared" si="43"/>
        <v>1.2898804203238468</v>
      </c>
      <c r="S96" s="677">
        <f t="shared" si="44"/>
        <v>1.0001240700336609</v>
      </c>
      <c r="T96" s="680">
        <f t="shared" si="45"/>
        <v>1.5751647990471476E-2</v>
      </c>
      <c r="U96" s="681">
        <f t="shared" si="57"/>
        <v>0.99907189235818616</v>
      </c>
      <c r="V96" s="682">
        <f t="shared" si="58"/>
        <v>-4.0020758640767574E-2</v>
      </c>
      <c r="W96" s="683">
        <f t="shared" si="46"/>
        <v>-6.5828299822920329</v>
      </c>
      <c r="X96" s="684">
        <f t="shared" si="47"/>
        <v>-106.36019096035794</v>
      </c>
      <c r="Y96" s="687">
        <f t="shared" si="48"/>
        <v>73.63980903964206</v>
      </c>
      <c r="AA96" s="170">
        <f t="shared" si="49"/>
        <v>2089.3000000000002</v>
      </c>
      <c r="AB96" s="170">
        <f t="shared" si="50"/>
        <v>4365174.4900000012</v>
      </c>
      <c r="AD96" s="686">
        <f t="shared" si="51"/>
        <v>17.492895097299083</v>
      </c>
      <c r="AE96" s="687">
        <f t="shared" si="52"/>
        <v>-16.997137509293015</v>
      </c>
      <c r="AG96" s="686">
        <f t="shared" si="53"/>
        <v>14.216682335698428</v>
      </c>
      <c r="AH96" s="687">
        <f t="shared" si="54"/>
        <v>-84.777012319769227</v>
      </c>
      <c r="AJ96" s="170">
        <f t="shared" si="55"/>
        <v>0</v>
      </c>
      <c r="AK96" s="170">
        <f t="shared" si="65"/>
        <v>0</v>
      </c>
      <c r="AM96" s="170" t="str">
        <f t="shared" si="59"/>
        <v>0.00163475747449804+0.057156299014151i</v>
      </c>
      <c r="AN96" s="170" t="str">
        <f t="shared" si="60"/>
        <v>0.0571874649569491i</v>
      </c>
      <c r="AO96" s="170" t="str">
        <f t="shared" si="61"/>
        <v>0.99945502143133-0.0285859405680719i</v>
      </c>
      <c r="AP96" s="170" t="str">
        <f t="shared" si="62"/>
        <v>0.166394207087584-0.00952604983569183i</v>
      </c>
      <c r="AQ96" s="170" t="str">
        <f t="shared" si="63"/>
        <v>0.833605792912416+0.00952604983569183i</v>
      </c>
      <c r="AR96" s="170" t="str">
        <f t="shared" si="64"/>
        <v>0.999142809749664-0.0114177279951418i</v>
      </c>
    </row>
    <row r="97" spans="1:44">
      <c r="A97" s="170" t="s">
        <v>801</v>
      </c>
      <c r="G97" s="688">
        <v>2290.9</v>
      </c>
      <c r="H97" s="676">
        <f t="shared" si="56"/>
        <v>2.2909000000000002</v>
      </c>
      <c r="I97" s="677">
        <f t="shared" si="34"/>
        <v>18.49656986009105</v>
      </c>
      <c r="J97" s="678">
        <f t="shared" si="35"/>
        <v>1.5167058763200816</v>
      </c>
      <c r="K97" s="678">
        <f t="shared" si="36"/>
        <v>1.0000050140224872</v>
      </c>
      <c r="L97" s="679">
        <f t="shared" si="37"/>
        <v>3.1667022395536755E-3</v>
      </c>
      <c r="M97" s="678">
        <f t="shared" si="38"/>
        <v>1.0000733848354857</v>
      </c>
      <c r="N97" s="679">
        <f t="shared" si="39"/>
        <v>-1.2114482901732967E-2</v>
      </c>
      <c r="O97" s="677">
        <f t="shared" si="40"/>
        <v>95001.384750145095</v>
      </c>
      <c r="P97" s="680">
        <f t="shared" si="41"/>
        <v>1.5707858006325397</v>
      </c>
      <c r="Q97" s="689">
        <f t="shared" si="42"/>
        <v>3.9294301069636242</v>
      </c>
      <c r="R97" s="690">
        <f t="shared" si="43"/>
        <v>1.3134761991968782</v>
      </c>
      <c r="S97" s="677">
        <f t="shared" si="44"/>
        <v>1.0001491667771727</v>
      </c>
      <c r="T97" s="680">
        <f t="shared" si="45"/>
        <v>1.7271261520783818E-2</v>
      </c>
      <c r="U97" s="681">
        <f t="shared" si="57"/>
        <v>0.99896515573080857</v>
      </c>
      <c r="V97" s="682">
        <f t="shared" si="58"/>
        <v>-4.3880107677183776E-2</v>
      </c>
      <c r="W97" s="683">
        <f t="shared" si="46"/>
        <v>-7.4379306991255723</v>
      </c>
      <c r="X97" s="684">
        <f t="shared" si="47"/>
        <v>-105.65998522146405</v>
      </c>
      <c r="Y97" s="687">
        <f t="shared" si="48"/>
        <v>74.340014778535945</v>
      </c>
      <c r="AA97" s="170">
        <f t="shared" si="49"/>
        <v>2290.9</v>
      </c>
      <c r="AB97" s="170">
        <f t="shared" si="50"/>
        <v>5248222.8100000005</v>
      </c>
      <c r="AD97" s="686">
        <f t="shared" si="51"/>
        <v>17.43614720644937</v>
      </c>
      <c r="AE97" s="687">
        <f t="shared" si="52"/>
        <v>-15.73232460044116</v>
      </c>
      <c r="AG97" s="686">
        <f t="shared" si="53"/>
        <v>13.420185536493506</v>
      </c>
      <c r="AH97" s="687">
        <f t="shared" si="54"/>
        <v>-84.899370666312791</v>
      </c>
      <c r="AJ97" s="170">
        <f t="shared" si="55"/>
        <v>0</v>
      </c>
      <c r="AK97" s="170">
        <f t="shared" si="65"/>
        <v>0</v>
      </c>
      <c r="AM97" s="170" t="str">
        <f t="shared" si="59"/>
        <v>0.00196535063199099+0.062664492823892i</v>
      </c>
      <c r="AN97" s="170" t="str">
        <f t="shared" si="60"/>
        <v>0.0627055776910327i</v>
      </c>
      <c r="AO97" s="170" t="str">
        <f t="shared" si="61"/>
        <v>0.999344797246855-0.0313425169555857i</v>
      </c>
      <c r="AP97" s="170" t="str">
        <f t="shared" si="62"/>
        <v>0.166339108228001-0.0104440821373153i</v>
      </c>
      <c r="AQ97" s="170" t="str">
        <f t="shared" si="63"/>
        <v>0.833660891771999+0.0104440821373153i</v>
      </c>
      <c r="AR97" s="170" t="str">
        <f t="shared" si="64"/>
        <v>0.999050440379439-0.0125160781339585i</v>
      </c>
    </row>
    <row r="98" spans="1:44">
      <c r="G98" s="688">
        <v>2511.9</v>
      </c>
      <c r="H98" s="676">
        <f t="shared" si="56"/>
        <v>2.5119000000000002</v>
      </c>
      <c r="I98" s="677">
        <f t="shared" si="34"/>
        <v>20.275922071086491</v>
      </c>
      <c r="J98" s="678">
        <f t="shared" si="35"/>
        <v>1.5214567286047991</v>
      </c>
      <c r="K98" s="678">
        <f t="shared" si="36"/>
        <v>1.0000060280727445</v>
      </c>
      <c r="L98" s="679">
        <f t="shared" si="37"/>
        <v>3.4721873403862897E-3</v>
      </c>
      <c r="M98" s="678">
        <f t="shared" si="38"/>
        <v>1.0000882257847123</v>
      </c>
      <c r="N98" s="679">
        <f t="shared" si="39"/>
        <v>-1.3283019137956837E-2</v>
      </c>
      <c r="O98" s="677">
        <f t="shared" si="40"/>
        <v>104166.03882826204</v>
      </c>
      <c r="P98" s="680">
        <f t="shared" si="41"/>
        <v>1.5707867267370346</v>
      </c>
      <c r="Q98" s="689">
        <f t="shared" si="42"/>
        <v>4.2849622904610944</v>
      </c>
      <c r="R98" s="690">
        <f t="shared" si="43"/>
        <v>1.3352499782988938</v>
      </c>
      <c r="S98" s="677">
        <f t="shared" si="44"/>
        <v>1.0001793320794103</v>
      </c>
      <c r="T98" s="680">
        <f t="shared" si="45"/>
        <v>1.8937015790002839E-2</v>
      </c>
      <c r="U98" s="681">
        <f t="shared" si="57"/>
        <v>0.99883690179660889</v>
      </c>
      <c r="V98" s="682">
        <f t="shared" si="58"/>
        <v>-4.8110105179446069E-2</v>
      </c>
      <c r="W98" s="683">
        <f t="shared" si="46"/>
        <v>-8.2845340698441401</v>
      </c>
      <c r="X98" s="684">
        <f t="shared" si="47"/>
        <v>-105.07194730220439</v>
      </c>
      <c r="Y98" s="687">
        <f t="shared" si="48"/>
        <v>74.928052697795607</v>
      </c>
      <c r="AA98" s="170">
        <f t="shared" si="49"/>
        <v>2511.9</v>
      </c>
      <c r="AB98" s="170">
        <f t="shared" si="50"/>
        <v>6309641.6100000003</v>
      </c>
      <c r="AD98" s="686">
        <f t="shared" si="51"/>
        <v>17.388309681933961</v>
      </c>
      <c r="AE98" s="687">
        <f t="shared" si="52"/>
        <v>-14.580272703740201</v>
      </c>
      <c r="AG98" s="686">
        <f t="shared" si="53"/>
        <v>12.623650140530277</v>
      </c>
      <c r="AH98" s="687">
        <f t="shared" si="54"/>
        <v>-84.978662634739166</v>
      </c>
      <c r="AJ98" s="170">
        <f t="shared" si="55"/>
        <v>0</v>
      </c>
      <c r="AK98" s="170">
        <f t="shared" si="65"/>
        <v>0</v>
      </c>
      <c r="AM98" s="170" t="str">
        <f t="shared" si="59"/>
        <v>0.00236267337965002+0.0687005424563781i</v>
      </c>
      <c r="AN98" s="170" t="str">
        <f t="shared" si="60"/>
        <v>0.0687546992894081i</v>
      </c>
      <c r="AO98" s="170" t="str">
        <f t="shared" si="61"/>
        <v>0.999212318087495-0.0343638093696673i</v>
      </c>
      <c r="AP98" s="170" t="str">
        <f t="shared" si="62"/>
        <v>0.166272887770058-0.0114500904093964i</v>
      </c>
      <c r="AQ98" s="170" t="str">
        <f t="shared" si="63"/>
        <v>0.833727112229942+0.0114500904093964i</v>
      </c>
      <c r="AR98" s="170" t="str">
        <f t="shared" si="64"/>
        <v>0.998939465174579-0.0137190538990274i</v>
      </c>
    </row>
    <row r="99" spans="1:44">
      <c r="G99" s="688">
        <v>2754.2</v>
      </c>
      <c r="H99" s="676">
        <f t="shared" si="56"/>
        <v>2.7542</v>
      </c>
      <c r="I99" s="677">
        <f t="shared" si="34"/>
        <v>22.227206066951226</v>
      </c>
      <c r="J99" s="678">
        <f t="shared" si="35"/>
        <v>1.5257912256906314</v>
      </c>
      <c r="K99" s="678">
        <f t="shared" si="36"/>
        <v>1.0000072471037029</v>
      </c>
      <c r="L99" s="679">
        <f t="shared" si="37"/>
        <v>3.807114376019848E-3</v>
      </c>
      <c r="M99" s="678">
        <f t="shared" si="38"/>
        <v>1.0001060664203456</v>
      </c>
      <c r="N99" s="679">
        <f t="shared" si="39"/>
        <v>-1.4564137195369442E-2</v>
      </c>
      <c r="O99" s="677">
        <f t="shared" si="40"/>
        <v>114213.98309589375</v>
      </c>
      <c r="P99" s="680">
        <f t="shared" si="41"/>
        <v>1.5707875712995281</v>
      </c>
      <c r="Q99" s="689">
        <f t="shared" si="42"/>
        <v>4.6767226017593311</v>
      </c>
      <c r="R99" s="690">
        <f t="shared" si="43"/>
        <v>1.355307520476883</v>
      </c>
      <c r="S99" s="677">
        <f t="shared" si="44"/>
        <v>1.0002155938494581</v>
      </c>
      <c r="T99" s="680">
        <f t="shared" si="45"/>
        <v>2.0763194487337166E-2</v>
      </c>
      <c r="U99" s="681">
        <f t="shared" si="57"/>
        <v>0.99868278425393053</v>
      </c>
      <c r="V99" s="682">
        <f t="shared" si="58"/>
        <v>-5.2746819013113816E-2</v>
      </c>
      <c r="W99" s="683">
        <f t="shared" si="46"/>
        <v>-9.1240794312318432</v>
      </c>
      <c r="X99" s="684">
        <f t="shared" si="47"/>
        <v>-104.5956407842862</v>
      </c>
      <c r="Y99" s="687">
        <f t="shared" si="48"/>
        <v>75.404359215713797</v>
      </c>
      <c r="AA99" s="170">
        <f t="shared" si="49"/>
        <v>2754.2</v>
      </c>
      <c r="AB99" s="170">
        <f t="shared" si="50"/>
        <v>7585617.6399999987</v>
      </c>
      <c r="AD99" s="686">
        <f t="shared" si="51"/>
        <v>17.34802434483678</v>
      </c>
      <c r="AE99" s="687">
        <f t="shared" si="52"/>
        <v>-13.535740910202604</v>
      </c>
      <c r="AG99" s="686">
        <f t="shared" si="53"/>
        <v>11.827070736569054</v>
      </c>
      <c r="AH99" s="687">
        <f t="shared" si="54"/>
        <v>-85.015559642793306</v>
      </c>
      <c r="AJ99" s="170">
        <f t="shared" si="55"/>
        <v>0</v>
      </c>
      <c r="AK99" s="170">
        <f t="shared" si="65"/>
        <v>0</v>
      </c>
      <c r="AM99" s="170" t="str">
        <f t="shared" si="59"/>
        <v>0.00284024198906496+0.0753154499659522i</v>
      </c>
      <c r="AN99" s="170" t="str">
        <f t="shared" si="60"/>
        <v>0.0753868357748668i</v>
      </c>
      <c r="AO99" s="170" t="str">
        <f t="shared" si="61"/>
        <v>0.999053073282877-0.0376755697446565i</v>
      </c>
      <c r="AP99" s="170" t="str">
        <f t="shared" si="62"/>
        <v>0.166193293001823-0.0125525749943254i</v>
      </c>
      <c r="AQ99" s="170" t="str">
        <f t="shared" si="63"/>
        <v>0.833806706998177+0.0125525749943254i</v>
      </c>
      <c r="AR99" s="170" t="str">
        <f t="shared" si="64"/>
        <v>0.998806132642359-0.0150365651649918i</v>
      </c>
    </row>
    <row r="100" spans="1:44">
      <c r="G100" s="688">
        <v>3020</v>
      </c>
      <c r="H100" s="676">
        <f t="shared" si="56"/>
        <v>3.02</v>
      </c>
      <c r="I100" s="677">
        <f t="shared" si="34"/>
        <v>24.368139305664698</v>
      </c>
      <c r="J100" s="678">
        <f t="shared" si="35"/>
        <v>1.5297476084028228</v>
      </c>
      <c r="K100" s="678">
        <f t="shared" si="36"/>
        <v>1.0000087133888484</v>
      </c>
      <c r="L100" s="679">
        <f t="shared" si="37"/>
        <v>4.1745240638260918E-3</v>
      </c>
      <c r="M100" s="678">
        <f t="shared" si="38"/>
        <v>1.0001275252520487</v>
      </c>
      <c r="N100" s="679">
        <f t="shared" si="39"/>
        <v>-1.596945216854544E-2</v>
      </c>
      <c r="O100" s="677">
        <f t="shared" si="40"/>
        <v>125236.44940359246</v>
      </c>
      <c r="P100" s="680">
        <f t="shared" si="41"/>
        <v>1.5707883418990873</v>
      </c>
      <c r="Q100" s="689">
        <f t="shared" si="42"/>
        <v>5.1082941588312742</v>
      </c>
      <c r="R100" s="690">
        <f t="shared" si="43"/>
        <v>1.3737638748004561</v>
      </c>
      <c r="S100" s="677">
        <f t="shared" si="44"/>
        <v>1.0002592088559337</v>
      </c>
      <c r="T100" s="680">
        <f t="shared" si="45"/>
        <v>2.2766329405052969E-2</v>
      </c>
      <c r="U100" s="681">
        <f t="shared" si="57"/>
        <v>0.99849749648490804</v>
      </c>
      <c r="V100" s="682">
        <f t="shared" si="58"/>
        <v>-5.7831954406992812E-2</v>
      </c>
      <c r="W100" s="683">
        <f t="shared" si="46"/>
        <v>-9.9581642261387451</v>
      </c>
      <c r="X100" s="684">
        <f t="shared" si="47"/>
        <v>-104.23049332486798</v>
      </c>
      <c r="Y100" s="687">
        <f t="shared" si="48"/>
        <v>75.769506675132021</v>
      </c>
      <c r="AA100" s="170">
        <f t="shared" si="49"/>
        <v>3020</v>
      </c>
      <c r="AB100" s="170">
        <f t="shared" si="50"/>
        <v>9120400</v>
      </c>
      <c r="AD100" s="686">
        <f t="shared" si="51"/>
        <v>17.314101966098335</v>
      </c>
      <c r="AE100" s="687">
        <f t="shared" si="52"/>
        <v>-12.593085029869536</v>
      </c>
      <c r="AG100" s="686">
        <f t="shared" si="53"/>
        <v>11.030131643068358</v>
      </c>
      <c r="AH100" s="687">
        <f t="shared" si="54"/>
        <v>-85.010354470398596</v>
      </c>
      <c r="AJ100" s="170">
        <f t="shared" si="55"/>
        <v>0</v>
      </c>
      <c r="AK100" s="170">
        <f t="shared" si="65"/>
        <v>0</v>
      </c>
      <c r="AM100" s="170" t="str">
        <f t="shared" si="59"/>
        <v>0.003414575046783+0.0825680977788338i</v>
      </c>
      <c r="AN100" s="170" t="str">
        <f t="shared" si="60"/>
        <v>0.082662204647483i</v>
      </c>
      <c r="AO100" s="170" t="str">
        <f t="shared" si="61"/>
        <v>0.998861549010814-0.041307572927006i</v>
      </c>
      <c r="AP100" s="170" t="str">
        <f t="shared" si="62"/>
        <v>0.166097570825536-0.0137613496298056i</v>
      </c>
      <c r="AQ100" s="170" t="str">
        <f t="shared" si="63"/>
        <v>0.833902429174464+0.0137613496298056i</v>
      </c>
      <c r="AR100" s="170" t="str">
        <f t="shared" si="64"/>
        <v>0.998645865242378-0.0164800034478433i</v>
      </c>
    </row>
    <row r="101" spans="1:44">
      <c r="G101" s="688">
        <v>3311.3</v>
      </c>
      <c r="H101" s="676">
        <f t="shared" si="56"/>
        <v>3.3113000000000001</v>
      </c>
      <c r="I101" s="677">
        <f t="shared" si="34"/>
        <v>26.714831308286492</v>
      </c>
      <c r="J101" s="678">
        <f t="shared" si="35"/>
        <v>1.5333551890810468</v>
      </c>
      <c r="K101" s="678">
        <f t="shared" si="36"/>
        <v>1.0000104753823893</v>
      </c>
      <c r="L101" s="679">
        <f t="shared" si="37"/>
        <v>4.5771805613225311E-3</v>
      </c>
      <c r="M101" s="678">
        <f t="shared" si="38"/>
        <v>1.000153311157983</v>
      </c>
      <c r="N101" s="679">
        <f t="shared" si="39"/>
        <v>-1.7509515905312443E-2</v>
      </c>
      <c r="O101" s="677">
        <f t="shared" si="40"/>
        <v>137316.37579731527</v>
      </c>
      <c r="P101" s="680">
        <f t="shared" si="41"/>
        <v>1.5707890443422816</v>
      </c>
      <c r="Q101" s="689">
        <f t="shared" si="42"/>
        <v>5.5829436051043189</v>
      </c>
      <c r="R101" s="690">
        <f t="shared" si="43"/>
        <v>1.3907074837910993</v>
      </c>
      <c r="S101" s="677">
        <f t="shared" si="44"/>
        <v>1.0003116173491504</v>
      </c>
      <c r="T101" s="680">
        <f t="shared" si="45"/>
        <v>2.496142822512307E-2</v>
      </c>
      <c r="U101" s="681">
        <f t="shared" si="57"/>
        <v>0.99827497013966493</v>
      </c>
      <c r="V101" s="682">
        <f t="shared" si="58"/>
        <v>-6.3403255712820419E-2</v>
      </c>
      <c r="W101" s="683">
        <f t="shared" si="46"/>
        <v>-10.787002239841607</v>
      </c>
      <c r="X101" s="684">
        <f t="shared" si="47"/>
        <v>-103.9765860174613</v>
      </c>
      <c r="Y101" s="687">
        <f t="shared" si="48"/>
        <v>76.023413982538699</v>
      </c>
      <c r="AA101" s="170">
        <f t="shared" si="49"/>
        <v>3311.3</v>
      </c>
      <c r="AB101" s="170">
        <f t="shared" si="50"/>
        <v>10964707.690000001</v>
      </c>
      <c r="AD101" s="686">
        <f t="shared" si="51"/>
        <v>17.285562017934627</v>
      </c>
      <c r="AE101" s="687">
        <f t="shared" si="52"/>
        <v>-11.748097889054769</v>
      </c>
      <c r="AG101" s="686">
        <f t="shared" si="53"/>
        <v>10.233705504484636</v>
      </c>
      <c r="AH101" s="687">
        <f t="shared" si="54"/>
        <v>-84.963010200637854</v>
      </c>
      <c r="AJ101" s="170">
        <f t="shared" si="55"/>
        <v>0</v>
      </c>
      <c r="AK101" s="170">
        <f t="shared" si="65"/>
        <v>0</v>
      </c>
      <c r="AM101" s="170" t="str">
        <f t="shared" si="59"/>
        <v>0.00410459035816102+0.0905115078557035i</v>
      </c>
      <c r="AN101" s="170" t="str">
        <f t="shared" si="60"/>
        <v>0.0906355490891425i</v>
      </c>
      <c r="AO101" s="170" t="str">
        <f t="shared" si="61"/>
        <v>0.998631428455109-0.0452867599899907i</v>
      </c>
      <c r="AP101" s="170" t="str">
        <f t="shared" si="62"/>
        <v>0.16598256827364-0.0150852513092839i</v>
      </c>
      <c r="AQ101" s="170" t="str">
        <f t="shared" si="63"/>
        <v>0.83401743172636+0.0150852513092839i</v>
      </c>
      <c r="AR101" s="170" t="str">
        <f t="shared" si="64"/>
        <v>0.99845343338325-0.0180594798025103i</v>
      </c>
    </row>
    <row r="102" spans="1:44">
      <c r="G102" s="688">
        <v>3630.8</v>
      </c>
      <c r="H102" s="676">
        <f t="shared" si="56"/>
        <v>3.6308000000000002</v>
      </c>
      <c r="I102" s="677">
        <f t="shared" si="34"/>
        <v>29.289033128624322</v>
      </c>
      <c r="J102" s="678">
        <f t="shared" si="35"/>
        <v>1.5366472177297739</v>
      </c>
      <c r="K102" s="678">
        <f t="shared" si="36"/>
        <v>1.0000125943866016</v>
      </c>
      <c r="L102" s="679">
        <f t="shared" si="37"/>
        <v>5.0188154819421817E-3</v>
      </c>
      <c r="M102" s="678">
        <f t="shared" si="38"/>
        <v>1.0001843209186001</v>
      </c>
      <c r="N102" s="679">
        <f t="shared" si="39"/>
        <v>-1.9198573447957053E-2</v>
      </c>
      <c r="O102" s="677">
        <f t="shared" si="40"/>
        <v>150565.72863910481</v>
      </c>
      <c r="P102" s="680">
        <f t="shared" si="41"/>
        <v>1.570789685177252</v>
      </c>
      <c r="Q102" s="689">
        <f t="shared" si="42"/>
        <v>6.1050849153307665</v>
      </c>
      <c r="R102" s="690">
        <f t="shared" si="43"/>
        <v>1.4062570117190953</v>
      </c>
      <c r="S102" s="677">
        <f t="shared" si="44"/>
        <v>1.0003746412044572</v>
      </c>
      <c r="T102" s="680">
        <f t="shared" si="45"/>
        <v>2.7368751468684269E-2</v>
      </c>
      <c r="U102" s="681">
        <f t="shared" si="57"/>
        <v>0.99800754200470976</v>
      </c>
      <c r="V102" s="682">
        <f t="shared" si="58"/>
        <v>-6.9511679638253235E-2</v>
      </c>
      <c r="W102" s="683">
        <f t="shared" si="46"/>
        <v>-11.612147515865637</v>
      </c>
      <c r="X102" s="684">
        <f t="shared" si="47"/>
        <v>-103.83370818204546</v>
      </c>
      <c r="Y102" s="687">
        <f t="shared" si="48"/>
        <v>76.166291817954544</v>
      </c>
      <c r="AA102" s="170">
        <f t="shared" si="49"/>
        <v>3630.8</v>
      </c>
      <c r="AB102" s="170">
        <f t="shared" si="50"/>
        <v>13182708.640000001</v>
      </c>
      <c r="AD102" s="686">
        <f t="shared" si="51"/>
        <v>17.261508193660152</v>
      </c>
      <c r="AE102" s="687">
        <f t="shared" si="52"/>
        <v>-10.995141743418378</v>
      </c>
      <c r="AG102" s="686">
        <f t="shared" si="53"/>
        <v>9.4372684065474246</v>
      </c>
      <c r="AH102" s="687">
        <f t="shared" si="54"/>
        <v>-84.873114689250471</v>
      </c>
      <c r="AJ102" s="170">
        <f t="shared" si="55"/>
        <v>0</v>
      </c>
      <c r="AK102" s="170">
        <f t="shared" si="65"/>
        <v>0</v>
      </c>
      <c r="AM102" s="170" t="str">
        <f t="shared" si="59"/>
        <v>0.00493420588207305+0.0992172635001595i</v>
      </c>
      <c r="AN102" s="170" t="str">
        <f t="shared" si="60"/>
        <v>0.0993807723953912i</v>
      </c>
      <c r="AO102" s="170" t="str">
        <f t="shared" si="61"/>
        <v>0.998354723038566-0.0496495022441773i</v>
      </c>
      <c r="AP102" s="170" t="str">
        <f t="shared" si="62"/>
        <v>0.165844299019655-0.0165362105833599i</v>
      </c>
      <c r="AQ102" s="170" t="str">
        <f t="shared" si="63"/>
        <v>0.834155700980345+0.0165362105833599i</v>
      </c>
      <c r="AR102" s="170" t="str">
        <f t="shared" si="64"/>
        <v>0.998222238101294-0.0197886475136909i</v>
      </c>
    </row>
    <row r="103" spans="1:44">
      <c r="G103" s="688">
        <v>3981.1</v>
      </c>
      <c r="H103" s="676">
        <f t="shared" si="56"/>
        <v>3.9811000000000001</v>
      </c>
      <c r="I103" s="677">
        <f t="shared" si="34"/>
        <v>32.111693100465033</v>
      </c>
      <c r="J103" s="678">
        <f t="shared" si="35"/>
        <v>1.5396499871240459</v>
      </c>
      <c r="K103" s="678">
        <f t="shared" si="36"/>
        <v>1.0000151418167857</v>
      </c>
      <c r="L103" s="679">
        <f t="shared" si="37"/>
        <v>5.5030220290497485E-3</v>
      </c>
      <c r="M103" s="678">
        <f t="shared" si="38"/>
        <v>1.0002215991304058</v>
      </c>
      <c r="N103" s="679">
        <f t="shared" si="39"/>
        <v>-2.1050330939453552E-2</v>
      </c>
      <c r="O103" s="677">
        <f t="shared" si="40"/>
        <v>165092.32738870662</v>
      </c>
      <c r="P103" s="680">
        <f t="shared" si="41"/>
        <v>1.5707902695782117</v>
      </c>
      <c r="Q103" s="689">
        <f t="shared" si="42"/>
        <v>6.6789791509325598</v>
      </c>
      <c r="R103" s="690">
        <f t="shared" si="43"/>
        <v>1.4205077326385429</v>
      </c>
      <c r="S103" s="677">
        <f t="shared" si="44"/>
        <v>1.000450402313698</v>
      </c>
      <c r="T103" s="680">
        <f t="shared" si="45"/>
        <v>3.000777655130106E-2</v>
      </c>
      <c r="U103" s="681">
        <f t="shared" si="57"/>
        <v>0.99768631294592935</v>
      </c>
      <c r="V103" s="682">
        <f t="shared" si="58"/>
        <v>-7.6206035125933699E-2</v>
      </c>
      <c r="W103" s="683">
        <f t="shared" si="46"/>
        <v>-12.434066627073253</v>
      </c>
      <c r="X103" s="684">
        <f t="shared" si="47"/>
        <v>-103.80239972780797</v>
      </c>
      <c r="Y103" s="687">
        <f t="shared" si="48"/>
        <v>76.197600272192034</v>
      </c>
      <c r="AA103" s="170">
        <f t="shared" si="49"/>
        <v>3981.1</v>
      </c>
      <c r="AB103" s="170">
        <f t="shared" si="50"/>
        <v>15849157.209999999</v>
      </c>
      <c r="AD103" s="686">
        <f t="shared" si="51"/>
        <v>17.241202792750908</v>
      </c>
      <c r="AE103" s="687">
        <f t="shared" si="52"/>
        <v>-10.329874061926704</v>
      </c>
      <c r="AG103" s="686">
        <f t="shared" si="53"/>
        <v>8.64124705736252</v>
      </c>
      <c r="AH103" s="687">
        <f t="shared" si="54"/>
        <v>-84.739957283619461</v>
      </c>
      <c r="AJ103" s="170">
        <f t="shared" si="55"/>
        <v>0</v>
      </c>
      <c r="AK103" s="170">
        <f t="shared" si="65"/>
        <v>0</v>
      </c>
      <c r="AM103" s="170" t="str">
        <f t="shared" si="59"/>
        <v>0.00593125332998701+0.108753514397971i</v>
      </c>
      <c r="AN103" s="170" t="str">
        <f t="shared" si="60"/>
        <v>0.10896904070268i</v>
      </c>
      <c r="AO103" s="170" t="str">
        <f t="shared" si="61"/>
        <v>0.99802213267806-0.0544306281099631i</v>
      </c>
      <c r="AP103" s="170" t="str">
        <f t="shared" si="62"/>
        <v>0.165678124445002-0.0181255857329952i</v>
      </c>
      <c r="AQ103" s="170" t="str">
        <f t="shared" si="63"/>
        <v>0.834321875554998+0.0181255857329952i</v>
      </c>
      <c r="AR103" s="170" t="str">
        <f t="shared" si="64"/>
        <v>0.997944626219775-0.0216802788100166i</v>
      </c>
    </row>
    <row r="104" spans="1:44">
      <c r="G104" s="688">
        <v>4365.2</v>
      </c>
      <c r="H104" s="676">
        <f t="shared" si="56"/>
        <v>4.3651999999999997</v>
      </c>
      <c r="I104" s="677">
        <f t="shared" si="34"/>
        <v>35.206984785551718</v>
      </c>
      <c r="J104" s="678">
        <f t="shared" si="35"/>
        <v>1.5423890515254197</v>
      </c>
      <c r="K104" s="678">
        <f t="shared" si="36"/>
        <v>1.0000182045287767</v>
      </c>
      <c r="L104" s="679">
        <f t="shared" si="37"/>
        <v>6.0339460736910126E-3</v>
      </c>
      <c r="M104" s="678">
        <f t="shared" si="38"/>
        <v>1.0002664160843238</v>
      </c>
      <c r="N104" s="679">
        <f t="shared" si="39"/>
        <v>-2.3080595738666432E-2</v>
      </c>
      <c r="O104" s="677">
        <f t="shared" si="40"/>
        <v>181020.57911505812</v>
      </c>
      <c r="P104" s="680">
        <f t="shared" si="41"/>
        <v>1.5707908025611057</v>
      </c>
      <c r="Q104" s="689">
        <f t="shared" si="42"/>
        <v>7.3095499245467659</v>
      </c>
      <c r="R104" s="690">
        <f t="shared" si="43"/>
        <v>1.4335586099223239</v>
      </c>
      <c r="S104" s="677">
        <f t="shared" si="44"/>
        <v>1.0005414806730948</v>
      </c>
      <c r="T104" s="680">
        <f t="shared" si="45"/>
        <v>3.2900955958967158E-2</v>
      </c>
      <c r="U104" s="681">
        <f t="shared" si="57"/>
        <v>0.99730049459899772</v>
      </c>
      <c r="V104" s="682">
        <f t="shared" si="58"/>
        <v>-8.3542470485522852E-2</v>
      </c>
      <c r="W104" s="683">
        <f t="shared" si="46"/>
        <v>-13.253523927654296</v>
      </c>
      <c r="X104" s="684">
        <f t="shared" si="47"/>
        <v>-103.88362655777796</v>
      </c>
      <c r="Y104" s="687">
        <f t="shared" si="48"/>
        <v>76.116373442222041</v>
      </c>
      <c r="AA104" s="170">
        <f t="shared" si="49"/>
        <v>4365.2</v>
      </c>
      <c r="AB104" s="170">
        <f t="shared" si="50"/>
        <v>19054971.039999999</v>
      </c>
      <c r="AD104" s="686">
        <f t="shared" si="51"/>
        <v>17.22400186871732</v>
      </c>
      <c r="AE104" s="687">
        <f t="shared" si="52"/>
        <v>-9.747911381061714</v>
      </c>
      <c r="AG104" s="686">
        <f t="shared" si="53"/>
        <v>7.8457098743674134</v>
      </c>
      <c r="AH104" s="687">
        <f t="shared" si="54"/>
        <v>-84.562453227943791</v>
      </c>
      <c r="AJ104" s="170">
        <f t="shared" si="55"/>
        <v>0</v>
      </c>
      <c r="AK104" s="170">
        <f t="shared" si="65"/>
        <v>0</v>
      </c>
      <c r="AM104" s="170" t="str">
        <f t="shared" si="59"/>
        <v>0.00712954230088603+0.119198381819355i</v>
      </c>
      <c r="AN104" s="170" t="str">
        <f t="shared" si="60"/>
        <v>0.119482468783839i</v>
      </c>
      <c r="AO104" s="170" t="str">
        <f t="shared" si="61"/>
        <v>0.997622354414203-0.0596701957488374i</v>
      </c>
      <c r="AP104" s="170" t="str">
        <f t="shared" si="62"/>
        <v>0.165478409616519-0.0198663969698925i</v>
      </c>
      <c r="AQ104" s="170" t="str">
        <f t="shared" si="63"/>
        <v>0.834521590383481+0.0198663969698925i</v>
      </c>
      <c r="AR104" s="170" t="str">
        <f t="shared" si="64"/>
        <v>0.997611332244116-0.0237488675864188i</v>
      </c>
    </row>
    <row r="105" spans="1:44">
      <c r="G105" s="688">
        <v>4786.3</v>
      </c>
      <c r="H105" s="676">
        <f t="shared" si="56"/>
        <v>4.7862999999999998</v>
      </c>
      <c r="I105" s="677">
        <f t="shared" si="34"/>
        <v>38.600695580712014</v>
      </c>
      <c r="J105" s="678">
        <f t="shared" si="35"/>
        <v>1.5448871592386073</v>
      </c>
      <c r="K105" s="678">
        <f t="shared" si="36"/>
        <v>1.000021886190833</v>
      </c>
      <c r="L105" s="679">
        <f t="shared" si="37"/>
        <v>6.6160096235434399E-3</v>
      </c>
      <c r="M105" s="678">
        <f t="shared" si="38"/>
        <v>1.0003202877170934</v>
      </c>
      <c r="N105" s="679">
        <f t="shared" si="39"/>
        <v>-2.5306214794002042E-2</v>
      </c>
      <c r="O105" s="677">
        <f t="shared" si="40"/>
        <v>198483.18469169314</v>
      </c>
      <c r="P105" s="680">
        <f t="shared" si="41"/>
        <v>1.5707912885847251</v>
      </c>
      <c r="Q105" s="689">
        <f t="shared" si="42"/>
        <v>8.0020571959322329</v>
      </c>
      <c r="R105" s="690">
        <f t="shared" si="43"/>
        <v>1.4455008850225013</v>
      </c>
      <c r="S105" s="677">
        <f t="shared" si="44"/>
        <v>1.0006509546514071</v>
      </c>
      <c r="T105" s="680">
        <f t="shared" si="45"/>
        <v>3.6072197857851686E-2</v>
      </c>
      <c r="U105" s="681">
        <f t="shared" si="57"/>
        <v>0.99683726413209139</v>
      </c>
      <c r="V105" s="682">
        <f t="shared" si="58"/>
        <v>-9.1580551664039736E-2</v>
      </c>
      <c r="W105" s="683">
        <f t="shared" si="46"/>
        <v>-14.071030938182137</v>
      </c>
      <c r="X105" s="684">
        <f t="shared" si="47"/>
        <v>-104.07895917020703</v>
      </c>
      <c r="Y105" s="687">
        <f t="shared" si="48"/>
        <v>75.921040829792972</v>
      </c>
      <c r="AA105" s="170">
        <f t="shared" si="49"/>
        <v>4786.3</v>
      </c>
      <c r="AB105" s="170">
        <f t="shared" si="50"/>
        <v>22908667.690000001</v>
      </c>
      <c r="AD105" s="686">
        <f t="shared" si="51"/>
        <v>17.209356453336117</v>
      </c>
      <c r="AE105" s="687">
        <f t="shared" si="52"/>
        <v>-9.245396043186437</v>
      </c>
      <c r="AG105" s="686">
        <f t="shared" si="53"/>
        <v>7.0509190732615448</v>
      </c>
      <c r="AH105" s="687">
        <f t="shared" si="54"/>
        <v>-84.339204923370531</v>
      </c>
      <c r="AJ105" s="170">
        <f t="shared" si="55"/>
        <v>0</v>
      </c>
      <c r="AK105" s="170">
        <f t="shared" si="65"/>
        <v>0</v>
      </c>
      <c r="AM105" s="170" t="str">
        <f t="shared" si="59"/>
        <v>0.008569365578181+0.130634211177429i</v>
      </c>
      <c r="AN105" s="170" t="str">
        <f t="shared" si="60"/>
        <v>0.131008645729883i</v>
      </c>
      <c r="AO105" s="170" t="str">
        <f t="shared" si="61"/>
        <v>0.997141909601707-0.0654106874430985i</v>
      </c>
      <c r="AP105" s="170" t="str">
        <f t="shared" si="62"/>
        <v>0.165238439070303-0.0217723685295715i</v>
      </c>
      <c r="AQ105" s="170" t="str">
        <f t="shared" si="63"/>
        <v>0.834761560929697+0.0217723685295715i</v>
      </c>
      <c r="AR105" s="170" t="str">
        <f t="shared" si="64"/>
        <v>0.997211362578557-0.0260094071219039i</v>
      </c>
    </row>
    <row r="106" spans="1:44">
      <c r="G106" s="688">
        <v>5248.1</v>
      </c>
      <c r="H106" s="676">
        <f t="shared" si="56"/>
        <v>5.2481</v>
      </c>
      <c r="I106" s="677">
        <f t="shared" si="34"/>
        <v>42.322644421902041</v>
      </c>
      <c r="J106" s="678">
        <f t="shared" si="35"/>
        <v>1.5471661145477154</v>
      </c>
      <c r="K106" s="678">
        <f t="shared" si="36"/>
        <v>1.0000263131954337</v>
      </c>
      <c r="L106" s="679">
        <f t="shared" si="37"/>
        <v>7.2543253938349957E-3</v>
      </c>
      <c r="M106" s="678">
        <f t="shared" si="38"/>
        <v>1.0003850619376384</v>
      </c>
      <c r="N106" s="679">
        <f t="shared" si="39"/>
        <v>-2.7746654488252923E-2</v>
      </c>
      <c r="O106" s="677">
        <f t="shared" si="40"/>
        <v>217633.57950363547</v>
      </c>
      <c r="P106" s="680">
        <f t="shared" si="41"/>
        <v>1.5707917319157318</v>
      </c>
      <c r="Q106" s="689">
        <f t="shared" si="42"/>
        <v>8.7625909343358241</v>
      </c>
      <c r="R106" s="690">
        <f t="shared" si="43"/>
        <v>1.4564256517665426</v>
      </c>
      <c r="S106" s="677">
        <f t="shared" si="44"/>
        <v>1.0007825760175795</v>
      </c>
      <c r="T106" s="680">
        <f t="shared" si="45"/>
        <v>3.9549108809389631E-2</v>
      </c>
      <c r="U106" s="681">
        <f t="shared" si="57"/>
        <v>0.99628105984999116</v>
      </c>
      <c r="V106" s="682">
        <f t="shared" si="58"/>
        <v>-0.10038885919277514</v>
      </c>
      <c r="W106" s="683">
        <f t="shared" si="46"/>
        <v>-14.887399578275675</v>
      </c>
      <c r="X106" s="684">
        <f t="shared" si="47"/>
        <v>-104.39076133018953</v>
      </c>
      <c r="Y106" s="687">
        <f t="shared" si="48"/>
        <v>75.609238669810466</v>
      </c>
      <c r="AA106" s="170">
        <f t="shared" si="49"/>
        <v>5248.1</v>
      </c>
      <c r="AB106" s="170">
        <f t="shared" si="50"/>
        <v>27542553.610000003</v>
      </c>
      <c r="AD106" s="686">
        <f t="shared" si="51"/>
        <v>17.196788047302189</v>
      </c>
      <c r="AE106" s="687">
        <f t="shared" si="52"/>
        <v>-8.8186907403619568</v>
      </c>
      <c r="AG106" s="686">
        <f t="shared" si="53"/>
        <v>6.256814458529341</v>
      </c>
      <c r="AH106" s="687">
        <f t="shared" si="54"/>
        <v>-84.068354692924444</v>
      </c>
      <c r="AJ106" s="170">
        <f t="shared" si="55"/>
        <v>0</v>
      </c>
      <c r="AK106" s="170">
        <f t="shared" si="65"/>
        <v>0</v>
      </c>
      <c r="AM106" s="170" t="str">
        <f t="shared" si="59"/>
        <v>0.010299765953135+0.143155323783578i</v>
      </c>
      <c r="AN106" s="170" t="str">
        <f t="shared" si="60"/>
        <v>0.143648846427303i</v>
      </c>
      <c r="AO106" s="170" t="str">
        <f t="shared" si="61"/>
        <v>0.996564381434314-0.0717010001075605i</v>
      </c>
      <c r="AP106" s="170" t="str">
        <f t="shared" si="62"/>
        <v>0.164950039007811-0.0238592206305963i</v>
      </c>
      <c r="AQ106" s="170" t="str">
        <f t="shared" si="63"/>
        <v>0.835049960992189+0.0238592206305963i</v>
      </c>
      <c r="AR106" s="170" t="str">
        <f t="shared" si="64"/>
        <v>0.99673140113742-0.0284788162625919i</v>
      </c>
    </row>
    <row r="107" spans="1:44">
      <c r="G107" s="688">
        <v>5370.3</v>
      </c>
      <c r="H107" s="676">
        <f t="shared" si="56"/>
        <v>5.3703000000000003</v>
      </c>
      <c r="I107" s="677">
        <f t="shared" si="34"/>
        <v>43.307567086800269</v>
      </c>
      <c r="J107" s="678">
        <f t="shared" si="35"/>
        <v>1.5477036214862558</v>
      </c>
      <c r="K107" s="678">
        <f t="shared" si="36"/>
        <v>1.0000275528300417</v>
      </c>
      <c r="L107" s="679">
        <f t="shared" si="37"/>
        <v>7.423233449715295E-3</v>
      </c>
      <c r="M107" s="678">
        <f t="shared" si="38"/>
        <v>1.0004031990919429</v>
      </c>
      <c r="N107" s="679">
        <f t="shared" si="39"/>
        <v>-2.8392381511541283E-2</v>
      </c>
      <c r="O107" s="677">
        <f t="shared" si="40"/>
        <v>222701.09411173919</v>
      </c>
      <c r="P107" s="680">
        <f t="shared" si="41"/>
        <v>1.5707918364712006</v>
      </c>
      <c r="Q107" s="689">
        <f t="shared" si="42"/>
        <v>8.9639970832271665</v>
      </c>
      <c r="R107" s="690">
        <f t="shared" si="43"/>
        <v>1.4590062550065486</v>
      </c>
      <c r="S107" s="677">
        <f t="shared" si="44"/>
        <v>1.0008194291822474</v>
      </c>
      <c r="T107" s="680">
        <f t="shared" si="45"/>
        <v>4.0469000969805755E-2</v>
      </c>
      <c r="U107" s="681">
        <f t="shared" si="57"/>
        <v>0.99612547085331471</v>
      </c>
      <c r="V107" s="682">
        <f t="shared" si="58"/>
        <v>-0.10271843814082619</v>
      </c>
      <c r="W107" s="683">
        <f t="shared" si="46"/>
        <v>-15.091273123627678</v>
      </c>
      <c r="X107" s="684">
        <f t="shared" si="47"/>
        <v>-104.48720722026319</v>
      </c>
      <c r="Y107" s="687">
        <f t="shared" si="48"/>
        <v>75.512792779736813</v>
      </c>
      <c r="AA107" s="170">
        <f t="shared" si="49"/>
        <v>5370.3</v>
      </c>
      <c r="AB107" s="170">
        <f t="shared" si="50"/>
        <v>28840122.090000004</v>
      </c>
      <c r="AD107" s="686">
        <f t="shared" si="51"/>
        <v>17.193922662312918</v>
      </c>
      <c r="AE107" s="687">
        <f t="shared" si="52"/>
        <v>-8.7235449949892061</v>
      </c>
      <c r="AG107" s="686">
        <f t="shared" si="53"/>
        <v>6.0585194570244019</v>
      </c>
      <c r="AH107" s="687">
        <f t="shared" si="54"/>
        <v>-83.992996244534112</v>
      </c>
      <c r="AJ107" s="170">
        <f t="shared" si="55"/>
        <v>0</v>
      </c>
      <c r="AK107" s="170">
        <f t="shared" si="65"/>
        <v>0</v>
      </c>
      <c r="AM107" s="170" t="str">
        <f t="shared" si="59"/>
        <v>0.010784128442622+0.146464874488652i</v>
      </c>
      <c r="AN107" s="170" t="str">
        <f t="shared" si="60"/>
        <v>0.146993654840522i</v>
      </c>
      <c r="AO107" s="170" t="str">
        <f t="shared" si="61"/>
        <v>0.996402699474044-0.0733645847116465i</v>
      </c>
      <c r="AP107" s="170" t="str">
        <f t="shared" si="62"/>
        <v>0.16486931192623-0.0244108124147753i</v>
      </c>
      <c r="AQ107" s="170" t="str">
        <f t="shared" si="63"/>
        <v>0.83513068807377+0.0244108124147753i</v>
      </c>
      <c r="AR107" s="170" t="str">
        <f t="shared" si="64"/>
        <v>0.996597195520466-0.0291304672913568i</v>
      </c>
    </row>
    <row r="108" spans="1:44">
      <c r="G108" s="688">
        <v>5432.85</v>
      </c>
      <c r="H108" s="676">
        <f t="shared" si="56"/>
        <v>5.4328500000000002</v>
      </c>
      <c r="I108" s="677">
        <f t="shared" si="34"/>
        <v>43.811719985334811</v>
      </c>
      <c r="J108" s="678">
        <f t="shared" si="35"/>
        <v>1.547969401708049</v>
      </c>
      <c r="K108" s="678">
        <f t="shared" si="36"/>
        <v>1.0000281983961405</v>
      </c>
      <c r="L108" s="679">
        <f t="shared" si="37"/>
        <v>7.5096915425244531E-3</v>
      </c>
      <c r="M108" s="678">
        <f t="shared" si="38"/>
        <v>1.0004126442796624</v>
      </c>
      <c r="N108" s="679">
        <f t="shared" si="39"/>
        <v>-2.8722897957022136E-2</v>
      </c>
      <c r="O108" s="677">
        <f t="shared" si="40"/>
        <v>225294.98149911233</v>
      </c>
      <c r="P108" s="680">
        <f t="shared" si="41"/>
        <v>1.5707918881696181</v>
      </c>
      <c r="Q108" s="689">
        <f t="shared" si="42"/>
        <v>9.0671123242351293</v>
      </c>
      <c r="R108" s="690">
        <f t="shared" si="43"/>
        <v>1.460282812926317</v>
      </c>
      <c r="S108" s="677">
        <f t="shared" si="44"/>
        <v>1.0008386207326365</v>
      </c>
      <c r="T108" s="680">
        <f t="shared" si="45"/>
        <v>4.09398358845054E-2</v>
      </c>
      <c r="U108" s="681">
        <f t="shared" si="57"/>
        <v>0.9960444718103133</v>
      </c>
      <c r="V108" s="682">
        <f t="shared" si="58"/>
        <v>-0.10391065982949668</v>
      </c>
      <c r="W108" s="683">
        <f t="shared" si="46"/>
        <v>-15.193826267813106</v>
      </c>
      <c r="X108" s="684">
        <f t="shared" si="47"/>
        <v>-104.53856652433056</v>
      </c>
      <c r="Y108" s="687">
        <f t="shared" si="48"/>
        <v>75.461433475669438</v>
      </c>
      <c r="AA108" s="170">
        <f t="shared" si="49"/>
        <v>5432.85</v>
      </c>
      <c r="AB108" s="170">
        <f t="shared" si="50"/>
        <v>29515859.122500002</v>
      </c>
      <c r="AD108" s="686">
        <f t="shared" si="51"/>
        <v>17.192518548119835</v>
      </c>
      <c r="AE108" s="687">
        <f t="shared" si="52"/>
        <v>-8.6773834293905594</v>
      </c>
      <c r="AG108" s="686">
        <f t="shared" si="53"/>
        <v>5.9587830550084551</v>
      </c>
      <c r="AH108" s="687">
        <f t="shared" si="54"/>
        <v>-83.953898572034461</v>
      </c>
      <c r="AJ108" s="170">
        <f t="shared" si="55"/>
        <v>0</v>
      </c>
      <c r="AK108" s="170">
        <f t="shared" si="65"/>
        <v>0</v>
      </c>
      <c r="AM108" s="170" t="str">
        <f t="shared" si="59"/>
        <v>0.011036339633779+0.148158288580311i</v>
      </c>
      <c r="AN108" s="170" t="str">
        <f t="shared" si="60"/>
        <v>0.148705747853999i</v>
      </c>
      <c r="AO108" s="170" t="str">
        <f t="shared" si="61"/>
        <v>0.996318506301279-0.0742159586501969i</v>
      </c>
      <c r="AP108" s="170" t="str">
        <f t="shared" si="62"/>
        <v>0.164827276727704-0.0246930480967185i</v>
      </c>
      <c r="AQ108" s="170" t="str">
        <f t="shared" si="63"/>
        <v>0.835172723272296+0.0246930480967185i</v>
      </c>
      <c r="AR108" s="170" t="str">
        <f t="shared" si="64"/>
        <v>0.996527338223276-0.0294637226608985i</v>
      </c>
    </row>
    <row r="109" spans="1:44">
      <c r="G109" s="688">
        <v>5495.4</v>
      </c>
      <c r="H109" s="676">
        <f t="shared" si="56"/>
        <v>5.4954000000000001</v>
      </c>
      <c r="I109" s="677">
        <f t="shared" si="34"/>
        <v>44.315875908275295</v>
      </c>
      <c r="J109" s="678">
        <f t="shared" si="35"/>
        <v>1.5482291346941097</v>
      </c>
      <c r="K109" s="678">
        <f t="shared" si="36"/>
        <v>1.0000288514374425</v>
      </c>
      <c r="L109" s="679">
        <f t="shared" si="37"/>
        <v>7.5961495230617293E-3</v>
      </c>
      <c r="M109" s="678">
        <f t="shared" si="38"/>
        <v>1.0004221987515098</v>
      </c>
      <c r="N109" s="679">
        <f t="shared" si="39"/>
        <v>-2.905340812545297E-2</v>
      </c>
      <c r="O109" s="677">
        <f t="shared" si="40"/>
        <v>227888.86888648605</v>
      </c>
      <c r="P109" s="680">
        <f t="shared" si="41"/>
        <v>1.5707919386911473</v>
      </c>
      <c r="Q109" s="689">
        <f t="shared" si="42"/>
        <v>9.1702420087028909</v>
      </c>
      <c r="R109" s="690">
        <f t="shared" si="43"/>
        <v>1.4615306601827243</v>
      </c>
      <c r="S109" s="677">
        <f t="shared" si="44"/>
        <v>1.0008580341459148</v>
      </c>
      <c r="T109" s="680">
        <f t="shared" si="45"/>
        <v>4.1410652638221655E-2</v>
      </c>
      <c r="U109" s="681">
        <f t="shared" si="57"/>
        <v>0.99596255382515697</v>
      </c>
      <c r="V109" s="682">
        <f t="shared" si="58"/>
        <v>-0.10510273713041159</v>
      </c>
      <c r="W109" s="683">
        <f t="shared" si="46"/>
        <v>-15.295197066986015</v>
      </c>
      <c r="X109" s="684">
        <f t="shared" si="47"/>
        <v>-104.59121461314862</v>
      </c>
      <c r="Y109" s="687">
        <f t="shared" si="48"/>
        <v>75.408785386851378</v>
      </c>
      <c r="AA109" s="170">
        <f t="shared" si="49"/>
        <v>5495.4</v>
      </c>
      <c r="AB109" s="170">
        <f t="shared" si="50"/>
        <v>30199421.159999996</v>
      </c>
      <c r="AD109" s="686">
        <f t="shared" si="51"/>
        <v>17.191154194268996</v>
      </c>
      <c r="AE109" s="687">
        <f t="shared" si="52"/>
        <v>-8.6328657556529613</v>
      </c>
      <c r="AG109" s="686">
        <f t="shared" si="53"/>
        <v>5.8602053809099477</v>
      </c>
      <c r="AH109" s="687">
        <f t="shared" si="54"/>
        <v>-83.914462338042483</v>
      </c>
      <c r="AJ109" s="170">
        <f t="shared" si="55"/>
        <v>0</v>
      </c>
      <c r="AK109" s="170">
        <f t="shared" si="65"/>
        <v>0</v>
      </c>
      <c r="AM109" s="170" t="str">
        <f t="shared" si="59"/>
        <v>0.011291449736307+0.149851268381242i</v>
      </c>
      <c r="AN109" s="170" t="str">
        <f t="shared" si="60"/>
        <v>0.150417840867476i</v>
      </c>
      <c r="AO109" s="170" t="str">
        <f t="shared" si="61"/>
        <v>0.996233342514648-0.0750672238824064i</v>
      </c>
      <c r="AP109" s="170" t="str">
        <f t="shared" si="62"/>
        <v>0.164784758377282-0.0249752113968737i</v>
      </c>
      <c r="AQ109" s="170" t="str">
        <f t="shared" si="63"/>
        <v>0.835215241622718+0.0249752113968737i</v>
      </c>
      <c r="AR109" s="170" t="str">
        <f t="shared" si="64"/>
        <v>0.996456695101453-0.0297967701830215i</v>
      </c>
    </row>
    <row r="110" spans="1:44">
      <c r="G110" s="688">
        <v>5559.4</v>
      </c>
      <c r="H110" s="676">
        <f t="shared" si="56"/>
        <v>5.5593999999999992</v>
      </c>
      <c r="I110" s="677">
        <f t="shared" si="34"/>
        <v>44.831721922933156</v>
      </c>
      <c r="J110" s="678">
        <f t="shared" si="35"/>
        <v>1.5484888422899459</v>
      </c>
      <c r="K110" s="678">
        <f t="shared" si="36"/>
        <v>1.0000295273543169</v>
      </c>
      <c r="L110" s="679">
        <f t="shared" si="37"/>
        <v>7.6846116078161273E-3</v>
      </c>
      <c r="M110" s="678">
        <f t="shared" si="38"/>
        <v>1.0004320878201882</v>
      </c>
      <c r="N110" s="679">
        <f t="shared" si="39"/>
        <v>-2.9391573428295972E-2</v>
      </c>
      <c r="O110" s="677">
        <f t="shared" si="40"/>
        <v>230542.88635718077</v>
      </c>
      <c r="P110" s="680">
        <f t="shared" si="41"/>
        <v>1.5707919892071454</v>
      </c>
      <c r="Q110" s="689">
        <f t="shared" si="42"/>
        <v>9.2757768363754831</v>
      </c>
      <c r="R110" s="690">
        <f t="shared" si="43"/>
        <v>1.4627787125052809</v>
      </c>
      <c r="S110" s="677">
        <f t="shared" si="44"/>
        <v>1.0008781272140483</v>
      </c>
      <c r="T110" s="680">
        <f t="shared" si="45"/>
        <v>4.1892364595285253E-2</v>
      </c>
      <c r="U110" s="681">
        <f t="shared" si="57"/>
        <v>0.99587778639658253</v>
      </c>
      <c r="V110" s="682">
        <f t="shared" si="58"/>
        <v>-0.10632229738641109</v>
      </c>
      <c r="W110" s="683">
        <f t="shared" si="46"/>
        <v>-15.397723032812374</v>
      </c>
      <c r="X110" s="684">
        <f t="shared" si="47"/>
        <v>-104.64637218415875</v>
      </c>
      <c r="Y110" s="687">
        <f t="shared" si="48"/>
        <v>75.35362781584125</v>
      </c>
      <c r="AA110" s="170">
        <f t="shared" si="49"/>
        <v>5559.4</v>
      </c>
      <c r="AB110" s="170">
        <f t="shared" si="50"/>
        <v>30906928.359999996</v>
      </c>
      <c r="AD110" s="686">
        <f t="shared" si="51"/>
        <v>17.189797440074372</v>
      </c>
      <c r="AE110" s="687">
        <f t="shared" si="52"/>
        <v>-8.5889605813430201</v>
      </c>
      <c r="AG110" s="686">
        <f t="shared" si="53"/>
        <v>5.7605147627479312</v>
      </c>
      <c r="AH110" s="687">
        <f t="shared" si="54"/>
        <v>-83.873773772141533</v>
      </c>
      <c r="AJ110" s="170">
        <f t="shared" si="55"/>
        <v>0</v>
      </c>
      <c r="AK110" s="170">
        <f t="shared" si="65"/>
        <v>0</v>
      </c>
      <c r="AM110" s="170" t="str">
        <f t="shared" si="59"/>
        <v>0.011555473373878+0.151583039232171i</v>
      </c>
      <c r="AN110" s="170" t="str">
        <f t="shared" si="60"/>
        <v>0.15216962268782i</v>
      </c>
      <c r="AO110" s="170" t="str">
        <f t="shared" si="61"/>
        <v>0.996145200038694-0.0759381088667372i</v>
      </c>
      <c r="AP110" s="170" t="str">
        <f t="shared" si="62"/>
        <v>0.164740754437687-0.0252638398720285i</v>
      </c>
      <c r="AQ110" s="170" t="str">
        <f t="shared" si="63"/>
        <v>0.835259245562313+0.0252638398720285i</v>
      </c>
      <c r="AR110" s="170" t="str">
        <f t="shared" si="64"/>
        <v>0.99638360182997-0.0301373207198692i</v>
      </c>
    </row>
    <row r="111" spans="1:44">
      <c r="G111" s="688">
        <v>5623.4</v>
      </c>
      <c r="H111" s="676">
        <f t="shared" si="56"/>
        <v>5.6233999999999993</v>
      </c>
      <c r="I111" s="677">
        <f t="shared" si="34"/>
        <v>45.347570892608424</v>
      </c>
      <c r="J111" s="678">
        <f t="shared" si="35"/>
        <v>1.5487426413216723</v>
      </c>
      <c r="K111" s="678">
        <f t="shared" si="36"/>
        <v>1.0000302110969526</v>
      </c>
      <c r="L111" s="679">
        <f t="shared" si="37"/>
        <v>7.7730735722958445E-3</v>
      </c>
      <c r="M111" s="678">
        <f t="shared" si="38"/>
        <v>1.0004420912917806</v>
      </c>
      <c r="N111" s="679">
        <f t="shared" si="39"/>
        <v>-2.9729732007144436E-2</v>
      </c>
      <c r="O111" s="677">
        <f t="shared" si="40"/>
        <v>233196.90382787611</v>
      </c>
      <c r="P111" s="680">
        <f t="shared" si="41"/>
        <v>1.5707920385732967</v>
      </c>
      <c r="Q111" s="689">
        <f t="shared" si="42"/>
        <v>9.3813257872356353</v>
      </c>
      <c r="R111" s="690">
        <f t="shared" si="43"/>
        <v>1.4639986831112202</v>
      </c>
      <c r="S111" s="677">
        <f t="shared" si="44"/>
        <v>1.0008984525230016</v>
      </c>
      <c r="T111" s="680">
        <f t="shared" si="45"/>
        <v>4.2374057099808994E-2</v>
      </c>
      <c r="U111" s="681">
        <f t="shared" si="57"/>
        <v>0.99579205831018691</v>
      </c>
      <c r="V111" s="682">
        <f t="shared" si="58"/>
        <v>-0.10754170306534035</v>
      </c>
      <c r="W111" s="683">
        <f t="shared" si="46"/>
        <v>-15.499069085957458</v>
      </c>
      <c r="X111" s="684">
        <f t="shared" si="47"/>
        <v>-104.70278976781867</v>
      </c>
      <c r="Y111" s="687">
        <f t="shared" si="48"/>
        <v>75.297210232181328</v>
      </c>
      <c r="AA111" s="170">
        <f t="shared" si="49"/>
        <v>5623.4</v>
      </c>
      <c r="AB111" s="170">
        <f t="shared" si="50"/>
        <v>31622627.559999995</v>
      </c>
      <c r="AD111" s="686">
        <f t="shared" si="51"/>
        <v>17.188478508055642</v>
      </c>
      <c r="AE111" s="687">
        <f t="shared" si="52"/>
        <v>-8.5466631904487684</v>
      </c>
      <c r="AG111" s="686">
        <f t="shared" si="53"/>
        <v>5.6619831197998653</v>
      </c>
      <c r="AH111" s="687">
        <f t="shared" si="54"/>
        <v>-83.832755148702191</v>
      </c>
      <c r="AJ111" s="170">
        <f t="shared" si="55"/>
        <v>0</v>
      </c>
      <c r="AK111" s="170">
        <f t="shared" si="65"/>
        <v>0</v>
      </c>
      <c r="AM111" s="170" t="str">
        <f t="shared" si="59"/>
        <v>0.011822530289481+0.153314344914352i</v>
      </c>
      <c r="AN111" s="170" t="str">
        <f t="shared" si="60"/>
        <v>0.153921404508164i</v>
      </c>
      <c r="AO111" s="170" t="str">
        <f t="shared" si="61"/>
        <v>0.996056041745774-0.0768088774089502i</v>
      </c>
      <c r="AP111" s="170" t="str">
        <f t="shared" si="62"/>
        <v>0.164696244951753-0.0255523908190587i</v>
      </c>
      <c r="AQ111" s="170" t="str">
        <f t="shared" si="63"/>
        <v>0.835303755048247+0.0255523908190587i</v>
      </c>
      <c r="AR111" s="170" t="str">
        <f t="shared" si="64"/>
        <v>0.996309687555237-0.0304776488305805i</v>
      </c>
    </row>
    <row r="112" spans="1:44">
      <c r="G112" s="688">
        <v>5688.9</v>
      </c>
      <c r="H112" s="676">
        <f t="shared" si="56"/>
        <v>5.6888999999999994</v>
      </c>
      <c r="I112" s="677">
        <f t="shared" si="34"/>
        <v>45.875513028205162</v>
      </c>
      <c r="J112" s="678">
        <f t="shared" si="35"/>
        <v>1.5489964788163291</v>
      </c>
      <c r="K112" s="678">
        <f t="shared" si="36"/>
        <v>1.000030918967824</v>
      </c>
      <c r="L112" s="679">
        <f t="shared" si="37"/>
        <v>7.8636087380874152E-3</v>
      </c>
      <c r="M112" s="678">
        <f t="shared" si="38"/>
        <v>1.000452447672471</v>
      </c>
      <c r="N112" s="679">
        <f t="shared" si="39"/>
        <v>-3.0075809134961197E-2</v>
      </c>
      <c r="O112" s="677">
        <f t="shared" si="40"/>
        <v>235913.12483304142</v>
      </c>
      <c r="P112" s="680">
        <f t="shared" si="41"/>
        <v>1.5707920879463768</v>
      </c>
      <c r="Q112" s="689">
        <f t="shared" si="42"/>
        <v>9.4893626734351493</v>
      </c>
      <c r="R112" s="690">
        <f t="shared" si="43"/>
        <v>1.4652191442045641</v>
      </c>
      <c r="S112" s="677">
        <f t="shared" si="44"/>
        <v>1.000919494660941</v>
      </c>
      <c r="T112" s="680">
        <f t="shared" si="45"/>
        <v>4.2867018898630496E-2</v>
      </c>
      <c r="U112" s="681">
        <f t="shared" si="57"/>
        <v>0.99570332701874764</v>
      </c>
      <c r="V112" s="682">
        <f t="shared" si="58"/>
        <v>-0.10878952671026072</v>
      </c>
      <c r="W112" s="683">
        <f t="shared" si="46"/>
        <v>-15.601597661637975</v>
      </c>
      <c r="X112" s="684">
        <f t="shared" si="47"/>
        <v>-104.76179027904944</v>
      </c>
      <c r="Y112" s="687">
        <f t="shared" si="48"/>
        <v>75.238209720950564</v>
      </c>
      <c r="AA112" s="170">
        <f t="shared" si="49"/>
        <v>5688.9</v>
      </c>
      <c r="AB112" s="170">
        <f t="shared" si="50"/>
        <v>32363583.209999997</v>
      </c>
      <c r="AD112" s="686">
        <f t="shared" si="51"/>
        <v>17.187165983600707</v>
      </c>
      <c r="AE112" s="687">
        <f t="shared" si="52"/>
        <v>-8.504983380095366</v>
      </c>
      <c r="AG112" s="686">
        <f t="shared" si="53"/>
        <v>5.5623150715695644</v>
      </c>
      <c r="AH112" s="687">
        <f t="shared" si="54"/>
        <v>-83.790445413261821</v>
      </c>
      <c r="AJ112" s="170">
        <f t="shared" si="55"/>
        <v>0</v>
      </c>
      <c r="AK112" s="170">
        <f t="shared" si="65"/>
        <v>0</v>
      </c>
      <c r="AM112" s="170" t="str">
        <f t="shared" si="59"/>
        <v>0.012098986246121+0.155085740879225i</v>
      </c>
      <c r="AN112" s="170" t="str">
        <f t="shared" si="60"/>
        <v>0.155714243714923i</v>
      </c>
      <c r="AO112" s="170" t="str">
        <f t="shared" si="61"/>
        <v>0.995963742168323-0.0776999326296152i</v>
      </c>
      <c r="AP112" s="170" t="str">
        <f t="shared" si="62"/>
        <v>0.16465016895898-0.0258476234798708i</v>
      </c>
      <c r="AQ112" s="170" t="str">
        <f t="shared" si="63"/>
        <v>0.83534983104102+0.0258476234798708i</v>
      </c>
      <c r="AR112" s="170" t="str">
        <f t="shared" si="64"/>
        <v>0.996233191721731-0.0308257205315802i</v>
      </c>
    </row>
    <row r="113" spans="7:44">
      <c r="G113" s="688">
        <v>5754.4</v>
      </c>
      <c r="H113" s="676">
        <f t="shared" si="56"/>
        <v>5.7543999999999995</v>
      </c>
      <c r="I113" s="677">
        <f t="shared" si="34"/>
        <v>46.403458052460209</v>
      </c>
      <c r="J113" s="678">
        <f t="shared" si="35"/>
        <v>1.5492445403673794</v>
      </c>
      <c r="K113" s="678">
        <f t="shared" si="36"/>
        <v>1.0000316350355534</v>
      </c>
      <c r="L113" s="679">
        <f t="shared" si="37"/>
        <v>7.9541437749665444E-3</v>
      </c>
      <c r="M113" s="678">
        <f t="shared" si="38"/>
        <v>1.00046292387424</v>
      </c>
      <c r="N113" s="679">
        <f t="shared" si="39"/>
        <v>-3.042187905643335E-2</v>
      </c>
      <c r="O113" s="677">
        <f t="shared" si="40"/>
        <v>238629.34583820731</v>
      </c>
      <c r="P113" s="680">
        <f t="shared" si="41"/>
        <v>1.5707921361954693</v>
      </c>
      <c r="Q113" s="689">
        <f t="shared" si="42"/>
        <v>9.5974133760442548</v>
      </c>
      <c r="R113" s="690">
        <f t="shared" si="43"/>
        <v>1.4664121263709187</v>
      </c>
      <c r="S113" s="677">
        <f t="shared" si="44"/>
        <v>1.0009407800234023</v>
      </c>
      <c r="T113" s="680">
        <f t="shared" si="45"/>
        <v>4.3359959851221298E-2</v>
      </c>
      <c r="U113" s="681">
        <f t="shared" si="57"/>
        <v>0.995613591025728</v>
      </c>
      <c r="V113" s="682">
        <f t="shared" si="58"/>
        <v>-0.11003718479204111</v>
      </c>
      <c r="W113" s="683">
        <f t="shared" si="46"/>
        <v>-15.702948110232098</v>
      </c>
      <c r="X113" s="684">
        <f t="shared" si="47"/>
        <v>-104.82202312925536</v>
      </c>
      <c r="Y113" s="687">
        <f t="shared" si="48"/>
        <v>75.177976870744644</v>
      </c>
      <c r="AA113" s="170">
        <f t="shared" si="49"/>
        <v>5754.4</v>
      </c>
      <c r="AB113" s="170">
        <f t="shared" si="50"/>
        <v>33113119.359999996</v>
      </c>
      <c r="AD113" s="686">
        <f t="shared" si="51"/>
        <v>17.185889437373941</v>
      </c>
      <c r="AE113" s="687">
        <f t="shared" si="52"/>
        <v>-8.4648767374850298</v>
      </c>
      <c r="AG113" s="686">
        <f t="shared" si="53"/>
        <v>5.4638068404931852</v>
      </c>
      <c r="AH113" s="687">
        <f t="shared" si="54"/>
        <v>-83.747813821191897</v>
      </c>
      <c r="AJ113" s="170">
        <f t="shared" si="55"/>
        <v>0</v>
      </c>
      <c r="AK113" s="170">
        <f t="shared" si="65"/>
        <v>0</v>
      </c>
      <c r="AM113" s="170" t="str">
        <f t="shared" si="59"/>
        <v>0.012378617584893+0.156856638356411i</v>
      </c>
      <c r="AN113" s="170" t="str">
        <f t="shared" si="60"/>
        <v>0.157507082921681i</v>
      </c>
      <c r="AO113" s="170" t="str">
        <f t="shared" si="61"/>
        <v>0.995870378949286-0.0785908630600959i</v>
      </c>
      <c r="AP113" s="170" t="str">
        <f t="shared" si="62"/>
        <v>0.164603563735851-0.0261427730594018i</v>
      </c>
      <c r="AQ113" s="170" t="str">
        <f t="shared" si="63"/>
        <v>0.835396436264149+0.0261427730594018i</v>
      </c>
      <c r="AR113" s="170" t="str">
        <f t="shared" si="64"/>
        <v>0.996155837785537-0.0311735540978428i</v>
      </c>
    </row>
    <row r="114" spans="7:44">
      <c r="G114" s="688">
        <v>5821.4</v>
      </c>
      <c r="H114" s="676">
        <f t="shared" si="56"/>
        <v>5.8213999999999997</v>
      </c>
      <c r="I114" s="677">
        <f t="shared" si="34"/>
        <v>46.943496307822507</v>
      </c>
      <c r="J114" s="678">
        <f t="shared" si="35"/>
        <v>1.5494925099775587</v>
      </c>
      <c r="K114" s="678">
        <f t="shared" si="36"/>
        <v>1.0000323759823411</v>
      </c>
      <c r="L114" s="679">
        <f t="shared" si="37"/>
        <v>8.046751998379429E-3</v>
      </c>
      <c r="M114" s="678">
        <f t="shared" si="38"/>
        <v>1.0004737639535919</v>
      </c>
      <c r="N114" s="679">
        <f t="shared" si="39"/>
        <v>-3.0775866701322093E-2</v>
      </c>
      <c r="O114" s="677">
        <f t="shared" si="40"/>
        <v>241407.77037784318</v>
      </c>
      <c r="P114" s="680">
        <f t="shared" si="41"/>
        <v>1.5707921844261632</v>
      </c>
      <c r="Q114" s="689">
        <f t="shared" si="42"/>
        <v>9.7079523359193693</v>
      </c>
      <c r="R114" s="690">
        <f t="shared" si="43"/>
        <v>1.4676049517315957</v>
      </c>
      <c r="S114" s="677">
        <f t="shared" si="44"/>
        <v>1.0009628044640762</v>
      </c>
      <c r="T114" s="680">
        <f t="shared" si="45"/>
        <v>4.3864167711778881E-2</v>
      </c>
      <c r="U114" s="681">
        <f t="shared" si="57"/>
        <v>0.99552076134401801</v>
      </c>
      <c r="V114" s="682">
        <f t="shared" si="58"/>
        <v>-0.1113132419781705</v>
      </c>
      <c r="W114" s="683">
        <f t="shared" si="46"/>
        <v>-15.805429504734821</v>
      </c>
      <c r="X114" s="684">
        <f t="shared" si="47"/>
        <v>-104.88486725728215</v>
      </c>
      <c r="Y114" s="687">
        <f t="shared" si="48"/>
        <v>75.115132742717847</v>
      </c>
      <c r="AA114" s="170">
        <f t="shared" si="49"/>
        <v>5821.4</v>
      </c>
      <c r="AB114" s="170">
        <f t="shared" si="50"/>
        <v>33888697.959999993</v>
      </c>
      <c r="AD114" s="686">
        <f t="shared" si="51"/>
        <v>17.184619120239745</v>
      </c>
      <c r="AE114" s="687">
        <f t="shared" si="52"/>
        <v>-8.4254246243994544</v>
      </c>
      <c r="AG114" s="686">
        <f t="shared" si="53"/>
        <v>5.364215560141564</v>
      </c>
      <c r="AH114" s="687">
        <f t="shared" si="54"/>
        <v>-83.703884679772074</v>
      </c>
      <c r="AJ114" s="170">
        <f t="shared" si="55"/>
        <v>0</v>
      </c>
      <c r="AK114" s="170">
        <f t="shared" si="65"/>
        <v>0</v>
      </c>
      <c r="AM114" s="170" t="str">
        <f t="shared" si="59"/>
        <v>0.012667937050503+0.158667569061514i</v>
      </c>
      <c r="AN114" s="170" t="str">
        <f t="shared" si="60"/>
        <v>0.159340979514853i</v>
      </c>
      <c r="AO114" s="170" t="str">
        <f t="shared" si="61"/>
        <v>0.995773777371086-0.0795020658783019i</v>
      </c>
      <c r="AP114" s="170" t="str">
        <f t="shared" si="62"/>
        <v>0.164555343824916-0.0264445948435857i</v>
      </c>
      <c r="AQ114" s="170" t="str">
        <f t="shared" si="63"/>
        <v>0.835444656175084+0.0264445948435857i</v>
      </c>
      <c r="AR114" s="170" t="str">
        <f t="shared" si="64"/>
        <v>0.996075825564363-0.0315291042271261i</v>
      </c>
    </row>
    <row r="115" spans="7:44">
      <c r="G115" s="688">
        <v>5888.4</v>
      </c>
      <c r="H115" s="676">
        <f t="shared" si="56"/>
        <v>5.8883999999999999</v>
      </c>
      <c r="I115" s="677">
        <f t="shared" si="34"/>
        <v>47.48353738403253</v>
      </c>
      <c r="J115" s="678">
        <f t="shared" si="35"/>
        <v>1.5497348391727463</v>
      </c>
      <c r="K115" s="678">
        <f t="shared" si="36"/>
        <v>1.0000331255056767</v>
      </c>
      <c r="L115" s="679">
        <f t="shared" si="37"/>
        <v>8.139360083767094E-3</v>
      </c>
      <c r="M115" s="678">
        <f t="shared" si="38"/>
        <v>1.0004847293968371</v>
      </c>
      <c r="N115" s="679">
        <f t="shared" si="39"/>
        <v>-3.1129846631064682E-2</v>
      </c>
      <c r="O115" s="677">
        <f t="shared" si="40"/>
        <v>244186.19491747962</v>
      </c>
      <c r="P115" s="680">
        <f t="shared" si="41"/>
        <v>1.5707922315592904</v>
      </c>
      <c r="Q115" s="689">
        <f t="shared" si="42"/>
        <v>9.8185047975566899</v>
      </c>
      <c r="R115" s="690">
        <f t="shared" si="43"/>
        <v>1.4687709172413148</v>
      </c>
      <c r="S115" s="677">
        <f t="shared" si="44"/>
        <v>1.0009850833638505</v>
      </c>
      <c r="T115" s="680">
        <f t="shared" si="45"/>
        <v>4.4368353256225304E-2</v>
      </c>
      <c r="U115" s="681">
        <f t="shared" si="57"/>
        <v>0.99542688207400654</v>
      </c>
      <c r="V115" s="682">
        <f t="shared" si="58"/>
        <v>-0.11258912202655362</v>
      </c>
      <c r="W115" s="683">
        <f t="shared" si="46"/>
        <v>-15.9067357322765</v>
      </c>
      <c r="X115" s="684">
        <f t="shared" si="47"/>
        <v>-104.94891524454758</v>
      </c>
      <c r="Y115" s="687">
        <f t="shared" si="48"/>
        <v>75.051084755452422</v>
      </c>
      <c r="AA115" s="170">
        <f t="shared" si="49"/>
        <v>5888.4</v>
      </c>
      <c r="AB115" s="170">
        <f t="shared" si="50"/>
        <v>34673254.559999995</v>
      </c>
      <c r="AD115" s="686">
        <f t="shared" si="51"/>
        <v>17.18338297285894</v>
      </c>
      <c r="AE115" s="687">
        <f t="shared" si="52"/>
        <v>-8.3875101259089586</v>
      </c>
      <c r="AG115" s="686">
        <f t="shared" si="53"/>
        <v>5.2657837450187888</v>
      </c>
      <c r="AH115" s="687">
        <f t="shared" si="54"/>
        <v>-83.659642081486354</v>
      </c>
      <c r="AJ115" s="170">
        <f t="shared" si="55"/>
        <v>0</v>
      </c>
      <c r="AK115" s="170">
        <f t="shared" si="65"/>
        <v>0</v>
      </c>
      <c r="AM115" s="170" t="str">
        <f t="shared" si="59"/>
        <v>0.012960577087386+0.160477966139695i</v>
      </c>
      <c r="AN115" s="170" t="str">
        <f t="shared" si="60"/>
        <v>0.161174876108026i</v>
      </c>
      <c r="AO115" s="170" t="str">
        <f t="shared" si="61"/>
        <v>0.995676063260232-0.0804131351011512i</v>
      </c>
      <c r="AP115" s="170" t="str">
        <f t="shared" si="62"/>
        <v>0.164506570485436-0.0267463276899492i</v>
      </c>
      <c r="AQ115" s="170" t="str">
        <f t="shared" si="63"/>
        <v>0.835493429514564+0.0267463276899492i</v>
      </c>
      <c r="AR115" s="170" t="str">
        <f t="shared" si="64"/>
        <v>0.995994917496022-0.0318843996850464i</v>
      </c>
    </row>
    <row r="116" spans="7:44">
      <c r="G116" s="688">
        <v>5957</v>
      </c>
      <c r="H116" s="676">
        <f t="shared" si="56"/>
        <v>5.9569999999999999</v>
      </c>
      <c r="I116" s="677">
        <f t="shared" si="34"/>
        <v>48.036477786894096</v>
      </c>
      <c r="J116" s="678">
        <f t="shared" si="35"/>
        <v>1.5499773099080409</v>
      </c>
      <c r="K116" s="678">
        <f t="shared" si="36"/>
        <v>1.0000339018142701</v>
      </c>
      <c r="L116" s="679">
        <f t="shared" si="37"/>
        <v>8.2341795608548742E-3</v>
      </c>
      <c r="M116" s="678">
        <f t="shared" si="38"/>
        <v>1.0004960865873944</v>
      </c>
      <c r="N116" s="679">
        <f t="shared" si="39"/>
        <v>-3.149227172677467E-2</v>
      </c>
      <c r="O116" s="677">
        <f t="shared" si="40"/>
        <v>247030.96989388403</v>
      </c>
      <c r="P116" s="680">
        <f t="shared" si="41"/>
        <v>1.5707922787194653</v>
      </c>
      <c r="Q116" s="689">
        <f t="shared" si="42"/>
        <v>9.9317108363635356</v>
      </c>
      <c r="R116" s="690">
        <f t="shared" si="43"/>
        <v>1.4699378305307098</v>
      </c>
      <c r="S116" s="677">
        <f t="shared" si="44"/>
        <v>1.0010081579259174</v>
      </c>
      <c r="T116" s="680">
        <f t="shared" si="45"/>
        <v>4.488455566448725E-2</v>
      </c>
      <c r="U116" s="681">
        <f t="shared" si="57"/>
        <v>0.99532967431547381</v>
      </c>
      <c r="V116" s="682">
        <f t="shared" si="58"/>
        <v>-0.11389528526018106</v>
      </c>
      <c r="W116" s="683">
        <f t="shared" si="46"/>
        <v>-16.009272408380795</v>
      </c>
      <c r="X116" s="684">
        <f t="shared" si="47"/>
        <v>-105.01569782248158</v>
      </c>
      <c r="Y116" s="687">
        <f t="shared" si="48"/>
        <v>74.984302177518416</v>
      </c>
      <c r="AA116" s="170">
        <f t="shared" si="49"/>
        <v>5957</v>
      </c>
      <c r="AB116" s="170">
        <f t="shared" si="50"/>
        <v>35485849</v>
      </c>
      <c r="AD116" s="686">
        <f t="shared" si="51"/>
        <v>17.182151024604334</v>
      </c>
      <c r="AE116" s="687">
        <f t="shared" si="52"/>
        <v>-8.3502298407731761</v>
      </c>
      <c r="AG116" s="686">
        <f t="shared" si="53"/>
        <v>5.1661755297045797</v>
      </c>
      <c r="AH116" s="687">
        <f t="shared" si="54"/>
        <v>-83.614029663101064</v>
      </c>
      <c r="AJ116" s="170">
        <f t="shared" si="55"/>
        <v>0</v>
      </c>
      <c r="AK116" s="170">
        <f t="shared" si="65"/>
        <v>0</v>
      </c>
      <c r="AM116" s="170" t="str">
        <f t="shared" si="59"/>
        <v>0.0132636449790789+0.162331037328131i</v>
      </c>
      <c r="AN116" s="170" t="str">
        <f t="shared" si="60"/>
        <v>0.163052567246707i</v>
      </c>
      <c r="AO116" s="170" t="str">
        <f t="shared" si="61"/>
        <v>0.995574863182103-0.0813458211854482i</v>
      </c>
      <c r="AP116" s="170" t="str">
        <f t="shared" si="62"/>
        <v>0.164456059170154-0.0270551728880218i</v>
      </c>
      <c r="AQ116" s="170" t="str">
        <f t="shared" si="63"/>
        <v>0.835543940829846+0.0270551728880218i</v>
      </c>
      <c r="AR116" s="170" t="str">
        <f t="shared" si="64"/>
        <v>0.995911150179409-0.0322479130450659i</v>
      </c>
    </row>
    <row r="117" spans="7:44">
      <c r="G117" s="688">
        <v>6025.6</v>
      </c>
      <c r="H117" s="676">
        <f t="shared" si="56"/>
        <v>6.0256000000000007</v>
      </c>
      <c r="I117" s="677">
        <f t="shared" si="34"/>
        <v>48.589420949641813</v>
      </c>
      <c r="J117" s="678">
        <f t="shared" si="35"/>
        <v>1.5502142620674577</v>
      </c>
      <c r="K117" s="678">
        <f t="shared" si="36"/>
        <v>1.0000346871138874</v>
      </c>
      <c r="L117" s="679">
        <f t="shared" si="37"/>
        <v>8.3289988898769176E-3</v>
      </c>
      <c r="M117" s="678">
        <f t="shared" si="38"/>
        <v>1.0005075751920702</v>
      </c>
      <c r="N117" s="679">
        <f t="shared" si="39"/>
        <v>-3.1854688546795303E-2</v>
      </c>
      <c r="O117" s="677">
        <f t="shared" si="40"/>
        <v>249875.74487028903</v>
      </c>
      <c r="P117" s="680">
        <f t="shared" si="41"/>
        <v>1.570792324805826</v>
      </c>
      <c r="Q117" s="689">
        <f t="shared" si="42"/>
        <v>10.044930094210255</v>
      </c>
      <c r="R117" s="690">
        <f t="shared" si="43"/>
        <v>1.4710784401225037</v>
      </c>
      <c r="S117" s="677">
        <f t="shared" si="44"/>
        <v>1.0010314992092111</v>
      </c>
      <c r="T117" s="680">
        <f t="shared" si="45"/>
        <v>4.5400734137465121E-2</v>
      </c>
      <c r="U117" s="681">
        <f t="shared" si="57"/>
        <v>0.99523136805692503</v>
      </c>
      <c r="V117" s="682">
        <f t="shared" si="58"/>
        <v>-0.11520125861509663</v>
      </c>
      <c r="W117" s="683">
        <f t="shared" si="46"/>
        <v>-16.110634583155548</v>
      </c>
      <c r="X117" s="684">
        <f t="shared" si="47"/>
        <v>-105.08365852232522</v>
      </c>
      <c r="Y117" s="687">
        <f t="shared" si="48"/>
        <v>74.916341477674777</v>
      </c>
      <c r="AA117" s="170">
        <f t="shared" si="49"/>
        <v>6025.6</v>
      </c>
      <c r="AB117" s="170">
        <f t="shared" si="50"/>
        <v>36307855.360000007</v>
      </c>
      <c r="AD117" s="686">
        <f t="shared" si="51"/>
        <v>17.180951570665762</v>
      </c>
      <c r="AE117" s="687">
        <f t="shared" si="52"/>
        <v>-8.3144552135814749</v>
      </c>
      <c r="AG117" s="686">
        <f t="shared" si="53"/>
        <v>5.0677286614245451</v>
      </c>
      <c r="AH117" s="687">
        <f t="shared" si="54"/>
        <v>-83.568111467179008</v>
      </c>
      <c r="AJ117" s="170">
        <f t="shared" si="55"/>
        <v>0</v>
      </c>
      <c r="AK117" s="170">
        <f t="shared" si="65"/>
        <v>0</v>
      </c>
      <c r="AM117" s="170" t="str">
        <f t="shared" si="59"/>
        <v>0.013570191829811+0.1641835361823i</v>
      </c>
      <c r="AN117" s="170" t="str">
        <f t="shared" si="60"/>
        <v>0.164930258385389i</v>
      </c>
      <c r="AO117" s="170" t="str">
        <f t="shared" si="61"/>
        <v>0.995472497221558-0.0822783639743159i</v>
      </c>
      <c r="AP117" s="170" t="str">
        <f t="shared" si="62"/>
        <v>0.164404968028365-0.02736392269705i</v>
      </c>
      <c r="AQ117" s="170" t="str">
        <f t="shared" si="63"/>
        <v>0.835595031971635+0.02736392269705i</v>
      </c>
      <c r="AR117" s="170" t="str">
        <f t="shared" si="64"/>
        <v>0.995826445918466-0.0326111535410804i</v>
      </c>
    </row>
    <row r="118" spans="7:44">
      <c r="G118" s="688">
        <v>6095.8</v>
      </c>
      <c r="H118" s="676">
        <f t="shared" si="56"/>
        <v>6.0958000000000006</v>
      </c>
      <c r="I118" s="677">
        <f t="shared" si="34"/>
        <v>49.155263505945051</v>
      </c>
      <c r="J118" s="678">
        <f t="shared" si="35"/>
        <v>1.5504512219329123</v>
      </c>
      <c r="K118" s="678">
        <f t="shared" si="36"/>
        <v>1.0000355000375329</v>
      </c>
      <c r="L118" s="679">
        <f t="shared" si="37"/>
        <v>8.4260295933742228E-3</v>
      </c>
      <c r="M118" s="678">
        <f t="shared" si="38"/>
        <v>1.0005194677952578</v>
      </c>
      <c r="N118" s="679">
        <f t="shared" si="39"/>
        <v>-3.2225549570757302E-2</v>
      </c>
      <c r="O118" s="677">
        <f t="shared" si="40"/>
        <v>252786.87028346199</v>
      </c>
      <c r="P118" s="680">
        <f t="shared" si="41"/>
        <v>1.5707923708932356</v>
      </c>
      <c r="Q118" s="689">
        <f t="shared" si="42"/>
        <v>10.160803258538792</v>
      </c>
      <c r="R118" s="690">
        <f t="shared" si="43"/>
        <v>1.4722193360767626</v>
      </c>
      <c r="S118" s="677">
        <f t="shared" si="44"/>
        <v>1.0010556610012757</v>
      </c>
      <c r="T118" s="680">
        <f t="shared" si="45"/>
        <v>4.592892669410456E-2</v>
      </c>
      <c r="U118" s="681">
        <f t="shared" si="57"/>
        <v>0.99512963268500076</v>
      </c>
      <c r="V118" s="682">
        <f t="shared" si="58"/>
        <v>-0.11653749321449063</v>
      </c>
      <c r="W118" s="683">
        <f t="shared" si="46"/>
        <v>-16.213173721345779</v>
      </c>
      <c r="X118" s="684">
        <f t="shared" si="47"/>
        <v>-105.15438256909769</v>
      </c>
      <c r="Y118" s="687">
        <f t="shared" si="48"/>
        <v>74.845617430902308</v>
      </c>
      <c r="AA118" s="170">
        <f t="shared" si="49"/>
        <v>6095.8</v>
      </c>
      <c r="AB118" s="170">
        <f t="shared" si="50"/>
        <v>37158777.640000001</v>
      </c>
      <c r="AD118" s="686">
        <f t="shared" si="51"/>
        <v>17.179756169499399</v>
      </c>
      <c r="AE118" s="687">
        <f t="shared" si="52"/>
        <v>-8.2793525353785</v>
      </c>
      <c r="AG118" s="686">
        <f t="shared" si="53"/>
        <v>4.968160807696747</v>
      </c>
      <c r="AH118" s="687">
        <f t="shared" si="54"/>
        <v>-83.520816986010203</v>
      </c>
      <c r="AJ118" s="170">
        <f t="shared" si="55"/>
        <v>0</v>
      </c>
      <c r="AK118" s="170">
        <f t="shared" si="65"/>
        <v>0</v>
      </c>
      <c r="AM118" s="170" t="str">
        <f t="shared" si="59"/>
        <v>0.013887488951792+0.166078642679296i</v>
      </c>
      <c r="AN118" s="170" t="str">
        <f t="shared" si="60"/>
        <v>0.166851744069578i</v>
      </c>
      <c r="AO118" s="170" t="str">
        <f t="shared" si="61"/>
        <v>0.99536653695415-0.0832325069733814i</v>
      </c>
      <c r="AP118" s="170" t="str">
        <f t="shared" si="62"/>
        <v>0.164352085174701-0.0276797737798827i</v>
      </c>
      <c r="AQ118" s="170" t="str">
        <f t="shared" si="63"/>
        <v>0.835647914825299+0.0276797737798827i</v>
      </c>
      <c r="AR118" s="170" t="str">
        <f t="shared" si="64"/>
        <v>0.99573879724932-0.0329825805374932i</v>
      </c>
    </row>
    <row r="119" spans="7:44">
      <c r="G119" s="688">
        <v>6166</v>
      </c>
      <c r="H119" s="676">
        <f t="shared" si="56"/>
        <v>6.1660000000000004</v>
      </c>
      <c r="I119" s="677">
        <f t="shared" si="34"/>
        <v>49.721108759494228</v>
      </c>
      <c r="J119" s="678">
        <f t="shared" si="35"/>
        <v>1.5506827884231447</v>
      </c>
      <c r="K119" s="678">
        <f t="shared" si="36"/>
        <v>1.0000363223764548</v>
      </c>
      <c r="L119" s="679">
        <f t="shared" si="37"/>
        <v>8.5230601382066135E-3</v>
      </c>
      <c r="M119" s="678">
        <f t="shared" si="38"/>
        <v>1.0005314980045086</v>
      </c>
      <c r="N119" s="679">
        <f t="shared" si="39"/>
        <v>-3.2596401727393143E-2</v>
      </c>
      <c r="O119" s="677">
        <f t="shared" si="40"/>
        <v>255697.99569663545</v>
      </c>
      <c r="P119" s="680">
        <f t="shared" si="41"/>
        <v>1.5707924159312339</v>
      </c>
      <c r="Q119" s="689">
        <f t="shared" si="42"/>
        <v>10.276689350352211</v>
      </c>
      <c r="R119" s="690">
        <f t="shared" si="43"/>
        <v>1.4733345026059557</v>
      </c>
      <c r="S119" s="677">
        <f t="shared" si="44"/>
        <v>1.0010801020617066</v>
      </c>
      <c r="T119" s="680">
        <f t="shared" si="45"/>
        <v>4.6457093606774795E-2</v>
      </c>
      <c r="U119" s="681">
        <f t="shared" si="57"/>
        <v>0.99502674896276888</v>
      </c>
      <c r="V119" s="682">
        <f t="shared" si="58"/>
        <v>-0.11787352450513099</v>
      </c>
      <c r="W119" s="683">
        <f t="shared" si="46"/>
        <v>-16.314540274643626</v>
      </c>
      <c r="X119" s="684">
        <f t="shared" si="47"/>
        <v>-105.22625810857838</v>
      </c>
      <c r="Y119" s="687">
        <f t="shared" si="48"/>
        <v>74.773741891421622</v>
      </c>
      <c r="AA119" s="170">
        <f t="shared" si="49"/>
        <v>6166</v>
      </c>
      <c r="AB119" s="170">
        <f t="shared" si="50"/>
        <v>38019556</v>
      </c>
      <c r="AD119" s="686">
        <f t="shared" si="51"/>
        <v>17.178591614211744</v>
      </c>
      <c r="AE119" s="687">
        <f t="shared" si="52"/>
        <v>-8.2457225152247311</v>
      </c>
      <c r="AG119" s="686">
        <f t="shared" si="53"/>
        <v>4.8697549231294905</v>
      </c>
      <c r="AH119" s="687">
        <f t="shared" si="54"/>
        <v>-83.473224636967501</v>
      </c>
      <c r="AJ119" s="170">
        <f t="shared" si="55"/>
        <v>0</v>
      </c>
      <c r="AK119" s="170">
        <f t="shared" si="65"/>
        <v>0</v>
      </c>
      <c r="AM119" s="170" t="str">
        <f t="shared" si="59"/>
        <v>0.0142084269057881+0.167973135996323i</v>
      </c>
      <c r="AN119" s="170" t="str">
        <f t="shared" si="60"/>
        <v>0.168773229753768i</v>
      </c>
      <c r="AO119" s="170" t="str">
        <f t="shared" si="61"/>
        <v>0.995259356246175-0.0841864964397346i</v>
      </c>
      <c r="AP119" s="170" t="str">
        <f t="shared" si="62"/>
        <v>0.164298595515702-0.0279955226660538i</v>
      </c>
      <c r="AQ119" s="170" t="str">
        <f t="shared" si="63"/>
        <v>0.835701404484298+0.0279955226660538i</v>
      </c>
      <c r="AR119" s="170" t="str">
        <f t="shared" si="64"/>
        <v>0.995650169829362-0.0333537155105283i</v>
      </c>
    </row>
    <row r="120" spans="7:44">
      <c r="G120" s="688">
        <v>6237.8</v>
      </c>
      <c r="H120" s="676">
        <f t="shared" si="56"/>
        <v>6.2378</v>
      </c>
      <c r="I120" s="677">
        <f t="shared" si="34"/>
        <v>50.299853466240478</v>
      </c>
      <c r="J120" s="678">
        <f t="shared" si="35"/>
        <v>1.5509142433096301</v>
      </c>
      <c r="K120" s="678">
        <f t="shared" si="36"/>
        <v>1.0000371731977316</v>
      </c>
      <c r="L120" s="679">
        <f t="shared" si="37"/>
        <v>8.6223020393938216E-3</v>
      </c>
      <c r="M120" s="678">
        <f t="shared" si="38"/>
        <v>1.0005439447476743</v>
      </c>
      <c r="N120" s="679">
        <f t="shared" si="39"/>
        <v>-3.2975697076061926E-2</v>
      </c>
      <c r="O120" s="677">
        <f t="shared" si="40"/>
        <v>258675.47154657694</v>
      </c>
      <c r="P120" s="680">
        <f t="shared" si="41"/>
        <v>1.5707924609471067</v>
      </c>
      <c r="Q120" s="689">
        <f t="shared" si="42"/>
        <v>10.395229642780881</v>
      </c>
      <c r="R120" s="690">
        <f t="shared" si="43"/>
        <v>1.4744493643483674</v>
      </c>
      <c r="S120" s="677">
        <f t="shared" si="44"/>
        <v>1.0011053890505621</v>
      </c>
      <c r="T120" s="680">
        <f t="shared" si="45"/>
        <v>4.6997271679237382E-2</v>
      </c>
      <c r="U120" s="681">
        <f t="shared" si="57"/>
        <v>0.99492033346956565</v>
      </c>
      <c r="V120" s="682">
        <f t="shared" si="58"/>
        <v>-0.11923979398741776</v>
      </c>
      <c r="W120" s="683">
        <f t="shared" si="46"/>
        <v>-16.417032847550807</v>
      </c>
      <c r="X120" s="684">
        <f t="shared" si="47"/>
        <v>-105.30092248277468</v>
      </c>
      <c r="Y120" s="687">
        <f t="shared" si="48"/>
        <v>74.699077517225319</v>
      </c>
      <c r="AA120" s="170">
        <f t="shared" si="49"/>
        <v>6237.8</v>
      </c>
      <c r="AB120" s="170">
        <f t="shared" si="50"/>
        <v>38910148.840000004</v>
      </c>
      <c r="AD120" s="686">
        <f t="shared" si="51"/>
        <v>17.177430885426091</v>
      </c>
      <c r="AE120" s="687">
        <f t="shared" si="52"/>
        <v>-8.2127981455634558</v>
      </c>
      <c r="AG120" s="686">
        <f t="shared" si="53"/>
        <v>4.7702810444559578</v>
      </c>
      <c r="AH120" s="687">
        <f t="shared" si="54"/>
        <v>-83.424250430621058</v>
      </c>
      <c r="AJ120" s="170">
        <f t="shared" si="55"/>
        <v>0</v>
      </c>
      <c r="AK120" s="170">
        <f t="shared" si="65"/>
        <v>0</v>
      </c>
      <c r="AM120" s="170" t="str">
        <f t="shared" si="59"/>
        <v>0.014540444700368+0.169910167054979i</v>
      </c>
      <c r="AN120" s="170" t="str">
        <f t="shared" si="60"/>
        <v>0.170738509983467i</v>
      </c>
      <c r="AO120" s="170" t="str">
        <f t="shared" si="61"/>
        <v>0.995148470438402-0.0851620686028945i</v>
      </c>
      <c r="AP120" s="170" t="str">
        <f t="shared" si="62"/>
        <v>0.164243259216605-0.0283183611758298i</v>
      </c>
      <c r="AQ120" s="170" t="str">
        <f t="shared" si="63"/>
        <v>0.835756740783395+0.0283183611758298i</v>
      </c>
      <c r="AR120" s="170" t="str">
        <f t="shared" si="64"/>
        <v>0.995558511234774-0.0337330040154884i</v>
      </c>
    </row>
    <row r="121" spans="7:44">
      <c r="G121" s="688">
        <v>6309.6</v>
      </c>
      <c r="H121" s="676">
        <f t="shared" si="56"/>
        <v>6.3096000000000005</v>
      </c>
      <c r="I121" s="677">
        <f t="shared" si="34"/>
        <v>50.878600806315504</v>
      </c>
      <c r="J121" s="678">
        <f t="shared" si="35"/>
        <v>1.5511404325797133</v>
      </c>
      <c r="K121" s="678">
        <f t="shared" si="36"/>
        <v>1.0000380338683126</v>
      </c>
      <c r="L121" s="679">
        <f t="shared" si="37"/>
        <v>8.7215437707357825E-3</v>
      </c>
      <c r="M121" s="678">
        <f t="shared" si="38"/>
        <v>1.0005565354304631</v>
      </c>
      <c r="N121" s="679">
        <f t="shared" si="39"/>
        <v>-3.3354982933433287E-2</v>
      </c>
      <c r="O121" s="677">
        <f t="shared" si="40"/>
        <v>261652.94739651895</v>
      </c>
      <c r="P121" s="680">
        <f t="shared" si="41"/>
        <v>1.5707925049384646</v>
      </c>
      <c r="Q121" s="689">
        <f t="shared" si="42"/>
        <v>10.513782564256161</v>
      </c>
      <c r="R121" s="690">
        <f t="shared" si="43"/>
        <v>1.4755390851619283</v>
      </c>
      <c r="S121" s="677">
        <f t="shared" si="44"/>
        <v>1.0011309681395053</v>
      </c>
      <c r="T121" s="680">
        <f t="shared" si="45"/>
        <v>4.7537422305997647E-2</v>
      </c>
      <c r="U121" s="681">
        <f t="shared" si="57"/>
        <v>0.99481271885801448</v>
      </c>
      <c r="V121" s="682">
        <f t="shared" si="58"/>
        <v>-0.1206058460164494</v>
      </c>
      <c r="W121" s="683">
        <f t="shared" si="46"/>
        <v>-16.518355913083223</v>
      </c>
      <c r="X121" s="684">
        <f t="shared" si="47"/>
        <v>-105.37671100403512</v>
      </c>
      <c r="Y121" s="687">
        <f t="shared" si="48"/>
        <v>74.623288995964884</v>
      </c>
      <c r="AA121" s="170">
        <f t="shared" si="49"/>
        <v>6309.6</v>
      </c>
      <c r="AB121" s="170">
        <f t="shared" si="50"/>
        <v>39811052.160000004</v>
      </c>
      <c r="AD121" s="686">
        <f t="shared" si="51"/>
        <v>17.176299386403933</v>
      </c>
      <c r="AE121" s="687">
        <f t="shared" si="52"/>
        <v>-8.1813126137967309</v>
      </c>
      <c r="AG121" s="686">
        <f t="shared" si="53"/>
        <v>4.6719685815554932</v>
      </c>
      <c r="AH121" s="687">
        <f t="shared" si="54"/>
        <v>-83.374986451751795</v>
      </c>
      <c r="AJ121" s="170">
        <f t="shared" si="55"/>
        <v>0</v>
      </c>
      <c r="AK121" s="170">
        <f t="shared" si="65"/>
        <v>0</v>
      </c>
      <c r="AM121" s="170" t="str">
        <f t="shared" si="59"/>
        <v>0.01487626866016+0.171846541865324i</v>
      </c>
      <c r="AN121" s="170" t="str">
        <f t="shared" si="60"/>
        <v>0.172703790213165i</v>
      </c>
      <c r="AO121" s="170" t="str">
        <f t="shared" si="61"/>
        <v>0.995036308428536-0.086137476437538i</v>
      </c>
      <c r="AP121" s="170" t="str">
        <f t="shared" si="62"/>
        <v>0.16418728855664-0.0286410903108873i</v>
      </c>
      <c r="AQ121" s="170" t="str">
        <f t="shared" si="63"/>
        <v>0.83581271144336+0.0286410903108873i</v>
      </c>
      <c r="AR121" s="170" t="str">
        <f t="shared" si="64"/>
        <v>0.99546583139859-0.0341119803373816i</v>
      </c>
    </row>
    <row r="122" spans="7:44">
      <c r="G122" s="688">
        <v>6383.05</v>
      </c>
      <c r="H122" s="676">
        <f t="shared" si="56"/>
        <v>6.3830499999999999</v>
      </c>
      <c r="I122" s="677">
        <f t="shared" si="34"/>
        <v>51.470650682623337</v>
      </c>
      <c r="J122" s="678">
        <f t="shared" si="35"/>
        <v>1.5513665564532098</v>
      </c>
      <c r="K122" s="678">
        <f t="shared" si="36"/>
        <v>1.0000389245089265</v>
      </c>
      <c r="L122" s="679">
        <f t="shared" si="37"/>
        <v>8.8230659490404952E-3</v>
      </c>
      <c r="M122" s="678">
        <f t="shared" si="38"/>
        <v>1.0005695643871264</v>
      </c>
      <c r="N122" s="679">
        <f t="shared" si="39"/>
        <v>-3.374297503559643E-2</v>
      </c>
      <c r="O122" s="677">
        <f t="shared" si="40"/>
        <v>264698.84713437798</v>
      </c>
      <c r="P122" s="680">
        <f t="shared" si="41"/>
        <v>1.5707925489167123</v>
      </c>
      <c r="Q122" s="689">
        <f t="shared" si="42"/>
        <v>10.635072518663428</v>
      </c>
      <c r="R122" s="690">
        <f t="shared" si="43"/>
        <v>1.4766287080921792</v>
      </c>
      <c r="S122" s="677">
        <f t="shared" si="44"/>
        <v>1.0011574372715186</v>
      </c>
      <c r="T122" s="680">
        <f t="shared" si="45"/>
        <v>4.8089957139533769E-2</v>
      </c>
      <c r="U122" s="681">
        <f t="shared" si="57"/>
        <v>0.99470139160432991</v>
      </c>
      <c r="V122" s="682">
        <f t="shared" si="58"/>
        <v>-0.12200306308909194</v>
      </c>
      <c r="W122" s="683">
        <f t="shared" si="46"/>
        <v>-16.620825854595587</v>
      </c>
      <c r="X122" s="684">
        <f t="shared" si="47"/>
        <v>-105.4553647452436</v>
      </c>
      <c r="Y122" s="687">
        <f t="shared" si="48"/>
        <v>74.5446352547564</v>
      </c>
      <c r="AA122" s="170">
        <f t="shared" si="49"/>
        <v>6383.05</v>
      </c>
      <c r="AB122" s="170">
        <f t="shared" si="50"/>
        <v>40743327.302500002</v>
      </c>
      <c r="AD122" s="686">
        <f t="shared" si="51"/>
        <v>17.175170660052736</v>
      </c>
      <c r="AE122" s="687">
        <f t="shared" si="52"/>
        <v>-8.1505422523610811</v>
      </c>
      <c r="AG122" s="686">
        <f t="shared" si="53"/>
        <v>4.5725715119223933</v>
      </c>
      <c r="AH122" s="687">
        <f t="shared" si="54"/>
        <v>-83.324301271560856</v>
      </c>
      <c r="AJ122" s="170">
        <f t="shared" si="55"/>
        <v>0</v>
      </c>
      <c r="AK122" s="170">
        <f t="shared" si="65"/>
        <v>0</v>
      </c>
      <c r="AM122" s="170" t="str">
        <f t="shared" si="59"/>
        <v>0.01522374704206+0.173826728698779i</v>
      </c>
      <c r="AN122" s="170" t="str">
        <f t="shared" si="60"/>
        <v>0.174714233567919i</v>
      </c>
      <c r="AO122" s="170" t="str">
        <f t="shared" si="61"/>
        <v>0.994920248619612-0.0871351276376797i</v>
      </c>
      <c r="AP122" s="170" t="str">
        <f t="shared" si="62"/>
        <v>0.16412937549299-0.0289711214497965i</v>
      </c>
      <c r="AQ122" s="170" t="str">
        <f t="shared" si="63"/>
        <v>0.83587062450701+0.0289711214497965i</v>
      </c>
      <c r="AR122" s="170" t="str">
        <f t="shared" si="64"/>
        <v>0.995369966429201-0.0344993391793235i</v>
      </c>
    </row>
    <row r="123" spans="7:44">
      <c r="G123" s="688">
        <v>6456.5</v>
      </c>
      <c r="H123" s="676">
        <f t="shared" si="56"/>
        <v>6.4565000000000001</v>
      </c>
      <c r="I123" s="677">
        <f t="shared" si="34"/>
        <v>52.062703130871853</v>
      </c>
      <c r="J123" s="678">
        <f t="shared" si="35"/>
        <v>1.551587537416474</v>
      </c>
      <c r="K123" s="678">
        <f t="shared" si="36"/>
        <v>1.0000398254566758</v>
      </c>
      <c r="L123" s="679">
        <f t="shared" si="37"/>
        <v>8.9245879454664979E-3</v>
      </c>
      <c r="M123" s="678">
        <f t="shared" si="38"/>
        <v>1.0005827439634662</v>
      </c>
      <c r="N123" s="679">
        <f t="shared" si="39"/>
        <v>-3.4130956974977554E-2</v>
      </c>
      <c r="O123" s="677">
        <f t="shared" si="40"/>
        <v>267744.74687223748</v>
      </c>
      <c r="P123" s="680">
        <f t="shared" si="41"/>
        <v>1.5707925918943555</v>
      </c>
      <c r="Q123" s="689">
        <f t="shared" si="42"/>
        <v>10.756374815089218</v>
      </c>
      <c r="R123" s="690">
        <f t="shared" si="43"/>
        <v>1.4776937563692729</v>
      </c>
      <c r="S123" s="677">
        <f t="shared" si="44"/>
        <v>1.0011842120354182</v>
      </c>
      <c r="T123" s="680">
        <f t="shared" si="45"/>
        <v>4.8642462588756999E-2</v>
      </c>
      <c r="U123" s="681">
        <f t="shared" si="57"/>
        <v>0.9945888118646149</v>
      </c>
      <c r="V123" s="682">
        <f t="shared" si="58"/>
        <v>-0.12340004750537829</v>
      </c>
      <c r="W123" s="683">
        <f t="shared" si="46"/>
        <v>-16.72212887125713</v>
      </c>
      <c r="X123" s="684">
        <f t="shared" si="47"/>
        <v>-105.53511620029302</v>
      </c>
      <c r="Y123" s="687">
        <f t="shared" si="48"/>
        <v>74.464883799706982</v>
      </c>
      <c r="AA123" s="170">
        <f t="shared" si="49"/>
        <v>6456.5</v>
      </c>
      <c r="AB123" s="170">
        <f t="shared" si="50"/>
        <v>41686392.25</v>
      </c>
      <c r="AD123" s="686">
        <f t="shared" si="51"/>
        <v>17.174069620758857</v>
      </c>
      <c r="AE123" s="687">
        <f t="shared" si="52"/>
        <v>-8.1211781739084188</v>
      </c>
      <c r="AG123" s="686">
        <f t="shared" si="53"/>
        <v>4.4743357739580825</v>
      </c>
      <c r="AH123" s="687">
        <f t="shared" si="54"/>
        <v>-83.273334182682532</v>
      </c>
      <c r="AJ123" s="170">
        <f t="shared" si="55"/>
        <v>0</v>
      </c>
      <c r="AK123" s="170">
        <f t="shared" si="65"/>
        <v>0</v>
      </c>
      <c r="AM123" s="170" t="str">
        <f t="shared" si="59"/>
        <v>0.015575205772505+0.17580621294526i</v>
      </c>
      <c r="AN123" s="170" t="str">
        <f t="shared" si="60"/>
        <v>0.176724676922673i</v>
      </c>
      <c r="AO123" s="170" t="str">
        <f t="shared" si="61"/>
        <v>0.994802853832264-0.0881326028923512i</v>
      </c>
      <c r="AP123" s="170" t="str">
        <f t="shared" si="62"/>
        <v>0.164070799037916-0.0293010354908767i</v>
      </c>
      <c r="AQ123" s="170" t="str">
        <f t="shared" si="63"/>
        <v>0.835929200962084+0.0293010354908767i</v>
      </c>
      <c r="AR123" s="170" t="str">
        <f t="shared" si="64"/>
        <v>0.995273035619829-0.0348863641875958i</v>
      </c>
    </row>
    <row r="124" spans="7:44">
      <c r="G124" s="688">
        <v>6531.7</v>
      </c>
      <c r="H124" s="676">
        <f t="shared" si="56"/>
        <v>6.5316999999999998</v>
      </c>
      <c r="I124" s="677">
        <f t="shared" si="34"/>
        <v>52.66886423597456</v>
      </c>
      <c r="J124" s="678">
        <f t="shared" si="35"/>
        <v>1.551808636329834</v>
      </c>
      <c r="K124" s="678">
        <f t="shared" si="36"/>
        <v>1.0000407585485589</v>
      </c>
      <c r="L124" s="679">
        <f t="shared" si="37"/>
        <v>9.0285285871349371E-3</v>
      </c>
      <c r="M124" s="678">
        <f t="shared" si="38"/>
        <v>1.0005963935920046</v>
      </c>
      <c r="N124" s="679">
        <f t="shared" si="39"/>
        <v>-3.4528172217563088E-2</v>
      </c>
      <c r="O124" s="677">
        <f t="shared" si="40"/>
        <v>270863.21740031196</v>
      </c>
      <c r="P124" s="680">
        <f t="shared" si="41"/>
        <v>1.5707926348945729</v>
      </c>
      <c r="Q124" s="689">
        <f t="shared" si="42"/>
        <v>10.880579583051533</v>
      </c>
      <c r="R124" s="690">
        <f t="shared" si="43"/>
        <v>1.4787595761117538</v>
      </c>
      <c r="S124" s="677">
        <f t="shared" si="44"/>
        <v>1.0012119413435436</v>
      </c>
      <c r="T124" s="680">
        <f t="shared" si="45"/>
        <v>4.9208101092050906E-2</v>
      </c>
      <c r="U124" s="681">
        <f t="shared" si="57"/>
        <v>0.99447225350256274</v>
      </c>
      <c r="V124" s="682">
        <f t="shared" si="58"/>
        <v>-0.12483007237613419</v>
      </c>
      <c r="W124" s="683">
        <f t="shared" si="46"/>
        <v>-16.824665052572875</v>
      </c>
      <c r="X124" s="684">
        <f t="shared" si="47"/>
        <v>-105.61786621127595</v>
      </c>
      <c r="Y124" s="687">
        <f t="shared" si="48"/>
        <v>74.382133788724047</v>
      </c>
      <c r="AA124" s="170">
        <f t="shared" si="49"/>
        <v>6531.7</v>
      </c>
      <c r="AB124" s="170">
        <f t="shared" si="50"/>
        <v>42663104.890000001</v>
      </c>
      <c r="AD124" s="686">
        <f t="shared" si="51"/>
        <v>17.172969626715712</v>
      </c>
      <c r="AE124" s="687">
        <f t="shared" si="52"/>
        <v>-8.0925223636096142</v>
      </c>
      <c r="AG124" s="686">
        <f t="shared" si="53"/>
        <v>4.3749355484525019</v>
      </c>
      <c r="AH124" s="687">
        <f t="shared" si="54"/>
        <v>-83.220871224390919</v>
      </c>
      <c r="AJ124" s="170">
        <f t="shared" si="55"/>
        <v>0</v>
      </c>
      <c r="AK124" s="170">
        <f t="shared" si="65"/>
        <v>0</v>
      </c>
      <c r="AM124" s="170" t="str">
        <f t="shared" si="59"/>
        <v>0.015939160511257+0.177832123601756i</v>
      </c>
      <c r="AN124" s="170" t="str">
        <f t="shared" si="60"/>
        <v>0.178783020561578i</v>
      </c>
      <c r="AO124" s="170" t="str">
        <f t="shared" si="61"/>
        <v>0.994681279257755-0.0891536593418674i</v>
      </c>
      <c r="AP124" s="170" t="str">
        <f t="shared" si="62"/>
        <v>0.16401013991479-0.0296386872669593i</v>
      </c>
      <c r="AQ124" s="170" t="str">
        <f t="shared" si="63"/>
        <v>0.83598986008521+0.0296386872669593i</v>
      </c>
      <c r="AR124" s="170" t="str">
        <f t="shared" si="64"/>
        <v>0.995172692672644-0.035282260734282i</v>
      </c>
    </row>
    <row r="125" spans="7:44">
      <c r="G125" s="688">
        <v>6606.9</v>
      </c>
      <c r="H125" s="676">
        <f t="shared" si="56"/>
        <v>6.6068999999999996</v>
      </c>
      <c r="I125" s="677">
        <f t="shared" si="34"/>
        <v>53.275027857190622</v>
      </c>
      <c r="J125" s="678">
        <f t="shared" si="35"/>
        <v>1.5520247039237443</v>
      </c>
      <c r="K125" s="678">
        <f t="shared" si="36"/>
        <v>1.0000417024445192</v>
      </c>
      <c r="L125" s="679">
        <f t="shared" si="37"/>
        <v>9.1324690337161903E-3</v>
      </c>
      <c r="M125" s="678">
        <f t="shared" si="38"/>
        <v>1.0006102010902693</v>
      </c>
      <c r="N125" s="679">
        <f t="shared" si="39"/>
        <v>-3.4925376560409803E-2</v>
      </c>
      <c r="O125" s="677">
        <f t="shared" si="40"/>
        <v>273981.68792838691</v>
      </c>
      <c r="P125" s="680">
        <f t="shared" si="41"/>
        <v>1.5707926769159299</v>
      </c>
      <c r="Q125" s="689">
        <f t="shared" si="42"/>
        <v>11.00479643203548</v>
      </c>
      <c r="R125" s="690">
        <f t="shared" si="43"/>
        <v>1.4798013360942635</v>
      </c>
      <c r="S125" s="677">
        <f t="shared" si="44"/>
        <v>1.0012399909685392</v>
      </c>
      <c r="T125" s="680">
        <f t="shared" si="45"/>
        <v>4.9773708083703364E-2</v>
      </c>
      <c r="U125" s="681">
        <f t="shared" si="57"/>
        <v>0.99435438486667649</v>
      </c>
      <c r="V125" s="682">
        <f t="shared" si="58"/>
        <v>-0.1262598479226078</v>
      </c>
      <c r="W125" s="683">
        <f t="shared" si="46"/>
        <v>-16.926034935805351</v>
      </c>
      <c r="X125" s="684">
        <f t="shared" si="47"/>
        <v>-105.70168971146362</v>
      </c>
      <c r="Y125" s="687">
        <f t="shared" si="48"/>
        <v>74.298310288536385</v>
      </c>
      <c r="AA125" s="170">
        <f t="shared" si="49"/>
        <v>6606.9</v>
      </c>
      <c r="AB125" s="170">
        <f t="shared" si="50"/>
        <v>43651127.609999992</v>
      </c>
      <c r="AD125" s="686">
        <f t="shared" si="51"/>
        <v>17.171895877820955</v>
      </c>
      <c r="AE125" s="687">
        <f t="shared" si="52"/>
        <v>-8.0652432144462001</v>
      </c>
      <c r="AG125" s="686">
        <f t="shared" si="53"/>
        <v>4.2766985055298798</v>
      </c>
      <c r="AH125" s="687">
        <f t="shared" si="54"/>
        <v>-83.168133664626879</v>
      </c>
      <c r="AJ125" s="170">
        <f t="shared" si="55"/>
        <v>0</v>
      </c>
      <c r="AK125" s="170">
        <f t="shared" si="65"/>
        <v>0</v>
      </c>
      <c r="AM125" s="170" t="str">
        <f t="shared" si="59"/>
        <v>0.016307284496379+0.179857280823192i</v>
      </c>
      <c r="AN125" s="170" t="str">
        <f t="shared" si="60"/>
        <v>0.180841364200482i</v>
      </c>
      <c r="AO125" s="170" t="str">
        <f t="shared" si="61"/>
        <v>0.994558305940454-0.0901745270971338i</v>
      </c>
      <c r="AP125" s="170" t="str">
        <f t="shared" si="62"/>
        <v>0.16394878591727-0.029976213470532i</v>
      </c>
      <c r="AQ125" s="170" t="str">
        <f t="shared" si="63"/>
        <v>0.83605121408273+0.029976213470532i</v>
      </c>
      <c r="AR125" s="170" t="str">
        <f t="shared" si="64"/>
        <v>0.995071235644285-0.0356777997275984i</v>
      </c>
    </row>
    <row r="126" spans="7:44">
      <c r="G126" s="688">
        <v>6683.85</v>
      </c>
      <c r="H126" s="676">
        <f t="shared" si="56"/>
        <v>6.6838500000000005</v>
      </c>
      <c r="I126" s="677">
        <f t="shared" si="34"/>
        <v>53.895300195757926</v>
      </c>
      <c r="J126" s="678">
        <f t="shared" si="35"/>
        <v>1.5522407684537483</v>
      </c>
      <c r="K126" s="678">
        <f t="shared" si="36"/>
        <v>1.0000426794902513</v>
      </c>
      <c r="L126" s="679">
        <f t="shared" si="37"/>
        <v>9.2388281028870957E-3</v>
      </c>
      <c r="M126" s="678">
        <f t="shared" si="38"/>
        <v>1.0006244933230459</v>
      </c>
      <c r="N126" s="679">
        <f t="shared" si="39"/>
        <v>-3.5331812941940717E-2</v>
      </c>
      <c r="O126" s="677">
        <f t="shared" si="40"/>
        <v>277172.72924667696</v>
      </c>
      <c r="P126" s="680">
        <f t="shared" si="41"/>
        <v>1.5707927189363504</v>
      </c>
      <c r="Q126" s="689">
        <f t="shared" si="42"/>
        <v>11.131916049776997</v>
      </c>
      <c r="R126" s="690">
        <f t="shared" si="43"/>
        <v>1.4808432709379493</v>
      </c>
      <c r="S126" s="677">
        <f t="shared" si="44"/>
        <v>1.0012690249009095</v>
      </c>
      <c r="T126" s="680">
        <f t="shared" si="45"/>
        <v>5.0352444477209858E-2</v>
      </c>
      <c r="U126" s="681">
        <f t="shared" si="57"/>
        <v>0.99423241830814901</v>
      </c>
      <c r="V126" s="682">
        <f t="shared" si="58"/>
        <v>-0.12772263520663382</v>
      </c>
      <c r="W126" s="683">
        <f t="shared" si="46"/>
        <v>-17.028584962658929</v>
      </c>
      <c r="X126" s="684">
        <f t="shared" si="47"/>
        <v>-105.78853708978099</v>
      </c>
      <c r="Y126" s="687">
        <f t="shared" si="48"/>
        <v>74.211462910219012</v>
      </c>
      <c r="AA126" s="170">
        <f t="shared" si="49"/>
        <v>6683.85</v>
      </c>
      <c r="AB126" s="170">
        <f t="shared" si="50"/>
        <v>44673850.822500005</v>
      </c>
      <c r="AD126" s="686">
        <f t="shared" si="51"/>
        <v>17.170822964965733</v>
      </c>
      <c r="AE126" s="687">
        <f t="shared" si="52"/>
        <v>-8.0387063057363513</v>
      </c>
      <c r="AG126" s="686">
        <f t="shared" si="53"/>
        <v>4.1773523280670419</v>
      </c>
      <c r="AH126" s="687">
        <f t="shared" si="54"/>
        <v>-83.113894876062375</v>
      </c>
      <c r="AJ126" s="170">
        <f t="shared" si="55"/>
        <v>0</v>
      </c>
      <c r="AK126" s="170">
        <f t="shared" si="65"/>
        <v>0</v>
      </c>
      <c r="AM126" s="170" t="str">
        <f t="shared" si="59"/>
        <v>0.016688289480257+0.181928777148467i</v>
      </c>
      <c r="AN126" s="170" t="str">
        <f t="shared" si="60"/>
        <v>0.182947608123536i</v>
      </c>
      <c r="AO126" s="170" t="str">
        <f t="shared" si="61"/>
        <v>0.99443102325568-0.0912189541663107i</v>
      </c>
      <c r="AP126" s="170" t="str">
        <f t="shared" si="62"/>
        <v>0.163885285086624-0.0303214628580778i</v>
      </c>
      <c r="AQ126" s="170" t="str">
        <f t="shared" si="63"/>
        <v>0.836114714913376+0.0303214628580778i</v>
      </c>
      <c r="AR126" s="170" t="str">
        <f t="shared" si="64"/>
        <v>0.994966265999252-0.0360821692782458i</v>
      </c>
    </row>
    <row r="127" spans="7:44">
      <c r="G127" s="688">
        <v>6760.8</v>
      </c>
      <c r="H127" s="676">
        <f t="shared" si="56"/>
        <v>6.7608000000000006</v>
      </c>
      <c r="I127" s="677">
        <f t="shared" si="34"/>
        <v>54.515574993112423</v>
      </c>
      <c r="J127" s="678">
        <f t="shared" si="35"/>
        <v>1.5524519162560479</v>
      </c>
      <c r="K127" s="678">
        <f t="shared" si="36"/>
        <v>1.0000436678486953</v>
      </c>
      <c r="L127" s="679">
        <f t="shared" si="37"/>
        <v>9.3451869630285702E-3</v>
      </c>
      <c r="M127" s="678">
        <f t="shared" si="38"/>
        <v>1.0006389508447771</v>
      </c>
      <c r="N127" s="679">
        <f t="shared" si="39"/>
        <v>-3.5738237645986132E-2</v>
      </c>
      <c r="O127" s="677">
        <f t="shared" si="40"/>
        <v>280363.77056496742</v>
      </c>
      <c r="P127" s="680">
        <f t="shared" si="41"/>
        <v>1.5707927600002356</v>
      </c>
      <c r="Q127" s="689">
        <f t="shared" si="42"/>
        <v>11.259047479740421</v>
      </c>
      <c r="R127" s="690">
        <f t="shared" si="43"/>
        <v>1.4818616768713282</v>
      </c>
      <c r="S127" s="677">
        <f t="shared" si="44"/>
        <v>1.001298394174621</v>
      </c>
      <c r="T127" s="680">
        <f t="shared" si="45"/>
        <v>5.0931147114480609E-2</v>
      </c>
      <c r="U127" s="681">
        <f t="shared" si="57"/>
        <v>0.9941090826352722</v>
      </c>
      <c r="V127" s="682">
        <f t="shared" si="58"/>
        <v>-0.12918515560367</v>
      </c>
      <c r="W127" s="683">
        <f t="shared" si="46"/>
        <v>-17.129970565674668</v>
      </c>
      <c r="X127" s="684">
        <f t="shared" si="47"/>
        <v>-105.87643293012268</v>
      </c>
      <c r="Y127" s="687">
        <f t="shared" si="48"/>
        <v>74.123567069877325</v>
      </c>
      <c r="AA127" s="170">
        <f t="shared" si="49"/>
        <v>6760.8</v>
      </c>
      <c r="AB127" s="170">
        <f t="shared" si="50"/>
        <v>45708416.640000001</v>
      </c>
      <c r="AD127" s="686">
        <f t="shared" si="51"/>
        <v>17.169774877994342</v>
      </c>
      <c r="AE127" s="687">
        <f t="shared" si="52"/>
        <v>-8.0135155153898925</v>
      </c>
      <c r="AG127" s="686">
        <f t="shared" si="53"/>
        <v>4.079169934860313</v>
      </c>
      <c r="AH127" s="687">
        <f t="shared" si="54"/>
        <v>-83.059389014155073</v>
      </c>
      <c r="AJ127" s="170">
        <f t="shared" si="55"/>
        <v>0</v>
      </c>
      <c r="AK127" s="170">
        <f t="shared" si="65"/>
        <v>0</v>
      </c>
      <c r="AM127" s="170" t="str">
        <f t="shared" si="59"/>
        <v>0.017073656692336+0.183999466390053i</v>
      </c>
      <c r="AN127" s="170" t="str">
        <f t="shared" si="60"/>
        <v>0.18505385204659i</v>
      </c>
      <c r="AO127" s="170" t="str">
        <f t="shared" si="61"/>
        <v>0.994302276635281-0.0922631790882011i</v>
      </c>
      <c r="AP127" s="170" t="str">
        <f t="shared" si="62"/>
        <v>0.163821057217944-0.0306665777316755i</v>
      </c>
      <c r="AQ127" s="170" t="str">
        <f t="shared" si="63"/>
        <v>0.836178942782056+0.0306665777316755i</v>
      </c>
      <c r="AR127" s="170" t="str">
        <f t="shared" si="64"/>
        <v>0.99486013326723-0.0364861563094115i</v>
      </c>
    </row>
    <row r="128" spans="7:44">
      <c r="G128" s="688">
        <v>6839.55</v>
      </c>
      <c r="H128" s="676">
        <f t="shared" si="56"/>
        <v>6.83955</v>
      </c>
      <c r="I128" s="677">
        <f t="shared" si="34"/>
        <v>55.150361601619821</v>
      </c>
      <c r="J128" s="678">
        <f t="shared" si="35"/>
        <v>1.5526630856797818</v>
      </c>
      <c r="K128" s="678">
        <f t="shared" si="36"/>
        <v>1.0000446910393448</v>
      </c>
      <c r="L128" s="679">
        <f t="shared" si="37"/>
        <v>9.4540335307919006E-3</v>
      </c>
      <c r="M128" s="678">
        <f t="shared" si="38"/>
        <v>1.0006539176804636</v>
      </c>
      <c r="N128" s="679">
        <f t="shared" si="39"/>
        <v>-3.6154157130668073E-2</v>
      </c>
      <c r="O128" s="677">
        <f t="shared" si="40"/>
        <v>283629.45612462191</v>
      </c>
      <c r="P128" s="680">
        <f t="shared" si="41"/>
        <v>1.5707928010680074</v>
      </c>
      <c r="Q128" s="689">
        <f t="shared" si="42"/>
        <v>11.389164561497832</v>
      </c>
      <c r="R128" s="690">
        <f t="shared" si="43"/>
        <v>1.4828803642224817</v>
      </c>
      <c r="S128" s="677">
        <f t="shared" si="44"/>
        <v>1.0013287976175458</v>
      </c>
      <c r="T128" s="680">
        <f t="shared" si="45"/>
        <v>5.1523351304317976E-2</v>
      </c>
      <c r="U128" s="681">
        <f t="shared" si="57"/>
        <v>0.99398144591865489</v>
      </c>
      <c r="V128" s="682">
        <f t="shared" si="58"/>
        <v>-0.13068160761344441</v>
      </c>
      <c r="W128" s="683">
        <f t="shared" si="46"/>
        <v>-17.2325505718748</v>
      </c>
      <c r="X128" s="684">
        <f t="shared" si="47"/>
        <v>-105.96743308134818</v>
      </c>
      <c r="Y128" s="687">
        <f t="shared" si="48"/>
        <v>74.032566918651824</v>
      </c>
      <c r="AA128" s="170">
        <f t="shared" si="49"/>
        <v>6839.55</v>
      </c>
      <c r="AB128" s="170">
        <f t="shared" si="50"/>
        <v>46779444.202500001</v>
      </c>
      <c r="AD128" s="686">
        <f t="shared" si="51"/>
        <v>17.168726692484512</v>
      </c>
      <c r="AE128" s="687">
        <f t="shared" si="52"/>
        <v>-7.9890821831951646</v>
      </c>
      <c r="AG128" s="686">
        <f t="shared" si="53"/>
        <v>3.979868673432585</v>
      </c>
      <c r="AH128" s="687">
        <f t="shared" si="54"/>
        <v>-83.003341728571471</v>
      </c>
      <c r="AJ128" s="170">
        <f t="shared" si="55"/>
        <v>0</v>
      </c>
      <c r="AK128" s="170">
        <f t="shared" si="65"/>
        <v>0</v>
      </c>
      <c r="AM128" s="170" t="str">
        <f t="shared" si="59"/>
        <v>0.017472553040458+0.186117747598568i</v>
      </c>
      <c r="AN128" s="170" t="str">
        <f t="shared" si="60"/>
        <v>0.187209364833342i</v>
      </c>
      <c r="AO128" s="170" t="str">
        <f t="shared" si="61"/>
        <v>0.994169003053102-0.0933316186186116i</v>
      </c>
      <c r="AP128" s="170" t="str">
        <f t="shared" si="62"/>
        <v>0.163754574493257-0.0310196245997613i</v>
      </c>
      <c r="AQ128" s="170" t="str">
        <f t="shared" si="63"/>
        <v>0.836245425506743+0.0310196245997613i</v>
      </c>
      <c r="AR128" s="170" t="str">
        <f t="shared" si="64"/>
        <v>0.994750315531781-0.0368991930085495i</v>
      </c>
    </row>
    <row r="129" spans="7:44">
      <c r="G129" s="688">
        <v>6918.3</v>
      </c>
      <c r="H129" s="676">
        <f t="shared" si="56"/>
        <v>6.9183000000000003</v>
      </c>
      <c r="I129" s="677">
        <f t="shared" si="34"/>
        <v>55.785150613451805</v>
      </c>
      <c r="J129" s="678">
        <f t="shared" si="35"/>
        <v>1.5528694492447337</v>
      </c>
      <c r="K129" s="678">
        <f t="shared" si="36"/>
        <v>1.0000457260780746</v>
      </c>
      <c r="L129" s="679">
        <f t="shared" si="37"/>
        <v>9.5628798745342712E-3</v>
      </c>
      <c r="M129" s="678">
        <f t="shared" si="38"/>
        <v>1.000669057613093</v>
      </c>
      <c r="N129" s="679">
        <f t="shared" si="39"/>
        <v>-3.6570064101730054E-2</v>
      </c>
      <c r="O129" s="677">
        <f t="shared" si="40"/>
        <v>286895.14168427681</v>
      </c>
      <c r="P129" s="680">
        <f t="shared" si="41"/>
        <v>1.5707928412008425</v>
      </c>
      <c r="Q129" s="689">
        <f t="shared" si="42"/>
        <v>11.519293195056113</v>
      </c>
      <c r="R129" s="690">
        <f t="shared" si="43"/>
        <v>1.4838760372182824</v>
      </c>
      <c r="S129" s="677">
        <f t="shared" si="44"/>
        <v>1.0013595522108936</v>
      </c>
      <c r="T129" s="680">
        <f t="shared" si="45"/>
        <v>5.2115519325279254E-2</v>
      </c>
      <c r="U129" s="681">
        <f t="shared" si="57"/>
        <v>0.99385237840869456</v>
      </c>
      <c r="V129" s="682">
        <f t="shared" si="58"/>
        <v>-0.1321777738817223</v>
      </c>
      <c r="W129" s="683">
        <f t="shared" si="46"/>
        <v>-17.333967728677084</v>
      </c>
      <c r="X129" s="684">
        <f t="shared" si="47"/>
        <v>-106.05945730076381</v>
      </c>
      <c r="Y129" s="687">
        <f t="shared" si="48"/>
        <v>73.94054269923619</v>
      </c>
      <c r="AA129" s="170">
        <f t="shared" si="49"/>
        <v>6918.3</v>
      </c>
      <c r="AB129" s="170">
        <f t="shared" si="50"/>
        <v>47862874.890000001</v>
      </c>
      <c r="AD129" s="686">
        <f t="shared" si="51"/>
        <v>17.167701969606036</v>
      </c>
      <c r="AE129" s="687">
        <f t="shared" si="52"/>
        <v>-7.9659653505399861</v>
      </c>
      <c r="AG129" s="686">
        <f t="shared" si="53"/>
        <v>3.8817320943699447</v>
      </c>
      <c r="AH129" s="687">
        <f t="shared" si="54"/>
        <v>-82.94703475520204</v>
      </c>
      <c r="AJ129" s="170">
        <f t="shared" si="55"/>
        <v>0</v>
      </c>
      <c r="AK129" s="170">
        <f t="shared" si="65"/>
        <v>0</v>
      </c>
      <c r="AM129" s="170" t="str">
        <f t="shared" si="59"/>
        <v>0.0178760144405919+0.188235164060554i</v>
      </c>
      <c r="AN129" s="170" t="str">
        <f t="shared" si="60"/>
        <v>0.189364877620093i</v>
      </c>
      <c r="AO129" s="170" t="str">
        <f t="shared" si="61"/>
        <v>0.994034196976033-0.094399841540072i</v>
      </c>
      <c r="AP129" s="170" t="str">
        <f t="shared" si="62"/>
        <v>0.163687330926568-0.0313725273434257i</v>
      </c>
      <c r="AQ129" s="170" t="str">
        <f t="shared" si="63"/>
        <v>0.836312669073432+0.0313725273434257i</v>
      </c>
      <c r="AR129" s="170" t="str">
        <f t="shared" si="64"/>
        <v>0.994639283433917-0.0373118204115548i</v>
      </c>
    </row>
    <row r="130" spans="7:44">
      <c r="G130" s="688">
        <v>6998.9</v>
      </c>
      <c r="H130" s="676">
        <f t="shared" si="56"/>
        <v>6.9988999999999999</v>
      </c>
      <c r="I130" s="677">
        <f t="shared" si="34"/>
        <v>56.434854533093336</v>
      </c>
      <c r="J130" s="678">
        <f t="shared" si="35"/>
        <v>1.5530758534091842</v>
      </c>
      <c r="K130" s="678">
        <f t="shared" si="36"/>
        <v>1.0000467977008152</v>
      </c>
      <c r="L130" s="679">
        <f t="shared" si="37"/>
        <v>9.6742830088269692E-3</v>
      </c>
      <c r="M130" s="678">
        <f t="shared" si="38"/>
        <v>1.0006847324500945</v>
      </c>
      <c r="N130" s="679">
        <f t="shared" si="39"/>
        <v>-3.6995728478167567E-2</v>
      </c>
      <c r="O130" s="677">
        <f t="shared" si="40"/>
        <v>290237.54493644473</v>
      </c>
      <c r="P130" s="680">
        <f t="shared" si="41"/>
        <v>1.5707928813412761</v>
      </c>
      <c r="Q130" s="689">
        <f t="shared" si="42"/>
        <v>11.652490376892642</v>
      </c>
      <c r="R130" s="690">
        <f t="shared" si="43"/>
        <v>1.4848720715843362</v>
      </c>
      <c r="S130" s="677">
        <f t="shared" si="44"/>
        <v>1.0013913928805249</v>
      </c>
      <c r="T130" s="680">
        <f t="shared" si="45"/>
        <v>5.2721560711687598E-2</v>
      </c>
      <c r="U130" s="681">
        <f t="shared" si="57"/>
        <v>0.99371879890416615</v>
      </c>
      <c r="V130" s="682">
        <f t="shared" si="58"/>
        <v>-0.1337087890168612</v>
      </c>
      <c r="W130" s="683">
        <f t="shared" si="46"/>
        <v>-17.436591604364054</v>
      </c>
      <c r="X130" s="684">
        <f t="shared" si="47"/>
        <v>-106.15466728492709</v>
      </c>
      <c r="Y130" s="687">
        <f t="shared" si="48"/>
        <v>73.845332715072914</v>
      </c>
      <c r="AA130" s="170">
        <f t="shared" si="49"/>
        <v>6998.9</v>
      </c>
      <c r="AB130" s="170">
        <f t="shared" si="50"/>
        <v>48984601.209999993</v>
      </c>
      <c r="AD130" s="686">
        <f t="shared" si="51"/>
        <v>17.166676240388668</v>
      </c>
      <c r="AE130" s="687">
        <f t="shared" si="52"/>
        <v>-7.9436226986184684</v>
      </c>
      <c r="AG130" s="686">
        <f t="shared" si="53"/>
        <v>3.7824689723749034</v>
      </c>
      <c r="AH130" s="687">
        <f t="shared" si="54"/>
        <v>-82.889145979858156</v>
      </c>
      <c r="AJ130" s="170">
        <f t="shared" si="55"/>
        <v>0</v>
      </c>
      <c r="AK130" s="170">
        <f t="shared" si="65"/>
        <v>0</v>
      </c>
      <c r="AM130" s="170" t="str">
        <f t="shared" si="59"/>
        <v>0.018293679200498+0.190401417280192i</v>
      </c>
      <c r="AN130" s="170" t="str">
        <f t="shared" si="60"/>
        <v>0.191571027850089i</v>
      </c>
      <c r="AO130" s="170" t="str">
        <f t="shared" si="61"/>
        <v>0.993894637498045-0.0954929323384611i</v>
      </c>
      <c r="AP130" s="170" t="str">
        <f t="shared" si="62"/>
        <v>0.16361772013325-0.0317335695466987i</v>
      </c>
      <c r="AQ130" s="170" t="str">
        <f t="shared" si="63"/>
        <v>0.83638227986675+0.0317335695466987i</v>
      </c>
      <c r="AR130" s="170" t="str">
        <f t="shared" si="64"/>
        <v>0.994524387496833-0.0377337128920841i</v>
      </c>
    </row>
    <row r="131" spans="7:44">
      <c r="G131" s="688">
        <v>7079.5</v>
      </c>
      <c r="H131" s="676">
        <f t="shared" si="56"/>
        <v>7.0795000000000003</v>
      </c>
      <c r="I131" s="677">
        <f t="shared" si="34"/>
        <v>57.08456080228261</v>
      </c>
      <c r="J131" s="678">
        <f t="shared" si="35"/>
        <v>1.5532775592160717</v>
      </c>
      <c r="K131" s="678">
        <f t="shared" si="36"/>
        <v>1.0000478817347682</v>
      </c>
      <c r="L131" s="679">
        <f t="shared" si="37"/>
        <v>9.7856859029842539E-3</v>
      </c>
      <c r="M131" s="678">
        <f t="shared" si="38"/>
        <v>1.0007005885956246</v>
      </c>
      <c r="N131" s="679">
        <f t="shared" si="39"/>
        <v>-3.7421379442384703E-2</v>
      </c>
      <c r="O131" s="677">
        <f t="shared" si="40"/>
        <v>293579.94818861311</v>
      </c>
      <c r="P131" s="680">
        <f t="shared" si="41"/>
        <v>1.5707929205677134</v>
      </c>
      <c r="Q131" s="689">
        <f t="shared" si="42"/>
        <v>11.785698857678574</v>
      </c>
      <c r="R131" s="690">
        <f t="shared" si="43"/>
        <v>1.4858455914365472</v>
      </c>
      <c r="S131" s="677">
        <f t="shared" si="44"/>
        <v>1.0014236013238904</v>
      </c>
      <c r="T131" s="680">
        <f t="shared" si="45"/>
        <v>5.3327563336858508E-2</v>
      </c>
      <c r="U131" s="681">
        <f t="shared" si="57"/>
        <v>0.99358372401034833</v>
      </c>
      <c r="V131" s="682">
        <f t="shared" si="58"/>
        <v>-0.13523949817752517</v>
      </c>
      <c r="W131" s="683">
        <f t="shared" si="46"/>
        <v>-17.538053961676052</v>
      </c>
      <c r="X131" s="684">
        <f t="shared" si="47"/>
        <v>-106.25087750067911</v>
      </c>
      <c r="Y131" s="687">
        <f t="shared" si="48"/>
        <v>73.74912249932089</v>
      </c>
      <c r="AA131" s="170">
        <f t="shared" si="49"/>
        <v>7079.5</v>
      </c>
      <c r="AB131" s="170">
        <f t="shared" si="50"/>
        <v>50119320.25</v>
      </c>
      <c r="AD131" s="686">
        <f t="shared" si="51"/>
        <v>17.165672661830037</v>
      </c>
      <c r="AE131" s="687">
        <f t="shared" si="52"/>
        <v>-7.922567760095971</v>
      </c>
      <c r="AG131" s="686">
        <f t="shared" si="53"/>
        <v>3.6843716773088033</v>
      </c>
      <c r="AH131" s="687">
        <f t="shared" si="54"/>
        <v>-82.83100478479615</v>
      </c>
      <c r="AJ131" s="170">
        <f t="shared" si="55"/>
        <v>0</v>
      </c>
      <c r="AK131" s="170">
        <f t="shared" si="65"/>
        <v>0</v>
      </c>
      <c r="AM131" s="170" t="str">
        <f t="shared" si="59"/>
        <v>0.018716122020159+0.192566743797689i</v>
      </c>
      <c r="AN131" s="170" t="str">
        <f t="shared" si="60"/>
        <v>0.193777178080085i</v>
      </c>
      <c r="AO131" s="170" t="str">
        <f t="shared" si="61"/>
        <v>0.993753473477172-0.0965857909873366i</v>
      </c>
      <c r="AP131" s="170" t="str">
        <f t="shared" si="62"/>
        <v>0.16354731299664-0.0320944572996148i</v>
      </c>
      <c r="AQ131" s="170" t="str">
        <f t="shared" si="63"/>
        <v>0.83645268700336+0.0320944572996148i</v>
      </c>
      <c r="AR131" s="170" t="str">
        <f t="shared" si="64"/>
        <v>0.994408223601894-0.038155167371288i</v>
      </c>
    </row>
    <row r="132" spans="7:44">
      <c r="G132" s="688">
        <v>7161.95</v>
      </c>
      <c r="H132" s="676">
        <f t="shared" si="56"/>
        <v>7.16195</v>
      </c>
      <c r="I132" s="677">
        <f t="shared" si="34"/>
        <v>57.749182032730602</v>
      </c>
      <c r="J132" s="678">
        <f t="shared" si="35"/>
        <v>1.5534791987069279</v>
      </c>
      <c r="K132" s="678">
        <f t="shared" si="36"/>
        <v>1.0000490034921428</v>
      </c>
      <c r="L132" s="679">
        <f t="shared" si="37"/>
        <v>9.8996455601130066E-3</v>
      </c>
      <c r="M132" s="678">
        <f t="shared" si="38"/>
        <v>1.0007169962745661</v>
      </c>
      <c r="N132" s="679">
        <f t="shared" si="39"/>
        <v>-3.7856786273199876E-2</v>
      </c>
      <c r="O132" s="677">
        <f t="shared" si="40"/>
        <v>296999.06913329457</v>
      </c>
      <c r="P132" s="680">
        <f t="shared" si="41"/>
        <v>1.5707929597809767</v>
      </c>
      <c r="Q132" s="689">
        <f t="shared" si="42"/>
        <v>11.921976149282866</v>
      </c>
      <c r="R132" s="690">
        <f t="shared" si="43"/>
        <v>1.4868189456979948</v>
      </c>
      <c r="S132" s="677">
        <f t="shared" si="44"/>
        <v>1.0014569295387388</v>
      </c>
      <c r="T132" s="680">
        <f t="shared" si="45"/>
        <v>5.3947434885457571E-2</v>
      </c>
      <c r="U132" s="681">
        <f t="shared" si="57"/>
        <v>0.99344400332490745</v>
      </c>
      <c r="V132" s="682">
        <f t="shared" si="58"/>
        <v>-0.13680502139365891</v>
      </c>
      <c r="W132" s="683">
        <f t="shared" si="46"/>
        <v>-17.640671658196116</v>
      </c>
      <c r="X132" s="684">
        <f t="shared" si="47"/>
        <v>-106.35029521118221</v>
      </c>
      <c r="Y132" s="687">
        <f t="shared" si="48"/>
        <v>73.649704788817786</v>
      </c>
      <c r="AA132" s="170">
        <f t="shared" si="49"/>
        <v>7161.95</v>
      </c>
      <c r="AB132" s="170">
        <f t="shared" si="50"/>
        <v>51293527.802499995</v>
      </c>
      <c r="AD132" s="686">
        <f t="shared" si="51"/>
        <v>17.164667792927062</v>
      </c>
      <c r="AE132" s="687">
        <f t="shared" si="52"/>
        <v>-7.9023169392502579</v>
      </c>
      <c r="AG132" s="686">
        <f t="shared" si="53"/>
        <v>3.5852018925122975</v>
      </c>
      <c r="AH132" s="687">
        <f t="shared" si="54"/>
        <v>-82.771277569911561</v>
      </c>
      <c r="AJ132" s="170">
        <f t="shared" si="55"/>
        <v>0</v>
      </c>
      <c r="AK132" s="170">
        <f t="shared" si="65"/>
        <v>0</v>
      </c>
      <c r="AM132" s="170" t="str">
        <f t="shared" si="59"/>
        <v>0.019153202787731+0.194780800897918i</v>
      </c>
      <c r="AN132" s="170" t="str">
        <f t="shared" si="60"/>
        <v>0.196033965753325i</v>
      </c>
      <c r="AO132" s="170" t="str">
        <f t="shared" si="61"/>
        <v>0.993607409559913-0.097703490893165i</v>
      </c>
      <c r="AP132" s="170" t="str">
        <f t="shared" si="62"/>
        <v>0.163474466202045-0.0324634668163197i</v>
      </c>
      <c r="AQ132" s="170" t="str">
        <f t="shared" si="63"/>
        <v>0.836525533797955+0.0324634668163197i</v>
      </c>
      <c r="AR132" s="170" t="str">
        <f t="shared" si="64"/>
        <v>0.99428808367918-0.0385858373788471i</v>
      </c>
    </row>
    <row r="133" spans="7:44">
      <c r="G133" s="688">
        <v>7244.4</v>
      </c>
      <c r="H133" s="676">
        <f t="shared" si="56"/>
        <v>7.2443999999999997</v>
      </c>
      <c r="I133" s="677">
        <f t="shared" si="34"/>
        <v>58.413805557742691</v>
      </c>
      <c r="J133" s="678">
        <f t="shared" si="35"/>
        <v>1.5536762497578309</v>
      </c>
      <c r="K133" s="678">
        <f t="shared" si="36"/>
        <v>1.0000501382369278</v>
      </c>
      <c r="L133" s="679">
        <f t="shared" si="37"/>
        <v>1.0013604960104441E-2</v>
      </c>
      <c r="M133" s="678">
        <f t="shared" si="38"/>
        <v>1.0007335936623019</v>
      </c>
      <c r="N133" s="679">
        <f t="shared" si="39"/>
        <v>-3.8292178743917139E-2</v>
      </c>
      <c r="O133" s="677">
        <f t="shared" si="40"/>
        <v>300418.19007797632</v>
      </c>
      <c r="P133" s="680">
        <f t="shared" si="41"/>
        <v>1.5707929981016515</v>
      </c>
      <c r="Q133" s="689">
        <f t="shared" si="42"/>
        <v>12.058264480677284</v>
      </c>
      <c r="R133" s="690">
        <f t="shared" si="43"/>
        <v>1.4877702982035463</v>
      </c>
      <c r="S133" s="677">
        <f t="shared" si="44"/>
        <v>1.0014906425284382</v>
      </c>
      <c r="T133" s="680">
        <f t="shared" si="45"/>
        <v>5.4567264938970371E-2</v>
      </c>
      <c r="U133" s="681">
        <f t="shared" si="57"/>
        <v>0.99330272155260435</v>
      </c>
      <c r="V133" s="682">
        <f t="shared" si="58"/>
        <v>-0.1383702173314908</v>
      </c>
      <c r="W133" s="683">
        <f t="shared" si="46"/>
        <v>-17.742130365491811</v>
      </c>
      <c r="X133" s="684">
        <f t="shared" si="47"/>
        <v>-106.45068864285693</v>
      </c>
      <c r="Y133" s="687">
        <f t="shared" si="48"/>
        <v>73.549311357143068</v>
      </c>
      <c r="AA133" s="170">
        <f t="shared" si="49"/>
        <v>7244.4</v>
      </c>
      <c r="AB133" s="170">
        <f t="shared" si="50"/>
        <v>52481331.359999992</v>
      </c>
      <c r="AD133" s="686">
        <f t="shared" si="51"/>
        <v>17.163683785104226</v>
      </c>
      <c r="AE133" s="687">
        <f t="shared" si="52"/>
        <v>-7.8833242975258404</v>
      </c>
      <c r="AG133" s="686">
        <f t="shared" si="53"/>
        <v>3.4871978811624893</v>
      </c>
      <c r="AH133" s="687">
        <f t="shared" si="54"/>
        <v>-82.711305400408122</v>
      </c>
      <c r="AJ133" s="170">
        <f t="shared" si="55"/>
        <v>0</v>
      </c>
      <c r="AK133" s="170">
        <f t="shared" si="65"/>
        <v>0</v>
      </c>
      <c r="AM133" s="170" t="str">
        <f t="shared" si="59"/>
        <v>0.019595279094788+0.196993865962302i</v>
      </c>
      <c r="AN133" s="170" t="str">
        <f t="shared" si="60"/>
        <v>0.198290753426565i</v>
      </c>
      <c r="AO133" s="170" t="str">
        <f t="shared" si="61"/>
        <v>0.993459667473888-0.098820942258636i</v>
      </c>
      <c r="AP133" s="170" t="str">
        <f t="shared" si="62"/>
        <v>0.163400786817535-0.032832310993717i</v>
      </c>
      <c r="AQ133" s="170" t="str">
        <f t="shared" si="63"/>
        <v>0.836599213182465+0.032832310993717i</v>
      </c>
      <c r="AR133" s="170" t="str">
        <f t="shared" si="64"/>
        <v>0.994166621438006-0.0390160391980986i</v>
      </c>
    </row>
    <row r="134" spans="7:44">
      <c r="G134" s="688">
        <v>7328.75</v>
      </c>
      <c r="H134" s="676">
        <f t="shared" si="56"/>
        <v>7.3287500000000003</v>
      </c>
      <c r="I134" s="677">
        <f t="shared" si="34"/>
        <v>59.093747139973374</v>
      </c>
      <c r="J134" s="678">
        <f t="shared" si="35"/>
        <v>1.5538732548672807</v>
      </c>
      <c r="K134" s="678">
        <f t="shared" si="36"/>
        <v>1.0000513125708184</v>
      </c>
      <c r="L134" s="679">
        <f t="shared" si="37"/>
        <v>1.0130190202013771E-2</v>
      </c>
      <c r="M134" s="678">
        <f t="shared" si="38"/>
        <v>1.0007507698315818</v>
      </c>
      <c r="N134" s="679">
        <f t="shared" si="39"/>
        <v>-3.8737589484288987E-2</v>
      </c>
      <c r="O134" s="677">
        <f t="shared" si="40"/>
        <v>303916.1021663202</v>
      </c>
      <c r="P134" s="680">
        <f t="shared" si="41"/>
        <v>1.5707930364131337</v>
      </c>
      <c r="Q134" s="689">
        <f t="shared" si="42"/>
        <v>12.197704515520561</v>
      </c>
      <c r="R134" s="690">
        <f t="shared" si="43"/>
        <v>1.4887215730939092</v>
      </c>
      <c r="S134" s="677">
        <f t="shared" si="44"/>
        <v>1.0015255305461273</v>
      </c>
      <c r="T134" s="680">
        <f t="shared" si="45"/>
        <v>5.5201335090445149E-2</v>
      </c>
      <c r="U134" s="681">
        <f t="shared" si="57"/>
        <v>0.99315657058406703</v>
      </c>
      <c r="V134" s="682">
        <f t="shared" si="58"/>
        <v>-0.13997113965549399</v>
      </c>
      <c r="W134" s="683">
        <f t="shared" si="46"/>
        <v>-17.844755984271721</v>
      </c>
      <c r="X134" s="684">
        <f t="shared" si="47"/>
        <v>-106.55437031234761</v>
      </c>
      <c r="Y134" s="687">
        <f t="shared" si="48"/>
        <v>73.445629687652385</v>
      </c>
      <c r="AA134" s="170">
        <f t="shared" si="49"/>
        <v>7328.75</v>
      </c>
      <c r="AB134" s="170">
        <f t="shared" si="50"/>
        <v>53710576.5625</v>
      </c>
      <c r="AD134" s="686">
        <f t="shared" si="51"/>
        <v>17.162697567750584</v>
      </c>
      <c r="AE134" s="687">
        <f t="shared" si="52"/>
        <v>-7.8651519998114825</v>
      </c>
      <c r="AG134" s="686">
        <f t="shared" si="53"/>
        <v>3.3881146885455813</v>
      </c>
      <c r="AH134" s="687">
        <f t="shared" si="54"/>
        <v>-82.649707182416265</v>
      </c>
      <c r="AJ134" s="170">
        <f t="shared" si="55"/>
        <v>0</v>
      </c>
      <c r="AK134" s="170">
        <f t="shared" si="65"/>
        <v>0</v>
      </c>
      <c r="AM134" s="170" t="str">
        <f t="shared" si="59"/>
        <v>0.020052709923018+0.199256891150041i</v>
      </c>
      <c r="AN134" s="170" t="str">
        <f t="shared" si="60"/>
        <v>0.200599547122596i</v>
      </c>
      <c r="AO134" s="170" t="str">
        <f t="shared" si="61"/>
        <v>0.993306784627313-0.099963884319055i</v>
      </c>
      <c r="AP134" s="170" t="str">
        <f t="shared" si="62"/>
        <v>0.163324548346164-0.0332094818583402i</v>
      </c>
      <c r="AQ134" s="170" t="str">
        <f t="shared" si="63"/>
        <v>0.836675451653836+0.0332094818583402i</v>
      </c>
      <c r="AR134" s="170" t="str">
        <f t="shared" si="64"/>
        <v>0.99404099422757-0.0394556650359392i</v>
      </c>
    </row>
    <row r="135" spans="7:44">
      <c r="G135" s="688">
        <v>7413.1</v>
      </c>
      <c r="H135" s="676">
        <f t="shared" si="56"/>
        <v>7.4131</v>
      </c>
      <c r="I135" s="677">
        <f t="shared" si="34"/>
        <v>59.773690963514134</v>
      </c>
      <c r="J135" s="678">
        <f t="shared" si="35"/>
        <v>1.5540657779985856</v>
      </c>
      <c r="K135" s="678">
        <f t="shared" si="36"/>
        <v>1.0000525004974929</v>
      </c>
      <c r="L135" s="679">
        <f t="shared" si="37"/>
        <v>1.0246775168532837E-2</v>
      </c>
      <c r="M135" s="678">
        <f t="shared" si="38"/>
        <v>1.0007681445336971</v>
      </c>
      <c r="N135" s="679">
        <f t="shared" si="39"/>
        <v>-3.9182984847142777E-2</v>
      </c>
      <c r="O135" s="677">
        <f t="shared" si="40"/>
        <v>307414.01425466448</v>
      </c>
      <c r="P135" s="680">
        <f t="shared" si="41"/>
        <v>1.5707930738527611</v>
      </c>
      <c r="Q135" s="689">
        <f t="shared" si="42"/>
        <v>12.33715533883996</v>
      </c>
      <c r="R135" s="690">
        <f t="shared" si="43"/>
        <v>1.4896513436795464</v>
      </c>
      <c r="S135" s="677">
        <f t="shared" si="44"/>
        <v>1.0015608211939584</v>
      </c>
      <c r="T135" s="680">
        <f t="shared" si="45"/>
        <v>5.5835360813062389E-2</v>
      </c>
      <c r="U135" s="681">
        <f t="shared" si="57"/>
        <v>0.9930087898366694</v>
      </c>
      <c r="V135" s="682">
        <f t="shared" si="58"/>
        <v>-0.14157171187175777</v>
      </c>
      <c r="W135" s="683">
        <f t="shared" si="46"/>
        <v>-17.94622489981473</v>
      </c>
      <c r="X135" s="684">
        <f t="shared" si="47"/>
        <v>-106.65900376878631</v>
      </c>
      <c r="Y135" s="687">
        <f t="shared" si="48"/>
        <v>73.340996231213694</v>
      </c>
      <c r="AA135" s="170">
        <f t="shared" si="49"/>
        <v>7413.1</v>
      </c>
      <c r="AB135" s="170">
        <f t="shared" si="50"/>
        <v>54954051.610000007</v>
      </c>
      <c r="AD135" s="686">
        <f t="shared" si="51"/>
        <v>17.161730970360392</v>
      </c>
      <c r="AE135" s="687">
        <f t="shared" si="52"/>
        <v>-7.8482092124610334</v>
      </c>
      <c r="AG135" s="686">
        <f t="shared" si="53"/>
        <v>3.2901974668615197</v>
      </c>
      <c r="AH135" s="687">
        <f t="shared" si="54"/>
        <v>-82.587871360400186</v>
      </c>
      <c r="AJ135" s="170">
        <f t="shared" si="55"/>
        <v>0</v>
      </c>
      <c r="AK135" s="170">
        <f t="shared" si="65"/>
        <v>0</v>
      </c>
      <c r="AM135" s="170" t="str">
        <f t="shared" si="59"/>
        <v>0.02051536438572+0.201518854193749i</v>
      </c>
      <c r="AN135" s="170" t="str">
        <f t="shared" si="60"/>
        <v>0.202908340818628i</v>
      </c>
      <c r="AO135" s="170" t="str">
        <f t="shared" si="61"/>
        <v>0.993152146337242-0.101106560247604i</v>
      </c>
      <c r="AP135" s="170" t="str">
        <f t="shared" si="62"/>
        <v>0.163247439269047-0.0335864756989582i</v>
      </c>
      <c r="AQ135" s="170" t="str">
        <f t="shared" si="63"/>
        <v>0.836752560730953+0.0335864756989582i</v>
      </c>
      <c r="AR135" s="170" t="str">
        <f t="shared" si="64"/>
        <v>0.993913987984838-0.0398947903728507i</v>
      </c>
    </row>
    <row r="136" spans="7:44">
      <c r="G136" s="688">
        <v>7499.45</v>
      </c>
      <c r="H136" s="676">
        <f t="shared" si="56"/>
        <v>7.4994499999999995</v>
      </c>
      <c r="I136" s="677">
        <f t="shared" si="34"/>
        <v>60.469758993580605</v>
      </c>
      <c r="J136" s="678">
        <f t="shared" si="35"/>
        <v>1.5542583811830815</v>
      </c>
      <c r="K136" s="678">
        <f t="shared" si="36"/>
        <v>1.0000537306707715</v>
      </c>
      <c r="L136" s="679">
        <f t="shared" si="37"/>
        <v>1.0366124161040728E-2</v>
      </c>
      <c r="M136" s="678">
        <f t="shared" si="38"/>
        <v>1.0007861368415516</v>
      </c>
      <c r="N136" s="679">
        <f t="shared" si="39"/>
        <v>-3.9638924746378298E-2</v>
      </c>
      <c r="O136" s="677">
        <f t="shared" si="40"/>
        <v>310994.86438896874</v>
      </c>
      <c r="P136" s="680">
        <f t="shared" si="41"/>
        <v>1.5707931113077149</v>
      </c>
      <c r="Q136" s="689">
        <f t="shared" si="42"/>
        <v>12.479923440490367</v>
      </c>
      <c r="R136" s="690">
        <f t="shared" si="43"/>
        <v>1.4905816355913837</v>
      </c>
      <c r="S136" s="677">
        <f t="shared" si="44"/>
        <v>1.0015973656276467</v>
      </c>
      <c r="T136" s="680">
        <f t="shared" si="45"/>
        <v>5.6484373199071299E-2</v>
      </c>
      <c r="U136" s="681">
        <f t="shared" si="57"/>
        <v>0.99285581908859577</v>
      </c>
      <c r="V136" s="682">
        <f t="shared" si="58"/>
        <v>-0.14320986817731907</v>
      </c>
      <c r="W136" s="683">
        <f t="shared" si="46"/>
        <v>-18.048929743194247</v>
      </c>
      <c r="X136" s="684">
        <f t="shared" si="47"/>
        <v>-106.76706981568897</v>
      </c>
      <c r="Y136" s="687">
        <f t="shared" si="48"/>
        <v>73.23293018431103</v>
      </c>
      <c r="AA136" s="170">
        <f t="shared" si="49"/>
        <v>7499.45</v>
      </c>
      <c r="AB136" s="170">
        <f t="shared" si="50"/>
        <v>56241750.302499995</v>
      </c>
      <c r="AD136" s="686">
        <f t="shared" si="51"/>
        <v>17.160760705241003</v>
      </c>
      <c r="AE136" s="687">
        <f t="shared" si="52"/>
        <v>-7.8320952287599965</v>
      </c>
      <c r="AG136" s="686">
        <f t="shared" si="53"/>
        <v>3.1911391778756473</v>
      </c>
      <c r="AH136" s="687">
        <f t="shared" si="54"/>
        <v>-82.524332505806555</v>
      </c>
      <c r="AJ136" s="170">
        <f t="shared" si="55"/>
        <v>0</v>
      </c>
      <c r="AK136" s="170">
        <f t="shared" si="65"/>
        <v>0</v>
      </c>
      <c r="AM136" s="170" t="str">
        <f t="shared" si="59"/>
        <v>0.020994397035201+0.203833337223161i</v>
      </c>
      <c r="AN136" s="170" t="str">
        <f t="shared" si="60"/>
        <v>0.205271877696545i</v>
      </c>
      <c r="AO136" s="170" t="str">
        <f t="shared" si="61"/>
        <v>0.992992023605344-0.102276051014826i</v>
      </c>
      <c r="AP136" s="170" t="str">
        <f t="shared" si="62"/>
        <v>0.163167600494133-0.0339722228705268i</v>
      </c>
      <c r="AQ136" s="170" t="str">
        <f t="shared" si="63"/>
        <v>0.836832399505867+0.0339722228705268i</v>
      </c>
      <c r="AR136" s="170" t="str">
        <f t="shared" si="64"/>
        <v>0.993782544508368-0.0403438037375378i</v>
      </c>
    </row>
    <row r="137" spans="7:44">
      <c r="G137" s="688">
        <v>7585.8</v>
      </c>
      <c r="H137" s="676">
        <f t="shared" si="56"/>
        <v>7.5857999999999999</v>
      </c>
      <c r="I137" s="677">
        <f t="shared" si="34"/>
        <v>61.16582921577745</v>
      </c>
      <c r="J137" s="678">
        <f t="shared" si="35"/>
        <v>1.5544466007065154</v>
      </c>
      <c r="K137" s="678">
        <f t="shared" si="36"/>
        <v>1.0000549750889625</v>
      </c>
      <c r="L137" s="679">
        <f t="shared" si="37"/>
        <v>1.0485472858224857E-2</v>
      </c>
      <c r="M137" s="678">
        <f t="shared" si="38"/>
        <v>1.0008043371865152</v>
      </c>
      <c r="N137" s="679">
        <f t="shared" si="39"/>
        <v>-4.0094848157200456E-2</v>
      </c>
      <c r="O137" s="677">
        <f t="shared" si="40"/>
        <v>314575.71452327352</v>
      </c>
      <c r="P137" s="680">
        <f t="shared" si="41"/>
        <v>1.5707931479099611</v>
      </c>
      <c r="Q137" s="689">
        <f t="shared" si="42"/>
        <v>12.622702098478157</v>
      </c>
      <c r="R137" s="690">
        <f t="shared" si="43"/>
        <v>1.4914908827290574</v>
      </c>
      <c r="S137" s="677">
        <f t="shared" si="44"/>
        <v>1.0016343319203611</v>
      </c>
      <c r="T137" s="680">
        <f t="shared" si="45"/>
        <v>5.713333795354731E-2</v>
      </c>
      <c r="U137" s="681">
        <f t="shared" si="57"/>
        <v>0.99270114483162875</v>
      </c>
      <c r="V137" s="682">
        <f t="shared" si="58"/>
        <v>-0.14484764948460707</v>
      </c>
      <c r="W137" s="683">
        <f t="shared" si="46"/>
        <v>-18.150478653026141</v>
      </c>
      <c r="X137" s="684">
        <f t="shared" si="47"/>
        <v>-106.87606528249893</v>
      </c>
      <c r="Y137" s="687">
        <f t="shared" si="48"/>
        <v>73.123934717501072</v>
      </c>
      <c r="AA137" s="170">
        <f t="shared" si="49"/>
        <v>7585.8</v>
      </c>
      <c r="AB137" s="170">
        <f t="shared" si="50"/>
        <v>57544361.640000001</v>
      </c>
      <c r="AD137" s="686">
        <f t="shared" si="51"/>
        <v>17.159808884141398</v>
      </c>
      <c r="AE137" s="687">
        <f t="shared" si="52"/>
        <v>-7.8171842438583372</v>
      </c>
      <c r="AG137" s="686">
        <f t="shared" si="53"/>
        <v>3.0932486013270868</v>
      </c>
      <c r="AH137" s="687">
        <f t="shared" si="54"/>
        <v>-82.460563043957677</v>
      </c>
      <c r="AJ137" s="170">
        <f t="shared" si="55"/>
        <v>0</v>
      </c>
      <c r="AK137" s="170">
        <f t="shared" si="65"/>
        <v>0</v>
      </c>
      <c r="AM137" s="170" t="str">
        <f t="shared" si="59"/>
        <v>0.021478898707572+0.206146681577592i</v>
      </c>
      <c r="AN137" s="170" t="str">
        <f t="shared" si="60"/>
        <v>0.207635414574462i</v>
      </c>
      <c r="AO137" s="170" t="str">
        <f t="shared" si="61"/>
        <v>0.992830062251562-0.103445256444291i</v>
      </c>
      <c r="AP137" s="170" t="str">
        <f t="shared" si="62"/>
        <v>0.163086850215405-0.034357780262932i</v>
      </c>
      <c r="AQ137" s="170" t="str">
        <f t="shared" si="63"/>
        <v>0.836913149784595+0.034357780262932i</v>
      </c>
      <c r="AR137" s="170" t="str">
        <f t="shared" si="64"/>
        <v>0.993649661225961-0.0407922814064103i</v>
      </c>
    </row>
    <row r="138" spans="7:44">
      <c r="G138" s="688">
        <v>7674.15</v>
      </c>
      <c r="H138" s="676">
        <f t="shared" si="56"/>
        <v>7.67415</v>
      </c>
      <c r="I138" s="677">
        <f t="shared" si="34"/>
        <v>61.87802369621744</v>
      </c>
      <c r="J138" s="678">
        <f t="shared" si="35"/>
        <v>1.5546347968348477</v>
      </c>
      <c r="K138" s="678">
        <f t="shared" si="36"/>
        <v>1.0000562630733889</v>
      </c>
      <c r="L138" s="679">
        <f t="shared" si="37"/>
        <v>1.0607585547235645E-2</v>
      </c>
      <c r="M138" s="678">
        <f t="shared" si="38"/>
        <v>1.0008231743884777</v>
      </c>
      <c r="N138" s="679">
        <f t="shared" si="39"/>
        <v>-4.0561314199299474E-2</v>
      </c>
      <c r="O138" s="677">
        <f t="shared" si="40"/>
        <v>318239.50270353816</v>
      </c>
      <c r="P138" s="680">
        <f t="shared" si="41"/>
        <v>1.5707931845074323</v>
      </c>
      <c r="Q138" s="689">
        <f t="shared" si="42"/>
        <v>12.768798288327387</v>
      </c>
      <c r="R138" s="690">
        <f t="shared" si="43"/>
        <v>1.4924001426519162</v>
      </c>
      <c r="S138" s="677">
        <f t="shared" si="44"/>
        <v>1.001672590989608</v>
      </c>
      <c r="T138" s="680">
        <f t="shared" si="45"/>
        <v>5.7797283875074552E-2</v>
      </c>
      <c r="U138" s="681">
        <f t="shared" si="57"/>
        <v>0.99254112732557009</v>
      </c>
      <c r="V138" s="682">
        <f t="shared" si="58"/>
        <v>-0.1465229719645357</v>
      </c>
      <c r="W138" s="683">
        <f t="shared" si="46"/>
        <v>-18.253211343396913</v>
      </c>
      <c r="X138" s="684">
        <f t="shared" si="47"/>
        <v>-106.98851366766688</v>
      </c>
      <c r="Y138" s="687">
        <f t="shared" si="48"/>
        <v>73.011486332333121</v>
      </c>
      <c r="AA138" s="170">
        <f t="shared" si="49"/>
        <v>7674.15</v>
      </c>
      <c r="AB138" s="170">
        <f t="shared" si="50"/>
        <v>58892578.222499996</v>
      </c>
      <c r="AD138" s="686">
        <f t="shared" si="51"/>
        <v>17.158853082219917</v>
      </c>
      <c r="AE138" s="687">
        <f t="shared" si="52"/>
        <v>-7.8031308837911668</v>
      </c>
      <c r="AG138" s="686">
        <f t="shared" si="53"/>
        <v>2.9942721658407168</v>
      </c>
      <c r="AH138" s="687">
        <f t="shared" si="54"/>
        <v>-82.395086974126841</v>
      </c>
      <c r="AJ138" s="170">
        <f t="shared" si="55"/>
        <v>0</v>
      </c>
      <c r="AK138" s="170">
        <f t="shared" si="65"/>
        <v>0</v>
      </c>
      <c r="AM138" s="170" t="str">
        <f t="shared" si="59"/>
        <v>0.021980279863815+0.208512414557834i</v>
      </c>
      <c r="AN138" s="170" t="str">
        <f t="shared" si="60"/>
        <v>0.210053694634265i</v>
      </c>
      <c r="AO138" s="170" t="str">
        <f t="shared" si="61"/>
        <v>0.992662447194206-0.104641243764295i</v>
      </c>
      <c r="AP138" s="170" t="str">
        <f t="shared" si="62"/>
        <v>0.163003286689364-0.0347520690929723i</v>
      </c>
      <c r="AQ138" s="170" t="str">
        <f t="shared" si="63"/>
        <v>0.836996713310636+0.0347520690929723i</v>
      </c>
      <c r="AR138" s="170" t="str">
        <f t="shared" si="64"/>
        <v>0.993512212836962-0.041250586192455i</v>
      </c>
    </row>
    <row r="139" spans="7:44">
      <c r="G139" s="688">
        <v>7762.5</v>
      </c>
      <c r="H139" s="676">
        <f t="shared" si="56"/>
        <v>7.7625000000000002</v>
      </c>
      <c r="I139" s="677">
        <f t="shared" si="34"/>
        <v>62.590220318365127</v>
      </c>
      <c r="J139" s="678">
        <f t="shared" si="35"/>
        <v>1.5548187101072892</v>
      </c>
      <c r="K139" s="678">
        <f t="shared" si="36"/>
        <v>1.0000575659701245</v>
      </c>
      <c r="L139" s="679">
        <f t="shared" si="37"/>
        <v>1.0729697919885175E-2</v>
      </c>
      <c r="M139" s="678">
        <f t="shared" si="38"/>
        <v>1.0008422293518984</v>
      </c>
      <c r="N139" s="679">
        <f t="shared" si="39"/>
        <v>-4.102776258086302E-2</v>
      </c>
      <c r="O139" s="677">
        <f t="shared" si="40"/>
        <v>321903.29088380327</v>
      </c>
      <c r="P139" s="680">
        <f t="shared" si="41"/>
        <v>1.5707932202718249</v>
      </c>
      <c r="Q139" s="689">
        <f t="shared" si="42"/>
        <v>12.914904795983436</v>
      </c>
      <c r="R139" s="690">
        <f t="shared" si="43"/>
        <v>1.4932888303539849</v>
      </c>
      <c r="S139" s="677">
        <f t="shared" si="44"/>
        <v>1.0017112915865169</v>
      </c>
      <c r="T139" s="680">
        <f t="shared" si="45"/>
        <v>5.846117878683043E-2</v>
      </c>
      <c r="U139" s="681">
        <f t="shared" si="57"/>
        <v>0.99237933137634826</v>
      </c>
      <c r="V139" s="682">
        <f t="shared" si="58"/>
        <v>-0.14819789323836605</v>
      </c>
      <c r="W139" s="683">
        <f t="shared" si="46"/>
        <v>-18.354790107200337</v>
      </c>
      <c r="X139" s="684">
        <f t="shared" si="47"/>
        <v>-107.10186841315492</v>
      </c>
      <c r="Y139" s="687">
        <f t="shared" si="48"/>
        <v>72.898131586845082</v>
      </c>
      <c r="AA139" s="170">
        <f t="shared" si="49"/>
        <v>7762.5</v>
      </c>
      <c r="AB139" s="170">
        <f t="shared" si="50"/>
        <v>60256406.25</v>
      </c>
      <c r="AD139" s="686">
        <f t="shared" si="51"/>
        <v>17.157914565481928</v>
      </c>
      <c r="AE139" s="687">
        <f t="shared" si="52"/>
        <v>-7.7902532547753003</v>
      </c>
      <c r="AG139" s="686">
        <f t="shared" si="53"/>
        <v>2.8964639552043026</v>
      </c>
      <c r="AH139" s="687">
        <f t="shared" si="54"/>
        <v>-82.329387508397105</v>
      </c>
      <c r="AJ139" s="170">
        <f t="shared" si="55"/>
        <v>0</v>
      </c>
      <c r="AK139" s="170">
        <f t="shared" si="65"/>
        <v>0</v>
      </c>
      <c r="AM139" s="170" t="str">
        <f t="shared" si="59"/>
        <v>0.022487380553317+0.210876928141712i</v>
      </c>
      <c r="AN139" s="170" t="str">
        <f t="shared" si="60"/>
        <v>0.212471974694068i</v>
      </c>
      <c r="AO139" s="170" t="str">
        <f t="shared" si="61"/>
        <v>0.992492908513451-0.105836925484859i</v>
      </c>
      <c r="AP139" s="170" t="str">
        <f t="shared" si="62"/>
        <v>0.162918769907781-0.0351461546902853i</v>
      </c>
      <c r="AQ139" s="170" t="str">
        <f t="shared" si="63"/>
        <v>0.837081230092219+0.0351461546902853i</v>
      </c>
      <c r="AR139" s="170" t="str">
        <f t="shared" si="64"/>
        <v>0.993373263073077-0.0417083182779209i</v>
      </c>
    </row>
    <row r="140" spans="7:44">
      <c r="G140" s="688">
        <v>7852.9</v>
      </c>
      <c r="H140" s="676">
        <f t="shared" si="56"/>
        <v>7.8529</v>
      </c>
      <c r="I140" s="677">
        <f t="shared" si="34"/>
        <v>63.318944300693964</v>
      </c>
      <c r="J140" s="678">
        <f t="shared" si="35"/>
        <v>1.5550026084086441</v>
      </c>
      <c r="K140" s="678">
        <f t="shared" si="36"/>
        <v>1.0000589145334755</v>
      </c>
      <c r="L140" s="679">
        <f t="shared" si="37"/>
        <v>1.0854643355325716E-2</v>
      </c>
      <c r="M140" s="678">
        <f t="shared" si="38"/>
        <v>1.0008619518370976</v>
      </c>
      <c r="N140" s="679">
        <f t="shared" si="39"/>
        <v>-4.1505015552533435E-2</v>
      </c>
      <c r="O140" s="677">
        <f t="shared" si="40"/>
        <v>325652.09056117741</v>
      </c>
      <c r="P140" s="680">
        <f t="shared" si="41"/>
        <v>1.5707932560330959</v>
      </c>
      <c r="Q140" s="689">
        <f t="shared" si="42"/>
        <v>13.064411756270715</v>
      </c>
      <c r="R140" s="690">
        <f t="shared" si="43"/>
        <v>1.4941775631638023</v>
      </c>
      <c r="S140" s="677">
        <f t="shared" si="44"/>
        <v>1.0017513471203241</v>
      </c>
      <c r="T140" s="680">
        <f t="shared" si="45"/>
        <v>5.9140424761438756E-2</v>
      </c>
      <c r="U140" s="681">
        <f t="shared" si="57"/>
        <v>0.99221194304819371</v>
      </c>
      <c r="V140" s="682">
        <f t="shared" si="58"/>
        <v>-0.14991125817418585</v>
      </c>
      <c r="W140" s="683">
        <f t="shared" si="46"/>
        <v>-18.457559520875041</v>
      </c>
      <c r="X140" s="684">
        <f t="shared" si="47"/>
        <v>-107.21875866176939</v>
      </c>
      <c r="Y140" s="687">
        <f t="shared" si="48"/>
        <v>72.781241338230615</v>
      </c>
      <c r="AA140" s="170">
        <f t="shared" si="49"/>
        <v>7852.9</v>
      </c>
      <c r="AB140" s="170">
        <f t="shared" si="50"/>
        <v>61668038.409999996</v>
      </c>
      <c r="AD140" s="686">
        <f t="shared" si="51"/>
        <v>17.156971184560604</v>
      </c>
      <c r="AE140" s="687">
        <f t="shared" si="52"/>
        <v>-7.7782525922104515</v>
      </c>
      <c r="AG140" s="686">
        <f t="shared" si="53"/>
        <v>2.7975683324899765</v>
      </c>
      <c r="AH140" s="687">
        <f t="shared" si="54"/>
        <v>-82.261941260175746</v>
      </c>
      <c r="AJ140" s="170">
        <f t="shared" si="55"/>
        <v>0</v>
      </c>
      <c r="AK140" s="170">
        <f t="shared" si="65"/>
        <v>0</v>
      </c>
      <c r="AM140" s="170" t="str">
        <f t="shared" si="59"/>
        <v>0.023012164632274+0.213295029345468i</v>
      </c>
      <c r="AN140" s="170" t="str">
        <f t="shared" si="60"/>
        <v>0.214946366515304i</v>
      </c>
      <c r="AO140" s="170" t="str">
        <f t="shared" si="61"/>
        <v>0.992317445525564-0.107060030859538i</v>
      </c>
      <c r="AP140" s="170" t="str">
        <f t="shared" si="62"/>
        <v>0.162831305894621-0.035549171557578i</v>
      </c>
      <c r="AQ140" s="170" t="str">
        <f t="shared" si="63"/>
        <v>0.837168694105379+0.035549171557578i</v>
      </c>
      <c r="AR140" s="170" t="str">
        <f t="shared" si="64"/>
        <v>0.993229538359192-0.0421760721629904i</v>
      </c>
    </row>
    <row r="141" spans="7:44">
      <c r="G141" s="688">
        <v>7943.3</v>
      </c>
      <c r="H141" s="676">
        <f t="shared" si="56"/>
        <v>7.9432999999999998</v>
      </c>
      <c r="I141" s="677">
        <f t="shared" ref="I141:I204" si="66">SQRT(1+(G141/pole1)^2)</f>
        <v>64.047670375651848</v>
      </c>
      <c r="J141" s="678">
        <f t="shared" ref="J141:J204" si="67">ATAN(G141/pole1)</f>
        <v>1.5551823219739862</v>
      </c>
      <c r="K141" s="678">
        <f t="shared" ref="K141:K204" si="68">SQRT(1+(G141/Zero1)^2)</f>
        <v>1.0000602787090658</v>
      </c>
      <c r="L141" s="679">
        <f t="shared" ref="L141:L204" si="69">ATAN(G141/Zero1)</f>
        <v>1.0979588451842338E-2</v>
      </c>
      <c r="M141" s="678">
        <f t="shared" ref="M141:M204" si="70">SQRT(1+(G141/z_RHP)^2)</f>
        <v>1.0008819022800084</v>
      </c>
      <c r="N141" s="679">
        <f t="shared" ref="N141:N204" si="71">-ATAN(G141/z_RHP)</f>
        <v>-4.1982249606862823E-2</v>
      </c>
      <c r="O141" s="677">
        <f t="shared" ref="O141:O204" si="72">SQRT(1+(G141/Pole2)^2)</f>
        <v>329400.89023855195</v>
      </c>
      <c r="P141" s="680">
        <f t="shared" ref="P141:P204" si="73">ATAN(G141/Pole2)</f>
        <v>1.5707932909803932</v>
      </c>
      <c r="Q141" s="689">
        <f t="shared" ref="Q141:Q147" si="74">SQRT(1+(G141/Zero2)^2)</f>
        <v>13.213928801924162</v>
      </c>
      <c r="R141" s="690">
        <f t="shared" ref="R141:R147" si="75">ATAN(G141/Zero2)</f>
        <v>1.4950461844294609</v>
      </c>
      <c r="S141" s="677">
        <f t="shared" ref="S141:S204" si="76">SQRT(1+(G141/pole4)^2)</f>
        <v>1.0017918648001689</v>
      </c>
      <c r="T141" s="680">
        <f t="shared" ref="T141:T204" si="77">ATAN(G141/pole4)</f>
        <v>5.9819616104899262E-2</v>
      </c>
      <c r="U141" s="681">
        <f t="shared" si="57"/>
        <v>0.99204269813617596</v>
      </c>
      <c r="V141" s="682">
        <f t="shared" si="58"/>
        <v>-0.15162419385591358</v>
      </c>
      <c r="W141" s="683">
        <f t="shared" ref="W141:W204" si="78">20*LOG10(((K141*Q141*M141*U141)/(I141*O141*S141))*Adc)</f>
        <v>-18.559176906101985</v>
      </c>
      <c r="X141" s="684">
        <f t="shared" ref="X141:X204" si="79">((L141+R141+N141+V141)-(J141+P141+T141))*radconv</f>
        <v>-107.3365326135886</v>
      </c>
      <c r="Y141" s="687">
        <f t="shared" ref="Y141:Y204" si="80">IF(X141&gt;0,X141,X141+180)</f>
        <v>72.663467386411398</v>
      </c>
      <c r="AA141" s="170">
        <f t="shared" ref="AA141:AA204" si="81">IF(W141&lt;0,G141,1000000000)</f>
        <v>7943.3</v>
      </c>
      <c r="AB141" s="170">
        <f t="shared" ref="AB141:AB204" si="82">G141^2</f>
        <v>63096014.890000001</v>
      </c>
      <c r="AD141" s="686">
        <f t="shared" ref="AD141:AD204" si="83">20*LOG10((Q141/(O141*S141))*Aea)</f>
        <v>17.15604396764482</v>
      </c>
      <c r="AE141" s="687">
        <f t="shared" ref="AE141:AE204" si="84">(R141-(P141+T141))*radconv</f>
        <v>-7.7674010594752509</v>
      </c>
      <c r="AG141" s="686">
        <f t="shared" ref="AG141:AG204" si="85">20*LOG10((K141*M141/(I141*U141))*Acs*Am)</f>
        <v>2.6998415794595849</v>
      </c>
      <c r="AH141" s="687">
        <f t="shared" ref="AH141:AH204" si="86">(L141+N141-(J141+V141))*radconv</f>
        <v>-82.194278774225154</v>
      </c>
      <c r="AJ141" s="170">
        <f t="shared" ref="AJ141:AJ204" si="87">SUM((W142&lt;0)*(W141&gt;0))*G141</f>
        <v>0</v>
      </c>
      <c r="AK141" s="170">
        <f t="shared" si="65"/>
        <v>0</v>
      </c>
      <c r="AM141" s="170" t="str">
        <f t="shared" si="59"/>
        <v>0.023542930428441+0.215711824626569i</v>
      </c>
      <c r="AN141" s="170" t="str">
        <f t="shared" si="60"/>
        <v>0.21742075833654i</v>
      </c>
      <c r="AO141" s="170" t="str">
        <f t="shared" si="61"/>
        <v>0.992139969876631-0.108282808911923i</v>
      </c>
      <c r="AP141" s="170" t="str">
        <f t="shared" si="62"/>
        <v>0.162742844928593-0.0359519707710948i</v>
      </c>
      <c r="AQ141" s="170" t="str">
        <f t="shared" si="63"/>
        <v>0.837257155071407+0.0359519707710948i</v>
      </c>
      <c r="AR141" s="170" t="str">
        <f t="shared" si="64"/>
        <v>0.993084248235673-0.0426432137958362i</v>
      </c>
    </row>
    <row r="142" spans="7:44">
      <c r="G142" s="688">
        <v>8035.8</v>
      </c>
      <c r="H142" s="676">
        <f t="shared" ref="H142:H205" si="88">G142/1000</f>
        <v>8.0358000000000001</v>
      </c>
      <c r="I142" s="677">
        <f t="shared" si="66"/>
        <v>64.79332691427939</v>
      </c>
      <c r="J142" s="678">
        <f t="shared" si="67"/>
        <v>1.5553620258927803</v>
      </c>
      <c r="K142" s="678">
        <f t="shared" si="68"/>
        <v>1.0000616907349715</v>
      </c>
      <c r="L142" s="679">
        <f t="shared" si="69"/>
        <v>1.1107435679115006E-2</v>
      </c>
      <c r="M142" s="678">
        <f t="shared" si="70"/>
        <v>1.000902552121689</v>
      </c>
      <c r="N142" s="679">
        <f t="shared" si="71"/>
        <v>-4.2470550043313911E-2</v>
      </c>
      <c r="O142" s="677">
        <f t="shared" si="72"/>
        <v>333236.77486418444</v>
      </c>
      <c r="P142" s="680">
        <f t="shared" si="73"/>
        <v>1.5707933259256186</v>
      </c>
      <c r="Q142" s="689">
        <f t="shared" si="74"/>
        <v>13.3669292282638</v>
      </c>
      <c r="R142" s="690">
        <f t="shared" si="75"/>
        <v>1.4959148687265094</v>
      </c>
      <c r="S142" s="677">
        <f t="shared" si="76"/>
        <v>1.001833802025081</v>
      </c>
      <c r="T142" s="680">
        <f t="shared" si="77"/>
        <v>6.051452792716254E-2</v>
      </c>
      <c r="U142" s="681">
        <f t="shared" ref="U142:U205" si="89">IMABS(IMPRODUCT(AO142, AR142))</f>
        <v>0.99186760273660202</v>
      </c>
      <c r="V142" s="682">
        <f t="shared" ref="V142:V205" si="90">IMARGUMENT(IMPRODUCT(AO142, AR142))</f>
        <v>-0.1533764720124344</v>
      </c>
      <c r="W142" s="683">
        <f t="shared" si="78"/>
        <v>-18.661990441269484</v>
      </c>
      <c r="X142" s="684">
        <f t="shared" si="79"/>
        <v>-107.45792505314887</v>
      </c>
      <c r="Y142" s="687">
        <f t="shared" si="80"/>
        <v>72.54207494685113</v>
      </c>
      <c r="AA142" s="170">
        <f t="shared" si="81"/>
        <v>8035.8</v>
      </c>
      <c r="AB142" s="170">
        <f t="shared" si="82"/>
        <v>64574081.640000001</v>
      </c>
      <c r="AD142" s="686">
        <f t="shared" si="83"/>
        <v>17.155111007692049</v>
      </c>
      <c r="AE142" s="687">
        <f t="shared" si="84"/>
        <v>-7.7574466322770803</v>
      </c>
      <c r="AG142" s="686">
        <f t="shared" si="85"/>
        <v>2.6010273915106765</v>
      </c>
      <c r="AH142" s="687">
        <f t="shared" si="86"/>
        <v>-82.124829354950904</v>
      </c>
      <c r="AJ142" s="170">
        <f t="shared" si="87"/>
        <v>0</v>
      </c>
      <c r="AK142" s="170">
        <f t="shared" si="65"/>
        <v>0</v>
      </c>
      <c r="AM142" s="170" t="str">
        <f t="shared" ref="AM142:AM205" si="91">IMSUB(1,IMEXP(COMPLEX(0,-2*Pi*G142*Tsw)))</f>
        <v>0.02409221433589+0.218183395060607i</v>
      </c>
      <c r="AN142" s="170" t="str">
        <f t="shared" ref="AN142:AN205" si="92">COMPLEX(0, 2*Pi*G142*Tsw)</f>
        <v>0.219952630498756i</v>
      </c>
      <c r="AO142" s="170" t="str">
        <f t="shared" ref="AO142:AO205" si="93">IMDIV(AM142, AN142)</f>
        <v>0.991956288796651-0.109533649501074i</v>
      </c>
      <c r="AP142" s="170" t="str">
        <f t="shared" ref="AP142:AP205" si="94">IMDIV(IMEXP(COMPLEX(0,-2*Pi*G142*Tsw)),6)</f>
        <v>0.162651297610685-0.0363638991767678i</v>
      </c>
      <c r="AQ142" s="170" t="str">
        <f t="shared" ref="AQ142:AQ205" si="95">IMSUB(1, AP142)</f>
        <v>0.837348702389315+0.0363638991767678i</v>
      </c>
      <c r="AR142" s="170" t="str">
        <f t="shared" ref="AR142:AR205" si="96">IMDIV(0.833, AQ142)</f>
        <v>0.992933966082553-0.0431205667707916i</v>
      </c>
    </row>
    <row r="143" spans="7:44">
      <c r="G143" s="688">
        <v>8128.3</v>
      </c>
      <c r="H143" s="676">
        <f t="shared" si="88"/>
        <v>8.1282999999999994</v>
      </c>
      <c r="I143" s="677">
        <f t="shared" si="66"/>
        <v>65.538985497698292</v>
      </c>
      <c r="J143" s="678">
        <f t="shared" si="67"/>
        <v>1.555537640716018</v>
      </c>
      <c r="K143" s="678">
        <f t="shared" si="68"/>
        <v>1.0000631191067528</v>
      </c>
      <c r="L143" s="679">
        <f t="shared" si="69"/>
        <v>1.1235282543273623E-2</v>
      </c>
      <c r="M143" s="678">
        <f t="shared" si="70"/>
        <v>1.0009234406060075</v>
      </c>
      <c r="N143" s="679">
        <f t="shared" si="71"/>
        <v>-4.295883021529371E-2</v>
      </c>
      <c r="O143" s="677">
        <f t="shared" si="72"/>
        <v>337072.65948981739</v>
      </c>
      <c r="P143" s="680">
        <f t="shared" si="73"/>
        <v>1.5707933600754911</v>
      </c>
      <c r="Q143" s="689">
        <f t="shared" si="74"/>
        <v>13.519939513150989</v>
      </c>
      <c r="R143" s="690">
        <f t="shared" si="75"/>
        <v>1.4967638911926802</v>
      </c>
      <c r="S143" s="677">
        <f t="shared" si="76"/>
        <v>1.0018762229973435</v>
      </c>
      <c r="T143" s="680">
        <f t="shared" si="77"/>
        <v>6.1209381237688924E-2</v>
      </c>
      <c r="U143" s="681">
        <f t="shared" si="89"/>
        <v>0.99169056934067035</v>
      </c>
      <c r="V143" s="682">
        <f t="shared" si="90"/>
        <v>-0.15512829091098207</v>
      </c>
      <c r="W143" s="683">
        <f t="shared" si="78"/>
        <v>-18.763653775838943</v>
      </c>
      <c r="X143" s="684">
        <f t="shared" si="79"/>
        <v>-107.58017889286619</v>
      </c>
      <c r="Y143" s="687">
        <f t="shared" si="80"/>
        <v>72.419821107133814</v>
      </c>
      <c r="AA143" s="170">
        <f t="shared" si="81"/>
        <v>8128.3</v>
      </c>
      <c r="AB143" s="170">
        <f t="shared" si="82"/>
        <v>66069260.890000001</v>
      </c>
      <c r="AD143" s="686">
        <f t="shared" si="83"/>
        <v>17.154193125179283</v>
      </c>
      <c r="AE143" s="687">
        <f t="shared" si="84"/>
        <v>-7.7486153469610235</v>
      </c>
      <c r="AG143" s="686">
        <f t="shared" si="85"/>
        <v>2.5033828165848764</v>
      </c>
      <c r="AH143" s="687">
        <f t="shared" si="86"/>
        <v>-82.055170821038828</v>
      </c>
      <c r="AJ143" s="170">
        <f t="shared" si="87"/>
        <v>0</v>
      </c>
      <c r="AK143" s="170">
        <f t="shared" si="65"/>
        <v>0</v>
      </c>
      <c r="AM143" s="170" t="str">
        <f t="shared" si="91"/>
        <v>0.024647754176474+0.220653566857652i</v>
      </c>
      <c r="AN143" s="170" t="str">
        <f t="shared" si="92"/>
        <v>0.222484502660972i</v>
      </c>
      <c r="AO143" s="170" t="str">
        <f t="shared" si="93"/>
        <v>0.991770501848796-0.110784139486933i</v>
      </c>
      <c r="AP143" s="170" t="str">
        <f t="shared" si="94"/>
        <v>0.162558707637254-0.0367755944762753i</v>
      </c>
      <c r="AQ143" s="170" t="str">
        <f t="shared" si="95"/>
        <v>0.837441292362746+0.0367755944762753i</v>
      </c>
      <c r="AR143" s="170" t="str">
        <f t="shared" si="96"/>
        <v>0.992782051990191-0.0435972652414911i</v>
      </c>
    </row>
    <row r="144" spans="7:44">
      <c r="G144" s="688">
        <v>8222.9500000000007</v>
      </c>
      <c r="H144" s="676">
        <f t="shared" si="88"/>
        <v>8.2229500000000009</v>
      </c>
      <c r="I144" s="677">
        <f t="shared" si="66"/>
        <v>66.301977649616262</v>
      </c>
      <c r="J144" s="678">
        <f t="shared" si="67"/>
        <v>1.5557132485369165</v>
      </c>
      <c r="K144" s="678">
        <f t="shared" si="68"/>
        <v>1.0000645975986415</v>
      </c>
      <c r="L144" s="679">
        <f t="shared" si="69"/>
        <v>1.1366100602963714E-2</v>
      </c>
      <c r="M144" s="678">
        <f t="shared" si="70"/>
        <v>1.0009450616182061</v>
      </c>
      <c r="N144" s="679">
        <f t="shared" si="71"/>
        <v>-4.3458438384073046E-2</v>
      </c>
      <c r="O144" s="677">
        <f t="shared" si="72"/>
        <v>340997.70251485734</v>
      </c>
      <c r="P144" s="680">
        <f t="shared" si="73"/>
        <v>1.5707933942238188</v>
      </c>
      <c r="Q144" s="689">
        <f t="shared" si="74"/>
        <v>13.676516113069798</v>
      </c>
      <c r="R144" s="690">
        <f t="shared" si="75"/>
        <v>1.4976129821878812</v>
      </c>
      <c r="S144" s="677">
        <f t="shared" si="76"/>
        <v>1.0019201306502901</v>
      </c>
      <c r="T144" s="680">
        <f t="shared" si="77"/>
        <v>6.1920323933048096E-2</v>
      </c>
      <c r="U144" s="681">
        <f t="shared" si="89"/>
        <v>0.99150741815803622</v>
      </c>
      <c r="V144" s="682">
        <f t="shared" si="90"/>
        <v>-0.15692034719982781</v>
      </c>
      <c r="W144" s="683">
        <f t="shared" si="78"/>
        <v>-18.866517488452569</v>
      </c>
      <c r="X144" s="684">
        <f t="shared" si="79"/>
        <v>-107.70613450080202</v>
      </c>
      <c r="Y144" s="687">
        <f t="shared" si="80"/>
        <v>72.293865499197977</v>
      </c>
      <c r="AA144" s="170">
        <f t="shared" si="81"/>
        <v>8222.9500000000007</v>
      </c>
      <c r="AB144" s="170">
        <f t="shared" si="82"/>
        <v>67616906.702500015</v>
      </c>
      <c r="AD144" s="686">
        <f t="shared" si="83"/>
        <v>17.15326862176466</v>
      </c>
      <c r="AE144" s="687">
        <f t="shared" si="84"/>
        <v>-7.7407019889791986</v>
      </c>
      <c r="AG144" s="686">
        <f t="shared" si="85"/>
        <v>2.4046522249298437</v>
      </c>
      <c r="AH144" s="687">
        <f t="shared" si="86"/>
        <v>-81.983685262720371</v>
      </c>
      <c r="AJ144" s="170">
        <f t="shared" si="87"/>
        <v>0</v>
      </c>
      <c r="AK144" s="170">
        <f t="shared" si="65"/>
        <v>0</v>
      </c>
      <c r="AM144" s="170" t="str">
        <f t="shared" si="91"/>
        <v>0.025222678584838+0.223179689162525i</v>
      </c>
      <c r="AN144" s="170" t="str">
        <f t="shared" si="92"/>
        <v>0.225075223743715i</v>
      </c>
      <c r="AO144" s="170" t="str">
        <f t="shared" si="93"/>
        <v>0.991578217496972-0.112063327830158i</v>
      </c>
      <c r="AP144" s="170" t="str">
        <f t="shared" si="94"/>
        <v>0.162462886902527-0.0371966148604208i</v>
      </c>
      <c r="AQ144" s="170" t="str">
        <f t="shared" si="95"/>
        <v>0.837537113097473+0.0371966148604208i</v>
      </c>
      <c r="AR144" s="170" t="str">
        <f t="shared" si="96"/>
        <v>0.992624921415562-0.0440843591589631i</v>
      </c>
    </row>
    <row r="145" spans="7:44">
      <c r="G145" s="688">
        <v>8270.2750000000015</v>
      </c>
      <c r="H145" s="676">
        <f t="shared" si="88"/>
        <v>8.2702750000000016</v>
      </c>
      <c r="I145" s="677">
        <f t="shared" si="66"/>
        <v>66.683474479151059</v>
      </c>
      <c r="J145" s="678">
        <f t="shared" si="67"/>
        <v>1.5557995454678442</v>
      </c>
      <c r="K145" s="678">
        <f t="shared" si="68"/>
        <v>1.0000653432624977</v>
      </c>
      <c r="L145" s="679">
        <f t="shared" si="69"/>
        <v>1.1431509487198475E-2</v>
      </c>
      <c r="M145" s="678">
        <f t="shared" si="70"/>
        <v>1.0009559658128451</v>
      </c>
      <c r="N145" s="679">
        <f t="shared" si="71"/>
        <v>-4.3708234343498881E-2</v>
      </c>
      <c r="O145" s="677">
        <f t="shared" si="72"/>
        <v>342960.22402737744</v>
      </c>
      <c r="P145" s="680">
        <f t="shared" si="73"/>
        <v>1.5707934110048722</v>
      </c>
      <c r="Q145" s="689">
        <f t="shared" si="74"/>
        <v>13.754808047452146</v>
      </c>
      <c r="R145" s="690">
        <f t="shared" si="75"/>
        <v>1.4980302783729844</v>
      </c>
      <c r="S145" s="677">
        <f t="shared" si="76"/>
        <v>1.0019422743680142</v>
      </c>
      <c r="T145" s="680">
        <f t="shared" si="77"/>
        <v>6.2275771824414738E-2</v>
      </c>
      <c r="U145" s="681">
        <f t="shared" si="89"/>
        <v>0.99141508383392529</v>
      </c>
      <c r="V145" s="682">
        <f t="shared" si="90"/>
        <v>-0.15781619142251446</v>
      </c>
      <c r="W145" s="683">
        <f t="shared" si="78"/>
        <v>-18.917516994249443</v>
      </c>
      <c r="X145" s="684">
        <f t="shared" si="79"/>
        <v>-107.76942896035013</v>
      </c>
      <c r="Y145" s="687">
        <f t="shared" si="80"/>
        <v>72.230571039649874</v>
      </c>
      <c r="AA145" s="170">
        <f t="shared" si="81"/>
        <v>8270.2750000000015</v>
      </c>
      <c r="AB145" s="170">
        <f t="shared" si="82"/>
        <v>68397448.575625017</v>
      </c>
      <c r="AD145" s="686">
        <f t="shared" si="83"/>
        <v>17.152811680823948</v>
      </c>
      <c r="AE145" s="687">
        <f t="shared" si="84"/>
        <v>-7.7371593042574913</v>
      </c>
      <c r="AG145" s="686">
        <f t="shared" si="85"/>
        <v>2.3557274857805495</v>
      </c>
      <c r="AH145" s="687">
        <f t="shared" si="86"/>
        <v>-81.947866220750612</v>
      </c>
      <c r="AJ145" s="170">
        <f t="shared" si="87"/>
        <v>0</v>
      </c>
      <c r="AK145" s="170">
        <f t="shared" si="65"/>
        <v>0</v>
      </c>
      <c r="AM145" s="170" t="str">
        <f t="shared" si="91"/>
        <v>0.025512594485008+0.224442189645037i</v>
      </c>
      <c r="AN145" s="170" t="str">
        <f t="shared" si="92"/>
        <v>0.226370584285087i</v>
      </c>
      <c r="AO145" s="170" t="str">
        <f t="shared" si="93"/>
        <v>0.991481249005297-0.112702781439473i</v>
      </c>
      <c r="AP145" s="170" t="str">
        <f t="shared" si="94"/>
        <v>0.162414567585832-0.0374070316075062i</v>
      </c>
      <c r="AQ145" s="170" t="str">
        <f t="shared" si="95"/>
        <v>0.837585432414168+0.0374070316075062i</v>
      </c>
      <c r="AR145" s="170" t="str">
        <f t="shared" si="96"/>
        <v>0.992545718011937-0.0443276442124275i</v>
      </c>
    </row>
    <row r="146" spans="7:44">
      <c r="G146" s="688">
        <v>8317.6</v>
      </c>
      <c r="H146" s="676">
        <f t="shared" si="88"/>
        <v>8.3176000000000005</v>
      </c>
      <c r="I146" s="677">
        <f t="shared" si="66"/>
        <v>67.064971799638556</v>
      </c>
      <c r="J146" s="678">
        <f t="shared" si="67"/>
        <v>1.5558848606037772</v>
      </c>
      <c r="K146" s="678">
        <f t="shared" si="68"/>
        <v>1.0000660932049494</v>
      </c>
      <c r="L146" s="679">
        <f t="shared" si="69"/>
        <v>1.1496918273613758E-2</v>
      </c>
      <c r="M146" s="678">
        <f t="shared" si="70"/>
        <v>1.0009669324637926</v>
      </c>
      <c r="N146" s="679">
        <f t="shared" si="71"/>
        <v>-4.3958024844953231E-2</v>
      </c>
      <c r="O146" s="677">
        <f t="shared" si="72"/>
        <v>344922.74553989765</v>
      </c>
      <c r="P146" s="680">
        <f t="shared" si="73"/>
        <v>1.5707934275949658</v>
      </c>
      <c r="Q146" s="689">
        <f t="shared" si="74"/>
        <v>13.833102349930385</v>
      </c>
      <c r="R146" s="690">
        <f t="shared" si="75"/>
        <v>1.4984428509002012</v>
      </c>
      <c r="S146" s="677">
        <f t="shared" si="76"/>
        <v>1.0019645446687302</v>
      </c>
      <c r="T146" s="680">
        <f t="shared" si="77"/>
        <v>6.2631203959864712E-2</v>
      </c>
      <c r="U146" s="681">
        <f t="shared" si="89"/>
        <v>0.99132224423276372</v>
      </c>
      <c r="V146" s="682">
        <f t="shared" si="90"/>
        <v>-0.1587119121492537</v>
      </c>
      <c r="W146" s="683">
        <f t="shared" si="78"/>
        <v>-18.968232793466196</v>
      </c>
      <c r="X146" s="684">
        <f t="shared" si="79"/>
        <v>-107.83292951625027</v>
      </c>
      <c r="Y146" s="687">
        <f t="shared" si="80"/>
        <v>72.167070483749725</v>
      </c>
      <c r="AA146" s="170">
        <f t="shared" si="81"/>
        <v>8317.6</v>
      </c>
      <c r="AB146" s="170">
        <f t="shared" si="82"/>
        <v>69182469.760000005</v>
      </c>
      <c r="AD146" s="686">
        <f t="shared" si="83"/>
        <v>17.15235814105651</v>
      </c>
      <c r="AE146" s="687">
        <f t="shared" si="84"/>
        <v>-7.7338863515081275</v>
      </c>
      <c r="AG146" s="686">
        <f t="shared" si="85"/>
        <v>2.307092057114934</v>
      </c>
      <c r="AH146" s="687">
        <f t="shared" si="86"/>
        <v>-81.911997694753737</v>
      </c>
      <c r="AJ146" s="170">
        <f t="shared" si="87"/>
        <v>0</v>
      </c>
      <c r="AK146" s="170">
        <f t="shared" si="65"/>
        <v>0</v>
      </c>
      <c r="AM146" s="170" t="str">
        <f t="shared" si="91"/>
        <v>0.025804145534795+0.225704313522824i</v>
      </c>
      <c r="AN146" s="170" t="str">
        <f t="shared" si="92"/>
        <v>0.227665944826458i</v>
      </c>
      <c r="AO146" s="170" t="str">
        <f t="shared" si="93"/>
        <v>0.991383729766306-0.113342140628299i</v>
      </c>
      <c r="AP146" s="170" t="str">
        <f t="shared" si="94"/>
        <v>0.162365975744201-0.0376173855871373i</v>
      </c>
      <c r="AQ146" s="170" t="str">
        <f t="shared" si="95"/>
        <v>0.837634024255799+0.0376173855871373i</v>
      </c>
      <c r="AR146" s="170" t="str">
        <f t="shared" si="96"/>
        <v>0.992466089853273-0.0445707534592314i</v>
      </c>
    </row>
    <row r="147" spans="7:44">
      <c r="G147" s="688">
        <v>8366.0499999999993</v>
      </c>
      <c r="H147" s="676">
        <f t="shared" si="88"/>
        <v>8.3660499999999995</v>
      </c>
      <c r="I147" s="677">
        <f t="shared" si="66"/>
        <v>67.455538494522699</v>
      </c>
      <c r="J147" s="678">
        <f t="shared" si="67"/>
        <v>1.5559712041442078</v>
      </c>
      <c r="K147" s="678">
        <f t="shared" si="68"/>
        <v>1.0000668654072353</v>
      </c>
      <c r="L147" s="679">
        <f t="shared" si="69"/>
        <v>1.1563881842097442E-2</v>
      </c>
      <c r="M147" s="678">
        <f t="shared" si="70"/>
        <v>1.0009782245105321</v>
      </c>
      <c r="N147" s="679">
        <f t="shared" si="71"/>
        <v>-4.4213747627461955E-2</v>
      </c>
      <c r="O147" s="677">
        <f t="shared" si="72"/>
        <v>346931.91970327019</v>
      </c>
      <c r="P147" s="680">
        <f t="shared" si="73"/>
        <v>1.5707934443849965</v>
      </c>
      <c r="Q147" s="689">
        <f t="shared" si="74"/>
        <v>13.913260259651372</v>
      </c>
      <c r="R147" s="690">
        <f t="shared" si="75"/>
        <v>1.49886042070777</v>
      </c>
      <c r="S147" s="677">
        <f t="shared" si="76"/>
        <v>1.0019874754979774</v>
      </c>
      <c r="T147" s="680">
        <f t="shared" si="77"/>
        <v>6.299506893882767E-2</v>
      </c>
      <c r="U147" s="681">
        <f t="shared" si="89"/>
        <v>0.99122667466051784</v>
      </c>
      <c r="V147" s="682">
        <f t="shared" si="90"/>
        <v>-0.1596287971380432</v>
      </c>
      <c r="W147" s="683">
        <f t="shared" si="78"/>
        <v>-19.019863762891575</v>
      </c>
      <c r="X147" s="684">
        <f t="shared" si="79"/>
        <v>-107.89814928522338</v>
      </c>
      <c r="Y147" s="687">
        <f t="shared" si="80"/>
        <v>72.101850714776617</v>
      </c>
      <c r="AA147" s="170">
        <f t="shared" si="81"/>
        <v>8366.0499999999993</v>
      </c>
      <c r="AB147" s="170">
        <f t="shared" si="82"/>
        <v>69990792.602499992</v>
      </c>
      <c r="AD147" s="686">
        <f t="shared" si="83"/>
        <v>17.151897237981999</v>
      </c>
      <c r="AE147" s="687">
        <f t="shared" si="84"/>
        <v>-7.7308102534839245</v>
      </c>
      <c r="AG147" s="686">
        <f t="shared" si="85"/>
        <v>2.2575968180533543</v>
      </c>
      <c r="AH147" s="687">
        <f t="shared" si="86"/>
        <v>-81.875226281317907</v>
      </c>
      <c r="AJ147" s="170">
        <f t="shared" si="87"/>
        <v>0</v>
      </c>
      <c r="AK147" s="170">
        <f t="shared" si="65"/>
        <v>0</v>
      </c>
      <c r="AM147" s="170" t="str">
        <f t="shared" si="91"/>
        <v>0.026104320681602+0.226996047994137i</v>
      </c>
      <c r="AN147" s="170" t="str">
        <f t="shared" si="92"/>
        <v>0.228992098407641i</v>
      </c>
      <c r="AO147" s="170" t="str">
        <f t="shared" si="93"/>
        <v>0.991283321881479-0.11399660015837i</v>
      </c>
      <c r="AP147" s="170" t="str">
        <f t="shared" si="94"/>
        <v>0.162315946553066-0.0378326746656895i</v>
      </c>
      <c r="AQ147" s="170" t="str">
        <f t="shared" si="95"/>
        <v>0.837684053446934+0.0378326746656895i</v>
      </c>
      <c r="AR147" s="170" t="str">
        <f t="shared" si="96"/>
        <v>0.992384129286556-0.0448194587830604i</v>
      </c>
    </row>
    <row r="148" spans="7:44">
      <c r="G148" s="691">
        <v>8414.5</v>
      </c>
      <c r="H148" s="676">
        <f t="shared" si="88"/>
        <v>8.4145000000000003</v>
      </c>
      <c r="I148" s="677">
        <f t="shared" si="66"/>
        <v>67.846105686511862</v>
      </c>
      <c r="J148" s="678">
        <f t="shared" si="67"/>
        <v>1.5560565535838744</v>
      </c>
      <c r="K148" s="678">
        <f t="shared" si="68"/>
        <v>1.0000676420939336</v>
      </c>
      <c r="L148" s="679">
        <f t="shared" si="69"/>
        <v>1.1630845306869008E-2</v>
      </c>
      <c r="M148" s="678">
        <f t="shared" si="70"/>
        <v>1.0009895820139036</v>
      </c>
      <c r="N148" s="679">
        <f t="shared" si="71"/>
        <v>-4.4469464623690586E-2</v>
      </c>
      <c r="O148" s="677">
        <f t="shared" si="72"/>
        <v>348941.09386664291</v>
      </c>
      <c r="P148" s="680">
        <f t="shared" si="73"/>
        <v>1.570793460981676</v>
      </c>
      <c r="Q148" s="689">
        <f t="shared" ref="Q148:Q157" si="97">SQRT(1+(G148/Zero2)^2)</f>
        <v>13.993420567558131</v>
      </c>
      <c r="R148" s="690">
        <f t="shared" ref="R148:R157" si="98">ATAN(G148/Zero2)</f>
        <v>1.4992732065491321</v>
      </c>
      <c r="S148" s="677">
        <f t="shared" si="76"/>
        <v>1.0020105389820027</v>
      </c>
      <c r="T148" s="680">
        <f t="shared" si="77"/>
        <v>6.3358917215650373E-2</v>
      </c>
      <c r="U148" s="681">
        <f t="shared" si="89"/>
        <v>0.99113057637733593</v>
      </c>
      <c r="V148" s="682">
        <f t="shared" si="90"/>
        <v>-0.16054555129026987</v>
      </c>
      <c r="W148" s="683">
        <f t="shared" si="78"/>
        <v>-19.071204360093382</v>
      </c>
      <c r="X148" s="684">
        <f t="shared" si="79"/>
        <v>-107.96357740748115</v>
      </c>
      <c r="Y148" s="687">
        <f t="shared" si="80"/>
        <v>72.036422592518846</v>
      </c>
      <c r="AA148" s="170">
        <f t="shared" si="81"/>
        <v>8414.5</v>
      </c>
      <c r="AB148" s="170">
        <f t="shared" si="82"/>
        <v>70803810.25</v>
      </c>
      <c r="AD148" s="686">
        <f t="shared" si="83"/>
        <v>17.151439688898019</v>
      </c>
      <c r="AE148" s="687">
        <f t="shared" si="84"/>
        <v>-7.7280072884926598</v>
      </c>
      <c r="AG148" s="686">
        <f t="shared" si="85"/>
        <v>2.2083980255505811</v>
      </c>
      <c r="AH148" s="687">
        <f t="shared" si="86"/>
        <v>-81.838405080899548</v>
      </c>
      <c r="AJ148" s="170">
        <f t="shared" si="87"/>
        <v>0</v>
      </c>
      <c r="AK148" s="170">
        <f t="shared" si="65"/>
        <v>0</v>
      </c>
      <c r="AM148" s="170" t="str">
        <f t="shared" si="91"/>
        <v>0.026406208602245+0.228287383251343i</v>
      </c>
      <c r="AN148" s="170" t="str">
        <f t="shared" si="92"/>
        <v>0.230318251988823i</v>
      </c>
      <c r="AO148" s="170" t="str">
        <f t="shared" si="93"/>
        <v>0.991182336962255-0.114650959592757i</v>
      </c>
      <c r="AP148" s="170" t="str">
        <f t="shared" si="94"/>
        <v>0.162265631899626-0.0380478972085572i</v>
      </c>
      <c r="AQ148" s="170" t="str">
        <f t="shared" si="95"/>
        <v>0.837734368100374+0.0380478972085572i</v>
      </c>
      <c r="AR148" s="170" t="str">
        <f t="shared" si="96"/>
        <v>0.992301724582627-0.0450679779348269i</v>
      </c>
    </row>
    <row r="149" spans="7:44">
      <c r="G149" s="691">
        <v>8462.9500000000007</v>
      </c>
      <c r="H149" s="676">
        <f t="shared" si="88"/>
        <v>8.4629500000000011</v>
      </c>
      <c r="I149" s="677">
        <f t="shared" si="66"/>
        <v>68.236673367070182</v>
      </c>
      <c r="J149" s="678">
        <f t="shared" si="67"/>
        <v>1.5561409259913888</v>
      </c>
      <c r="K149" s="678">
        <f t="shared" si="68"/>
        <v>1.0000684232650336</v>
      </c>
      <c r="L149" s="679">
        <f t="shared" si="69"/>
        <v>1.1697808667328157E-2</v>
      </c>
      <c r="M149" s="678">
        <f t="shared" si="70"/>
        <v>1.0010010049716795</v>
      </c>
      <c r="N149" s="679">
        <f t="shared" si="71"/>
        <v>-4.4725175800393362E-2</v>
      </c>
      <c r="O149" s="677">
        <f t="shared" si="72"/>
        <v>350950.26803001575</v>
      </c>
      <c r="P149" s="680">
        <f t="shared" si="73"/>
        <v>1.5707934773883252</v>
      </c>
      <c r="Q149" s="689">
        <f t="shared" si="97"/>
        <v>14.073583232671908</v>
      </c>
      <c r="R149" s="690">
        <f t="shared" si="98"/>
        <v>1.4996812900303411</v>
      </c>
      <c r="S149" s="677">
        <f t="shared" si="76"/>
        <v>1.002033735111646</v>
      </c>
      <c r="T149" s="680">
        <f t="shared" si="77"/>
        <v>6.3722748695152917E-2</v>
      </c>
      <c r="U149" s="681">
        <f t="shared" si="89"/>
        <v>0.99103394982883408</v>
      </c>
      <c r="V149" s="682">
        <f t="shared" si="90"/>
        <v>-0.16146217389928924</v>
      </c>
      <c r="W149" s="683">
        <f t="shared" si="78"/>
        <v>-19.122258025504252</v>
      </c>
      <c r="X149" s="684">
        <f t="shared" si="79"/>
        <v>-108.02921013767917</v>
      </c>
      <c r="Y149" s="687">
        <f t="shared" si="80"/>
        <v>71.970789862320828</v>
      </c>
      <c r="AA149" s="170">
        <f t="shared" si="81"/>
        <v>8462.9500000000007</v>
      </c>
      <c r="AB149" s="170">
        <f t="shared" si="82"/>
        <v>71621522.702500015</v>
      </c>
      <c r="AD149" s="686">
        <f t="shared" si="83"/>
        <v>17.150985391658743</v>
      </c>
      <c r="AE149" s="687">
        <f t="shared" si="84"/>
        <v>-7.7254727755887256</v>
      </c>
      <c r="AG149" s="686">
        <f t="shared" si="85"/>
        <v>2.1594923362355392</v>
      </c>
      <c r="AH149" s="687">
        <f t="shared" si="86"/>
        <v>-81.801535110075335</v>
      </c>
      <c r="AJ149" s="170">
        <f t="shared" si="87"/>
        <v>0</v>
      </c>
      <c r="AK149" s="170">
        <f t="shared" si="65"/>
        <v>0</v>
      </c>
      <c r="AM149" s="170" t="str">
        <f t="shared" si="91"/>
        <v>0.0267098087658+0.229578317023395i</v>
      </c>
      <c r="AN149" s="170" t="str">
        <f t="shared" si="92"/>
        <v>0.231644405570005i</v>
      </c>
      <c r="AO149" s="170" t="str">
        <f t="shared" si="93"/>
        <v>0.991080775115091-0.115305218358611i</v>
      </c>
      <c r="AP149" s="170" t="str">
        <f t="shared" si="94"/>
        <v>0.162215031872367-0.0382630528372325i</v>
      </c>
      <c r="AQ149" s="170" t="str">
        <f t="shared" si="95"/>
        <v>0.837784968127633+0.0382630528372325i</v>
      </c>
      <c r="AR149" s="170" t="str">
        <f t="shared" si="96"/>
        <v>0.992218876277646-0.0453163099523733i</v>
      </c>
    </row>
    <row r="150" spans="7:44">
      <c r="G150" s="691">
        <v>8511.4</v>
      </c>
      <c r="H150" s="676">
        <f t="shared" si="88"/>
        <v>8.5114000000000001</v>
      </c>
      <c r="I150" s="677">
        <f t="shared" si="66"/>
        <v>68.627241527856057</v>
      </c>
      <c r="J150" s="678">
        <f t="shared" si="67"/>
        <v>1.556224338046859</v>
      </c>
      <c r="K150" s="678">
        <f t="shared" si="68"/>
        <v>1.0000692089205252</v>
      </c>
      <c r="L150" s="679">
        <f t="shared" si="69"/>
        <v>1.176477192287459E-2</v>
      </c>
      <c r="M150" s="678">
        <f t="shared" si="70"/>
        <v>1.0010124933816189</v>
      </c>
      <c r="N150" s="679">
        <f t="shared" si="71"/>
        <v>-4.4980881124329089E-2</v>
      </c>
      <c r="O150" s="677">
        <f t="shared" si="72"/>
        <v>352959.44219338859</v>
      </c>
      <c r="P150" s="680">
        <f t="shared" si="73"/>
        <v>1.5707934936081889</v>
      </c>
      <c r="Q150" s="689">
        <f t="shared" si="97"/>
        <v>14.153748214941116</v>
      </c>
      <c r="R150" s="690">
        <f t="shared" si="98"/>
        <v>1.5000847509149735</v>
      </c>
      <c r="S150" s="677">
        <f t="shared" si="76"/>
        <v>1.002057063877696</v>
      </c>
      <c r="T150" s="680">
        <f t="shared" si="77"/>
        <v>6.4086563282181944E-2</v>
      </c>
      <c r="U150" s="681">
        <f t="shared" si="89"/>
        <v>0.9909367954628493</v>
      </c>
      <c r="V150" s="682">
        <f t="shared" si="90"/>
        <v>-0.16237866425930558</v>
      </c>
      <c r="W150" s="683">
        <f t="shared" si="78"/>
        <v>-19.173028139489073</v>
      </c>
      <c r="X150" s="684">
        <f t="shared" si="79"/>
        <v>-108.09504381382574</v>
      </c>
      <c r="Y150" s="687">
        <f t="shared" si="80"/>
        <v>71.90495618617426</v>
      </c>
      <c r="AA150" s="170">
        <f t="shared" si="81"/>
        <v>8511.4</v>
      </c>
      <c r="AB150" s="170">
        <f t="shared" si="82"/>
        <v>72443929.959999993</v>
      </c>
      <c r="AD150" s="686">
        <f t="shared" si="83"/>
        <v>17.150534247008071</v>
      </c>
      <c r="AE150" s="687">
        <f t="shared" si="84"/>
        <v>-7.7232021393898727</v>
      </c>
      <c r="AG150" s="686">
        <f t="shared" si="85"/>
        <v>2.1108764638890332</v>
      </c>
      <c r="AH150" s="687">
        <f t="shared" si="86"/>
        <v>-81.764617363114027</v>
      </c>
      <c r="AJ150" s="170">
        <f t="shared" si="87"/>
        <v>0</v>
      </c>
      <c r="AK150" s="170">
        <f t="shared" si="65"/>
        <v>0</v>
      </c>
      <c r="AM150" s="170" t="str">
        <f t="shared" si="91"/>
        <v>0.02701512063833+0.23086884703995i</v>
      </c>
      <c r="AN150" s="170" t="str">
        <f t="shared" si="92"/>
        <v>0.232970559151188i</v>
      </c>
      <c r="AO150" s="170" t="str">
        <f t="shared" si="93"/>
        <v>0.990978636447045-0.115959375883192i</v>
      </c>
      <c r="AP150" s="170" t="str">
        <f t="shared" si="94"/>
        <v>0.162164146560278-0.038478141173325i</v>
      </c>
      <c r="AQ150" s="170" t="str">
        <f t="shared" si="95"/>
        <v>0.837835853439722+0.038478141173325i</v>
      </c>
      <c r="AR150" s="170" t="str">
        <f t="shared" si="96"/>
        <v>0.992135584910366-0.0455644538754595i</v>
      </c>
    </row>
    <row r="151" spans="7:44">
      <c r="G151" s="691">
        <v>8560.9500000000007</v>
      </c>
      <c r="H151" s="676">
        <f t="shared" si="88"/>
        <v>8.5609500000000001</v>
      </c>
      <c r="I151" s="677">
        <f t="shared" si="66"/>
        <v>69.026677565436003</v>
      </c>
      <c r="J151" s="678">
        <f t="shared" si="67"/>
        <v>1.5563086675568627</v>
      </c>
      <c r="K151" s="678">
        <f t="shared" si="68"/>
        <v>1.0000700170516517</v>
      </c>
      <c r="L151" s="679">
        <f t="shared" si="69"/>
        <v>1.1833255390874162E-2</v>
      </c>
      <c r="M151" s="678">
        <f t="shared" si="70"/>
        <v>1.0010243103180361</v>
      </c>
      <c r="N151" s="679">
        <f t="shared" si="71"/>
        <v>-4.5242385847262645E-2</v>
      </c>
      <c r="O151" s="677">
        <f t="shared" si="72"/>
        <v>355014.23228203942</v>
      </c>
      <c r="P151" s="680">
        <f t="shared" si="73"/>
        <v>1.5707935100064159</v>
      </c>
      <c r="Q151" s="689">
        <f t="shared" si="97"/>
        <v>14.235735604277336</v>
      </c>
      <c r="R151" s="690">
        <f t="shared" si="98"/>
        <v>1.5004926719366125</v>
      </c>
      <c r="S151" s="677">
        <f t="shared" si="76"/>
        <v>1.0020810594737797</v>
      </c>
      <c r="T151" s="680">
        <f t="shared" si="77"/>
        <v>6.4458620278267209E-2</v>
      </c>
      <c r="U151" s="681">
        <f t="shared" si="89"/>
        <v>0.99083688986209695</v>
      </c>
      <c r="V151" s="682">
        <f t="shared" si="90"/>
        <v>-0.16331582492842894</v>
      </c>
      <c r="W151" s="683">
        <f t="shared" si="78"/>
        <v>-19.22466110919407</v>
      </c>
      <c r="X151" s="684">
        <f t="shared" si="79"/>
        <v>-108.16257627549359</v>
      </c>
      <c r="Y151" s="687">
        <f t="shared" si="80"/>
        <v>71.837423724506408</v>
      </c>
      <c r="AA151" s="170">
        <f t="shared" si="81"/>
        <v>8560.9500000000007</v>
      </c>
      <c r="AB151" s="170">
        <f t="shared" si="82"/>
        <v>73289864.902500018</v>
      </c>
      <c r="AD151" s="686">
        <f t="shared" si="83"/>
        <v>17.150076019903409</v>
      </c>
      <c r="AE151" s="687">
        <f t="shared" si="84"/>
        <v>-7.7211482216361436</v>
      </c>
      <c r="AG151" s="686">
        <f t="shared" si="85"/>
        <v>2.0614532210275809</v>
      </c>
      <c r="AH151" s="687">
        <f t="shared" si="86"/>
        <v>-81.726813040280049</v>
      </c>
      <c r="AJ151" s="170">
        <f t="shared" si="87"/>
        <v>0</v>
      </c>
      <c r="AK151" s="170">
        <f t="shared" ref="AK151:AK214" si="99">IF(AJ151&gt;0,Y151,0)</f>
        <v>0</v>
      </c>
      <c r="AM151" s="170" t="str">
        <f t="shared" si="91"/>
        <v>0.027329134140198+0.232188257040581i</v>
      </c>
      <c r="AN151" s="170" t="str">
        <f t="shared" si="92"/>
        <v>0.234326821482407i</v>
      </c>
      <c r="AO151" s="170" t="str">
        <f t="shared" si="93"/>
        <v>0.990873582339841-0.116628279969435i</v>
      </c>
      <c r="AP151" s="170" t="str">
        <f t="shared" si="94"/>
        <v>0.162111810976634-0.0386980428400968i</v>
      </c>
      <c r="AQ151" s="170" t="str">
        <f t="shared" si="95"/>
        <v>0.837888189023366+0.0386980428400968i</v>
      </c>
      <c r="AR151" s="170" t="str">
        <f t="shared" si="96"/>
        <v>0.992049944809876-0.0458180360657854i</v>
      </c>
    </row>
    <row r="152" spans="7:44">
      <c r="G152" s="691">
        <v>8610.5</v>
      </c>
      <c r="H152" s="676">
        <f t="shared" si="88"/>
        <v>8.6105</v>
      </c>
      <c r="I152" s="677">
        <f t="shared" si="66"/>
        <v>69.42611408824834</v>
      </c>
      <c r="J152" s="678">
        <f t="shared" si="67"/>
        <v>1.5563920267038753</v>
      </c>
      <c r="K152" s="678">
        <f t="shared" si="68"/>
        <v>1.0000708298730843</v>
      </c>
      <c r="L152" s="679">
        <f t="shared" si="69"/>
        <v>1.190173874787314E-2</v>
      </c>
      <c r="M152" s="678">
        <f t="shared" si="70"/>
        <v>1.0010361957076015</v>
      </c>
      <c r="N152" s="679">
        <f t="shared" si="71"/>
        <v>-4.5503884378341838E-2</v>
      </c>
      <c r="O152" s="677">
        <f t="shared" si="72"/>
        <v>357069.02237069031</v>
      </c>
      <c r="P152" s="680">
        <f t="shared" si="73"/>
        <v>1.5707935262159123</v>
      </c>
      <c r="Q152" s="689">
        <f t="shared" si="97"/>
        <v>14.317725335304377</v>
      </c>
      <c r="R152" s="690">
        <f t="shared" si="98"/>
        <v>1.5008959211464556</v>
      </c>
      <c r="S152" s="677">
        <f t="shared" si="76"/>
        <v>1.002105193777691</v>
      </c>
      <c r="T152" s="680">
        <f t="shared" si="77"/>
        <v>6.4830659404904262E-2</v>
      </c>
      <c r="U152" s="681">
        <f t="shared" si="89"/>
        <v>0.99073643315937188</v>
      </c>
      <c r="V152" s="682">
        <f t="shared" si="90"/>
        <v>-0.16425284578484831</v>
      </c>
      <c r="W152" s="683">
        <f t="shared" si="78"/>
        <v>-19.276004471034497</v>
      </c>
      <c r="X152" s="684">
        <f t="shared" si="79"/>
        <v>-108.23031142081375</v>
      </c>
      <c r="Y152" s="687">
        <f t="shared" si="80"/>
        <v>71.769688579186251</v>
      </c>
      <c r="AA152" s="170">
        <f t="shared" si="81"/>
        <v>8610.5</v>
      </c>
      <c r="AB152" s="170">
        <f t="shared" si="82"/>
        <v>74140710.25</v>
      </c>
      <c r="AD152" s="686">
        <f t="shared" si="83"/>
        <v>17.149620889015843</v>
      </c>
      <c r="AE152" s="687">
        <f t="shared" si="84"/>
        <v>-7.7193609443238742</v>
      </c>
      <c r="AG152" s="686">
        <f t="shared" si="85"/>
        <v>2.0123263295596368</v>
      </c>
      <c r="AH152" s="687">
        <f t="shared" si="86"/>
        <v>-81.688960782012657</v>
      </c>
      <c r="AJ152" s="170">
        <f t="shared" si="87"/>
        <v>0</v>
      </c>
      <c r="AK152" s="170">
        <f t="shared" si="99"/>
        <v>0</v>
      </c>
      <c r="AM152" s="170" t="str">
        <f t="shared" si="91"/>
        <v>0.027644936818795+0.233507239943166i</v>
      </c>
      <c r="AN152" s="170" t="str">
        <f t="shared" si="92"/>
        <v>0.235683083813627i</v>
      </c>
      <c r="AO152" s="170" t="str">
        <f t="shared" si="93"/>
        <v>0.990767925150786-0.117297076953796i</v>
      </c>
      <c r="AP152" s="170" t="str">
        <f t="shared" si="94"/>
        <v>0.162059177196867-0.038917873323861i</v>
      </c>
      <c r="AQ152" s="170" t="str">
        <f t="shared" si="95"/>
        <v>0.837940822803133+0.038917873323861i</v>
      </c>
      <c r="AR152" s="170" t="str">
        <f t="shared" si="96"/>
        <v>0.991963842448327-0.0460714194984678i</v>
      </c>
    </row>
    <row r="153" spans="7:44">
      <c r="G153" s="691">
        <v>8660.0499999999993</v>
      </c>
      <c r="H153" s="676">
        <f t="shared" si="88"/>
        <v>8.66005</v>
      </c>
      <c r="I153" s="677">
        <f t="shared" si="66"/>
        <v>69.825551087965792</v>
      </c>
      <c r="J153" s="678">
        <f t="shared" si="67"/>
        <v>1.55647443213961</v>
      </c>
      <c r="K153" s="678">
        <f t="shared" si="68"/>
        <v>1.0000716473848119</v>
      </c>
      <c r="L153" s="679">
        <f t="shared" si="69"/>
        <v>1.1970221993229429E-2</v>
      </c>
      <c r="M153" s="678">
        <f t="shared" si="70"/>
        <v>1.0010481495478771</v>
      </c>
      <c r="N153" s="679">
        <f t="shared" si="71"/>
        <v>-4.5765376682024538E-2</v>
      </c>
      <c r="O153" s="677">
        <f t="shared" si="72"/>
        <v>359123.81245934125</v>
      </c>
      <c r="P153" s="680">
        <f t="shared" si="73"/>
        <v>1.5707935422399177</v>
      </c>
      <c r="Q153" s="689">
        <f t="shared" si="97"/>
        <v>14.399717368022589</v>
      </c>
      <c r="R153" s="690">
        <f t="shared" si="98"/>
        <v>1.5012945782161553</v>
      </c>
      <c r="S153" s="677">
        <f t="shared" si="76"/>
        <v>1.0021294667794083</v>
      </c>
      <c r="T153" s="680">
        <f t="shared" si="77"/>
        <v>6.5202680560397741E-2</v>
      </c>
      <c r="U153" s="681">
        <f t="shared" si="89"/>
        <v>0.99063542584089448</v>
      </c>
      <c r="V153" s="682">
        <f t="shared" si="90"/>
        <v>-0.16518972607640353</v>
      </c>
      <c r="W153" s="683">
        <f t="shared" si="78"/>
        <v>-19.32706165489229</v>
      </c>
      <c r="X153" s="684">
        <f t="shared" si="79"/>
        <v>-108.2982455882733</v>
      </c>
      <c r="Y153" s="687">
        <f t="shared" si="80"/>
        <v>71.701754411726697</v>
      </c>
      <c r="AA153" s="170">
        <f t="shared" si="81"/>
        <v>8660.0499999999993</v>
      </c>
      <c r="AB153" s="170">
        <f t="shared" si="82"/>
        <v>74996466.002499983</v>
      </c>
      <c r="AD153" s="686">
        <f t="shared" si="83"/>
        <v>17.149168756932095</v>
      </c>
      <c r="AE153" s="687">
        <f t="shared" si="84"/>
        <v>-7.7178357369625363</v>
      </c>
      <c r="AG153" s="686">
        <f t="shared" si="85"/>
        <v>1.9634924514654941</v>
      </c>
      <c r="AH153" s="687">
        <f t="shared" si="86"/>
        <v>-81.651061583480683</v>
      </c>
      <c r="AJ153" s="170">
        <f t="shared" si="87"/>
        <v>0</v>
      </c>
      <c r="AK153" s="170">
        <f t="shared" si="99"/>
        <v>0</v>
      </c>
      <c r="AM153" s="170" t="str">
        <f t="shared" si="91"/>
        <v>0.027962528093219+0.234825793321505i</v>
      </c>
      <c r="AN153" s="170" t="str">
        <f t="shared" si="92"/>
        <v>0.237039346144846i</v>
      </c>
      <c r="AO153" s="170" t="str">
        <f t="shared" si="93"/>
        <v>0.990661664996374-0.117965766224026i</v>
      </c>
      <c r="AP153" s="170" t="str">
        <f t="shared" si="94"/>
        <v>0.162006245317797-0.0391376322202508i</v>
      </c>
      <c r="AQ153" s="170" t="str">
        <f t="shared" si="95"/>
        <v>0.837993754682203+0.0391376322202508i</v>
      </c>
      <c r="AR153" s="170" t="str">
        <f t="shared" si="96"/>
        <v>0.99187727841036-0.046324603152645i</v>
      </c>
    </row>
    <row r="154" spans="7:44">
      <c r="G154" s="691">
        <v>8709.6</v>
      </c>
      <c r="H154" s="676">
        <f t="shared" si="88"/>
        <v>8.7096</v>
      </c>
      <c r="I154" s="677">
        <f t="shared" si="66"/>
        <v>70.224988556450512</v>
      </c>
      <c r="J154" s="678">
        <f t="shared" si="67"/>
        <v>1.5565559001369746</v>
      </c>
      <c r="K154" s="678">
        <f t="shared" si="68"/>
        <v>1.0000724695868226</v>
      </c>
      <c r="L154" s="679">
        <f t="shared" si="69"/>
        <v>1.2038705126300942E-2</v>
      </c>
      <c r="M154" s="678">
        <f t="shared" si="70"/>
        <v>1.0010601718364107</v>
      </c>
      <c r="N154" s="679">
        <f t="shared" si="71"/>
        <v>-4.6026862722773738E-2</v>
      </c>
      <c r="O154" s="677">
        <f t="shared" si="72"/>
        <v>361178.60254799237</v>
      </c>
      <c r="P154" s="680">
        <f t="shared" si="73"/>
        <v>1.5707935580815982</v>
      </c>
      <c r="Q154" s="689">
        <f t="shared" si="97"/>
        <v>14.481711663337075</v>
      </c>
      <c r="R154" s="690">
        <f t="shared" si="98"/>
        <v>1.5016887210189003</v>
      </c>
      <c r="S154" s="677">
        <f t="shared" si="76"/>
        <v>1.0021538784688537</v>
      </c>
      <c r="T154" s="680">
        <f t="shared" si="77"/>
        <v>6.5574683643081957E-2</v>
      </c>
      <c r="U154" s="681">
        <f t="shared" si="89"/>
        <v>0.99053386839528379</v>
      </c>
      <c r="V154" s="682">
        <f t="shared" si="90"/>
        <v>-0.16612646505188822</v>
      </c>
      <c r="W154" s="683">
        <f t="shared" si="78"/>
        <v>-19.377836030840701</v>
      </c>
      <c r="X154" s="684">
        <f t="shared" si="79"/>
        <v>-108.36637519775225</v>
      </c>
      <c r="Y154" s="687">
        <f t="shared" si="80"/>
        <v>71.633624802247752</v>
      </c>
      <c r="AA154" s="170">
        <f t="shared" si="81"/>
        <v>8709.6</v>
      </c>
      <c r="AB154" s="170">
        <f t="shared" si="82"/>
        <v>75857132.160000011</v>
      </c>
      <c r="AD154" s="686">
        <f t="shared" si="83"/>
        <v>17.148719528994569</v>
      </c>
      <c r="AE154" s="687">
        <f t="shared" si="84"/>
        <v>-7.7165681321034301</v>
      </c>
      <c r="AG154" s="686">
        <f t="shared" si="85"/>
        <v>1.9149483057502508</v>
      </c>
      <c r="AH154" s="687">
        <f t="shared" si="86"/>
        <v>-81.613116418094691</v>
      </c>
      <c r="AJ154" s="170">
        <f t="shared" si="87"/>
        <v>0</v>
      </c>
      <c r="AK154" s="170">
        <f t="shared" si="99"/>
        <v>0</v>
      </c>
      <c r="AM154" s="170" t="str">
        <f t="shared" si="91"/>
        <v>0.028281907379278+0.236143914750191i</v>
      </c>
      <c r="AN154" s="170" t="str">
        <f t="shared" si="92"/>
        <v>0.238395608476066i</v>
      </c>
      <c r="AO154" s="170" t="str">
        <f t="shared" si="93"/>
        <v>0.990554801993758-0.118634347168007i</v>
      </c>
      <c r="AP154" s="170" t="str">
        <f t="shared" si="94"/>
        <v>0.161953015436787-0.0393573191250318i</v>
      </c>
      <c r="AQ154" s="170" t="str">
        <f t="shared" si="95"/>
        <v>0.838046984563213+0.0393573191250318i</v>
      </c>
      <c r="AR154" s="170" t="str">
        <f t="shared" si="96"/>
        <v>0.99179025328341-0.0465775860095908i</v>
      </c>
    </row>
    <row r="155" spans="7:44">
      <c r="G155" s="691">
        <v>8760.3250000000007</v>
      </c>
      <c r="H155" s="676">
        <f t="shared" si="88"/>
        <v>8.7603249999999999</v>
      </c>
      <c r="I155" s="677">
        <f t="shared" si="66"/>
        <v>70.633898530973795</v>
      </c>
      <c r="J155" s="678">
        <f t="shared" si="67"/>
        <v>1.5566383455755137</v>
      </c>
      <c r="K155" s="678">
        <f t="shared" si="68"/>
        <v>1.0000733161444795</v>
      </c>
      <c r="L155" s="679">
        <f t="shared" si="69"/>
        <v>1.2108812111743096E-2</v>
      </c>
      <c r="M155" s="678">
        <f t="shared" si="70"/>
        <v>1.0010725501141731</v>
      </c>
      <c r="N155" s="679">
        <f t="shared" si="71"/>
        <v>-4.6294542967472728E-2</v>
      </c>
      <c r="O155" s="677">
        <f t="shared" si="72"/>
        <v>363282.11873864487</v>
      </c>
      <c r="P155" s="680">
        <f t="shared" si="73"/>
        <v>1.5707935741133072</v>
      </c>
      <c r="Q155" s="689">
        <f t="shared" si="97"/>
        <v>14.565652627698569</v>
      </c>
      <c r="R155" s="690">
        <f t="shared" si="98"/>
        <v>1.5020876136535255</v>
      </c>
      <c r="S155" s="677">
        <f t="shared" si="76"/>
        <v>1.0021790126922443</v>
      </c>
      <c r="T155" s="680">
        <f t="shared" si="77"/>
        <v>6.5955489364545539E-2</v>
      </c>
      <c r="U155" s="681">
        <f t="shared" si="89"/>
        <v>0.99042933333797423</v>
      </c>
      <c r="V155" s="682">
        <f t="shared" si="90"/>
        <v>-0.16708527014714189</v>
      </c>
      <c r="W155" s="683">
        <f t="shared" si="78"/>
        <v>-19.429524951129945</v>
      </c>
      <c r="X155" s="684">
        <f t="shared" si="79"/>
        <v>-108.43631918749497</v>
      </c>
      <c r="Y155" s="687">
        <f t="shared" si="80"/>
        <v>71.563680812505027</v>
      </c>
      <c r="AA155" s="170">
        <f t="shared" si="81"/>
        <v>8760.3250000000007</v>
      </c>
      <c r="AB155" s="170">
        <f t="shared" si="82"/>
        <v>76743294.105625018</v>
      </c>
      <c r="AD155" s="686">
        <f t="shared" si="83"/>
        <v>17.148262560559573</v>
      </c>
      <c r="AE155" s="687">
        <f t="shared" si="84"/>
        <v>-7.7155327468629338</v>
      </c>
      <c r="AG155" s="686">
        <f t="shared" si="85"/>
        <v>1.8655497649783428</v>
      </c>
      <c r="AH155" s="687">
        <f t="shared" si="86"/>
        <v>-81.574224822285032</v>
      </c>
      <c r="AJ155" s="170">
        <f t="shared" si="87"/>
        <v>0</v>
      </c>
      <c r="AK155" s="170">
        <f t="shared" si="99"/>
        <v>0</v>
      </c>
      <c r="AM155" s="170" t="str">
        <f t="shared" si="91"/>
        <v>0.028610711741529+0.237492843379965i</v>
      </c>
      <c r="AN155" s="170" t="str">
        <f t="shared" si="92"/>
        <v>0.239784032426643i</v>
      </c>
      <c r="AO155" s="170" t="str">
        <f t="shared" si="93"/>
        <v>0.9904447805657-0.119318669604415i</v>
      </c>
      <c r="AP155" s="170" t="str">
        <f t="shared" si="94"/>
        <v>0.161898214709745-0.0395821405633275i</v>
      </c>
      <c r="AQ155" s="170" t="str">
        <f t="shared" si="95"/>
        <v>0.838101785290255+0.0395821405633275i</v>
      </c>
      <c r="AR155" s="170" t="str">
        <f t="shared" si="96"/>
        <v>0.991700687489618-0.046836358898064i</v>
      </c>
    </row>
    <row r="156" spans="7:44">
      <c r="G156" s="691">
        <v>8811.0499999999993</v>
      </c>
      <c r="H156" s="676">
        <f t="shared" si="88"/>
        <v>8.8110499999999998</v>
      </c>
      <c r="I156" s="677">
        <f t="shared" si="66"/>
        <v>71.04280898008642</v>
      </c>
      <c r="J156" s="678">
        <f t="shared" si="67"/>
        <v>1.5567198419304709</v>
      </c>
      <c r="K156" s="678">
        <f t="shared" si="68"/>
        <v>1.0000741676174776</v>
      </c>
      <c r="L156" s="679">
        <f t="shared" si="69"/>
        <v>1.2178918978150266E-2</v>
      </c>
      <c r="M156" s="678">
        <f t="shared" si="70"/>
        <v>1.0010850001197231</v>
      </c>
      <c r="N156" s="679">
        <f t="shared" si="71"/>
        <v>-4.6562216573333724E-2</v>
      </c>
      <c r="O156" s="677">
        <f t="shared" si="72"/>
        <v>365385.63492929738</v>
      </c>
      <c r="P156" s="680">
        <f t="shared" si="73"/>
        <v>1.5707935899604279</v>
      </c>
      <c r="Q156" s="689">
        <f t="shared" si="97"/>
        <v>14.649595883119005</v>
      </c>
      <c r="R156" s="690">
        <f t="shared" si="98"/>
        <v>1.5024819349823779</v>
      </c>
      <c r="S156" s="677">
        <f t="shared" si="76"/>
        <v>1.0022042922373156</v>
      </c>
      <c r="T156" s="680">
        <f t="shared" si="77"/>
        <v>6.6336275930381286E-2</v>
      </c>
      <c r="U156" s="681">
        <f t="shared" si="89"/>
        <v>0.99032422279735455</v>
      </c>
      <c r="V156" s="682">
        <f t="shared" si="90"/>
        <v>-0.16804392555458056</v>
      </c>
      <c r="W156" s="683">
        <f t="shared" si="78"/>
        <v>-19.480924453056851</v>
      </c>
      <c r="X156" s="684">
        <f t="shared" si="79"/>
        <v>-108.50646065713192</v>
      </c>
      <c r="Y156" s="687">
        <f t="shared" si="80"/>
        <v>71.493539342868075</v>
      </c>
      <c r="AA156" s="170">
        <f t="shared" si="81"/>
        <v>8811.0499999999993</v>
      </c>
      <c r="AB156" s="170">
        <f t="shared" si="82"/>
        <v>77634602.102499992</v>
      </c>
      <c r="AD156" s="686">
        <f t="shared" si="83"/>
        <v>17.147808443337141</v>
      </c>
      <c r="AE156" s="687">
        <f t="shared" si="84"/>
        <v>-7.7147581700376247</v>
      </c>
      <c r="AG156" s="686">
        <f t="shared" si="85"/>
        <v>1.8164480797157336</v>
      </c>
      <c r="AH156" s="687">
        <f t="shared" si="86"/>
        <v>-81.535287050914533</v>
      </c>
      <c r="AJ156" s="170">
        <f t="shared" si="87"/>
        <v>0</v>
      </c>
      <c r="AK156" s="170">
        <f t="shared" si="99"/>
        <v>0</v>
      </c>
      <c r="AM156" s="170" t="str">
        <f t="shared" si="91"/>
        <v>0.028941388671074+0.238841314189856i</v>
      </c>
      <c r="AN156" s="170" t="str">
        <f t="shared" si="92"/>
        <v>0.24117245637722i</v>
      </c>
      <c r="AO156" s="170" t="str">
        <f t="shared" si="93"/>
        <v>0.990334127609838-0.120002877218311i</v>
      </c>
      <c r="AP156" s="170" t="str">
        <f t="shared" si="94"/>
        <v>0.161843101888154-0.0398068856983093i</v>
      </c>
      <c r="AQ156" s="170" t="str">
        <f t="shared" si="95"/>
        <v>0.838156898111846+0.0398068856983093i</v>
      </c>
      <c r="AR156" s="170" t="str">
        <f t="shared" si="96"/>
        <v>0.991610639734357-0.047094919199562i</v>
      </c>
    </row>
    <row r="157" spans="7:44">
      <c r="G157" s="691">
        <v>8861.7749999999996</v>
      </c>
      <c r="H157" s="676">
        <f t="shared" si="88"/>
        <v>8.8617749999999997</v>
      </c>
      <c r="I157" s="677">
        <f t="shared" si="66"/>
        <v>71.451719895640338</v>
      </c>
      <c r="J157" s="678">
        <f t="shared" si="67"/>
        <v>1.55680040549528</v>
      </c>
      <c r="K157" s="678">
        <f t="shared" si="68"/>
        <v>1.0000750240058047</v>
      </c>
      <c r="L157" s="679">
        <f t="shared" si="69"/>
        <v>1.2249025724833613E-2</v>
      </c>
      <c r="M157" s="678">
        <f t="shared" si="70"/>
        <v>1.0010975218503848</v>
      </c>
      <c r="N157" s="679">
        <f t="shared" si="71"/>
        <v>-4.6829883502247996E-2</v>
      </c>
      <c r="O157" s="677">
        <f t="shared" si="72"/>
        <v>367489.15111995011</v>
      </c>
      <c r="P157" s="680">
        <f t="shared" si="73"/>
        <v>1.5707936056261302</v>
      </c>
      <c r="Q157" s="689">
        <f t="shared" si="97"/>
        <v>14.733541390438974</v>
      </c>
      <c r="R157" s="690">
        <f t="shared" si="98"/>
        <v>1.5028717630178907</v>
      </c>
      <c r="S157" s="677">
        <f t="shared" si="76"/>
        <v>1.0022297170930716</v>
      </c>
      <c r="T157" s="680">
        <f t="shared" si="77"/>
        <v>6.6717043231616091E-2</v>
      </c>
      <c r="U157" s="681">
        <f t="shared" si="89"/>
        <v>0.99021853730542264</v>
      </c>
      <c r="V157" s="682">
        <f t="shared" si="90"/>
        <v>-0.16900243047141233</v>
      </c>
      <c r="W157" s="683">
        <f t="shared" si="78"/>
        <v>-19.53203796633214</v>
      </c>
      <c r="X157" s="684">
        <f t="shared" si="79"/>
        <v>-108.57679601622229</v>
      </c>
      <c r="Y157" s="687">
        <f t="shared" si="80"/>
        <v>71.423203983777711</v>
      </c>
      <c r="AA157" s="170">
        <f t="shared" si="81"/>
        <v>8861.7749999999996</v>
      </c>
      <c r="AB157" s="170">
        <f t="shared" si="82"/>
        <v>78531056.15062499</v>
      </c>
      <c r="AD157" s="686">
        <f t="shared" si="83"/>
        <v>17.147357084155253</v>
      </c>
      <c r="AE157" s="687">
        <f t="shared" si="84"/>
        <v>-7.7142399257822394</v>
      </c>
      <c r="AG157" s="686">
        <f t="shared" si="85"/>
        <v>1.7676399073461861</v>
      </c>
      <c r="AH157" s="687">
        <f t="shared" si="86"/>
        <v>-81.496304081380742</v>
      </c>
      <c r="AJ157" s="170">
        <f t="shared" si="87"/>
        <v>0</v>
      </c>
      <c r="AK157" s="170">
        <f t="shared" si="99"/>
        <v>0</v>
      </c>
      <c r="AM157" s="170" t="str">
        <f t="shared" si="91"/>
        <v>0.02927393753046+0.240189324580388i</v>
      </c>
      <c r="AN157" s="170" t="str">
        <f t="shared" si="92"/>
        <v>0.242560880327798i</v>
      </c>
      <c r="AO157" s="170" t="str">
        <f t="shared" si="93"/>
        <v>0.990222843254011-0.120686969353422i</v>
      </c>
      <c r="AP157" s="170" t="str">
        <f t="shared" si="94"/>
        <v>0.161787677078257-0.0400315540967313i</v>
      </c>
      <c r="AQ157" s="170" t="str">
        <f t="shared" si="95"/>
        <v>0.838212322921743+0.0400315540967313i</v>
      </c>
      <c r="AR157" s="170" t="str">
        <f t="shared" si="96"/>
        <v>0.991520110656899-0.047353265828167i</v>
      </c>
    </row>
    <row r="158" spans="7:44">
      <c r="G158" s="688">
        <v>8912.5</v>
      </c>
      <c r="H158" s="676">
        <f t="shared" si="88"/>
        <v>8.9124999999999996</v>
      </c>
      <c r="I158" s="677">
        <f t="shared" si="66"/>
        <v>71.86063126967295</v>
      </c>
      <c r="J158" s="678">
        <f t="shared" si="67"/>
        <v>1.5568800521925639</v>
      </c>
      <c r="K158" s="678">
        <f t="shared" si="68"/>
        <v>1.000075885309448</v>
      </c>
      <c r="L158" s="679">
        <f t="shared" si="69"/>
        <v>1.2319132351104304E-2</v>
      </c>
      <c r="M158" s="678">
        <f t="shared" si="70"/>
        <v>1.0011101153034667</v>
      </c>
      <c r="N158" s="679">
        <f t="shared" si="71"/>
        <v>-4.7097543716112487E-2</v>
      </c>
      <c r="O158" s="677">
        <f t="shared" si="72"/>
        <v>369592.6673106029</v>
      </c>
      <c r="P158" s="680">
        <f t="shared" si="73"/>
        <v>1.5707936211135116</v>
      </c>
      <c r="Q158" s="689">
        <f t="shared" ref="Q158:Q214" si="100">SQRT(1+(G158/Zero2)^2)</f>
        <v>14.817489111385424</v>
      </c>
      <c r="R158" s="690">
        <f t="shared" ref="R158:R214" si="101">ATAN(G158/Zero2)</f>
        <v>1.5032571740101301</v>
      </c>
      <c r="S158" s="677">
        <f t="shared" si="76"/>
        <v>1.0022552872484534</v>
      </c>
      <c r="T158" s="680">
        <f t="shared" si="77"/>
        <v>6.7097791159310069E-2</v>
      </c>
      <c r="U158" s="681">
        <f t="shared" si="89"/>
        <v>0.9901122773967892</v>
      </c>
      <c r="V158" s="682">
        <f t="shared" si="90"/>
        <v>-0.16996078409591908</v>
      </c>
      <c r="W158" s="683">
        <f t="shared" si="78"/>
        <v>-19.582868860874548</v>
      </c>
      <c r="X158" s="684">
        <f t="shared" si="79"/>
        <v>-108.64732175411501</v>
      </c>
      <c r="Y158" s="687">
        <f t="shared" si="80"/>
        <v>71.352678245884988</v>
      </c>
      <c r="AA158" s="170">
        <f t="shared" si="81"/>
        <v>8912.5</v>
      </c>
      <c r="AB158" s="170">
        <f t="shared" si="82"/>
        <v>79432656.25</v>
      </c>
      <c r="AD158" s="686">
        <f t="shared" si="83"/>
        <v>17.146908392480064</v>
      </c>
      <c r="AE158" s="687">
        <f t="shared" si="84"/>
        <v>-7.713973639225463</v>
      </c>
      <c r="AG158" s="686">
        <f t="shared" si="85"/>
        <v>1.7191219623764278</v>
      </c>
      <c r="AH158" s="687">
        <f t="shared" si="86"/>
        <v>-81.457276869774162</v>
      </c>
      <c r="AJ158" s="170">
        <f t="shared" si="87"/>
        <v>0</v>
      </c>
      <c r="AK158" s="170">
        <f t="shared" si="99"/>
        <v>0</v>
      </c>
      <c r="AM158" s="170" t="str">
        <f t="shared" si="91"/>
        <v>0.029608357678626+0.241536871952973i</v>
      </c>
      <c r="AN158" s="170" t="str">
        <f t="shared" si="92"/>
        <v>0.243949304278375i</v>
      </c>
      <c r="AO158" s="170" t="str">
        <f t="shared" si="93"/>
        <v>0.990110927626794-0.121370945353627i</v>
      </c>
      <c r="AP158" s="170" t="str">
        <f t="shared" si="94"/>
        <v>0.161731940386896-0.0402561453254955i</v>
      </c>
      <c r="AQ158" s="170" t="str">
        <f t="shared" si="95"/>
        <v>0.838268059613104+0.0402561453254955i</v>
      </c>
      <c r="AR158" s="170" t="str">
        <f t="shared" si="96"/>
        <v>0.991429100899544-0.0476113977003466i</v>
      </c>
    </row>
    <row r="159" spans="7:44">
      <c r="G159" s="688">
        <v>8964.4</v>
      </c>
      <c r="H159" s="676">
        <f t="shared" si="88"/>
        <v>8.9643999999999995</v>
      </c>
      <c r="I159" s="677">
        <f t="shared" si="66"/>
        <v>72.279015182363807</v>
      </c>
      <c r="J159" s="678">
        <f t="shared" si="67"/>
        <v>1.5569606110938148</v>
      </c>
      <c r="K159" s="678">
        <f t="shared" si="68"/>
        <v>1.0000767716518428</v>
      </c>
      <c r="L159" s="679">
        <f t="shared" si="69"/>
        <v>1.2390862810349393E-2</v>
      </c>
      <c r="M159" s="678">
        <f t="shared" si="70"/>
        <v>1.0011230747037294</v>
      </c>
      <c r="N159" s="679">
        <f t="shared" si="71"/>
        <v>-4.7371397053449393E-2</v>
      </c>
      <c r="O159" s="677">
        <f t="shared" si="72"/>
        <v>371744.90960325702</v>
      </c>
      <c r="P159" s="680">
        <f t="shared" si="73"/>
        <v>1.5707936367782369</v>
      </c>
      <c r="Q159" s="689">
        <f t="shared" si="100"/>
        <v>14.9033836595551</v>
      </c>
      <c r="R159" s="690">
        <f t="shared" si="101"/>
        <v>1.5036470187378002</v>
      </c>
      <c r="S159" s="677">
        <f t="shared" si="76"/>
        <v>1.0022816000896053</v>
      </c>
      <c r="T159" s="680">
        <f t="shared" si="77"/>
        <v>6.7487338612303743E-2</v>
      </c>
      <c r="U159" s="681">
        <f t="shared" si="89"/>
        <v>0.99000296210159411</v>
      </c>
      <c r="V159" s="682">
        <f t="shared" si="90"/>
        <v>-0.17094117971421197</v>
      </c>
      <c r="W159" s="683">
        <f t="shared" si="78"/>
        <v>-19.634588147474002</v>
      </c>
      <c r="X159" s="684">
        <f t="shared" si="79"/>
        <v>-108.71967462321892</v>
      </c>
      <c r="Y159" s="687">
        <f t="shared" si="80"/>
        <v>71.280325376781079</v>
      </c>
      <c r="AA159" s="170">
        <f t="shared" si="81"/>
        <v>8964.4</v>
      </c>
      <c r="AB159" s="170">
        <f t="shared" si="82"/>
        <v>80360467.359999999</v>
      </c>
      <c r="AD159" s="686">
        <f t="shared" si="83"/>
        <v>17.146451976411576</v>
      </c>
      <c r="AE159" s="687">
        <f t="shared" si="84"/>
        <v>-7.7139575041637887</v>
      </c>
      <c r="AG159" s="686">
        <f t="shared" si="85"/>
        <v>1.6697771632220029</v>
      </c>
      <c r="AH159" s="687">
        <f t="shared" si="86"/>
        <v>-81.417300811448769</v>
      </c>
      <c r="AJ159" s="170">
        <f t="shared" si="87"/>
        <v>0</v>
      </c>
      <c r="AK159" s="170">
        <f t="shared" si="99"/>
        <v>0</v>
      </c>
      <c r="AM159" s="170" t="str">
        <f t="shared" si="91"/>
        <v>0.029952460513867+0.242915152135267i</v>
      </c>
      <c r="AN159" s="170" t="str">
        <f t="shared" si="92"/>
        <v>0.24536988984831i</v>
      </c>
      <c r="AO159" s="170" t="str">
        <f t="shared" si="93"/>
        <v>0.98999576633237-0.12207064417066i</v>
      </c>
      <c r="AP159" s="170" t="str">
        <f t="shared" si="94"/>
        <v>0.161674589914355-0.0404858586892112i</v>
      </c>
      <c r="AQ159" s="170" t="str">
        <f t="shared" si="95"/>
        <v>0.838325410085645+0.0404858586892112i</v>
      </c>
      <c r="AR159" s="170" t="str">
        <f t="shared" si="96"/>
        <v>0.991335486143669-0.0478752855666307i</v>
      </c>
    </row>
    <row r="160" spans="7:44">
      <c r="G160" s="688">
        <v>9016.2999999999993</v>
      </c>
      <c r="H160" s="676">
        <f t="shared" si="88"/>
        <v>9.0162999999999993</v>
      </c>
      <c r="I160" s="677">
        <f t="shared" si="66"/>
        <v>72.69739955872727</v>
      </c>
      <c r="J160" s="678">
        <f t="shared" si="67"/>
        <v>1.5570402427385954</v>
      </c>
      <c r="K160" s="678">
        <f t="shared" si="68"/>
        <v>1.0000776631398822</v>
      </c>
      <c r="L160" s="679">
        <f t="shared" si="69"/>
        <v>1.2462593142079793E-2</v>
      </c>
      <c r="M160" s="678">
        <f t="shared" si="70"/>
        <v>1.0011361091819215</v>
      </c>
      <c r="N160" s="679">
        <f t="shared" si="71"/>
        <v>-4.7645243280354001E-2</v>
      </c>
      <c r="O160" s="677">
        <f t="shared" si="72"/>
        <v>373897.15189591126</v>
      </c>
      <c r="P160" s="680">
        <f t="shared" si="73"/>
        <v>1.5707936522626225</v>
      </c>
      <c r="Q160" s="689">
        <f t="shared" si="100"/>
        <v>14.989280446765903</v>
      </c>
      <c r="R160" s="690">
        <f t="shared" si="101"/>
        <v>1.5040323954758339</v>
      </c>
      <c r="S160" s="677">
        <f t="shared" si="76"/>
        <v>1.0023080650162028</v>
      </c>
      <c r="T160" s="680">
        <f t="shared" si="77"/>
        <v>6.7876865553194624E-2</v>
      </c>
      <c r="U160" s="681">
        <f t="shared" si="89"/>
        <v>0.989893046610409</v>
      </c>
      <c r="V160" s="682">
        <f t="shared" si="90"/>
        <v>-0.1719214152553093</v>
      </c>
      <c r="W160" s="683">
        <f t="shared" si="78"/>
        <v>-19.686018522132926</v>
      </c>
      <c r="X160" s="684">
        <f t="shared" si="79"/>
        <v>-108.79221960396077</v>
      </c>
      <c r="Y160" s="687">
        <f t="shared" si="80"/>
        <v>71.207780396039226</v>
      </c>
      <c r="AA160" s="170">
        <f t="shared" si="81"/>
        <v>9016.2999999999993</v>
      </c>
      <c r="AB160" s="170">
        <f t="shared" si="82"/>
        <v>81293665.689999983</v>
      </c>
      <c r="AD160" s="686">
        <f t="shared" si="83"/>
        <v>17.145998169191458</v>
      </c>
      <c r="AE160" s="687">
        <f t="shared" si="84"/>
        <v>-7.7141961804618395</v>
      </c>
      <c r="AG160" s="686">
        <f t="shared" si="85"/>
        <v>1.6207294118881375</v>
      </c>
      <c r="AH160" s="687">
        <f t="shared" si="86"/>
        <v>-81.377280396897035</v>
      </c>
      <c r="AJ160" s="170">
        <f t="shared" si="87"/>
        <v>0</v>
      </c>
      <c r="AK160" s="170">
        <f t="shared" si="99"/>
        <v>0</v>
      </c>
      <c r="AM160" s="170" t="str">
        <f t="shared" si="91"/>
        <v>0.030298520966178+0.244292942099475i</v>
      </c>
      <c r="AN160" s="170" t="str">
        <f t="shared" si="92"/>
        <v>0.246790475418245i</v>
      </c>
      <c r="AO160" s="170" t="str">
        <f t="shared" si="93"/>
        <v>0.989879944456781-0.122770220020971i</v>
      </c>
      <c r="AP160" s="170" t="str">
        <f t="shared" si="94"/>
        <v>0.161616913172304-0.0407154903499125i</v>
      </c>
      <c r="AQ160" s="170" t="str">
        <f t="shared" si="95"/>
        <v>0.838383086827696+0.0407154903499125i</v>
      </c>
      <c r="AR160" s="170" t="str">
        <f t="shared" si="96"/>
        <v>0.991241369550975-0.048138946324762i</v>
      </c>
    </row>
    <row r="161" spans="7:44">
      <c r="G161" s="688">
        <v>9068.2000000000007</v>
      </c>
      <c r="H161" s="676">
        <f t="shared" si="88"/>
        <v>9.0682000000000009</v>
      </c>
      <c r="I161" s="677">
        <f t="shared" si="66"/>
        <v>73.115784390803682</v>
      </c>
      <c r="J161" s="678">
        <f t="shared" si="67"/>
        <v>1.5571189630437923</v>
      </c>
      <c r="K161" s="678">
        <f t="shared" si="68"/>
        <v>1.0000785597735524</v>
      </c>
      <c r="L161" s="679">
        <f t="shared" si="69"/>
        <v>1.2534323345557707E-2</v>
      </c>
      <c r="M161" s="678">
        <f t="shared" si="70"/>
        <v>1.0011492187351099</v>
      </c>
      <c r="N161" s="679">
        <f t="shared" si="71"/>
        <v>-4.79190823560324E-2</v>
      </c>
      <c r="O161" s="677">
        <f t="shared" si="72"/>
        <v>376049.39418856561</v>
      </c>
      <c r="P161" s="680">
        <f t="shared" si="73"/>
        <v>1.5707936675697642</v>
      </c>
      <c r="Q161" s="689">
        <f t="shared" si="100"/>
        <v>15.075179434744371</v>
      </c>
      <c r="R161" s="690">
        <f t="shared" si="101"/>
        <v>1.5044133804851352</v>
      </c>
      <c r="S161" s="677">
        <f t="shared" si="76"/>
        <v>1.0023346820161994</v>
      </c>
      <c r="T161" s="680">
        <f t="shared" si="77"/>
        <v>6.8266371865405406E-2</v>
      </c>
      <c r="U161" s="681">
        <f t="shared" si="89"/>
        <v>0.98978253150430362</v>
      </c>
      <c r="V161" s="682">
        <f t="shared" si="90"/>
        <v>-0.17290148986398021</v>
      </c>
      <c r="W161" s="683">
        <f t="shared" si="78"/>
        <v>-19.737163408974862</v>
      </c>
      <c r="X161" s="684">
        <f t="shared" si="79"/>
        <v>-108.86495318108497</v>
      </c>
      <c r="Y161" s="687">
        <f t="shared" si="80"/>
        <v>71.135046818915029</v>
      </c>
      <c r="AA161" s="170">
        <f t="shared" si="81"/>
        <v>9068.2000000000007</v>
      </c>
      <c r="AB161" s="170">
        <f t="shared" si="82"/>
        <v>82232251.24000001</v>
      </c>
      <c r="AD161" s="686">
        <f t="shared" si="83"/>
        <v>17.145546881855417</v>
      </c>
      <c r="AE161" s="687">
        <f t="shared" si="84"/>
        <v>-7.7146852921896736</v>
      </c>
      <c r="AG161" s="686">
        <f t="shared" si="85"/>
        <v>1.571975366572997</v>
      </c>
      <c r="AH161" s="687">
        <f t="shared" si="86"/>
        <v>-81.337216584795485</v>
      </c>
      <c r="AJ161" s="170">
        <f t="shared" si="87"/>
        <v>0</v>
      </c>
      <c r="AK161" s="170">
        <f t="shared" si="99"/>
        <v>0</v>
      </c>
      <c r="AM161" s="170" t="str">
        <f t="shared" si="91"/>
        <v>0.030646538337186+0.245670239065131i</v>
      </c>
      <c r="AN161" s="170" t="str">
        <f t="shared" si="92"/>
        <v>0.248211060988181i</v>
      </c>
      <c r="AO161" s="170" t="str">
        <f t="shared" si="93"/>
        <v>0.989763462140106-0.123469672202261i</v>
      </c>
      <c r="AP161" s="170" t="str">
        <f t="shared" si="94"/>
        <v>0.161558910277136-0.0409450398441885i</v>
      </c>
      <c r="AQ161" s="170" t="str">
        <f t="shared" si="95"/>
        <v>0.838441089722864+0.0409450398441885i</v>
      </c>
      <c r="AR161" s="170" t="str">
        <f t="shared" si="96"/>
        <v>0.991146751819216-0.0484023788219753i</v>
      </c>
    </row>
    <row r="162" spans="7:44">
      <c r="G162" s="688">
        <v>9120.1</v>
      </c>
      <c r="H162" s="676">
        <f t="shared" si="88"/>
        <v>9.1201000000000008</v>
      </c>
      <c r="I162" s="677">
        <f t="shared" si="66"/>
        <v>73.534169670814407</v>
      </c>
      <c r="J162" s="678">
        <f t="shared" si="67"/>
        <v>1.5571967875640904</v>
      </c>
      <c r="K162" s="678">
        <f t="shared" si="68"/>
        <v>1.0000794615528397</v>
      </c>
      <c r="L162" s="679">
        <f t="shared" si="69"/>
        <v>1.2606053420045341E-2</v>
      </c>
      <c r="M162" s="678">
        <f t="shared" si="70"/>
        <v>1.0011624033603459</v>
      </c>
      <c r="N162" s="679">
        <f t="shared" si="71"/>
        <v>-4.819291423969712E-2</v>
      </c>
      <c r="O162" s="677">
        <f t="shared" si="72"/>
        <v>378201.63648122014</v>
      </c>
      <c r="P162" s="680">
        <f t="shared" si="73"/>
        <v>1.5707936827026887</v>
      </c>
      <c r="Q162" s="689">
        <f t="shared" si="100"/>
        <v>15.161080586083457</v>
      </c>
      <c r="R162" s="690">
        <f t="shared" si="101"/>
        <v>1.5047900483034276</v>
      </c>
      <c r="S162" s="677">
        <f t="shared" si="76"/>
        <v>1.0023614510774799</v>
      </c>
      <c r="T162" s="680">
        <f t="shared" si="77"/>
        <v>6.8655857432396106E-2</v>
      </c>
      <c r="U162" s="681">
        <f t="shared" si="89"/>
        <v>0.98967141736718733</v>
      </c>
      <c r="V162" s="682">
        <f t="shared" si="90"/>
        <v>-0.17388140268618257</v>
      </c>
      <c r="W162" s="683">
        <f t="shared" si="78"/>
        <v>-19.788026172472023</v>
      </c>
      <c r="X162" s="684">
        <f t="shared" si="79"/>
        <v>-108.9378719173807</v>
      </c>
      <c r="Y162" s="687">
        <f t="shared" si="80"/>
        <v>71.062128082619296</v>
      </c>
      <c r="AA162" s="170">
        <f t="shared" si="81"/>
        <v>9120.1</v>
      </c>
      <c r="AB162" s="170">
        <f t="shared" si="82"/>
        <v>83176224.010000005</v>
      </c>
      <c r="AD162" s="686">
        <f t="shared" si="83"/>
        <v>17.145098027959289</v>
      </c>
      <c r="AE162" s="687">
        <f t="shared" si="84"/>
        <v>-7.7154205621464973</v>
      </c>
      <c r="AG162" s="686">
        <f t="shared" si="85"/>
        <v>1.5235117425722633</v>
      </c>
      <c r="AH162" s="687">
        <f t="shared" si="86"/>
        <v>-81.297110313000218</v>
      </c>
      <c r="AJ162" s="170">
        <f t="shared" si="87"/>
        <v>0</v>
      </c>
      <c r="AK162" s="170">
        <f t="shared" si="99"/>
        <v>0</v>
      </c>
      <c r="AM162" s="170" t="str">
        <f t="shared" si="91"/>
        <v>0.03099651192457+0.247047040252762i</v>
      </c>
      <c r="AN162" s="170" t="str">
        <f t="shared" si="92"/>
        <v>0.249631646558116i</v>
      </c>
      <c r="AO162" s="170" t="str">
        <f t="shared" si="93"/>
        <v>0.989646319523225-0.124169000012399i</v>
      </c>
      <c r="AP162" s="170" t="str">
        <f t="shared" si="94"/>
        <v>0.161500581345905-0.0411745067087937i</v>
      </c>
      <c r="AQ162" s="170" t="str">
        <f t="shared" si="95"/>
        <v>0.838499418654095+0.0411745067087937i</v>
      </c>
      <c r="AR162" s="170" t="str">
        <f t="shared" si="96"/>
        <v>0.991051633649426-0.0486655819081646i</v>
      </c>
    </row>
    <row r="163" spans="7:44">
      <c r="G163" s="688">
        <v>9173.2000000000007</v>
      </c>
      <c r="H163" s="676">
        <f t="shared" si="88"/>
        <v>9.1732000000000014</v>
      </c>
      <c r="I163" s="677">
        <f t="shared" si="66"/>
        <v>73.96222905457941</v>
      </c>
      <c r="J163" s="678">
        <f t="shared" si="67"/>
        <v>1.5572755002564804</v>
      </c>
      <c r="K163" s="678">
        <f t="shared" si="68"/>
        <v>1.000080389507954</v>
      </c>
      <c r="L163" s="679">
        <f t="shared" si="69"/>
        <v>1.2679441859097201E-2</v>
      </c>
      <c r="M163" s="678">
        <f t="shared" si="70"/>
        <v>1.0011759705250838</v>
      </c>
      <c r="N163" s="679">
        <f t="shared" si="71"/>
        <v>-4.8473070010492926E-2</v>
      </c>
      <c r="O163" s="677">
        <f t="shared" si="72"/>
        <v>380403.64160145045</v>
      </c>
      <c r="P163" s="680">
        <f t="shared" si="73"/>
        <v>1.5707936980082851</v>
      </c>
      <c r="Q163" s="689">
        <f t="shared" si="100"/>
        <v>15.248970092049877</v>
      </c>
      <c r="R163" s="690">
        <f t="shared" si="101"/>
        <v>1.5051710331107693</v>
      </c>
      <c r="S163" s="677">
        <f t="shared" si="76"/>
        <v>1.0023889964396198</v>
      </c>
      <c r="T163" s="680">
        <f t="shared" si="77"/>
        <v>6.9054326854266643E-2</v>
      </c>
      <c r="U163" s="681">
        <f t="shared" si="89"/>
        <v>0.98955711476222075</v>
      </c>
      <c r="V163" s="682">
        <f t="shared" si="90"/>
        <v>-0.17488380412200907</v>
      </c>
      <c r="W163" s="683">
        <f t="shared" si="78"/>
        <v>-19.839776418019529</v>
      </c>
      <c r="X163" s="684">
        <f t="shared" si="79"/>
        <v>-109.01266476120007</v>
      </c>
      <c r="Y163" s="687">
        <f t="shared" si="80"/>
        <v>70.987335238799929</v>
      </c>
      <c r="AA163" s="170">
        <f t="shared" si="81"/>
        <v>9173.2000000000007</v>
      </c>
      <c r="AB163" s="170">
        <f t="shared" si="82"/>
        <v>84147598.24000001</v>
      </c>
      <c r="AD163" s="686">
        <f t="shared" si="83"/>
        <v>17.144641226824774</v>
      </c>
      <c r="AE163" s="687">
        <f t="shared" si="84"/>
        <v>-7.7164232337126348</v>
      </c>
      <c r="AG163" s="686">
        <f t="shared" si="85"/>
        <v>1.4742247765362242</v>
      </c>
      <c r="AH163" s="687">
        <f t="shared" si="86"/>
        <v>-81.256033741820744</v>
      </c>
      <c r="AJ163" s="170">
        <f t="shared" si="87"/>
        <v>0</v>
      </c>
      <c r="AK163" s="170">
        <f t="shared" si="99"/>
        <v>0</v>
      </c>
      <c r="AM163" s="170" t="str">
        <f t="shared" si="91"/>
        <v>0.031356601235123+0.248455158990969i</v>
      </c>
      <c r="AN163" s="170" t="str">
        <f t="shared" si="92"/>
        <v>0.251085078037182i</v>
      </c>
      <c r="AO163" s="170" t="str">
        <f t="shared" si="93"/>
        <v>0.989525785176993-0.124884367801736i</v>
      </c>
      <c r="AP163" s="170" t="str">
        <f t="shared" si="94"/>
        <v>0.161440566460813-0.0414091931651615i</v>
      </c>
      <c r="AQ163" s="170" t="str">
        <f t="shared" si="95"/>
        <v>0.838559433539187+0.0414091931651615i</v>
      </c>
      <c r="AR163" s="170" t="str">
        <f t="shared" si="96"/>
        <v>0.99095379902211-0.048934631989373i</v>
      </c>
    </row>
    <row r="164" spans="7:44">
      <c r="G164" s="688">
        <v>9226.2999999999993</v>
      </c>
      <c r="H164" s="676">
        <f t="shared" si="88"/>
        <v>9.2262999999999984</v>
      </c>
      <c r="I164" s="677">
        <f t="shared" si="66"/>
        <v>74.390288891317553</v>
      </c>
      <c r="J164" s="678">
        <f t="shared" si="67"/>
        <v>1.55735330708535</v>
      </c>
      <c r="K164" s="678">
        <f t="shared" si="68"/>
        <v>1.0000813228493539</v>
      </c>
      <c r="L164" s="679">
        <f t="shared" si="69"/>
        <v>1.2752830161562518E-2</v>
      </c>
      <c r="M164" s="678">
        <f t="shared" si="70"/>
        <v>1.0011896162672431</v>
      </c>
      <c r="N164" s="679">
        <f t="shared" si="71"/>
        <v>-4.8753218166494305E-2</v>
      </c>
      <c r="O164" s="677">
        <f t="shared" si="72"/>
        <v>382605.64672168082</v>
      </c>
      <c r="P164" s="680">
        <f t="shared" si="73"/>
        <v>1.5707937131377052</v>
      </c>
      <c r="Q164" s="689">
        <f t="shared" si="100"/>
        <v>15.336861786027317</v>
      </c>
      <c r="R164" s="690">
        <f t="shared" si="101"/>
        <v>1.5055476513162129</v>
      </c>
      <c r="S164" s="677">
        <f t="shared" si="76"/>
        <v>1.0024167009501976</v>
      </c>
      <c r="T164" s="680">
        <f t="shared" si="77"/>
        <v>6.9452774313827501E-2</v>
      </c>
      <c r="U164" s="681">
        <f t="shared" si="89"/>
        <v>0.9894421863507461</v>
      </c>
      <c r="V164" s="682">
        <f t="shared" si="90"/>
        <v>-0.17588603439862921</v>
      </c>
      <c r="W164" s="683">
        <f t="shared" si="78"/>
        <v>-19.891238283073683</v>
      </c>
      <c r="X164" s="684">
        <f t="shared" si="79"/>
        <v>-109.08764438711096</v>
      </c>
      <c r="Y164" s="687">
        <f t="shared" si="80"/>
        <v>70.912355612889044</v>
      </c>
      <c r="AA164" s="170">
        <f t="shared" si="81"/>
        <v>9226.2999999999993</v>
      </c>
      <c r="AB164" s="170">
        <f t="shared" si="82"/>
        <v>85124611.689999983</v>
      </c>
      <c r="AD164" s="686">
        <f t="shared" si="83"/>
        <v>17.144186797608196</v>
      </c>
      <c r="AE164" s="687">
        <f t="shared" si="84"/>
        <v>-7.7176748246968208</v>
      </c>
      <c r="AG164" s="686">
        <f t="shared" si="85"/>
        <v>1.4252350382266952</v>
      </c>
      <c r="AH164" s="687">
        <f t="shared" si="86"/>
        <v>-81.214914646715073</v>
      </c>
      <c r="AJ164" s="170">
        <f t="shared" si="87"/>
        <v>0</v>
      </c>
      <c r="AK164" s="170">
        <f t="shared" si="99"/>
        <v>0</v>
      </c>
      <c r="AM164" s="170" t="str">
        <f t="shared" si="91"/>
        <v>0.0317187367687189+0.249862752876923i</v>
      </c>
      <c r="AN164" s="170" t="str">
        <f t="shared" si="92"/>
        <v>0.252538509516249i</v>
      </c>
      <c r="AO164" s="170" t="str">
        <f t="shared" si="93"/>
        <v>0.989404559944337-0.125599603915766i</v>
      </c>
      <c r="AP164" s="170" t="str">
        <f t="shared" si="94"/>
        <v>0.161380210538547-0.0416437921461538i</v>
      </c>
      <c r="AQ164" s="170" t="str">
        <f t="shared" si="95"/>
        <v>0.838619789461453+0.0416437921461538i</v>
      </c>
      <c r="AR164" s="170" t="str">
        <f t="shared" si="96"/>
        <v>0.990855442042641-0.0492034395012398i</v>
      </c>
    </row>
    <row r="165" spans="7:44">
      <c r="G165" s="688">
        <v>9279.4</v>
      </c>
      <c r="H165" s="676">
        <f t="shared" si="88"/>
        <v>9.279399999999999</v>
      </c>
      <c r="I165" s="677">
        <f t="shared" si="66"/>
        <v>74.818349173254077</v>
      </c>
      <c r="J165" s="678">
        <f t="shared" si="67"/>
        <v>1.5574302235979747</v>
      </c>
      <c r="K165" s="678">
        <f t="shared" si="68"/>
        <v>1.0000822615770248</v>
      </c>
      <c r="L165" s="679">
        <f t="shared" si="69"/>
        <v>1.2826218326651168E-2</v>
      </c>
      <c r="M165" s="678">
        <f t="shared" si="70"/>
        <v>1.0012033405836107</v>
      </c>
      <c r="N165" s="679">
        <f t="shared" si="71"/>
        <v>-4.9033358664039788E-2</v>
      </c>
      <c r="O165" s="677">
        <f t="shared" si="72"/>
        <v>384807.65184191137</v>
      </c>
      <c r="P165" s="680">
        <f t="shared" si="73"/>
        <v>1.5707937280939737</v>
      </c>
      <c r="Q165" s="689">
        <f t="shared" si="100"/>
        <v>15.424755630613312</v>
      </c>
      <c r="R165" s="690">
        <f t="shared" si="101"/>
        <v>1.5059199774577345</v>
      </c>
      <c r="S165" s="677">
        <f t="shared" si="76"/>
        <v>1.0024445645960189</v>
      </c>
      <c r="T165" s="680">
        <f t="shared" si="77"/>
        <v>6.9851199686389559E-2</v>
      </c>
      <c r="U165" s="681">
        <f t="shared" si="89"/>
        <v>0.98932663276725152</v>
      </c>
      <c r="V165" s="682">
        <f t="shared" si="90"/>
        <v>-0.17688809260529706</v>
      </c>
      <c r="W165" s="683">
        <f t="shared" si="78"/>
        <v>-19.942415185927757</v>
      </c>
      <c r="X165" s="684">
        <f t="shared" si="79"/>
        <v>-109.16280735358609</v>
      </c>
      <c r="Y165" s="687">
        <f t="shared" si="80"/>
        <v>70.837192646413911</v>
      </c>
      <c r="AA165" s="170">
        <f t="shared" si="81"/>
        <v>9279.4</v>
      </c>
      <c r="AB165" s="170">
        <f t="shared" si="82"/>
        <v>86107264.359999999</v>
      </c>
      <c r="AD165" s="686">
        <f t="shared" si="83"/>
        <v>17.14373465537798</v>
      </c>
      <c r="AE165" s="687">
        <f t="shared" si="84"/>
        <v>-7.7191710574167391</v>
      </c>
      <c r="AG165" s="686">
        <f t="shared" si="85"/>
        <v>1.3765391870236106</v>
      </c>
      <c r="AH165" s="687">
        <f t="shared" si="86"/>
        <v>-81.17375396820205</v>
      </c>
      <c r="AJ165" s="170">
        <f t="shared" si="87"/>
        <v>0</v>
      </c>
      <c r="AK165" s="170">
        <f t="shared" si="99"/>
        <v>0</v>
      </c>
      <c r="AM165" s="170" t="str">
        <f t="shared" si="91"/>
        <v>0.032082917760359+0.251269818937133i</v>
      </c>
      <c r="AN165" s="170" t="str">
        <f t="shared" si="92"/>
        <v>0.253991940995316i</v>
      </c>
      <c r="AO165" s="170" t="str">
        <f t="shared" si="93"/>
        <v>0.989282643978719-0.126314707603068i</v>
      </c>
      <c r="AP165" s="170" t="str">
        <f t="shared" si="94"/>
        <v>0.161319513706607-0.0418783031561888i</v>
      </c>
      <c r="AQ165" s="170" t="str">
        <f t="shared" si="95"/>
        <v>0.838680486293393+0.0418783031561888i</v>
      </c>
      <c r="AR165" s="170" t="str">
        <f t="shared" si="96"/>
        <v>0.99075656347237-0.0494720032207414i</v>
      </c>
    </row>
    <row r="166" spans="7:44">
      <c r="G166" s="688">
        <v>9332.5</v>
      </c>
      <c r="H166" s="676">
        <f t="shared" si="88"/>
        <v>9.3324999999999996</v>
      </c>
      <c r="I166" s="677">
        <f t="shared" si="66"/>
        <v>75.246409892791036</v>
      </c>
      <c r="J166" s="678">
        <f t="shared" si="67"/>
        <v>1.5575062649878917</v>
      </c>
      <c r="K166" s="678">
        <f t="shared" si="68"/>
        <v>1.0000832056909514</v>
      </c>
      <c r="L166" s="679">
        <f t="shared" si="69"/>
        <v>1.2899606353573024E-2</v>
      </c>
      <c r="M166" s="678">
        <f t="shared" si="70"/>
        <v>1.0012171434709558</v>
      </c>
      <c r="N166" s="679">
        <f t="shared" si="71"/>
        <v>-4.9313491459475091E-2</v>
      </c>
      <c r="O166" s="677">
        <f t="shared" si="72"/>
        <v>387009.65696214198</v>
      </c>
      <c r="P166" s="680">
        <f t="shared" si="73"/>
        <v>1.5707937428800458</v>
      </c>
      <c r="Q166" s="689">
        <f t="shared" si="100"/>
        <v>15.512651589252163</v>
      </c>
      <c r="R166" s="690">
        <f t="shared" si="101"/>
        <v>1.506288084388778</v>
      </c>
      <c r="S166" s="677">
        <f t="shared" si="76"/>
        <v>1.0024725873638138</v>
      </c>
      <c r="T166" s="680">
        <f t="shared" si="77"/>
        <v>7.0249602847305498E-2</v>
      </c>
      <c r="U166" s="681">
        <f t="shared" si="89"/>
        <v>0.98921045464929502</v>
      </c>
      <c r="V166" s="682">
        <f t="shared" si="90"/>
        <v>-0.17788997783259428</v>
      </c>
      <c r="W166" s="683">
        <f t="shared" si="78"/>
        <v>-19.993310485368511</v>
      </c>
      <c r="X166" s="684">
        <f t="shared" si="79"/>
        <v>-109.23815029542196</v>
      </c>
      <c r="Y166" s="687">
        <f t="shared" si="80"/>
        <v>70.76184970457804</v>
      </c>
      <c r="AA166" s="170">
        <f t="shared" si="81"/>
        <v>9332.5</v>
      </c>
      <c r="AB166" s="170">
        <f t="shared" si="82"/>
        <v>87095556.25</v>
      </c>
      <c r="AD166" s="686">
        <f t="shared" si="83"/>
        <v>17.14328471760949</v>
      </c>
      <c r="AE166" s="687">
        <f t="shared" si="84"/>
        <v>-7.7209077507050985</v>
      </c>
      <c r="AG166" s="686">
        <f t="shared" si="85"/>
        <v>1.3281339393699465</v>
      </c>
      <c r="AH166" s="687">
        <f t="shared" si="86"/>
        <v>-81.132552626457127</v>
      </c>
      <c r="AJ166" s="170">
        <f t="shared" si="87"/>
        <v>0</v>
      </c>
      <c r="AK166" s="170">
        <f t="shared" si="99"/>
        <v>0</v>
      </c>
      <c r="AM166" s="170" t="str">
        <f t="shared" si="91"/>
        <v>0.032449143440724+0.252676354199224i</v>
      </c>
      <c r="AN166" s="170" t="str">
        <f t="shared" si="92"/>
        <v>0.255445372474382i</v>
      </c>
      <c r="AO166" s="170" t="str">
        <f t="shared" si="93"/>
        <v>0.989160037434479-0.127029678112404i</v>
      </c>
      <c r="AP166" s="170" t="str">
        <f t="shared" si="94"/>
        <v>0.161258476093213-0.0421127256998707i</v>
      </c>
      <c r="AQ166" s="170" t="str">
        <f t="shared" si="95"/>
        <v>0.838741523906787+0.0421127256998707i</v>
      </c>
      <c r="AR166" s="170" t="str">
        <f t="shared" si="96"/>
        <v>0.990657164076179-0.0497403219278176i</v>
      </c>
    </row>
    <row r="167" spans="7:44">
      <c r="G167" s="688">
        <v>9386.85</v>
      </c>
      <c r="H167" s="676">
        <f t="shared" si="88"/>
        <v>9.3868500000000008</v>
      </c>
      <c r="I167" s="677">
        <f t="shared" si="66"/>
        <v>75.684547816686575</v>
      </c>
      <c r="J167" s="678">
        <f t="shared" si="67"/>
        <v>1.5575832056598333</v>
      </c>
      <c r="K167" s="678">
        <f t="shared" si="68"/>
        <v>1.000084177607707</v>
      </c>
      <c r="L167" s="679">
        <f t="shared" si="69"/>
        <v>1.2974721826673995E-2</v>
      </c>
      <c r="M167" s="678">
        <f t="shared" si="70"/>
        <v>1.0012313526487819</v>
      </c>
      <c r="N167" s="679">
        <f t="shared" si="71"/>
        <v>-4.9600210696313395E-2</v>
      </c>
      <c r="O167" s="677">
        <f t="shared" si="72"/>
        <v>389263.49836109753</v>
      </c>
      <c r="P167" s="680">
        <f t="shared" si="73"/>
        <v>1.570793757840951</v>
      </c>
      <c r="Q167" s="689">
        <f t="shared" si="100"/>
        <v>15.602618813792519</v>
      </c>
      <c r="R167" s="690">
        <f t="shared" si="101"/>
        <v>1.5066605616937463</v>
      </c>
      <c r="S167" s="677">
        <f t="shared" si="76"/>
        <v>1.0025014345721326</v>
      </c>
      <c r="T167" s="680">
        <f t="shared" si="77"/>
        <v>7.0657361481542502E-2</v>
      </c>
      <c r="U167" s="681">
        <f t="shared" si="89"/>
        <v>0.98909089554991081</v>
      </c>
      <c r="V167" s="682">
        <f t="shared" si="90"/>
        <v>-0.17891526784562581</v>
      </c>
      <c r="W167" s="683">
        <f t="shared" si="78"/>
        <v>-20.045115704605855</v>
      </c>
      <c r="X167" s="684">
        <f t="shared" si="79"/>
        <v>-109.31544979285975</v>
      </c>
      <c r="Y167" s="687">
        <f t="shared" si="80"/>
        <v>70.684550207140248</v>
      </c>
      <c r="AA167" s="170">
        <f t="shared" si="81"/>
        <v>9386.85</v>
      </c>
      <c r="AB167" s="170">
        <f t="shared" si="82"/>
        <v>88112952.922499999</v>
      </c>
      <c r="AD167" s="686">
        <f t="shared" si="83"/>
        <v>17.142826387308713</v>
      </c>
      <c r="AE167" s="687">
        <f t="shared" si="84"/>
        <v>-7.7229300791668463</v>
      </c>
      <c r="AG167" s="686">
        <f t="shared" si="85"/>
        <v>1.2788867854280259</v>
      </c>
      <c r="AH167" s="687">
        <f t="shared" si="86"/>
        <v>-81.09034021425164</v>
      </c>
      <c r="AJ167" s="170">
        <f t="shared" si="87"/>
        <v>0</v>
      </c>
      <c r="AK167" s="170">
        <f t="shared" si="99"/>
        <v>0</v>
      </c>
      <c r="AM167" s="170" t="str">
        <f t="shared" si="91"/>
        <v>0.032826106900165+0.254115447200892i</v>
      </c>
      <c r="AN167" s="170" t="str">
        <f t="shared" si="92"/>
        <v>0.256933018442128i</v>
      </c>
      <c r="AO167" s="170" t="str">
        <f t="shared" si="93"/>
        <v>0.989033829679346-0.127761340676262i</v>
      </c>
      <c r="AP167" s="170" t="str">
        <f t="shared" si="94"/>
        <v>0.161195648849973-0.042352574533482i</v>
      </c>
      <c r="AQ167" s="170" t="str">
        <f t="shared" si="95"/>
        <v>0.838804351150027+0.042352574533482i</v>
      </c>
      <c r="AR167" s="170" t="str">
        <f t="shared" si="96"/>
        <v>0.990554886210572-0.050014701986488i</v>
      </c>
    </row>
    <row r="168" spans="7:44">
      <c r="G168" s="688">
        <v>9441.2000000000007</v>
      </c>
      <c r="H168" s="676">
        <f t="shared" si="88"/>
        <v>9.4412000000000003</v>
      </c>
      <c r="I168" s="677">
        <f t="shared" si="66"/>
        <v>76.12268618346701</v>
      </c>
      <c r="J168" s="678">
        <f t="shared" si="67"/>
        <v>1.5576592606393469</v>
      </c>
      <c r="K168" s="678">
        <f t="shared" si="68"/>
        <v>1.0000851551672609</v>
      </c>
      <c r="L168" s="679">
        <f t="shared" si="69"/>
        <v>1.3049837153351597E-2</v>
      </c>
      <c r="M168" s="678">
        <f t="shared" si="70"/>
        <v>1.0012456441334159</v>
      </c>
      <c r="N168" s="679">
        <f t="shared" si="71"/>
        <v>-4.9886921771629629E-2</v>
      </c>
      <c r="O168" s="677">
        <f t="shared" si="72"/>
        <v>391517.33976005315</v>
      </c>
      <c r="P168" s="680">
        <f t="shared" si="73"/>
        <v>1.5707937726296057</v>
      </c>
      <c r="Q168" s="689">
        <f t="shared" si="100"/>
        <v>15.692588178208917</v>
      </c>
      <c r="R168" s="690">
        <f t="shared" si="101"/>
        <v>1.5070287680462111</v>
      </c>
      <c r="S168" s="677">
        <f t="shared" si="76"/>
        <v>1.0025304484538533</v>
      </c>
      <c r="T168" s="680">
        <f t="shared" si="77"/>
        <v>7.1065096581970244E-2</v>
      </c>
      <c r="U168" s="681">
        <f t="shared" si="89"/>
        <v>0.98897068352764017</v>
      </c>
      <c r="V168" s="682">
        <f t="shared" si="90"/>
        <v>-0.1799403747157996</v>
      </c>
      <c r="W168" s="683">
        <f t="shared" si="78"/>
        <v>-20.096632841542025</v>
      </c>
      <c r="X168" s="684">
        <f t="shared" si="79"/>
        <v>-109.39293094061128</v>
      </c>
      <c r="Y168" s="687">
        <f t="shared" si="80"/>
        <v>70.607069059388721</v>
      </c>
      <c r="AA168" s="170">
        <f t="shared" si="81"/>
        <v>9441.2000000000007</v>
      </c>
      <c r="AB168" s="170">
        <f t="shared" si="82"/>
        <v>89136257.440000013</v>
      </c>
      <c r="AD168" s="686">
        <f t="shared" si="83"/>
        <v>17.142370198911006</v>
      </c>
      <c r="AE168" s="687">
        <f t="shared" si="84"/>
        <v>-7.7251957569246583</v>
      </c>
      <c r="AG168" s="686">
        <f t="shared" si="85"/>
        <v>1.2299372946337295</v>
      </c>
      <c r="AH168" s="687">
        <f t="shared" si="86"/>
        <v>-81.048087089689517</v>
      </c>
      <c r="AJ168" s="170">
        <f t="shared" si="87"/>
        <v>0</v>
      </c>
      <c r="AK168" s="170">
        <f t="shared" si="99"/>
        <v>0</v>
      </c>
      <c r="AM168" s="170" t="str">
        <f t="shared" si="91"/>
        <v>0.03320521080259+0.255553977822174i</v>
      </c>
      <c r="AN168" s="170" t="str">
        <f t="shared" si="92"/>
        <v>0.258420664409873i</v>
      </c>
      <c r="AO168" s="170" t="str">
        <f t="shared" si="93"/>
        <v>0.988906898779765-0.128492862126243i</v>
      </c>
      <c r="AP168" s="170" t="str">
        <f t="shared" si="94"/>
        <v>0.161132464866235-0.042592329637029i</v>
      </c>
      <c r="AQ168" s="170" t="str">
        <f t="shared" si="95"/>
        <v>0.838867535133765+0.042592329637029i</v>
      </c>
      <c r="AR168" s="170" t="str">
        <f t="shared" si="96"/>
        <v>0.990452064342209-0.0502888227846514i</v>
      </c>
    </row>
    <row r="169" spans="7:44">
      <c r="G169" s="688">
        <v>9495.5499999999993</v>
      </c>
      <c r="H169" s="676">
        <f t="shared" si="88"/>
        <v>9.4955499999999997</v>
      </c>
      <c r="I169" s="677">
        <f t="shared" si="66"/>
        <v>76.560824985528726</v>
      </c>
      <c r="J169" s="678">
        <f t="shared" si="67"/>
        <v>1.5577344451313462</v>
      </c>
      <c r="K169" s="678">
        <f t="shared" si="68"/>
        <v>1.0000861383695965</v>
      </c>
      <c r="L169" s="679">
        <f t="shared" si="69"/>
        <v>1.3124952332758613E-2</v>
      </c>
      <c r="M169" s="678">
        <f t="shared" si="70"/>
        <v>1.0012600179213329</v>
      </c>
      <c r="N169" s="679">
        <f t="shared" si="71"/>
        <v>-5.0173624638637122E-2</v>
      </c>
      <c r="O169" s="677">
        <f t="shared" si="72"/>
        <v>393771.18115900882</v>
      </c>
      <c r="P169" s="680">
        <f t="shared" si="73"/>
        <v>1.5707937872489679</v>
      </c>
      <c r="Q169" s="689">
        <f t="shared" si="100"/>
        <v>15.782559645905902</v>
      </c>
      <c r="R169" s="690">
        <f t="shared" si="101"/>
        <v>1.5073927763875876</v>
      </c>
      <c r="S169" s="677">
        <f t="shared" si="76"/>
        <v>1.0025596289945047</v>
      </c>
      <c r="T169" s="680">
        <f t="shared" si="77"/>
        <v>7.1472808015067585E-2</v>
      </c>
      <c r="U169" s="681">
        <f t="shared" si="89"/>
        <v>0.98884981927604487</v>
      </c>
      <c r="V169" s="682">
        <f t="shared" si="90"/>
        <v>-0.18096529747233336</v>
      </c>
      <c r="W169" s="683">
        <f t="shared" si="78"/>
        <v>-20.147865312980294</v>
      </c>
      <c r="X169" s="684">
        <f t="shared" si="79"/>
        <v>-109.47059036488422</v>
      </c>
      <c r="Y169" s="687">
        <f t="shared" si="80"/>
        <v>70.529409635115783</v>
      </c>
      <c r="AA169" s="170">
        <f t="shared" si="81"/>
        <v>9495.5499999999993</v>
      </c>
      <c r="AB169" s="170">
        <f t="shared" si="82"/>
        <v>90165469.80249998</v>
      </c>
      <c r="AD169" s="686">
        <f t="shared" si="83"/>
        <v>17.141916071240836</v>
      </c>
      <c r="AE169" s="687">
        <f t="shared" si="84"/>
        <v>-7.7277005972625377</v>
      </c>
      <c r="AG169" s="686">
        <f t="shared" si="85"/>
        <v>1.1812821234191784</v>
      </c>
      <c r="AH169" s="687">
        <f t="shared" si="86"/>
        <v>-81.005794176937741</v>
      </c>
      <c r="AJ169" s="170">
        <f t="shared" si="87"/>
        <v>0</v>
      </c>
      <c r="AK169" s="170">
        <f t="shared" si="99"/>
        <v>0</v>
      </c>
      <c r="AM169" s="170" t="str">
        <f t="shared" si="91"/>
        <v>0.033586454309009+0.256991942879474i</v>
      </c>
      <c r="AN169" s="170" t="str">
        <f t="shared" si="92"/>
        <v>0.259908310377618i</v>
      </c>
      <c r="AO169" s="170" t="str">
        <f t="shared" si="93"/>
        <v>0.988779244904071-0.12922424165742i</v>
      </c>
      <c r="AP169" s="170" t="str">
        <f t="shared" si="94"/>
        <v>0.161068924281832-0.0428319904799123i</v>
      </c>
      <c r="AQ169" s="170" t="str">
        <f t="shared" si="95"/>
        <v>0.838931075718168+0.0428319904799123i</v>
      </c>
      <c r="AR169" s="170" t="str">
        <f t="shared" si="96"/>
        <v>0.990348699302682-0.0505626830237675i</v>
      </c>
    </row>
    <row r="170" spans="7:44">
      <c r="G170" s="688">
        <v>9549.9</v>
      </c>
      <c r="H170" s="676">
        <f t="shared" si="88"/>
        <v>9.5498999999999992</v>
      </c>
      <c r="I170" s="677">
        <f t="shared" si="66"/>
        <v>76.998964215441291</v>
      </c>
      <c r="J170" s="678">
        <f t="shared" si="67"/>
        <v>1.5578087739947082</v>
      </c>
      <c r="K170" s="678">
        <f t="shared" si="68"/>
        <v>1.0000871272146969</v>
      </c>
      <c r="L170" s="679">
        <f t="shared" si="69"/>
        <v>1.3200067364047836E-2</v>
      </c>
      <c r="M170" s="678">
        <f t="shared" si="70"/>
        <v>1.0012744740089885</v>
      </c>
      <c r="N170" s="679">
        <f t="shared" si="71"/>
        <v>-5.0460319250557314E-2</v>
      </c>
      <c r="O170" s="677">
        <f t="shared" si="72"/>
        <v>396025.02255796455</v>
      </c>
      <c r="P170" s="680">
        <f t="shared" si="73"/>
        <v>1.5707938017019276</v>
      </c>
      <c r="Q170" s="689">
        <f t="shared" si="100"/>
        <v>15.872533181116935</v>
      </c>
      <c r="R170" s="690">
        <f t="shared" si="101"/>
        <v>1.5077526580099241</v>
      </c>
      <c r="S170" s="677">
        <f t="shared" si="76"/>
        <v>1.0025889761795352</v>
      </c>
      <c r="T170" s="680">
        <f t="shared" si="77"/>
        <v>7.1880495647360432E-2</v>
      </c>
      <c r="U170" s="681">
        <f t="shared" si="89"/>
        <v>0.9887283034919867</v>
      </c>
      <c r="V170" s="682">
        <f t="shared" si="90"/>
        <v>-0.18199003514592521</v>
      </c>
      <c r="W170" s="683">
        <f t="shared" si="78"/>
        <v>-20.198816476260447</v>
      </c>
      <c r="X170" s="684">
        <f t="shared" si="79"/>
        <v>-109.54842476664544</v>
      </c>
      <c r="Y170" s="687">
        <f t="shared" si="80"/>
        <v>70.451575233354561</v>
      </c>
      <c r="AA170" s="170">
        <f t="shared" si="81"/>
        <v>9549.9</v>
      </c>
      <c r="AB170" s="170">
        <f t="shared" si="82"/>
        <v>91200590.00999999</v>
      </c>
      <c r="AD170" s="686">
        <f t="shared" si="83"/>
        <v>17.141463925425246</v>
      </c>
      <c r="AE170" s="687">
        <f t="shared" si="84"/>
        <v>-7.7304405079651275</v>
      </c>
      <c r="AG170" s="686">
        <f t="shared" si="85"/>
        <v>1.1329179853382234</v>
      </c>
      <c r="AH170" s="687">
        <f t="shared" si="86"/>
        <v>-80.963462380252452</v>
      </c>
      <c r="AJ170" s="170">
        <f t="shared" si="87"/>
        <v>0</v>
      </c>
      <c r="AK170" s="170">
        <f t="shared" si="99"/>
        <v>0</v>
      </c>
      <c r="AM170" s="170" t="str">
        <f t="shared" si="91"/>
        <v>0.033969836575695+0.258429339190445i</v>
      </c>
      <c r="AN170" s="170" t="str">
        <f t="shared" si="92"/>
        <v>0.261395956345364i</v>
      </c>
      <c r="AO170" s="170" t="str">
        <f t="shared" si="93"/>
        <v>0.988650868221544-0.129955478465065i</v>
      </c>
      <c r="AP170" s="170" t="str">
        <f t="shared" si="94"/>
        <v>0.161005027237384-0.0430715565317408i</v>
      </c>
      <c r="AQ170" s="170" t="str">
        <f t="shared" si="95"/>
        <v>0.838994972762616+0.0430715565317408i</v>
      </c>
      <c r="AR170" s="170" t="str">
        <f t="shared" si="96"/>
        <v>0.990244791927394-0.0508362814086019i</v>
      </c>
    </row>
    <row r="171" spans="7:44">
      <c r="G171" s="688">
        <v>9605.5249999999996</v>
      </c>
      <c r="H171" s="676">
        <f t="shared" si="88"/>
        <v>9.6055250000000001</v>
      </c>
      <c r="I171" s="677">
        <f t="shared" si="66"/>
        <v>77.447382216000506</v>
      </c>
      <c r="J171" s="678">
        <f t="shared" si="67"/>
        <v>1.5578839757242497</v>
      </c>
      <c r="K171" s="678">
        <f t="shared" si="68"/>
        <v>1.0000881451000372</v>
      </c>
      <c r="L171" s="679">
        <f t="shared" si="69"/>
        <v>1.3276944369231275E-2</v>
      </c>
      <c r="M171" s="678">
        <f t="shared" si="70"/>
        <v>1.0012893544375721</v>
      </c>
      <c r="N171" s="679">
        <f t="shared" si="71"/>
        <v>-5.0753730852398198E-2</v>
      </c>
      <c r="O171" s="677">
        <f t="shared" si="72"/>
        <v>398331.73696121975</v>
      </c>
      <c r="P171" s="680">
        <f t="shared" si="73"/>
        <v>1.5707938163245845</v>
      </c>
      <c r="Q171" s="689">
        <f t="shared" si="100"/>
        <v>15.964619515393023</v>
      </c>
      <c r="R171" s="690">
        <f t="shared" si="101"/>
        <v>1.508116781764516</v>
      </c>
      <c r="S171" s="677">
        <f t="shared" si="76"/>
        <v>1.0026191843609316</v>
      </c>
      <c r="T171" s="680">
        <f t="shared" si="77"/>
        <v>7.2297722464838829E-2</v>
      </c>
      <c r="U171" s="681">
        <f t="shared" si="89"/>
        <v>0.9886032631541205</v>
      </c>
      <c r="V171" s="682">
        <f t="shared" si="90"/>
        <v>-0.18303861954713305</v>
      </c>
      <c r="W171" s="683">
        <f t="shared" si="78"/>
        <v>-20.250675064236844</v>
      </c>
      <c r="X171" s="684">
        <f t="shared" si="79"/>
        <v>-109.62826290681009</v>
      </c>
      <c r="Y171" s="687">
        <f t="shared" si="80"/>
        <v>70.371737093189907</v>
      </c>
      <c r="AA171" s="170">
        <f t="shared" si="81"/>
        <v>9605.5249999999996</v>
      </c>
      <c r="AB171" s="170">
        <f t="shared" si="82"/>
        <v>92266110.52562499</v>
      </c>
      <c r="AD171" s="686">
        <f t="shared" si="83"/>
        <v>17.141003144858157</v>
      </c>
      <c r="AE171" s="687">
        <f t="shared" si="84"/>
        <v>-7.733483927167744</v>
      </c>
      <c r="AG171" s="686">
        <f t="shared" si="85"/>
        <v>1.0837172532091137</v>
      </c>
      <c r="AH171" s="687">
        <f t="shared" si="86"/>
        <v>-80.920098179772296</v>
      </c>
      <c r="AJ171" s="170">
        <f t="shared" si="87"/>
        <v>0</v>
      </c>
      <c r="AK171" s="170">
        <f t="shared" si="99"/>
        <v>0</v>
      </c>
      <c r="AM171" s="170" t="str">
        <f t="shared" si="91"/>
        <v>0.034364426353897+0.259899863234212i</v>
      </c>
      <c r="AN171" s="170" t="str">
        <f t="shared" si="92"/>
        <v>0.262918501091561i</v>
      </c>
      <c r="AO171" s="170" t="str">
        <f t="shared" si="93"/>
        <v>0.988518731679906-0.13070372077745i</v>
      </c>
      <c r="AP171" s="170" t="str">
        <f t="shared" si="94"/>
        <v>0.16093926227435-0.0433166438723687i</v>
      </c>
      <c r="AQ171" s="170" t="str">
        <f t="shared" si="95"/>
        <v>0.83906073772565+0.0433166438723687i</v>
      </c>
      <c r="AR171" s="170" t="str">
        <f t="shared" si="96"/>
        <v>0.990137886289346-0.0511160256660218i</v>
      </c>
    </row>
    <row r="172" spans="7:44">
      <c r="G172" s="688">
        <v>9661.15</v>
      </c>
      <c r="H172" s="676">
        <f t="shared" si="88"/>
        <v>9.6611499999999992</v>
      </c>
      <c r="I172" s="677">
        <f t="shared" si="66"/>
        <v>77.895800649505247</v>
      </c>
      <c r="J172" s="678">
        <f t="shared" si="67"/>
        <v>1.5579583116349602</v>
      </c>
      <c r="K172" s="678">
        <f t="shared" si="68"/>
        <v>1.0000891688959601</v>
      </c>
      <c r="L172" s="679">
        <f t="shared" si="69"/>
        <v>1.3353821217470365E-2</v>
      </c>
      <c r="M172" s="678">
        <f t="shared" si="70"/>
        <v>1.0013043210649584</v>
      </c>
      <c r="N172" s="679">
        <f t="shared" si="71"/>
        <v>-5.1047133708174014E-2</v>
      </c>
      <c r="O172" s="677">
        <f t="shared" si="72"/>
        <v>400638.45136447501</v>
      </c>
      <c r="P172" s="680">
        <f t="shared" si="73"/>
        <v>1.5707938307788587</v>
      </c>
      <c r="Q172" s="689">
        <f t="shared" si="100"/>
        <v>16.056707942077033</v>
      </c>
      <c r="R172" s="690">
        <f t="shared" si="101"/>
        <v>1.5084767289214753</v>
      </c>
      <c r="S172" s="677">
        <f t="shared" si="76"/>
        <v>1.0026495670659539</v>
      </c>
      <c r="T172" s="680">
        <f t="shared" si="77"/>
        <v>7.2714924068977491E-2</v>
      </c>
      <c r="U172" s="681">
        <f t="shared" si="89"/>
        <v>0.98847754184418724</v>
      </c>
      <c r="V172" s="682">
        <f t="shared" si="90"/>
        <v>-0.18408700803016848</v>
      </c>
      <c r="W172" s="683">
        <f t="shared" si="78"/>
        <v>-20.302245921806652</v>
      </c>
      <c r="X172" s="684">
        <f t="shared" si="79"/>
        <v>-109.70827756895683</v>
      </c>
      <c r="Y172" s="687">
        <f t="shared" si="80"/>
        <v>70.291722431043169</v>
      </c>
      <c r="AA172" s="170">
        <f t="shared" si="81"/>
        <v>9661.15</v>
      </c>
      <c r="AB172" s="170">
        <f t="shared" si="82"/>
        <v>93337819.32249999</v>
      </c>
      <c r="AD172" s="686">
        <f t="shared" si="83"/>
        <v>17.140544280105662</v>
      </c>
      <c r="AE172" s="687">
        <f t="shared" si="84"/>
        <v>-7.7367651935221309</v>
      </c>
      <c r="AG172" s="686">
        <f t="shared" si="85"/>
        <v>1.0348145811680614</v>
      </c>
      <c r="AH172" s="687">
        <f t="shared" si="86"/>
        <v>-80.876695104691294</v>
      </c>
      <c r="AJ172" s="170">
        <f t="shared" si="87"/>
        <v>0</v>
      </c>
      <c r="AK172" s="170">
        <f t="shared" si="99"/>
        <v>0</v>
      </c>
      <c r="AM172" s="170" t="str">
        <f t="shared" si="91"/>
        <v>0.034761254612534+0.261369784793175i</v>
      </c>
      <c r="AN172" s="170" t="str">
        <f t="shared" si="92"/>
        <v>0.264441045837758i</v>
      </c>
      <c r="AO172" s="170" t="str">
        <f t="shared" si="93"/>
        <v>0.988385838382793-0.131451811886499i</v>
      </c>
      <c r="AP172" s="170" t="str">
        <f t="shared" si="94"/>
        <v>0.160873124231244-0.0435616307988625i</v>
      </c>
      <c r="AQ172" s="170" t="str">
        <f t="shared" si="95"/>
        <v>0.839126875768756+0.0435616307988625i</v>
      </c>
      <c r="AR172" s="170" t="str">
        <f t="shared" si="96"/>
        <v>0.990030414354523-0.0513954929047482i</v>
      </c>
    </row>
    <row r="173" spans="7:44">
      <c r="G173" s="688">
        <v>9716.7749999999996</v>
      </c>
      <c r="H173" s="676">
        <f t="shared" si="88"/>
        <v>9.7167750000000002</v>
      </c>
      <c r="I173" s="677">
        <f t="shared" si="66"/>
        <v>78.344219508521334</v>
      </c>
      <c r="J173" s="678">
        <f t="shared" si="67"/>
        <v>1.5580317965930739</v>
      </c>
      <c r="K173" s="678">
        <f t="shared" si="68"/>
        <v>1.0000901986024475</v>
      </c>
      <c r="L173" s="679">
        <f t="shared" si="69"/>
        <v>1.3430697907856897E-2</v>
      </c>
      <c r="M173" s="678">
        <f t="shared" si="70"/>
        <v>1.0013193738872819</v>
      </c>
      <c r="N173" s="679">
        <f t="shared" si="71"/>
        <v>-5.1340527767762753E-2</v>
      </c>
      <c r="O173" s="677">
        <f t="shared" si="72"/>
        <v>402945.16576773039</v>
      </c>
      <c r="P173" s="680">
        <f t="shared" si="73"/>
        <v>1.570793845067642</v>
      </c>
      <c r="Q173" s="689">
        <f t="shared" si="100"/>
        <v>16.148798425373137</v>
      </c>
      <c r="R173" s="690">
        <f t="shared" si="101"/>
        <v>1.5088325708393893</v>
      </c>
      <c r="S173" s="677">
        <f t="shared" si="76"/>
        <v>1.0026801242787364</v>
      </c>
      <c r="T173" s="680">
        <f t="shared" si="77"/>
        <v>7.3132100316841198E-2</v>
      </c>
      <c r="U173" s="681">
        <f t="shared" si="89"/>
        <v>0.98835114031998816</v>
      </c>
      <c r="V173" s="682">
        <f t="shared" si="90"/>
        <v>-0.18513519956079039</v>
      </c>
      <c r="W173" s="683">
        <f t="shared" si="78"/>
        <v>-20.353532463541455</v>
      </c>
      <c r="X173" s="684">
        <f t="shared" si="79"/>
        <v>-109.78846544621101</v>
      </c>
      <c r="Y173" s="687">
        <f t="shared" si="80"/>
        <v>70.211534553788994</v>
      </c>
      <c r="AA173" s="170">
        <f t="shared" si="81"/>
        <v>9716.7749999999996</v>
      </c>
      <c r="AB173" s="170">
        <f t="shared" si="82"/>
        <v>94415716.40062499</v>
      </c>
      <c r="AD173" s="686">
        <f t="shared" si="83"/>
        <v>17.140087253608719</v>
      </c>
      <c r="AE173" s="687">
        <f t="shared" si="84"/>
        <v>-7.7402802104585104</v>
      </c>
      <c r="AG173" s="686">
        <f t="shared" si="85"/>
        <v>0.98620662352023947</v>
      </c>
      <c r="AH173" s="687">
        <f t="shared" si="86"/>
        <v>-80.833254063219826</v>
      </c>
      <c r="AJ173" s="170">
        <f t="shared" si="87"/>
        <v>0</v>
      </c>
      <c r="AK173" s="170">
        <f t="shared" si="99"/>
        <v>0</v>
      </c>
      <c r="AM173" s="170" t="str">
        <f t="shared" si="91"/>
        <v>0.035160320431701+0.262839100459848i</v>
      </c>
      <c r="AN173" s="170" t="str">
        <f t="shared" si="92"/>
        <v>0.265963590583956i</v>
      </c>
      <c r="AO173" s="170" t="str">
        <f t="shared" si="93"/>
        <v>0.988252188514797-0.132199750930201i</v>
      </c>
      <c r="AP173" s="170" t="str">
        <f t="shared" si="94"/>
        <v>0.160806613261383-0.043806516743308i</v>
      </c>
      <c r="AQ173" s="170" t="str">
        <f t="shared" si="95"/>
        <v>0.839193386738617+0.043806516743308i</v>
      </c>
      <c r="AR173" s="170" t="str">
        <f t="shared" si="96"/>
        <v>0.989922377030826-0.0516746817470846i</v>
      </c>
    </row>
    <row r="174" spans="7:44">
      <c r="G174" s="688">
        <v>9772.4</v>
      </c>
      <c r="H174" s="676">
        <f t="shared" si="88"/>
        <v>9.7723999999999993</v>
      </c>
      <c r="I174" s="677">
        <f t="shared" si="66"/>
        <v>78.792638785783879</v>
      </c>
      <c r="J174" s="678">
        <f t="shared" si="67"/>
        <v>1.5581044451264401</v>
      </c>
      <c r="K174" s="678">
        <f t="shared" si="68"/>
        <v>1.0000912342194814</v>
      </c>
      <c r="L174" s="679">
        <f t="shared" si="69"/>
        <v>1.3507574439482681E-2</v>
      </c>
      <c r="M174" s="678">
        <f t="shared" si="70"/>
        <v>1.0013345129006559</v>
      </c>
      <c r="N174" s="679">
        <f t="shared" si="71"/>
        <v>-5.1633912981051501E-2</v>
      </c>
      <c r="O174" s="677">
        <f t="shared" si="72"/>
        <v>405251.88017098577</v>
      </c>
      <c r="P174" s="680">
        <f t="shared" si="73"/>
        <v>1.5707938591937602</v>
      </c>
      <c r="Q174" s="689">
        <f t="shared" si="100"/>
        <v>16.240890930296601</v>
      </c>
      <c r="R174" s="690">
        <f t="shared" si="101"/>
        <v>1.5091843772625277</v>
      </c>
      <c r="S174" s="677">
        <f t="shared" si="76"/>
        <v>1.0027108559833258</v>
      </c>
      <c r="T174" s="680">
        <f t="shared" si="77"/>
        <v>7.3549251065547369E-2</v>
      </c>
      <c r="U174" s="681">
        <f t="shared" si="89"/>
        <v>0.98822405934292201</v>
      </c>
      <c r="V174" s="682">
        <f t="shared" si="90"/>
        <v>-0.18618319310642417</v>
      </c>
      <c r="W174" s="683">
        <f t="shared" si="78"/>
        <v>-20.404538044607435</v>
      </c>
      <c r="X174" s="684">
        <f t="shared" si="79"/>
        <v>-109.86882330489865</v>
      </c>
      <c r="Y174" s="687">
        <f t="shared" si="80"/>
        <v>70.131176695101345</v>
      </c>
      <c r="AA174" s="170">
        <f t="shared" si="81"/>
        <v>9772.4</v>
      </c>
      <c r="AB174" s="170">
        <f t="shared" si="82"/>
        <v>95499801.75999999</v>
      </c>
      <c r="AD174" s="686">
        <f t="shared" si="83"/>
        <v>17.139631990010237</v>
      </c>
      <c r="AE174" s="687">
        <f t="shared" si="84"/>
        <v>-7.7440249738998999</v>
      </c>
      <c r="AG174" s="686">
        <f t="shared" si="85"/>
        <v>0.93789009173133464</v>
      </c>
      <c r="AH174" s="687">
        <f t="shared" si="86"/>
        <v>-80.789775944085306</v>
      </c>
      <c r="AJ174" s="170">
        <f t="shared" si="87"/>
        <v>0</v>
      </c>
      <c r="AK174" s="170">
        <f t="shared" si="99"/>
        <v>0</v>
      </c>
      <c r="AM174" s="170" t="str">
        <f t="shared" si="91"/>
        <v>0.035561622886307+0.264307806828148i</v>
      </c>
      <c r="AN174" s="170" t="str">
        <f t="shared" si="92"/>
        <v>0.267486135330153i</v>
      </c>
      <c r="AO174" s="170" t="str">
        <f t="shared" si="93"/>
        <v>0.988117782261566-0.132947537046786i</v>
      </c>
      <c r="AP174" s="170" t="str">
        <f t="shared" si="94"/>
        <v>0.160739729518949-0.0440513011380247i</v>
      </c>
      <c r="AQ174" s="170" t="str">
        <f t="shared" si="95"/>
        <v>0.839260270481051+0.0440513011380247i</v>
      </c>
      <c r="AR174" s="170" t="str">
        <f t="shared" si="96"/>
        <v>0.989813775230273-0.0519535908190215i</v>
      </c>
    </row>
    <row r="175" spans="7:44">
      <c r="G175" s="688">
        <v>9829.2999999999993</v>
      </c>
      <c r="H175" s="676">
        <f t="shared" si="88"/>
        <v>9.8292999999999999</v>
      </c>
      <c r="I175" s="677">
        <f t="shared" si="66"/>
        <v>79.251336862826392</v>
      </c>
      <c r="J175" s="678">
        <f t="shared" si="67"/>
        <v>1.5581779082609826</v>
      </c>
      <c r="K175" s="678">
        <f t="shared" si="68"/>
        <v>1.0000922996895505</v>
      </c>
      <c r="L175" s="679">
        <f t="shared" si="69"/>
        <v>1.3586212919659271E-2</v>
      </c>
      <c r="M175" s="678">
        <f t="shared" si="70"/>
        <v>1.0013500880936674</v>
      </c>
      <c r="N175" s="679">
        <f t="shared" si="71"/>
        <v>-5.1934013773991171E-2</v>
      </c>
      <c r="O175" s="677">
        <f t="shared" si="72"/>
        <v>407611.46757854067</v>
      </c>
      <c r="P175" s="680">
        <f t="shared" si="73"/>
        <v>1.5707938734782469</v>
      </c>
      <c r="Q175" s="689">
        <f t="shared" si="100"/>
        <v>16.335096375621749</v>
      </c>
      <c r="R175" s="690">
        <f t="shared" si="101"/>
        <v>1.50954014332686</v>
      </c>
      <c r="S175" s="677">
        <f t="shared" si="76"/>
        <v>1.0027424726203193</v>
      </c>
      <c r="T175" s="680">
        <f t="shared" si="77"/>
        <v>7.3975936940389078E-2</v>
      </c>
      <c r="U175" s="681">
        <f t="shared" si="89"/>
        <v>0.9880933633037382</v>
      </c>
      <c r="V175" s="682">
        <f t="shared" si="90"/>
        <v>-0.18725500215826391</v>
      </c>
      <c r="W175" s="683">
        <f t="shared" si="78"/>
        <v>-20.456425484976041</v>
      </c>
      <c r="X175" s="684">
        <f t="shared" si="79"/>
        <v>-109.95119564777559</v>
      </c>
      <c r="Y175" s="687">
        <f t="shared" si="80"/>
        <v>70.048804352224408</v>
      </c>
      <c r="AA175" s="170">
        <f t="shared" si="81"/>
        <v>9829.2999999999993</v>
      </c>
      <c r="AB175" s="170">
        <f t="shared" si="82"/>
        <v>96615138.48999998</v>
      </c>
      <c r="AD175" s="686">
        <f t="shared" si="83"/>
        <v>17.139168038796917</v>
      </c>
      <c r="AE175" s="687">
        <f t="shared" si="84"/>
        <v>-7.7480891981714093</v>
      </c>
      <c r="AG175" s="686">
        <f t="shared" si="85"/>
        <v>0.88876423222021339</v>
      </c>
      <c r="AH175" s="687">
        <f t="shared" si="86"/>
        <v>-80.745263792321722</v>
      </c>
      <c r="AJ175" s="170">
        <f t="shared" si="87"/>
        <v>0</v>
      </c>
      <c r="AK175" s="170">
        <f t="shared" si="99"/>
        <v>0</v>
      </c>
      <c r="AM175" s="170" t="str">
        <f t="shared" si="91"/>
        <v>0.035974436887404+0.265809543969816i</v>
      </c>
      <c r="AN175" s="170" t="str">
        <f t="shared" si="92"/>
        <v>0.269043578854803i</v>
      </c>
      <c r="AO175" s="170" t="str">
        <f t="shared" si="93"/>
        <v>0.987979512840437-0.133712304305982i</v>
      </c>
      <c r="AP175" s="170" t="str">
        <f t="shared" si="94"/>
        <v>0.160670927185433-0.044301590661636i</v>
      </c>
      <c r="AQ175" s="170" t="str">
        <f t="shared" si="95"/>
        <v>0.839329072814567+0.044301590661636i</v>
      </c>
      <c r="AR175" s="170" t="str">
        <f t="shared" si="96"/>
        <v>0.989702101052147-0.0522386019713868i</v>
      </c>
    </row>
    <row r="176" spans="7:44">
      <c r="G176" s="688">
        <v>9886.2000000000007</v>
      </c>
      <c r="H176" s="676">
        <f t="shared" si="88"/>
        <v>9.8862000000000005</v>
      </c>
      <c r="I176" s="677">
        <f t="shared" si="66"/>
        <v>79.710035362652505</v>
      </c>
      <c r="J176" s="678">
        <f t="shared" si="67"/>
        <v>1.5582505258956081</v>
      </c>
      <c r="K176" s="678">
        <f t="shared" si="68"/>
        <v>1.000093371344188</v>
      </c>
      <c r="L176" s="679">
        <f t="shared" si="69"/>
        <v>1.3664851231791317E-2</v>
      </c>
      <c r="M176" s="678">
        <f t="shared" si="70"/>
        <v>1.0013657534659446</v>
      </c>
      <c r="N176" s="679">
        <f t="shared" si="71"/>
        <v>-5.2234105204399056E-2</v>
      </c>
      <c r="O176" s="677">
        <f t="shared" si="72"/>
        <v>409971.0549860957</v>
      </c>
      <c r="P176" s="680">
        <f t="shared" si="73"/>
        <v>1.570793887598305</v>
      </c>
      <c r="Q176" s="689">
        <f t="shared" si="100"/>
        <v>16.42930386476127</v>
      </c>
      <c r="R176" s="690">
        <f t="shared" si="101"/>
        <v>1.5098918294294665</v>
      </c>
      <c r="S176" s="677">
        <f t="shared" si="76"/>
        <v>1.0027742718059141</v>
      </c>
      <c r="T176" s="680">
        <f t="shared" si="77"/>
        <v>7.4402595831453727E-2</v>
      </c>
      <c r="U176" s="681">
        <f t="shared" si="89"/>
        <v>0.98796195792986519</v>
      </c>
      <c r="V176" s="682">
        <f t="shared" si="90"/>
        <v>-0.18832660186461339</v>
      </c>
      <c r="W176" s="683">
        <f t="shared" si="78"/>
        <v>-20.508025854574985</v>
      </c>
      <c r="X176" s="684">
        <f t="shared" si="79"/>
        <v>-110.03373923476738</v>
      </c>
      <c r="Y176" s="687">
        <f t="shared" si="80"/>
        <v>69.966260765232619</v>
      </c>
      <c r="AA176" s="170">
        <f t="shared" si="81"/>
        <v>9886.2000000000007</v>
      </c>
      <c r="AB176" s="170">
        <f t="shared" si="82"/>
        <v>97736950.440000013</v>
      </c>
      <c r="AD176" s="686">
        <f t="shared" si="83"/>
        <v>17.138705779452021</v>
      </c>
      <c r="AE176" s="687">
        <f t="shared" si="84"/>
        <v>-7.7523856315530271</v>
      </c>
      <c r="AG176" s="686">
        <f t="shared" si="85"/>
        <v>0.83993652808633246</v>
      </c>
      <c r="AH176" s="687">
        <f t="shared" si="86"/>
        <v>-80.700714664789018</v>
      </c>
      <c r="AJ176" s="170">
        <f t="shared" si="87"/>
        <v>0</v>
      </c>
      <c r="AK176" s="170">
        <f t="shared" si="99"/>
        <v>0</v>
      </c>
      <c r="AM176" s="170" t="str">
        <f t="shared" si="91"/>
        <v>0.036389589257675+0.267310636355921i</v>
      </c>
      <c r="AN176" s="170" t="str">
        <f t="shared" si="92"/>
        <v>0.270601022379452i</v>
      </c>
      <c r="AO176" s="170" t="str">
        <f t="shared" si="93"/>
        <v>0.987840452358243-0.134476909723746i</v>
      </c>
      <c r="AP176" s="170" t="str">
        <f t="shared" si="94"/>
        <v>0.160601735123721-0.0445517727259868i</v>
      </c>
      <c r="AQ176" s="170" t="str">
        <f t="shared" si="95"/>
        <v>0.839398264876279+0.0445517727259868i</v>
      </c>
      <c r="AR176" s="170" t="str">
        <f t="shared" si="96"/>
        <v>0.98958983816705-0.0525233174844157i</v>
      </c>
    </row>
    <row r="177" spans="7:44">
      <c r="G177" s="688">
        <v>9943.1</v>
      </c>
      <c r="H177" s="676">
        <f t="shared" si="88"/>
        <v>9.9431000000000012</v>
      </c>
      <c r="I177" s="677">
        <f t="shared" si="66"/>
        <v>80.168734278005161</v>
      </c>
      <c r="J177" s="678">
        <f t="shared" si="67"/>
        <v>1.5583223125425547</v>
      </c>
      <c r="K177" s="678">
        <f t="shared" si="68"/>
        <v>1.0000944491833734</v>
      </c>
      <c r="L177" s="679">
        <f t="shared" si="69"/>
        <v>1.3743489374906758E-2</v>
      </c>
      <c r="M177" s="678">
        <f t="shared" si="70"/>
        <v>1.0013815090132545</v>
      </c>
      <c r="N177" s="679">
        <f t="shared" si="71"/>
        <v>-5.2534187218666435E-2</v>
      </c>
      <c r="O177" s="677">
        <f t="shared" si="72"/>
        <v>412330.64239365066</v>
      </c>
      <c r="P177" s="680">
        <f t="shared" si="73"/>
        <v>1.5707939015567571</v>
      </c>
      <c r="Q177" s="689">
        <f t="shared" si="100"/>
        <v>16.523513362757239</v>
      </c>
      <c r="R177" s="690">
        <f t="shared" si="101"/>
        <v>1.5102395052688138</v>
      </c>
      <c r="S177" s="677">
        <f t="shared" si="76"/>
        <v>1.0028062535227444</v>
      </c>
      <c r="T177" s="680">
        <f t="shared" si="77"/>
        <v>7.4829227585979652E-2</v>
      </c>
      <c r="U177" s="681">
        <f t="shared" si="89"/>
        <v>0.98782984404784446</v>
      </c>
      <c r="V177" s="682">
        <f t="shared" si="90"/>
        <v>-0.18939799112570541</v>
      </c>
      <c r="W177" s="683">
        <f t="shared" si="78"/>
        <v>-20.559342560492937</v>
      </c>
      <c r="X177" s="684">
        <f t="shared" si="79"/>
        <v>-110.11645082931732</v>
      </c>
      <c r="Y177" s="687">
        <f t="shared" si="80"/>
        <v>69.883549170682684</v>
      </c>
      <c r="AA177" s="170">
        <f t="shared" si="81"/>
        <v>9943.1</v>
      </c>
      <c r="AB177" s="170">
        <f t="shared" si="82"/>
        <v>98865237.610000014</v>
      </c>
      <c r="AD177" s="686">
        <f t="shared" si="83"/>
        <v>17.138245137994762</v>
      </c>
      <c r="AE177" s="687">
        <f t="shared" si="84"/>
        <v>-7.7569102720259222</v>
      </c>
      <c r="AG177" s="686">
        <f t="shared" si="85"/>
        <v>0.79140363674428804</v>
      </c>
      <c r="AH177" s="687">
        <f t="shared" si="86"/>
        <v>-80.65612945297336</v>
      </c>
      <c r="AJ177" s="170">
        <f t="shared" si="87"/>
        <v>0</v>
      </c>
      <c r="AK177" s="170">
        <f t="shared" si="99"/>
        <v>0</v>
      </c>
      <c r="AM177" s="170" t="str">
        <f t="shared" si="91"/>
        <v>0.036807078990115+0.26881108034537i</v>
      </c>
      <c r="AN177" s="170" t="str">
        <f t="shared" si="92"/>
        <v>0.272158465904102i</v>
      </c>
      <c r="AO177" s="170" t="str">
        <f t="shared" si="93"/>
        <v>0.987700601017087-0.13524135237845i</v>
      </c>
      <c r="AP177" s="170" t="str">
        <f t="shared" si="94"/>
        <v>0.160532153501647-0.0448018467242283i</v>
      </c>
      <c r="AQ177" s="170" t="str">
        <f t="shared" si="95"/>
        <v>0.839467846498353+0.0448018467242283i</v>
      </c>
      <c r="AR177" s="170" t="str">
        <f t="shared" si="96"/>
        <v>0.989476987564415-0.052807735899506i</v>
      </c>
    </row>
    <row r="178" spans="7:44" s="327" customFormat="1">
      <c r="G178" s="762">
        <v>10000</v>
      </c>
      <c r="H178" s="763">
        <f t="shared" si="88"/>
        <v>10</v>
      </c>
      <c r="I178" s="764">
        <f t="shared" si="66"/>
        <v>80.627433601792433</v>
      </c>
      <c r="J178" s="765">
        <f t="shared" si="67"/>
        <v>1.5583932823838476</v>
      </c>
      <c r="K178" s="765">
        <f t="shared" si="68"/>
        <v>1.0000955332070873</v>
      </c>
      <c r="L178" s="766">
        <f t="shared" si="69"/>
        <v>1.3822127348033553E-2</v>
      </c>
      <c r="M178" s="765">
        <f t="shared" si="70"/>
        <v>1.0013973547313417</v>
      </c>
      <c r="N178" s="766">
        <f t="shared" si="71"/>
        <v>-5.2834259763194745E-2</v>
      </c>
      <c r="O178" s="764">
        <f t="shared" si="72"/>
        <v>414690.22980120574</v>
      </c>
      <c r="P178" s="767">
        <f t="shared" si="73"/>
        <v>1.5707939153563621</v>
      </c>
      <c r="Q178" s="768">
        <f t="shared" si="100"/>
        <v>16.61772483544372</v>
      </c>
      <c r="R178" s="769">
        <f t="shared" si="101"/>
        <v>1.5105832389667202</v>
      </c>
      <c r="S178" s="764">
        <f t="shared" si="76"/>
        <v>1.0028384177533465</v>
      </c>
      <c r="T178" s="767">
        <f t="shared" si="77"/>
        <v>7.5255832051264071E-2</v>
      </c>
      <c r="U178" s="770">
        <f t="shared" si="89"/>
        <v>0.98769702248810076</v>
      </c>
      <c r="V178" s="771">
        <f t="shared" si="90"/>
        <v>-0.1904691688436238</v>
      </c>
      <c r="W178" s="772">
        <f t="shared" si="78"/>
        <v>-20.610378950591159</v>
      </c>
      <c r="X178" s="773">
        <f t="shared" si="79"/>
        <v>-110.1993272663905</v>
      </c>
      <c r="Y178" s="774">
        <f t="shared" si="80"/>
        <v>69.800672733609503</v>
      </c>
      <c r="AA178" s="327">
        <f t="shared" si="81"/>
        <v>10000</v>
      </c>
      <c r="AB178" s="327">
        <f t="shared" si="82"/>
        <v>100000000</v>
      </c>
      <c r="AD178" s="775">
        <f t="shared" si="83"/>
        <v>17.137786042545592</v>
      </c>
      <c r="AE178" s="774">
        <f t="shared" si="84"/>
        <v>-7.7616592079062388</v>
      </c>
      <c r="AG178" s="775">
        <f>20*LOG10((K178*M178/(I178*U178))*Acs*Am)</f>
        <v>0.74316227268827473</v>
      </c>
      <c r="AH178" s="774">
        <f t="shared" si="86"/>
        <v>-80.611509029335565</v>
      </c>
      <c r="AJ178" s="327">
        <f t="shared" si="87"/>
        <v>0</v>
      </c>
      <c r="AK178" s="170">
        <f t="shared" si="99"/>
        <v>0</v>
      </c>
      <c r="AM178" s="327" t="str">
        <f t="shared" si="91"/>
        <v>0.037226905072048+0.270310872298641i</v>
      </c>
      <c r="AN178" s="327" t="str">
        <f t="shared" si="92"/>
        <v>0.273715909428752i</v>
      </c>
      <c r="AO178" s="327" t="str">
        <f t="shared" si="93"/>
        <v>0.987559959020221-0.136005631348726i</v>
      </c>
      <c r="AP178" s="327" t="str">
        <f t="shared" si="94"/>
        <v>0.160462182487992-0.0450518120497735i</v>
      </c>
      <c r="AQ178" s="327" t="str">
        <f t="shared" si="95"/>
        <v>0.839537817512008+0.0450518120497735i</v>
      </c>
      <c r="AR178" s="327" t="str">
        <f t="shared" si="96"/>
        <v>0.989363550238104-0.0530918557621571i</v>
      </c>
    </row>
    <row r="179" spans="7:44">
      <c r="G179" s="688">
        <v>10058.25</v>
      </c>
      <c r="H179" s="676">
        <f t="shared" si="88"/>
        <v>10.058249999999999</v>
      </c>
      <c r="I179" s="677">
        <f t="shared" si="66"/>
        <v>81.097016365807093</v>
      </c>
      <c r="J179" s="678">
        <f t="shared" si="67"/>
        <v>1.5584651044091924</v>
      </c>
      <c r="K179" s="678">
        <f t="shared" si="68"/>
        <v>1.0000966493565164</v>
      </c>
      <c r="L179" s="679">
        <f t="shared" si="69"/>
        <v>1.3902630895618563E-2</v>
      </c>
      <c r="M179" s="678">
        <f t="shared" si="70"/>
        <v>1.0014136698030707</v>
      </c>
      <c r="N179" s="679">
        <f t="shared" si="71"/>
        <v>-5.3141441913971778E-2</v>
      </c>
      <c r="O179" s="677">
        <f t="shared" si="72"/>
        <v>417105.80038978375</v>
      </c>
      <c r="P179" s="680">
        <f t="shared" si="73"/>
        <v>1.570793929321644</v>
      </c>
      <c r="Q179" s="689">
        <f t="shared" si="100"/>
        <v>16.71417356462722</v>
      </c>
      <c r="R179" s="690">
        <f t="shared" si="101"/>
        <v>1.5109311140009472</v>
      </c>
      <c r="S179" s="677">
        <f t="shared" si="76"/>
        <v>1.0028715341494143</v>
      </c>
      <c r="T179" s="680">
        <f t="shared" si="77"/>
        <v>7.5692529636134584E-2</v>
      </c>
      <c r="U179" s="681">
        <f t="shared" si="89"/>
        <v>0.98756031743476258</v>
      </c>
      <c r="V179" s="682">
        <f t="shared" si="90"/>
        <v>-0.19156554087150385</v>
      </c>
      <c r="W179" s="683">
        <f t="shared" si="78"/>
        <v>-20.662339285456337</v>
      </c>
      <c r="X179" s="684">
        <f t="shared" si="79"/>
        <v>-110.28433754008766</v>
      </c>
      <c r="Y179" s="687">
        <f t="shared" si="80"/>
        <v>69.715662459912338</v>
      </c>
      <c r="AA179" s="170">
        <f t="shared" si="81"/>
        <v>10058.25</v>
      </c>
      <c r="AB179" s="170">
        <f t="shared" si="82"/>
        <v>101168393.0625</v>
      </c>
      <c r="AD179" s="686">
        <f t="shared" si="83"/>
        <v>17.137317583222803</v>
      </c>
      <c r="AE179" s="687">
        <f t="shared" si="84"/>
        <v>-7.7667491653412331</v>
      </c>
      <c r="AG179" s="686">
        <f t="shared" si="85"/>
        <v>0.69407495473776104</v>
      </c>
      <c r="AH179" s="687">
        <f t="shared" si="86"/>
        <v>-80.565794365506775</v>
      </c>
      <c r="AJ179" s="170">
        <f t="shared" si="87"/>
        <v>0</v>
      </c>
      <c r="AK179" s="170">
        <f t="shared" si="99"/>
        <v>0</v>
      </c>
      <c r="AM179" s="170" t="str">
        <f t="shared" si="91"/>
        <v>0.037659110969835+0.271845568844946i</v>
      </c>
      <c r="AN179" s="170" t="str">
        <f t="shared" si="92"/>
        <v>0.275310304601174i</v>
      </c>
      <c r="AO179" s="170" t="str">
        <f t="shared" si="93"/>
        <v>0.987415161371285-0.136787872958077i</v>
      </c>
      <c r="AP179" s="170" t="str">
        <f t="shared" si="94"/>
        <v>0.160390148171694-0.045307594807491i</v>
      </c>
      <c r="AQ179" s="170" t="str">
        <f t="shared" si="95"/>
        <v>0.839609851828306+0.045307594807491i</v>
      </c>
      <c r="AR179" s="170" t="str">
        <f t="shared" si="96"/>
        <v>0.989246814789231-0.053382405829889i</v>
      </c>
    </row>
    <row r="180" spans="7:44">
      <c r="G180" s="688">
        <v>10116.5</v>
      </c>
      <c r="H180" s="676">
        <f t="shared" si="88"/>
        <v>10.1165</v>
      </c>
      <c r="I180" s="677">
        <f t="shared" si="66"/>
        <v>81.566599543336181</v>
      </c>
      <c r="J180" s="678">
        <f t="shared" si="67"/>
        <v>1.5585360994685913</v>
      </c>
      <c r="K180" s="678">
        <f t="shared" si="68"/>
        <v>1.0000977719873785</v>
      </c>
      <c r="L180" s="679">
        <f t="shared" si="69"/>
        <v>1.3983134262991437E-2</v>
      </c>
      <c r="M180" s="678">
        <f t="shared" si="70"/>
        <v>1.0014300793659843</v>
      </c>
      <c r="N180" s="679">
        <f t="shared" si="71"/>
        <v>-5.3448614026680073E-2</v>
      </c>
      <c r="O180" s="677">
        <f t="shared" si="72"/>
        <v>419521.37097836187</v>
      </c>
      <c r="P180" s="680">
        <f t="shared" si="73"/>
        <v>1.5707939431261035</v>
      </c>
      <c r="Q180" s="689">
        <f t="shared" si="100"/>
        <v>16.810624293300439</v>
      </c>
      <c r="R180" s="690">
        <f t="shared" si="101"/>
        <v>1.5112749972198201</v>
      </c>
      <c r="S180" s="677">
        <f t="shared" si="76"/>
        <v>1.0029048417852264</v>
      </c>
      <c r="T180" s="680">
        <f t="shared" si="77"/>
        <v>7.6129198297806289E-2</v>
      </c>
      <c r="U180" s="681">
        <f t="shared" si="89"/>
        <v>0.98742287249846361</v>
      </c>
      <c r="V180" s="682">
        <f t="shared" si="90"/>
        <v>-0.19266168887648485</v>
      </c>
      <c r="W180" s="683">
        <f t="shared" si="78"/>
        <v>-20.714012761400504</v>
      </c>
      <c r="X180" s="684">
        <f t="shared" si="79"/>
        <v>-110.36951407952706</v>
      </c>
      <c r="Y180" s="687">
        <f t="shared" si="80"/>
        <v>69.630485920472935</v>
      </c>
      <c r="AA180" s="170">
        <f t="shared" si="81"/>
        <v>10116.5</v>
      </c>
      <c r="AB180" s="170">
        <f t="shared" si="82"/>
        <v>102343572.25</v>
      </c>
      <c r="AD180" s="686">
        <f t="shared" si="83"/>
        <v>17.136850598134405</v>
      </c>
      <c r="AE180" s="687">
        <f t="shared" si="84"/>
        <v>-7.7720661705572027</v>
      </c>
      <c r="AG180" s="686">
        <f t="shared" si="85"/>
        <v>0.64528637114524001</v>
      </c>
      <c r="AH180" s="687">
        <f t="shared" si="86"/>
        <v>-80.520044590772471</v>
      </c>
      <c r="AJ180" s="170">
        <f t="shared" si="87"/>
        <v>0</v>
      </c>
      <c r="AK180" s="170">
        <f t="shared" si="99"/>
        <v>0</v>
      </c>
      <c r="AM180" s="170" t="str">
        <f t="shared" si="91"/>
        <v>0.038093763229997+0.273379574333874i</v>
      </c>
      <c r="AN180" s="170" t="str">
        <f t="shared" si="92"/>
        <v>0.276904699773597i</v>
      </c>
      <c r="AO180" s="170" t="str">
        <f t="shared" si="93"/>
        <v>0.987269535538381-0.137569941070496i</v>
      </c>
      <c r="AP180" s="170" t="str">
        <f t="shared" si="94"/>
        <v>0.160317706128334-0.045563262388979i</v>
      </c>
      <c r="AQ180" s="170" t="str">
        <f t="shared" si="95"/>
        <v>0.839682293871666+0.045563262388979i</v>
      </c>
      <c r="AR180" s="170" t="str">
        <f t="shared" si="96"/>
        <v>0.98912946656739-0.0536726399387062i</v>
      </c>
    </row>
    <row r="181" spans="7:44">
      <c r="G181" s="688">
        <v>10174.75</v>
      </c>
      <c r="H181" s="676">
        <f t="shared" si="88"/>
        <v>10.17475</v>
      </c>
      <c r="I181" s="677">
        <f t="shared" si="66"/>
        <v>82.03618312727869</v>
      </c>
      <c r="J181" s="678">
        <f t="shared" si="67"/>
        <v>1.5586062817622373</v>
      </c>
      <c r="K181" s="678">
        <f t="shared" si="68"/>
        <v>1.0000989010996517</v>
      </c>
      <c r="L181" s="679">
        <f t="shared" si="69"/>
        <v>1.4063637449109332E-2</v>
      </c>
      <c r="M181" s="678">
        <f t="shared" si="70"/>
        <v>1.0014465834154376</v>
      </c>
      <c r="N181" s="679">
        <f t="shared" si="71"/>
        <v>-5.3755776043848236E-2</v>
      </c>
      <c r="O181" s="677">
        <f t="shared" si="72"/>
        <v>421936.94156693999</v>
      </c>
      <c r="P181" s="680">
        <f t="shared" si="73"/>
        <v>1.5707939567725036</v>
      </c>
      <c r="Q181" s="689">
        <f t="shared" si="100"/>
        <v>16.907076987243581</v>
      </c>
      <c r="R181" s="690">
        <f t="shared" si="101"/>
        <v>1.5116149568596779</v>
      </c>
      <c r="S181" s="677">
        <f t="shared" si="76"/>
        <v>1.0029383406417294</v>
      </c>
      <c r="T181" s="680">
        <f t="shared" si="77"/>
        <v>7.6565837872641568E-2</v>
      </c>
      <c r="U181" s="681">
        <f t="shared" si="89"/>
        <v>0.98728468858267171</v>
      </c>
      <c r="V181" s="682">
        <f t="shared" si="90"/>
        <v>-0.19375761168671665</v>
      </c>
      <c r="W181" s="683">
        <f t="shared" si="78"/>
        <v>-20.765402786193196</v>
      </c>
      <c r="X181" s="684">
        <f t="shared" si="79"/>
        <v>-110.45485370907292</v>
      </c>
      <c r="Y181" s="687">
        <f t="shared" si="80"/>
        <v>69.545146290927079</v>
      </c>
      <c r="AA181" s="170">
        <f t="shared" si="81"/>
        <v>10174.75</v>
      </c>
      <c r="AB181" s="170">
        <f t="shared" si="82"/>
        <v>103525537.5625</v>
      </c>
      <c r="AD181" s="686">
        <f t="shared" si="83"/>
        <v>17.136385016552389</v>
      </c>
      <c r="AE181" s="687">
        <f t="shared" si="84"/>
        <v>-7.7776063046824584</v>
      </c>
      <c r="AG181" s="686">
        <f t="shared" si="85"/>
        <v>0.59679317450076463</v>
      </c>
      <c r="AH181" s="687">
        <f t="shared" si="86"/>
        <v>-80.474260582652775</v>
      </c>
      <c r="AJ181" s="170">
        <f t="shared" si="87"/>
        <v>0</v>
      </c>
      <c r="AK181" s="170">
        <f t="shared" si="99"/>
        <v>0</v>
      </c>
      <c r="AM181" s="170" t="str">
        <f t="shared" si="91"/>
        <v>0.038530860747604+0.274912884865835i</v>
      </c>
      <c r="AN181" s="170" t="str">
        <f t="shared" si="92"/>
        <v>0.278499094946019i</v>
      </c>
      <c r="AO181" s="170" t="str">
        <f t="shared" si="93"/>
        <v>0.987123081743303-0.138351834698322i</v>
      </c>
      <c r="AP181" s="170" t="str">
        <f t="shared" si="94"/>
        <v>0.160244856542066-0.0458188141443058i</v>
      </c>
      <c r="AQ181" s="170" t="str">
        <f t="shared" si="95"/>
        <v>0.839755143457934+0.0458188141443058i</v>
      </c>
      <c r="AR181" s="170" t="str">
        <f t="shared" si="96"/>
        <v>0.989011506653158-0.0539625565415675i</v>
      </c>
    </row>
    <row r="182" spans="7:44">
      <c r="G182" s="688">
        <v>10233</v>
      </c>
      <c r="H182" s="676">
        <f t="shared" si="88"/>
        <v>10.233000000000001</v>
      </c>
      <c r="I182" s="677">
        <f t="shared" si="66"/>
        <v>82.505767110695274</v>
      </c>
      <c r="J182" s="678">
        <f t="shared" si="67"/>
        <v>1.5586756651670735</v>
      </c>
      <c r="K182" s="678">
        <f t="shared" si="68"/>
        <v>1.0001000366933144</v>
      </c>
      <c r="L182" s="679">
        <f t="shared" si="69"/>
        <v>1.4144140452929419E-2</v>
      </c>
      <c r="M182" s="678">
        <f t="shared" si="70"/>
        <v>1.0014631819467594</v>
      </c>
      <c r="N182" s="679">
        <f t="shared" si="71"/>
        <v>-5.4062927908016291E-2</v>
      </c>
      <c r="O182" s="677">
        <f t="shared" si="72"/>
        <v>424352.51215551828</v>
      </c>
      <c r="P182" s="680">
        <f t="shared" si="73"/>
        <v>1.5707939702635427</v>
      </c>
      <c r="Q182" s="689">
        <f t="shared" si="100"/>
        <v>17.003531613012601</v>
      </c>
      <c r="R182" s="690">
        <f t="shared" si="101"/>
        <v>1.5119510596122192</v>
      </c>
      <c r="S182" s="677">
        <f t="shared" si="76"/>
        <v>1.0029720306997632</v>
      </c>
      <c r="T182" s="680">
        <f t="shared" si="77"/>
        <v>7.7002448197069029E-2</v>
      </c>
      <c r="U182" s="681">
        <f t="shared" si="89"/>
        <v>0.98714576659505637</v>
      </c>
      <c r="V182" s="682">
        <f t="shared" si="90"/>
        <v>-0.19485330813243912</v>
      </c>
      <c r="W182" s="683">
        <f t="shared" si="78"/>
        <v>-20.816512708364176</v>
      </c>
      <c r="X182" s="684">
        <f t="shared" si="79"/>
        <v>-110.54035332319053</v>
      </c>
      <c r="Y182" s="687">
        <f t="shared" si="80"/>
        <v>69.45964667680947</v>
      </c>
      <c r="AA182" s="170">
        <f t="shared" si="81"/>
        <v>10233</v>
      </c>
      <c r="AB182" s="170">
        <f t="shared" si="82"/>
        <v>104714289</v>
      </c>
      <c r="AD182" s="686">
        <f t="shared" si="83"/>
        <v>17.135920769760173</v>
      </c>
      <c r="AE182" s="687">
        <f t="shared" si="84"/>
        <v>-7.7833657373468377</v>
      </c>
      <c r="AG182" s="686">
        <f t="shared" si="85"/>
        <v>0.54859207457220704</v>
      </c>
      <c r="AH182" s="687">
        <f t="shared" si="86"/>
        <v>-80.428443200027786</v>
      </c>
      <c r="AJ182" s="170">
        <f t="shared" si="87"/>
        <v>0</v>
      </c>
      <c r="AK182" s="170">
        <f t="shared" si="99"/>
        <v>0</v>
      </c>
      <c r="AM182" s="170" t="str">
        <f t="shared" si="91"/>
        <v>0.0389704024115129+0.27644549654301i</v>
      </c>
      <c r="AN182" s="170" t="str">
        <f t="shared" si="92"/>
        <v>0.280093490118442i</v>
      </c>
      <c r="AO182" s="170" t="str">
        <f t="shared" si="93"/>
        <v>0.986975800209104-0.139133552854205i</v>
      </c>
      <c r="AP182" s="170" t="str">
        <f t="shared" si="94"/>
        <v>0.160171599598081-0.046074249423835i</v>
      </c>
      <c r="AQ182" s="170" t="str">
        <f t="shared" si="95"/>
        <v>0.839828400401919+0.046074249423835i</v>
      </c>
      <c r="AR182" s="170" t="str">
        <f t="shared" si="96"/>
        <v>0.988892936131888-0.0542521540960084i</v>
      </c>
    </row>
    <row r="183" spans="7:44">
      <c r="G183" s="688">
        <v>10292.5</v>
      </c>
      <c r="H183" s="676">
        <f t="shared" si="88"/>
        <v>10.2925</v>
      </c>
      <c r="I183" s="677">
        <f t="shared" si="66"/>
        <v>82.985428409000562</v>
      </c>
      <c r="J183" s="678">
        <f t="shared" si="67"/>
        <v>1.5587457267990992</v>
      </c>
      <c r="K183" s="678">
        <f t="shared" si="68"/>
        <v>1.0001012033474266</v>
      </c>
      <c r="L183" s="679">
        <f t="shared" si="69"/>
        <v>1.4226370799728265E-2</v>
      </c>
      <c r="M183" s="678">
        <f t="shared" si="70"/>
        <v>1.0014802342097402</v>
      </c>
      <c r="N183" s="679">
        <f t="shared" si="71"/>
        <v>-5.437666047201839E-2</v>
      </c>
      <c r="O183" s="677">
        <f t="shared" si="72"/>
        <v>426819.91902282147</v>
      </c>
      <c r="P183" s="680">
        <f t="shared" si="73"/>
        <v>1.5707939838864347</v>
      </c>
      <c r="Q183" s="689">
        <f t="shared" si="100"/>
        <v>17.102058041003037</v>
      </c>
      <c r="R183" s="690">
        <f t="shared" si="101"/>
        <v>1.5122904607232126</v>
      </c>
      <c r="S183" s="677">
        <f t="shared" si="76"/>
        <v>1.0030066411004919</v>
      </c>
      <c r="T183" s="680">
        <f t="shared" si="77"/>
        <v>7.7448397473071029E-2</v>
      </c>
      <c r="U183" s="681">
        <f t="shared" si="89"/>
        <v>0.98700310239762601</v>
      </c>
      <c r="V183" s="682">
        <f t="shared" si="90"/>
        <v>-0.19597228246023601</v>
      </c>
      <c r="W183" s="683">
        <f t="shared" si="78"/>
        <v>-20.868433648007326</v>
      </c>
      <c r="X183" s="684">
        <f t="shared" si="79"/>
        <v>-110.62784970617538</v>
      </c>
      <c r="Y183" s="687">
        <f t="shared" si="80"/>
        <v>69.372150293824618</v>
      </c>
      <c r="AA183" s="170">
        <f t="shared" si="81"/>
        <v>10292.5</v>
      </c>
      <c r="AB183" s="170">
        <f t="shared" si="82"/>
        <v>105935556.25</v>
      </c>
      <c r="AD183" s="686">
        <f t="shared" si="83"/>
        <v>17.135447869232749</v>
      </c>
      <c r="AE183" s="687">
        <f t="shared" si="84"/>
        <v>-7.7894712780578859</v>
      </c>
      <c r="AG183" s="686">
        <f t="shared" si="85"/>
        <v>0.49965481971557102</v>
      </c>
      <c r="AH183" s="687">
        <f t="shared" si="86"/>
        <v>-80.381609029422563</v>
      </c>
      <c r="AJ183" s="170">
        <f t="shared" si="87"/>
        <v>0</v>
      </c>
      <c r="AK183" s="170">
        <f t="shared" si="99"/>
        <v>0</v>
      </c>
      <c r="AM183" s="170" t="str">
        <f t="shared" si="91"/>
        <v>0.039421898521406+0.278010271320647i</v>
      </c>
      <c r="AN183" s="170" t="str">
        <f t="shared" si="92"/>
        <v>0.281722099779543i</v>
      </c>
      <c r="AO183" s="170" t="str">
        <f t="shared" si="93"/>
        <v>0.986824503786531-0.139931863890887i</v>
      </c>
      <c r="AP183" s="170" t="str">
        <f t="shared" si="94"/>
        <v>0.160096350246432-0.0463350452201078i</v>
      </c>
      <c r="AQ183" s="170" t="str">
        <f t="shared" si="95"/>
        <v>0.839903649753568+0.0463350452201078i</v>
      </c>
      <c r="AR183" s="170" t="str">
        <f t="shared" si="96"/>
        <v>0.988771191909984-0.0545476351995033i</v>
      </c>
    </row>
    <row r="184" spans="7:44">
      <c r="G184" s="688">
        <v>10352</v>
      </c>
      <c r="H184" s="676">
        <f t="shared" si="88"/>
        <v>10.352</v>
      </c>
      <c r="I184" s="677">
        <f t="shared" si="66"/>
        <v>83.465090109968898</v>
      </c>
      <c r="J184" s="678">
        <f t="shared" si="67"/>
        <v>1.5588149831634974</v>
      </c>
      <c r="K184" s="678">
        <f t="shared" si="68"/>
        <v>1.0001023767640373</v>
      </c>
      <c r="L184" s="679">
        <f t="shared" si="69"/>
        <v>1.4308600954121981E-2</v>
      </c>
      <c r="M184" s="678">
        <f t="shared" si="70"/>
        <v>1.0014973850431768</v>
      </c>
      <c r="N184" s="679">
        <f t="shared" si="71"/>
        <v>-5.4690382321438857E-2</v>
      </c>
      <c r="O184" s="677">
        <f t="shared" si="72"/>
        <v>429287.32589012478</v>
      </c>
      <c r="P184" s="680">
        <f t="shared" si="73"/>
        <v>1.5707939973527265</v>
      </c>
      <c r="Q184" s="689">
        <f t="shared" si="100"/>
        <v>17.200586416463558</v>
      </c>
      <c r="R184" s="690">
        <f t="shared" si="101"/>
        <v>1.5126259735585319</v>
      </c>
      <c r="S184" s="677">
        <f t="shared" si="76"/>
        <v>1.0030414509561216</v>
      </c>
      <c r="T184" s="680">
        <f t="shared" si="77"/>
        <v>7.7894315885029403E-2</v>
      </c>
      <c r="U184" s="681">
        <f t="shared" si="89"/>
        <v>0.98685967003929354</v>
      </c>
      <c r="V184" s="682">
        <f t="shared" si="90"/>
        <v>-0.19709101814350904</v>
      </c>
      <c r="W184" s="683">
        <f t="shared" si="78"/>
        <v>-20.920069213838644</v>
      </c>
      <c r="X184" s="684">
        <f t="shared" si="79"/>
        <v>-110.7155066789574</v>
      </c>
      <c r="Y184" s="687">
        <f t="shared" si="80"/>
        <v>69.284493321042603</v>
      </c>
      <c r="AA184" s="170">
        <f t="shared" si="81"/>
        <v>10352</v>
      </c>
      <c r="AB184" s="170">
        <f t="shared" si="82"/>
        <v>107163904</v>
      </c>
      <c r="AD184" s="686">
        <f t="shared" si="83"/>
        <v>17.134976222592929</v>
      </c>
      <c r="AE184" s="687">
        <f t="shared" si="84"/>
        <v>-7.7957978232029266</v>
      </c>
      <c r="AG184" s="686">
        <f t="shared" si="85"/>
        <v>0.45101556972517864</v>
      </c>
      <c r="AH184" s="687">
        <f t="shared" si="86"/>
        <v>-80.334741790828588</v>
      </c>
      <c r="AJ184" s="170">
        <f t="shared" si="87"/>
        <v>0</v>
      </c>
      <c r="AK184" s="170">
        <f t="shared" si="99"/>
        <v>0</v>
      </c>
      <c r="AM184" s="170" t="str">
        <f t="shared" si="91"/>
        <v>0.0398759424387251+0.279574308712502i</v>
      </c>
      <c r="AN184" s="170" t="str">
        <f t="shared" si="92"/>
        <v>0.283350709440644i</v>
      </c>
      <c r="AO184" s="170" t="str">
        <f t="shared" si="93"/>
        <v>0.986672344192831-0.14072998976231i</v>
      </c>
      <c r="AP184" s="170" t="str">
        <f t="shared" si="94"/>
        <v>0.160020676260212-0.0465957181187503i</v>
      </c>
      <c r="AQ184" s="170" t="str">
        <f t="shared" si="95"/>
        <v>0.839979323739788+0.0465957181187503i</v>
      </c>
      <c r="AR184" s="170" t="str">
        <f t="shared" si="96"/>
        <v>0.98864881289784-0.0548427801759744i</v>
      </c>
    </row>
    <row r="185" spans="7:44">
      <c r="G185" s="688">
        <v>10411.5</v>
      </c>
      <c r="H185" s="676">
        <f t="shared" si="88"/>
        <v>10.4115</v>
      </c>
      <c r="I185" s="677">
        <f t="shared" si="66"/>
        <v>83.944752206697814</v>
      </c>
      <c r="J185" s="678">
        <f t="shared" si="67"/>
        <v>1.5588834480635472</v>
      </c>
      <c r="K185" s="678">
        <f t="shared" si="68"/>
        <v>1.0001035569431227</v>
      </c>
      <c r="L185" s="679">
        <f t="shared" si="69"/>
        <v>1.4390830914999198E-2</v>
      </c>
      <c r="M185" s="678">
        <f t="shared" si="70"/>
        <v>1.0015146344420054</v>
      </c>
      <c r="N185" s="679">
        <f t="shared" si="71"/>
        <v>-5.5004093395075851E-2</v>
      </c>
      <c r="O185" s="677">
        <f t="shared" si="72"/>
        <v>431754.73275742814</v>
      </c>
      <c r="P185" s="680">
        <f t="shared" si="73"/>
        <v>1.5707940106651033</v>
      </c>
      <c r="Q185" s="689">
        <f t="shared" si="100"/>
        <v>17.299116706118298</v>
      </c>
      <c r="R185" s="690">
        <f t="shared" si="101"/>
        <v>1.512957664481148</v>
      </c>
      <c r="S185" s="677">
        <f t="shared" si="76"/>
        <v>1.0030764602458875</v>
      </c>
      <c r="T185" s="680">
        <f t="shared" si="77"/>
        <v>7.8340203258830926E-2</v>
      </c>
      <c r="U185" s="681">
        <f t="shared" si="89"/>
        <v>0.98671547050087338</v>
      </c>
      <c r="V185" s="682">
        <f t="shared" si="90"/>
        <v>-0.19820951394231726</v>
      </c>
      <c r="W185" s="683">
        <f t="shared" si="78"/>
        <v>-20.971422791911056</v>
      </c>
      <c r="X185" s="684">
        <f t="shared" si="79"/>
        <v>-110.80332114577965</v>
      </c>
      <c r="Y185" s="687">
        <f t="shared" si="80"/>
        <v>69.196678854220352</v>
      </c>
      <c r="AA185" s="170">
        <f t="shared" si="81"/>
        <v>10411.5</v>
      </c>
      <c r="AB185" s="170">
        <f t="shared" si="82"/>
        <v>108399332.25</v>
      </c>
      <c r="AD185" s="686">
        <f t="shared" si="83"/>
        <v>17.134505762674561</v>
      </c>
      <c r="AE185" s="687">
        <f t="shared" si="84"/>
        <v>-7.8023415606417075</v>
      </c>
      <c r="AG185" s="686">
        <f t="shared" si="85"/>
        <v>0.40267099444812854</v>
      </c>
      <c r="AH185" s="687">
        <f t="shared" si="86"/>
        <v>-80.287842342715933</v>
      </c>
      <c r="AJ185" s="170">
        <f t="shared" si="87"/>
        <v>0</v>
      </c>
      <c r="AK185" s="170">
        <f t="shared" si="99"/>
        <v>0</v>
      </c>
      <c r="AM185" s="170" t="str">
        <f t="shared" si="91"/>
        <v>0.040332532959179+0.281137604570172i</v>
      </c>
      <c r="AN185" s="170" t="str">
        <f t="shared" si="92"/>
        <v>0.284979319101745i</v>
      </c>
      <c r="AO185" s="170" t="str">
        <f t="shared" si="93"/>
        <v>0.98651932166979-0.141527929417149i</v>
      </c>
      <c r="AP185" s="170" t="str">
        <f t="shared" si="94"/>
        <v>0.159944577840137-0.046856267428362i</v>
      </c>
      <c r="AQ185" s="170" t="str">
        <f t="shared" si="95"/>
        <v>0.840055422159863+0.046856267428362i</v>
      </c>
      <c r="AR185" s="170" t="str">
        <f t="shared" si="96"/>
        <v>0.988525800267462-0.0551375873964103i</v>
      </c>
    </row>
    <row r="186" spans="7:44">
      <c r="G186" s="688">
        <v>10471</v>
      </c>
      <c r="H186" s="676">
        <f t="shared" si="88"/>
        <v>10.471</v>
      </c>
      <c r="I186" s="677">
        <f t="shared" si="66"/>
        <v>84.424414692441701</v>
      </c>
      <c r="J186" s="678">
        <f t="shared" si="67"/>
        <v>1.5589511349888607</v>
      </c>
      <c r="K186" s="678">
        <f t="shared" si="68"/>
        <v>1.0001047438846589</v>
      </c>
      <c r="L186" s="679">
        <f t="shared" si="69"/>
        <v>1.4473060681248567E-2</v>
      </c>
      <c r="M186" s="678">
        <f t="shared" si="70"/>
        <v>1.0015319824011331</v>
      </c>
      <c r="N186" s="679">
        <f t="shared" si="71"/>
        <v>-5.5317793631740234E-2</v>
      </c>
      <c r="O186" s="677">
        <f t="shared" si="72"/>
        <v>434222.13962473156</v>
      </c>
      <c r="P186" s="680">
        <f t="shared" si="73"/>
        <v>1.5707940238261884</v>
      </c>
      <c r="Q186" s="689">
        <f t="shared" si="100"/>
        <v>17.397648877444553</v>
      </c>
      <c r="R186" s="690">
        <f t="shared" si="101"/>
        <v>1.5132855983540434</v>
      </c>
      <c r="S186" s="677">
        <f t="shared" si="76"/>
        <v>1.0031116689489081</v>
      </c>
      <c r="T186" s="680">
        <f t="shared" si="77"/>
        <v>7.8786059420435983E-2</v>
      </c>
      <c r="U186" s="681">
        <f t="shared" si="89"/>
        <v>0.98657050476766051</v>
      </c>
      <c r="V186" s="682">
        <f t="shared" si="90"/>
        <v>-0.19932776861901377</v>
      </c>
      <c r="W186" s="683">
        <f t="shared" si="78"/>
        <v>-21.022497709540744</v>
      </c>
      <c r="X186" s="684">
        <f t="shared" si="79"/>
        <v>-110.8912900789892</v>
      </c>
      <c r="Y186" s="687">
        <f t="shared" si="80"/>
        <v>69.108709921010799</v>
      </c>
      <c r="AA186" s="170">
        <f t="shared" si="81"/>
        <v>10471</v>
      </c>
      <c r="AB186" s="170">
        <f t="shared" si="82"/>
        <v>109641841</v>
      </c>
      <c r="AD186" s="686">
        <f t="shared" si="83"/>
        <v>17.134036424220142</v>
      </c>
      <c r="AE186" s="687">
        <f t="shared" si="84"/>
        <v>-7.8090987641776399</v>
      </c>
      <c r="AG186" s="686">
        <f t="shared" si="85"/>
        <v>0.35461782050562307</v>
      </c>
      <c r="AH186" s="687">
        <f t="shared" si="86"/>
        <v>-80.240911525452205</v>
      </c>
      <c r="AJ186" s="170">
        <f t="shared" si="87"/>
        <v>0</v>
      </c>
      <c r="AK186" s="170">
        <f t="shared" si="99"/>
        <v>0</v>
      </c>
      <c r="AM186" s="170" t="str">
        <f t="shared" si="91"/>
        <v>0.040791668871721+0.282700154747219i</v>
      </c>
      <c r="AN186" s="170" t="str">
        <f t="shared" si="92"/>
        <v>0.286607928762846i</v>
      </c>
      <c r="AO186" s="170" t="str">
        <f t="shared" si="93"/>
        <v>0.986365436460551-0.142325681804407i</v>
      </c>
      <c r="AP186" s="170" t="str">
        <f t="shared" si="94"/>
        <v>0.159868055188047-0.0471166924578698i</v>
      </c>
      <c r="AQ186" s="170" t="str">
        <f t="shared" si="95"/>
        <v>0.840131944811953+0.0471166924578698i</v>
      </c>
      <c r="AR186" s="170" t="str">
        <f t="shared" si="96"/>
        <v>0.988402155195948-0.0554320552368557i</v>
      </c>
    </row>
    <row r="187" spans="7:44">
      <c r="G187" s="688">
        <v>10532</v>
      </c>
      <c r="H187" s="676">
        <f t="shared" si="88"/>
        <v>10.532</v>
      </c>
      <c r="I187" s="677">
        <f t="shared" si="66"/>
        <v>84.916169906707083</v>
      </c>
      <c r="J187" s="678">
        <f t="shared" si="67"/>
        <v>1.5590197344667158</v>
      </c>
      <c r="K187" s="678">
        <f t="shared" si="68"/>
        <v>1.0001059677693882</v>
      </c>
      <c r="L187" s="679">
        <f t="shared" si="69"/>
        <v>1.4557363263602159E-2</v>
      </c>
      <c r="M187" s="678">
        <f t="shared" si="70"/>
        <v>1.0015498700170957</v>
      </c>
      <c r="N187" s="679">
        <f t="shared" si="71"/>
        <v>-5.5639390963471654E-2</v>
      </c>
      <c r="O187" s="677">
        <f t="shared" si="72"/>
        <v>436751.75002650486</v>
      </c>
      <c r="P187" s="680">
        <f t="shared" si="73"/>
        <v>1.5707940371646891</v>
      </c>
      <c r="Q187" s="689">
        <f t="shared" si="100"/>
        <v>17.498666973239516</v>
      </c>
      <c r="R187" s="690">
        <f t="shared" si="101"/>
        <v>1.5136179655171518</v>
      </c>
      <c r="S187" s="677">
        <f t="shared" si="76"/>
        <v>1.0031479722617695</v>
      </c>
      <c r="T187" s="680">
        <f t="shared" si="77"/>
        <v>7.9243123068817437E-2</v>
      </c>
      <c r="U187" s="681">
        <f t="shared" si="89"/>
        <v>0.98642109006029888</v>
      </c>
      <c r="V187" s="682">
        <f t="shared" si="90"/>
        <v>-0.20047396298007611</v>
      </c>
      <c r="W187" s="683">
        <f t="shared" si="78"/>
        <v>-21.074574366338869</v>
      </c>
      <c r="X187" s="684">
        <f t="shared" si="79"/>
        <v>-110.98163397324691</v>
      </c>
      <c r="Y187" s="687">
        <f t="shared" si="80"/>
        <v>69.018366026753085</v>
      </c>
      <c r="AA187" s="170">
        <f t="shared" si="81"/>
        <v>10532</v>
      </c>
      <c r="AB187" s="170">
        <f t="shared" si="82"/>
        <v>110923024</v>
      </c>
      <c r="AD187" s="686">
        <f t="shared" si="83"/>
        <v>17.133556351559946</v>
      </c>
      <c r="AE187" s="687">
        <f t="shared" si="84"/>
        <v>-7.8162441107518754</v>
      </c>
      <c r="AG187" s="686">
        <f t="shared" si="85"/>
        <v>0.30565236701078391</v>
      </c>
      <c r="AH187" s="687">
        <f t="shared" si="86"/>
        <v>-80.192765874204497</v>
      </c>
      <c r="AJ187" s="170">
        <f t="shared" si="87"/>
        <v>0</v>
      </c>
      <c r="AK187" s="170">
        <f t="shared" si="99"/>
        <v>0</v>
      </c>
      <c r="AM187" s="170" t="str">
        <f t="shared" si="91"/>
        <v>0.041265020819567+0.284301318491307i</v>
      </c>
      <c r="AN187" s="170" t="str">
        <f t="shared" si="92"/>
        <v>0.288277595810361i</v>
      </c>
      <c r="AO187" s="170" t="str">
        <f t="shared" si="93"/>
        <v>0.986206776465315-0.143143350087853i</v>
      </c>
      <c r="AP187" s="170" t="str">
        <f t="shared" si="94"/>
        <v>0.159789163196739-0.0473835530818845i</v>
      </c>
      <c r="AQ187" s="170" t="str">
        <f t="shared" si="95"/>
        <v>0.840210836803261+0.0473835530818845i</v>
      </c>
      <c r="AR187" s="170" t="str">
        <f t="shared" si="96"/>
        <v>0.988274737701431-0.0557335926200702i</v>
      </c>
    </row>
    <row r="188" spans="7:44">
      <c r="G188" s="688">
        <v>10593</v>
      </c>
      <c r="H188" s="676">
        <f t="shared" si="88"/>
        <v>10.593</v>
      </c>
      <c r="I188" s="677">
        <f t="shared" si="66"/>
        <v>85.407925515976828</v>
      </c>
      <c r="J188" s="678">
        <f t="shared" si="67"/>
        <v>1.55908754399061</v>
      </c>
      <c r="K188" s="678">
        <f t="shared" si="68"/>
        <v>1.0001071987617787</v>
      </c>
      <c r="L188" s="679">
        <f t="shared" si="69"/>
        <v>1.4641665639025456E-2</v>
      </c>
      <c r="M188" s="678">
        <f t="shared" si="70"/>
        <v>1.0015678612144907</v>
      </c>
      <c r="N188" s="679">
        <f t="shared" si="71"/>
        <v>-5.5960976774734529E-2</v>
      </c>
      <c r="O188" s="677">
        <f t="shared" si="72"/>
        <v>439281.36042827828</v>
      </c>
      <c r="P188" s="680">
        <f t="shared" si="73"/>
        <v>1.5707940503495701</v>
      </c>
      <c r="Q188" s="689">
        <f t="shared" si="100"/>
        <v>17.599686979885472</v>
      </c>
      <c r="R188" s="690">
        <f t="shared" si="101"/>
        <v>1.5139465172241413</v>
      </c>
      <c r="S188" s="677">
        <f t="shared" si="76"/>
        <v>1.0031844851242504</v>
      </c>
      <c r="T188" s="680">
        <f t="shared" si="77"/>
        <v>7.9700153541218219E-2</v>
      </c>
      <c r="U188" s="681">
        <f t="shared" si="89"/>
        <v>0.98627087215125342</v>
      </c>
      <c r="V188" s="682">
        <f t="shared" si="90"/>
        <v>-0.20161990128135163</v>
      </c>
      <c r="W188" s="683">
        <f t="shared" si="78"/>
        <v>-21.126365034469746</v>
      </c>
      <c r="X188" s="684">
        <f t="shared" si="79"/>
        <v>-111.07213398700087</v>
      </c>
      <c r="Y188" s="687">
        <f t="shared" si="80"/>
        <v>68.927866012999132</v>
      </c>
      <c r="AA188" s="170">
        <f t="shared" si="81"/>
        <v>10593</v>
      </c>
      <c r="AB188" s="170">
        <f t="shared" si="82"/>
        <v>112211649</v>
      </c>
      <c r="AD188" s="686">
        <f t="shared" si="83"/>
        <v>17.133077324591653</v>
      </c>
      <c r="AE188" s="687">
        <f t="shared" si="84"/>
        <v>-7.8236061572134341</v>
      </c>
      <c r="AG188" s="686">
        <f t="shared" si="85"/>
        <v>0.25698640232916836</v>
      </c>
      <c r="AH188" s="687">
        <f t="shared" si="86"/>
        <v>-80.144588984855858</v>
      </c>
      <c r="AJ188" s="170">
        <f t="shared" si="87"/>
        <v>0</v>
      </c>
      <c r="AK188" s="170">
        <f t="shared" si="99"/>
        <v>0</v>
      </c>
      <c r="AM188" s="170" t="str">
        <f t="shared" si="91"/>
        <v>0.041741045516711+0.285901689663762i</v>
      </c>
      <c r="AN188" s="170" t="str">
        <f t="shared" si="92"/>
        <v>0.289947262857877i</v>
      </c>
      <c r="AO188" s="170" t="str">
        <f t="shared" si="93"/>
        <v>0.986047210260792-0.143960819306548i</v>
      </c>
      <c r="AP188" s="170" t="str">
        <f t="shared" si="94"/>
        <v>0.159709825747215-0.047650281610627i</v>
      </c>
      <c r="AQ188" s="170" t="str">
        <f t="shared" si="95"/>
        <v>0.840290174252785+0.047650281610627i</v>
      </c>
      <c r="AR188" s="170" t="str">
        <f t="shared" si="96"/>
        <v>0.988146657997936-0.0560347698556294i</v>
      </c>
    </row>
    <row r="189" spans="7:44">
      <c r="G189" s="688">
        <v>10654</v>
      </c>
      <c r="H189" s="676">
        <f t="shared" si="88"/>
        <v>10.654</v>
      </c>
      <c r="I189" s="677">
        <f t="shared" si="66"/>
        <v>85.899681513467044</v>
      </c>
      <c r="J189" s="678">
        <f t="shared" si="67"/>
        <v>1.5591545771268305</v>
      </c>
      <c r="K189" s="678">
        <f t="shared" si="68"/>
        <v>1.0001084368618041</v>
      </c>
      <c r="L189" s="679">
        <f t="shared" si="69"/>
        <v>1.4725967806320964E-2</v>
      </c>
      <c r="M189" s="678">
        <f t="shared" si="70"/>
        <v>1.0015859559877367</v>
      </c>
      <c r="N189" s="679">
        <f t="shared" si="71"/>
        <v>-5.6282550999636326E-2</v>
      </c>
      <c r="O189" s="677">
        <f t="shared" si="72"/>
        <v>441810.97083005175</v>
      </c>
      <c r="P189" s="680">
        <f t="shared" si="73"/>
        <v>1.5707940633834696</v>
      </c>
      <c r="Q189" s="689">
        <f t="shared" si="100"/>
        <v>17.700708864666083</v>
      </c>
      <c r="R189" s="690">
        <f t="shared" si="101"/>
        <v>1.5142713187304375</v>
      </c>
      <c r="S189" s="677">
        <f t="shared" si="76"/>
        <v>1.0032212075134708</v>
      </c>
      <c r="T189" s="680">
        <f t="shared" si="77"/>
        <v>8.0157150650345024E-2</v>
      </c>
      <c r="U189" s="681">
        <f t="shared" si="89"/>
        <v>0.98611985211682163</v>
      </c>
      <c r="V189" s="682">
        <f t="shared" si="90"/>
        <v>-0.20276558219678933</v>
      </c>
      <c r="W189" s="683">
        <f t="shared" si="78"/>
        <v>-21.177873115786376</v>
      </c>
      <c r="X189" s="684">
        <f t="shared" si="79"/>
        <v>-111.16278706841771</v>
      </c>
      <c r="Y189" s="687">
        <f t="shared" si="80"/>
        <v>68.837212931582286</v>
      </c>
      <c r="AA189" s="170">
        <f t="shared" si="81"/>
        <v>10654</v>
      </c>
      <c r="AB189" s="170">
        <f t="shared" si="82"/>
        <v>113507716</v>
      </c>
      <c r="AD189" s="686">
        <f t="shared" si="83"/>
        <v>17.132599278831073</v>
      </c>
      <c r="AE189" s="687">
        <f t="shared" si="84"/>
        <v>-7.8311811541219054</v>
      </c>
      <c r="AG189" s="686">
        <f t="shared" si="85"/>
        <v>0.20861657671759878</v>
      </c>
      <c r="AH189" s="687">
        <f t="shared" si="86"/>
        <v>-80.096381706967691</v>
      </c>
      <c r="AJ189" s="170">
        <f t="shared" si="87"/>
        <v>0</v>
      </c>
      <c r="AK189" s="170">
        <f t="shared" si="99"/>
        <v>0</v>
      </c>
      <c r="AM189" s="170" t="str">
        <f t="shared" si="91"/>
        <v>0.042219741636095+0.287501263803086i</v>
      </c>
      <c r="AN189" s="170" t="str">
        <f t="shared" si="92"/>
        <v>0.291616929905392i</v>
      </c>
      <c r="AO189" s="170" t="str">
        <f t="shared" si="93"/>
        <v>0.985886738113452-0.14477808832907i</v>
      </c>
      <c r="AP189" s="170" t="str">
        <f t="shared" si="94"/>
        <v>0.159630043060651-0.0479168773005143i</v>
      </c>
      <c r="AQ189" s="170" t="str">
        <f t="shared" si="95"/>
        <v>0.840369956939349+0.0479168773005143i</v>
      </c>
      <c r="AR189" s="170" t="str">
        <f t="shared" si="96"/>
        <v>0.988017917370348-0.0563355852103141i</v>
      </c>
    </row>
    <row r="190" spans="7:44">
      <c r="G190" s="688">
        <v>10715</v>
      </c>
      <c r="H190" s="676">
        <f t="shared" si="88"/>
        <v>10.715</v>
      </c>
      <c r="I190" s="677">
        <f t="shared" si="66"/>
        <v>86.391437892548211</v>
      </c>
      <c r="J190" s="678">
        <f t="shared" si="67"/>
        <v>1.5592208471328055</v>
      </c>
      <c r="K190" s="678">
        <f t="shared" si="68"/>
        <v>1.0001096820694377</v>
      </c>
      <c r="L190" s="679">
        <f t="shared" si="69"/>
        <v>1.4810269764291213E-2</v>
      </c>
      <c r="M190" s="678">
        <f t="shared" si="70"/>
        <v>1.0016041543312202</v>
      </c>
      <c r="N190" s="679">
        <f t="shared" si="71"/>
        <v>-5.6604113572298817E-2</v>
      </c>
      <c r="O190" s="677">
        <f t="shared" si="72"/>
        <v>444340.58123182529</v>
      </c>
      <c r="P190" s="680">
        <f t="shared" si="73"/>
        <v>1.5707940762689663</v>
      </c>
      <c r="Q190" s="689">
        <f t="shared" si="100"/>
        <v>17.801732595607039</v>
      </c>
      <c r="R190" s="690">
        <f t="shared" si="101"/>
        <v>1.51459243381339</v>
      </c>
      <c r="S190" s="677">
        <f t="shared" si="76"/>
        <v>1.0032581394064231</v>
      </c>
      <c r="T190" s="680">
        <f t="shared" si="77"/>
        <v>8.0614114208987606E-2</v>
      </c>
      <c r="U190" s="681">
        <f t="shared" si="89"/>
        <v>0.98596803103819586</v>
      </c>
      <c r="V190" s="682">
        <f t="shared" si="90"/>
        <v>-0.20391100440292781</v>
      </c>
      <c r="W190" s="683">
        <f t="shared" si="78"/>
        <v>-21.229101953039866</v>
      </c>
      <c r="X190" s="684">
        <f t="shared" si="79"/>
        <v>-111.25359023280592</v>
      </c>
      <c r="Y190" s="687">
        <f t="shared" si="80"/>
        <v>68.746409767194081</v>
      </c>
      <c r="AA190" s="170">
        <f t="shared" si="81"/>
        <v>10715</v>
      </c>
      <c r="AB190" s="170">
        <f t="shared" si="82"/>
        <v>114811225</v>
      </c>
      <c r="AD190" s="686">
        <f t="shared" si="83"/>
        <v>17.13212215163184</v>
      </c>
      <c r="AE190" s="687">
        <f t="shared" si="84"/>
        <v>-7.8389654367256947</v>
      </c>
      <c r="AG190" s="686">
        <f t="shared" si="85"/>
        <v>0.16053959763764131</v>
      </c>
      <c r="AH190" s="687">
        <f t="shared" si="86"/>
        <v>-80.048144872257495</v>
      </c>
      <c r="AJ190" s="170">
        <f t="shared" si="87"/>
        <v>0</v>
      </c>
      <c r="AK190" s="170">
        <f t="shared" si="99"/>
        <v>0</v>
      </c>
      <c r="AM190" s="170" t="str">
        <f t="shared" si="91"/>
        <v>0.042701107843218+0.28910003645001i</v>
      </c>
      <c r="AN190" s="170" t="str">
        <f t="shared" si="92"/>
        <v>0.293286596952907i</v>
      </c>
      <c r="AO190" s="170" t="str">
        <f t="shared" si="93"/>
        <v>0.985725360291288-0.14559515602438i</v>
      </c>
      <c r="AP190" s="170" t="str">
        <f t="shared" si="94"/>
        <v>0.159549815359464-0.048183339408335i</v>
      </c>
      <c r="AQ190" s="170" t="str">
        <f t="shared" si="95"/>
        <v>0.840450184640536+0.048183339408335i</v>
      </c>
      <c r="AR190" s="170" t="str">
        <f t="shared" si="96"/>
        <v>0.987888517109064-0.0566360369565763i</v>
      </c>
    </row>
    <row r="191" spans="7:44">
      <c r="G191" s="688">
        <v>10777.5</v>
      </c>
      <c r="H191" s="676">
        <f t="shared" si="88"/>
        <v>10.7775</v>
      </c>
      <c r="I191" s="677">
        <f t="shared" si="66"/>
        <v>86.895287030613758</v>
      </c>
      <c r="J191" s="678">
        <f t="shared" si="67"/>
        <v>1.5592879687673067</v>
      </c>
      <c r="K191" s="678">
        <f t="shared" si="68"/>
        <v>1.0001109652688265</v>
      </c>
      <c r="L191" s="679">
        <f t="shared" si="69"/>
        <v>1.489664450286622E-2</v>
      </c>
      <c r="M191" s="678">
        <f t="shared" si="70"/>
        <v>1.0016229075908136</v>
      </c>
      <c r="N191" s="679">
        <f t="shared" si="71"/>
        <v>-5.693357126690738E-2</v>
      </c>
      <c r="O191" s="677">
        <f t="shared" si="72"/>
        <v>446932.39516806876</v>
      </c>
      <c r="P191" s="680">
        <f t="shared" si="73"/>
        <v>1.5707940893200327</v>
      </c>
      <c r="Q191" s="689">
        <f t="shared" si="100"/>
        <v>17.905242398791113</v>
      </c>
      <c r="R191" s="690">
        <f t="shared" si="101"/>
        <v>1.5149176868364702</v>
      </c>
      <c r="S191" s="677">
        <f t="shared" si="76"/>
        <v>1.0032961967311527</v>
      </c>
      <c r="T191" s="680">
        <f t="shared" si="77"/>
        <v>8.10822795826278E-2</v>
      </c>
      <c r="U191" s="681">
        <f t="shared" si="89"/>
        <v>0.98581164695695533</v>
      </c>
      <c r="V191" s="682">
        <f t="shared" si="90"/>
        <v>-0.20508432301760607</v>
      </c>
      <c r="W191" s="683">
        <f t="shared" si="78"/>
        <v>-21.281304322059583</v>
      </c>
      <c r="X191" s="684">
        <f t="shared" si="79"/>
        <v>-111.3467788736792</v>
      </c>
      <c r="Y191" s="687">
        <f t="shared" si="80"/>
        <v>68.653221126320801</v>
      </c>
      <c r="AA191" s="170">
        <f t="shared" si="81"/>
        <v>10777.5</v>
      </c>
      <c r="AB191" s="170">
        <f t="shared" si="82"/>
        <v>116154506.25</v>
      </c>
      <c r="AD191" s="686">
        <f t="shared" si="83"/>
        <v>17.131634180876524</v>
      </c>
      <c r="AE191" s="687">
        <f t="shared" si="84"/>
        <v>-7.8471544590334643</v>
      </c>
      <c r="AG191" s="686">
        <f t="shared" si="85"/>
        <v>0.11158075038903423</v>
      </c>
      <c r="AH191" s="687">
        <f t="shared" si="86"/>
        <v>-79.998692081379019</v>
      </c>
      <c r="AJ191" s="170">
        <f t="shared" si="87"/>
        <v>0</v>
      </c>
      <c r="AK191" s="170">
        <f t="shared" si="99"/>
        <v>0</v>
      </c>
      <c r="AM191" s="170" t="str">
        <f t="shared" si="91"/>
        <v>0.043197078902829+0.290737287219787i</v>
      </c>
      <c r="AN191" s="170" t="str">
        <f t="shared" si="92"/>
        <v>0.294997321386837i</v>
      </c>
      <c r="AO191" s="170" t="str">
        <f t="shared" si="93"/>
        <v>0.985559075089147-0.146432105551845i</v>
      </c>
      <c r="AP191" s="170" t="str">
        <f t="shared" si="94"/>
        <v>0.159467153516195-0.0484562145366312i</v>
      </c>
      <c r="AQ191" s="170" t="str">
        <f t="shared" si="95"/>
        <v>0.840532846483805+0.0484562145366312i</v>
      </c>
      <c r="AR191" s="170" t="str">
        <f t="shared" si="96"/>
        <v>0.98775525206538-0.0569434979299009i</v>
      </c>
    </row>
    <row r="192" spans="7:44">
      <c r="G192" s="688">
        <v>10840</v>
      </c>
      <c r="H192" s="676">
        <f t="shared" si="88"/>
        <v>10.84</v>
      </c>
      <c r="I192" s="677">
        <f t="shared" si="66"/>
        <v>87.399136555656014</v>
      </c>
      <c r="J192" s="678">
        <f t="shared" si="67"/>
        <v>1.5593543164996377</v>
      </c>
      <c r="K192" s="678">
        <f t="shared" si="68"/>
        <v>1.0001122559296196</v>
      </c>
      <c r="L192" s="679">
        <f t="shared" si="69"/>
        <v>1.498301901914968E-2</v>
      </c>
      <c r="M192" s="678">
        <f t="shared" si="70"/>
        <v>1.0016417695648563</v>
      </c>
      <c r="N192" s="679">
        <f t="shared" si="71"/>
        <v>-5.7263016589199828E-2</v>
      </c>
      <c r="O192" s="677">
        <f t="shared" si="72"/>
        <v>449524.20910431229</v>
      </c>
      <c r="P192" s="680">
        <f t="shared" si="73"/>
        <v>1.5707941022206029</v>
      </c>
      <c r="Q192" s="689">
        <f t="shared" si="100"/>
        <v>18.0087540743876</v>
      </c>
      <c r="R192" s="690">
        <f t="shared" si="101"/>
        <v>1.5152392008799478</v>
      </c>
      <c r="S192" s="677">
        <f t="shared" si="76"/>
        <v>1.0033344739404457</v>
      </c>
      <c r="T192" s="680">
        <f t="shared" si="77"/>
        <v>8.1550409337848434E-2</v>
      </c>
      <c r="U192" s="681">
        <f t="shared" si="89"/>
        <v>0.98565442426507899</v>
      </c>
      <c r="V192" s="682">
        <f t="shared" si="90"/>
        <v>-0.20625736723862362</v>
      </c>
      <c r="W192" s="683">
        <f t="shared" si="78"/>
        <v>-21.333220465099792</v>
      </c>
      <c r="X192" s="684">
        <f t="shared" si="79"/>
        <v>-111.44011893382381</v>
      </c>
      <c r="Y192" s="687">
        <f t="shared" si="80"/>
        <v>68.559881066176189</v>
      </c>
      <c r="AA192" s="170">
        <f t="shared" si="81"/>
        <v>10840</v>
      </c>
      <c r="AB192" s="170">
        <f t="shared" si="82"/>
        <v>117505600</v>
      </c>
      <c r="AD192" s="686">
        <f t="shared" si="83"/>
        <v>17.131147046915547</v>
      </c>
      <c r="AE192" s="687">
        <f t="shared" si="84"/>
        <v>-7.8555556596844749</v>
      </c>
      <c r="AG192" s="686">
        <f t="shared" si="85"/>
        <v>6.2922509669583404E-2</v>
      </c>
      <c r="AH192" s="687">
        <f t="shared" si="86"/>
        <v>-79.94920997462593</v>
      </c>
      <c r="AJ192" s="170">
        <f t="shared" si="87"/>
        <v>0</v>
      </c>
      <c r="AK192" s="170">
        <f t="shared" si="99"/>
        <v>0</v>
      </c>
      <c r="AM192" s="170" t="str">
        <f t="shared" si="91"/>
        <v>0.043695850120222+0.292373687124397i</v>
      </c>
      <c r="AN192" s="170" t="str">
        <f t="shared" si="92"/>
        <v>0.296708045820767i</v>
      </c>
      <c r="AO192" s="170" t="str">
        <f t="shared" si="93"/>
        <v>0.985391839697572-0.147268841326323i</v>
      </c>
      <c r="AP192" s="170" t="str">
        <f t="shared" si="94"/>
        <v>0.159384024979963-0.0487289478540662i</v>
      </c>
      <c r="AQ192" s="170" t="str">
        <f t="shared" si="95"/>
        <v>0.840615975020037+0.0487289478540662i</v>
      </c>
      <c r="AR192" s="170" t="str">
        <f t="shared" si="96"/>
        <v>0.987621297308327-0.0572505735391902i</v>
      </c>
    </row>
    <row r="193" spans="7:44">
      <c r="G193" s="688">
        <v>10902.5</v>
      </c>
      <c r="H193" s="676">
        <f t="shared" si="88"/>
        <v>10.9025</v>
      </c>
      <c r="I193" s="677">
        <f t="shared" si="66"/>
        <v>87.902986461020646</v>
      </c>
      <c r="J193" s="678">
        <f t="shared" si="67"/>
        <v>1.5594199036369667</v>
      </c>
      <c r="K193" s="678">
        <f t="shared" si="68"/>
        <v>1.000113554051788</v>
      </c>
      <c r="L193" s="679">
        <f t="shared" si="69"/>
        <v>1.5069393311853649E-2</v>
      </c>
      <c r="M193" s="678">
        <f t="shared" si="70"/>
        <v>1.0016607402472062</v>
      </c>
      <c r="N193" s="679">
        <f t="shared" si="71"/>
        <v>-5.7592449468364948E-2</v>
      </c>
      <c r="O193" s="677">
        <f t="shared" si="72"/>
        <v>452116.023040556</v>
      </c>
      <c r="P193" s="680">
        <f t="shared" si="73"/>
        <v>1.5707941149732645</v>
      </c>
      <c r="Q193" s="689">
        <f t="shared" si="100"/>
        <v>18.112267590293975</v>
      </c>
      <c r="R193" s="690">
        <f t="shared" si="101"/>
        <v>1.515557039982762</v>
      </c>
      <c r="S193" s="677">
        <f t="shared" si="76"/>
        <v>1.003372971009137</v>
      </c>
      <c r="T193" s="680">
        <f t="shared" si="77"/>
        <v>8.2018503273560639E-2</v>
      </c>
      <c r="U193" s="681">
        <f t="shared" si="89"/>
        <v>0.98549636414129127</v>
      </c>
      <c r="V193" s="682">
        <f t="shared" si="90"/>
        <v>-0.20743013565096011</v>
      </c>
      <c r="W193" s="683">
        <f t="shared" si="78"/>
        <v>-21.384853793374536</v>
      </c>
      <c r="X193" s="684">
        <f t="shared" si="79"/>
        <v>-111.53360741009188</v>
      </c>
      <c r="Y193" s="687">
        <f t="shared" si="80"/>
        <v>68.466392589908125</v>
      </c>
      <c r="AA193" s="170">
        <f t="shared" si="81"/>
        <v>10902.5</v>
      </c>
      <c r="AB193" s="170">
        <f t="shared" si="82"/>
        <v>118864506.25</v>
      </c>
      <c r="AD193" s="686">
        <f t="shared" si="83"/>
        <v>17.130660687971737</v>
      </c>
      <c r="AE193" s="687">
        <f t="shared" si="84"/>
        <v>-7.8641653581444988</v>
      </c>
      <c r="AG193" s="686">
        <f t="shared" si="85"/>
        <v>1.456151247718942E-2</v>
      </c>
      <c r="AH193" s="687">
        <f t="shared" si="86"/>
        <v>-79.89969939153417</v>
      </c>
      <c r="AJ193" s="170">
        <f t="shared" si="87"/>
        <v>0</v>
      </c>
      <c r="AK193" s="170">
        <f t="shared" si="99"/>
        <v>0</v>
      </c>
      <c r="AM193" s="170" t="str">
        <f t="shared" si="91"/>
        <v>0.044197420035703+0.294009231374788i</v>
      </c>
      <c r="AN193" s="170" t="str">
        <f t="shared" si="92"/>
        <v>0.298418770254696i</v>
      </c>
      <c r="AO193" s="170" t="str">
        <f t="shared" si="93"/>
        <v>0.985223654409726-0.148105362132486i</v>
      </c>
      <c r="AP193" s="170" t="str">
        <f t="shared" si="94"/>
        <v>0.15930042999405-0.0490015385624647i</v>
      </c>
      <c r="AQ193" s="170" t="str">
        <f t="shared" si="95"/>
        <v>0.84069957000595+0.0490015385624647i</v>
      </c>
      <c r="AR193" s="170" t="str">
        <f t="shared" si="96"/>
        <v>0.987486654243655-0.0575572619449505i</v>
      </c>
    </row>
    <row r="194" spans="7:44">
      <c r="G194" s="688">
        <v>10965</v>
      </c>
      <c r="H194" s="676">
        <f t="shared" si="88"/>
        <v>10.965</v>
      </c>
      <c r="I194" s="677">
        <f t="shared" si="66"/>
        <v>88.40683674020508</v>
      </c>
      <c r="J194" s="678">
        <f t="shared" si="67"/>
        <v>1.559484743183126</v>
      </c>
      <c r="K194" s="678">
        <f t="shared" si="68"/>
        <v>1.0001148596353027</v>
      </c>
      <c r="L194" s="679">
        <f t="shared" si="69"/>
        <v>1.515576737969021E-2</v>
      </c>
      <c r="M194" s="678">
        <f t="shared" si="70"/>
        <v>1.0016798196316872</v>
      </c>
      <c r="N194" s="679">
        <f t="shared" si="71"/>
        <v>-5.7921869833607684E-2</v>
      </c>
      <c r="O194" s="677">
        <f t="shared" si="72"/>
        <v>454707.83697679965</v>
      </c>
      <c r="P194" s="680">
        <f t="shared" si="73"/>
        <v>1.5707941275805468</v>
      </c>
      <c r="Q194" s="689">
        <f t="shared" si="100"/>
        <v>18.215782915136852</v>
      </c>
      <c r="R194" s="690">
        <f t="shared" si="101"/>
        <v>1.5158712667311973</v>
      </c>
      <c r="S194" s="677">
        <f t="shared" si="76"/>
        <v>1.0034116879119217</v>
      </c>
      <c r="T194" s="680">
        <f t="shared" si="77"/>
        <v>8.2486561188769111E-2</v>
      </c>
      <c r="U194" s="681">
        <f t="shared" si="89"/>
        <v>0.98533746776960407</v>
      </c>
      <c r="V194" s="682">
        <f t="shared" si="90"/>
        <v>-0.20860262684249853</v>
      </c>
      <c r="W194" s="683">
        <f t="shared" si="78"/>
        <v>-21.436207658777498</v>
      </c>
      <c r="X194" s="684">
        <f t="shared" si="79"/>
        <v>-111.62724136535616</v>
      </c>
      <c r="Y194" s="687">
        <f t="shared" si="80"/>
        <v>68.372758634643844</v>
      </c>
      <c r="AA194" s="170">
        <f t="shared" si="81"/>
        <v>10965</v>
      </c>
      <c r="AB194" s="170">
        <f t="shared" si="82"/>
        <v>120231225</v>
      </c>
      <c r="AD194" s="686">
        <f t="shared" si="83"/>
        <v>17.130175044032914</v>
      </c>
      <c r="AE194" s="687">
        <f t="shared" si="84"/>
        <v>-7.8729799571123067</v>
      </c>
      <c r="AG194" s="686">
        <f t="shared" si="85"/>
        <v>-3.3505546699173973E-2</v>
      </c>
      <c r="AH194" s="687">
        <f t="shared" si="86"/>
        <v>-79.850161154094266</v>
      </c>
      <c r="AJ194" s="170">
        <f t="shared" si="87"/>
        <v>0</v>
      </c>
      <c r="AK194" s="170">
        <f t="shared" si="99"/>
        <v>0</v>
      </c>
      <c r="AM194" s="170" t="str">
        <f t="shared" si="91"/>
        <v>0.04470178718139+0.295643915184416i</v>
      </c>
      <c r="AN194" s="170" t="str">
        <f t="shared" si="92"/>
        <v>0.300129494688626i</v>
      </c>
      <c r="AO194" s="170" t="str">
        <f t="shared" si="93"/>
        <v>0.985054519520437-0.148941666755434i</v>
      </c>
      <c r="AP194" s="170" t="str">
        <f t="shared" si="94"/>
        <v>0.159216368803102-0.0492739858640693i</v>
      </c>
      <c r="AQ194" s="170" t="str">
        <f t="shared" si="95"/>
        <v>0.840783631196898+0.0492739858640693i</v>
      </c>
      <c r="AR194" s="170" t="str">
        <f t="shared" si="96"/>
        <v>0.987351324283049-0.0578635613140283i</v>
      </c>
    </row>
    <row r="195" spans="7:44">
      <c r="G195" s="688">
        <v>11028.75</v>
      </c>
      <c r="H195" s="676">
        <f t="shared" si="88"/>
        <v>11.02875</v>
      </c>
      <c r="I195" s="677">
        <f t="shared" si="66"/>
        <v>88.920764403492285</v>
      </c>
      <c r="J195" s="678">
        <f t="shared" si="67"/>
        <v>1.5595501225304833</v>
      </c>
      <c r="K195" s="678">
        <f t="shared" si="68"/>
        <v>1.0001161990171361</v>
      </c>
      <c r="L195" s="679">
        <f t="shared" si="69"/>
        <v>1.524386869588946E-2</v>
      </c>
      <c r="M195" s="678">
        <f t="shared" si="70"/>
        <v>1.0016993925823512</v>
      </c>
      <c r="N195" s="679">
        <f t="shared" si="71"/>
        <v>-5.825786564091006E-2</v>
      </c>
      <c r="O195" s="677">
        <f t="shared" si="72"/>
        <v>457351.4871917683</v>
      </c>
      <c r="P195" s="680">
        <f t="shared" si="73"/>
        <v>1.5707941402927685</v>
      </c>
      <c r="Q195" s="689">
        <f t="shared" si="100"/>
        <v>18.32137037824506</v>
      </c>
      <c r="R195" s="690">
        <f t="shared" si="101"/>
        <v>1.5161881200021305</v>
      </c>
      <c r="S195" s="677">
        <f t="shared" si="76"/>
        <v>1.0034514055994548</v>
      </c>
      <c r="T195" s="680">
        <f t="shared" si="77"/>
        <v>8.2963942945611088E-2</v>
      </c>
      <c r="U195" s="681">
        <f t="shared" si="89"/>
        <v>0.98517453320127357</v>
      </c>
      <c r="V195" s="682">
        <f t="shared" si="90"/>
        <v>-0.20979828080355933</v>
      </c>
      <c r="W195" s="683">
        <f t="shared" si="78"/>
        <v>-21.488304114582878</v>
      </c>
      <c r="X195" s="684">
        <f t="shared" si="79"/>
        <v>-111.72289489305885</v>
      </c>
      <c r="Y195" s="687">
        <f t="shared" si="80"/>
        <v>68.27710510694115</v>
      </c>
      <c r="AA195" s="170">
        <f t="shared" si="81"/>
        <v>11028.75</v>
      </c>
      <c r="AB195" s="170">
        <f t="shared" si="82"/>
        <v>121633326.5625</v>
      </c>
      <c r="AD195" s="686">
        <f t="shared" si="83"/>
        <v>17.129680363353973</v>
      </c>
      <c r="AE195" s="687">
        <f t="shared" si="84"/>
        <v>-7.882178290213667</v>
      </c>
      <c r="AG195" s="686">
        <f t="shared" si="85"/>
        <v>-8.2234501601690213E-2</v>
      </c>
      <c r="AH195" s="687">
        <f t="shared" si="86"/>
        <v>-79.799604497085255</v>
      </c>
      <c r="AJ195" s="170">
        <f t="shared" si="87"/>
        <v>0</v>
      </c>
      <c r="AK195" s="170">
        <f t="shared" si="99"/>
        <v>0</v>
      </c>
      <c r="AM195" s="170" t="str">
        <f t="shared" si="91"/>
        <v>0.045219121845722+0.297310401282809i</v>
      </c>
      <c r="AN195" s="170" t="str">
        <f t="shared" si="92"/>
        <v>0.301874433611234i</v>
      </c>
      <c r="AO195" s="170" t="str">
        <f t="shared" si="93"/>
        <v>0.98488102396143-0.149794473499392i</v>
      </c>
      <c r="AP195" s="170" t="str">
        <f t="shared" si="94"/>
        <v>0.159130146359046-0.0495517335471348i</v>
      </c>
      <c r="AQ195" s="170" t="str">
        <f t="shared" si="95"/>
        <v>0.840869853640954+0.0495517335471348i</v>
      </c>
      <c r="AR195" s="170" t="str">
        <f t="shared" si="96"/>
        <v>0.987212581553212-0.0581755839904228i</v>
      </c>
    </row>
    <row r="196" spans="7:44">
      <c r="G196" s="688">
        <v>11092.5</v>
      </c>
      <c r="H196" s="676">
        <f t="shared" si="88"/>
        <v>11.092499999999999</v>
      </c>
      <c r="I196" s="677">
        <f t="shared" si="66"/>
        <v>89.434692442499355</v>
      </c>
      <c r="J196" s="678">
        <f t="shared" si="67"/>
        <v>1.5596147504855873</v>
      </c>
      <c r="K196" s="678">
        <f t="shared" si="68"/>
        <v>1.0001175461616927</v>
      </c>
      <c r="L196" s="679">
        <f t="shared" si="69"/>
        <v>1.5331969775430014E-2</v>
      </c>
      <c r="M196" s="678">
        <f t="shared" si="70"/>
        <v>1.001719078613621</v>
      </c>
      <c r="N196" s="679">
        <f t="shared" si="71"/>
        <v>-5.8593848279995808E-2</v>
      </c>
      <c r="O196" s="677">
        <f t="shared" si="72"/>
        <v>459995.13740673702</v>
      </c>
      <c r="P196" s="680">
        <f t="shared" si="73"/>
        <v>1.5707941528588727</v>
      </c>
      <c r="Q196" s="689">
        <f t="shared" si="100"/>
        <v>18.426959659665741</v>
      </c>
      <c r="R196" s="690">
        <f t="shared" si="101"/>
        <v>1.5165013420693447</v>
      </c>
      <c r="S196" s="677">
        <f t="shared" si="76"/>
        <v>1.0034913519487494</v>
      </c>
      <c r="T196" s="680">
        <f t="shared" si="77"/>
        <v>8.3441286804607009E-2</v>
      </c>
      <c r="U196" s="681">
        <f t="shared" si="89"/>
        <v>0.98501073110564707</v>
      </c>
      <c r="V196" s="682">
        <f t="shared" si="90"/>
        <v>-0.21099364338561349</v>
      </c>
      <c r="W196" s="683">
        <f t="shared" si="78"/>
        <v>-21.540116678909431</v>
      </c>
      <c r="X196" s="684">
        <f t="shared" si="79"/>
        <v>-111.81869380633486</v>
      </c>
      <c r="Y196" s="687">
        <f t="shared" si="80"/>
        <v>68.181306193665137</v>
      </c>
      <c r="AA196" s="170">
        <f t="shared" si="81"/>
        <v>11092.5</v>
      </c>
      <c r="AB196" s="170">
        <f t="shared" si="82"/>
        <v>123043556.25</v>
      </c>
      <c r="AD196" s="686">
        <f t="shared" si="83"/>
        <v>17.129186305800033</v>
      </c>
      <c r="AE196" s="687">
        <f t="shared" si="84"/>
        <v>-7.8915824962043697</v>
      </c>
      <c r="AG196" s="686">
        <f t="shared" si="85"/>
        <v>-0.13066441316622696</v>
      </c>
      <c r="AH196" s="687">
        <f t="shared" si="86"/>
        <v>-79.749020742334977</v>
      </c>
      <c r="AJ196" s="170">
        <f t="shared" si="87"/>
        <v>0</v>
      </c>
      <c r="AK196" s="170">
        <f t="shared" si="99"/>
        <v>0</v>
      </c>
      <c r="AM196" s="170" t="str">
        <f t="shared" si="91"/>
        <v>0.045739363637442+0.298975982127203i</v>
      </c>
      <c r="AN196" s="170" t="str">
        <f t="shared" si="92"/>
        <v>0.303619372533843i</v>
      </c>
      <c r="AO196" s="170" t="str">
        <f t="shared" si="93"/>
        <v>0.984706541061959-0.15064705277442i</v>
      </c>
      <c r="AP196" s="170" t="str">
        <f t="shared" si="94"/>
        <v>0.15904343939376-0.0498293303545338i</v>
      </c>
      <c r="AQ196" s="170" t="str">
        <f t="shared" si="95"/>
        <v>0.84095656060624+0.0498293303545338i</v>
      </c>
      <c r="AR196" s="170" t="str">
        <f t="shared" si="96"/>
        <v>0.987073127162385-0.0584871980807189i</v>
      </c>
    </row>
    <row r="197" spans="7:44">
      <c r="G197" s="688">
        <v>11156.25</v>
      </c>
      <c r="H197" s="676">
        <f t="shared" si="88"/>
        <v>11.15625</v>
      </c>
      <c r="I197" s="677">
        <f t="shared" si="66"/>
        <v>89.948620850786227</v>
      </c>
      <c r="J197" s="678">
        <f t="shared" si="67"/>
        <v>1.5596786399273066</v>
      </c>
      <c r="K197" s="678">
        <f t="shared" si="68"/>
        <v>1.0001189010689406</v>
      </c>
      <c r="L197" s="679">
        <f t="shared" si="69"/>
        <v>1.5420070616945189E-2</v>
      </c>
      <c r="M197" s="678">
        <f t="shared" si="70"/>
        <v>1.0017388777188299</v>
      </c>
      <c r="N197" s="679">
        <f t="shared" si="71"/>
        <v>-5.892981767578917E-2</v>
      </c>
      <c r="O197" s="677">
        <f t="shared" si="72"/>
        <v>462638.78762170579</v>
      </c>
      <c r="P197" s="680">
        <f t="shared" si="73"/>
        <v>1.5707941652813644</v>
      </c>
      <c r="Q197" s="689">
        <f t="shared" si="100"/>
        <v>18.532550728319372</v>
      </c>
      <c r="R197" s="690">
        <f t="shared" si="101"/>
        <v>1.5168109949382922</v>
      </c>
      <c r="S197" s="677">
        <f t="shared" si="76"/>
        <v>1.0035315269324994</v>
      </c>
      <c r="T197" s="680">
        <f t="shared" si="77"/>
        <v>8.3918592552763197E-2</v>
      </c>
      <c r="U197" s="681">
        <f t="shared" si="89"/>
        <v>0.98484606275603237</v>
      </c>
      <c r="V197" s="682">
        <f t="shared" si="90"/>
        <v>-0.21218871309948564</v>
      </c>
      <c r="W197" s="683">
        <f t="shared" si="78"/>
        <v>-21.591648726762411</v>
      </c>
      <c r="X197" s="684">
        <f t="shared" si="79"/>
        <v>-111.91463518883164</v>
      </c>
      <c r="Y197" s="687">
        <f t="shared" si="80"/>
        <v>68.085364811168361</v>
      </c>
      <c r="AA197" s="170">
        <f t="shared" si="81"/>
        <v>11156.25</v>
      </c>
      <c r="AB197" s="170">
        <f t="shared" si="82"/>
        <v>124461914.0625</v>
      </c>
      <c r="AD197" s="686">
        <f t="shared" si="83"/>
        <v>17.128692812984873</v>
      </c>
      <c r="AE197" s="687">
        <f t="shared" si="84"/>
        <v>-7.9011890103735682</v>
      </c>
      <c r="AG197" s="686">
        <f t="shared" si="85"/>
        <v>-0.17879861268048999</v>
      </c>
      <c r="AH197" s="687">
        <f t="shared" si="86"/>
        <v>-79.698410708848471</v>
      </c>
      <c r="AJ197" s="170">
        <f t="shared" si="87"/>
        <v>0</v>
      </c>
      <c r="AK197" s="170">
        <f t="shared" si="99"/>
        <v>0</v>
      </c>
      <c r="AM197" s="170" t="str">
        <f t="shared" si="91"/>
        <v>0.046262510972512+0.300640652646215i</v>
      </c>
      <c r="AN197" s="170" t="str">
        <f t="shared" si="92"/>
        <v>0.305364311456451i</v>
      </c>
      <c r="AO197" s="170" t="str">
        <f t="shared" si="93"/>
        <v>0.984531071140218-0.151499403292613i</v>
      </c>
      <c r="AP197" s="170" t="str">
        <f t="shared" si="94"/>
        <v>0.158956248171248-0.0501067754410358i</v>
      </c>
      <c r="AQ197" s="170" t="str">
        <f t="shared" si="95"/>
        <v>0.841043751828752+0.0501067754410358i</v>
      </c>
      <c r="AR197" s="170" t="str">
        <f t="shared" si="96"/>
        <v>0.986932962627533-0.0587984016600876i</v>
      </c>
    </row>
    <row r="198" spans="7:44">
      <c r="G198" s="688">
        <v>11220</v>
      </c>
      <c r="H198" s="676">
        <f t="shared" si="88"/>
        <v>11.22</v>
      </c>
      <c r="I198" s="677">
        <f t="shared" si="66"/>
        <v>90.462549622059086</v>
      </c>
      <c r="J198" s="678">
        <f t="shared" si="67"/>
        <v>1.5597418034418691</v>
      </c>
      <c r="K198" s="678">
        <f t="shared" si="68"/>
        <v>1.0001202637388489</v>
      </c>
      <c r="L198" s="679">
        <f t="shared" si="69"/>
        <v>1.5508171219068318E-2</v>
      </c>
      <c r="M198" s="678">
        <f t="shared" si="70"/>
        <v>1.001758789891273</v>
      </c>
      <c r="N198" s="679">
        <f t="shared" si="71"/>
        <v>-5.9265773753232248E-2</v>
      </c>
      <c r="O198" s="677">
        <f t="shared" si="72"/>
        <v>465282.43783667468</v>
      </c>
      <c r="P198" s="680">
        <f t="shared" si="73"/>
        <v>1.5707941775626912</v>
      </c>
      <c r="Q198" s="689">
        <f t="shared" si="100"/>
        <v>18.638143553830204</v>
      </c>
      <c r="R198" s="690">
        <f t="shared" si="101"/>
        <v>1.5171171392120535</v>
      </c>
      <c r="S198" s="677">
        <f t="shared" si="76"/>
        <v>1.0035719305232469</v>
      </c>
      <c r="T198" s="680">
        <f t="shared" si="77"/>
        <v>8.4395859977189375E-2</v>
      </c>
      <c r="U198" s="681">
        <f t="shared" si="89"/>
        <v>0.98468052943136963</v>
      </c>
      <c r="V198" s="682">
        <f t="shared" si="90"/>
        <v>-0.21338348845918859</v>
      </c>
      <c r="W198" s="683">
        <f t="shared" si="78"/>
        <v>-21.642903574658035</v>
      </c>
      <c r="X198" s="684">
        <f t="shared" si="79"/>
        <v>-112.01071618796558</v>
      </c>
      <c r="Y198" s="687">
        <f t="shared" si="80"/>
        <v>67.989283812034415</v>
      </c>
      <c r="AA198" s="170">
        <f t="shared" si="81"/>
        <v>11220</v>
      </c>
      <c r="AB198" s="170">
        <f t="shared" si="82"/>
        <v>125888400</v>
      </c>
      <c r="AD198" s="686">
        <f t="shared" si="83"/>
        <v>17.128199828187345</v>
      </c>
      <c r="AE198" s="687">
        <f t="shared" si="84"/>
        <v>-7.9109943483630492</v>
      </c>
      <c r="AG198" s="686">
        <f t="shared" si="85"/>
        <v>-0.22664037467706794</v>
      </c>
      <c r="AH198" s="687">
        <f t="shared" si="86"/>
        <v>-79.647775198682098</v>
      </c>
      <c r="AJ198" s="170">
        <f t="shared" si="87"/>
        <v>0</v>
      </c>
      <c r="AK198" s="170">
        <f t="shared" si="99"/>
        <v>0</v>
      </c>
      <c r="AM198" s="170" t="str">
        <f t="shared" si="91"/>
        <v>0.0467885622580479+0.30230440777124i</v>
      </c>
      <c r="AN198" s="170" t="str">
        <f t="shared" si="92"/>
        <v>0.307109250379059i</v>
      </c>
      <c r="AO198" s="170" t="str">
        <f t="shared" si="93"/>
        <v>0.984354614516207-0.152351523766535i</v>
      </c>
      <c r="AP198" s="170" t="str">
        <f t="shared" si="94"/>
        <v>0.158868572956992-0.0503840679618733i</v>
      </c>
      <c r="AQ198" s="170" t="str">
        <f t="shared" si="95"/>
        <v>0.841131427043008+0.0503840679618733i</v>
      </c>
      <c r="AR198" s="170" t="str">
        <f t="shared" si="96"/>
        <v>0.986792089471906-0.0591091928106609i</v>
      </c>
    </row>
    <row r="199" spans="7:44">
      <c r="G199" s="688">
        <v>11285.5</v>
      </c>
      <c r="H199" s="676">
        <f t="shared" si="88"/>
        <v>11.285500000000001</v>
      </c>
      <c r="I199" s="677">
        <f t="shared" si="66"/>
        <v>90.9905866135596</v>
      </c>
      <c r="J199" s="678">
        <f t="shared" si="67"/>
        <v>1.5598059576933141</v>
      </c>
      <c r="K199" s="678">
        <f t="shared" si="68"/>
        <v>1.0001216719005726</v>
      </c>
      <c r="L199" s="679">
        <f t="shared" si="69"/>
        <v>1.5598690018316848E-2</v>
      </c>
      <c r="M199" s="678">
        <f t="shared" si="70"/>
        <v>1.0017793664308299</v>
      </c>
      <c r="N199" s="679">
        <f t="shared" si="71"/>
        <v>-5.9610938203725733E-2</v>
      </c>
      <c r="O199" s="677">
        <f t="shared" si="72"/>
        <v>467998.65884185844</v>
      </c>
      <c r="P199" s="680">
        <f t="shared" si="73"/>
        <v>1.5707941900366365</v>
      </c>
      <c r="Q199" s="689">
        <f t="shared" si="100"/>
        <v>18.746636804580312</v>
      </c>
      <c r="R199" s="690">
        <f t="shared" si="101"/>
        <v>1.5174280953142485</v>
      </c>
      <c r="S199" s="677">
        <f t="shared" si="76"/>
        <v>1.0036136813095111</v>
      </c>
      <c r="T199" s="680">
        <f t="shared" si="77"/>
        <v>8.4886188720464398E-2</v>
      </c>
      <c r="U199" s="681">
        <f t="shared" si="89"/>
        <v>0.98450955248725924</v>
      </c>
      <c r="V199" s="682">
        <f t="shared" si="90"/>
        <v>-0.21461075342980315</v>
      </c>
      <c r="W199" s="683">
        <f t="shared" si="78"/>
        <v>-21.695280125328335</v>
      </c>
      <c r="X199" s="684">
        <f t="shared" si="79"/>
        <v>-112.10957719017075</v>
      </c>
      <c r="Y199" s="687">
        <f t="shared" si="80"/>
        <v>67.890422809829246</v>
      </c>
      <c r="AA199" s="170">
        <f t="shared" si="81"/>
        <v>11285.5</v>
      </c>
      <c r="AB199" s="170">
        <f t="shared" si="82"/>
        <v>127362510.25</v>
      </c>
      <c r="AD199" s="686">
        <f t="shared" si="83"/>
        <v>17.127693781685135</v>
      </c>
      <c r="AE199" s="687">
        <f t="shared" si="84"/>
        <v>-7.9212723583732023</v>
      </c>
      <c r="AG199" s="686">
        <f t="shared" si="85"/>
        <v>-0.27549423381009314</v>
      </c>
      <c r="AH199" s="687">
        <f t="shared" si="86"/>
        <v>-79.595723984395477</v>
      </c>
      <c r="AJ199" s="170">
        <f t="shared" si="87"/>
        <v>0</v>
      </c>
      <c r="AK199" s="170">
        <f t="shared" si="99"/>
        <v>0</v>
      </c>
      <c r="AM199" s="170" t="str">
        <f t="shared" si="91"/>
        <v>0.047332077102537+0.304012875849417i</v>
      </c>
      <c r="AN199" s="170" t="str">
        <f t="shared" si="92"/>
        <v>0.308902089585818i</v>
      </c>
      <c r="AO199" s="170" t="str">
        <f t="shared" si="93"/>
        <v>0.98417228662015-0.153226794826803i</v>
      </c>
      <c r="AP199" s="170" t="str">
        <f t="shared" si="94"/>
        <v>0.158777987149577-0.0506688126415695i</v>
      </c>
      <c r="AQ199" s="170" t="str">
        <f t="shared" si="95"/>
        <v>0.841222012850423+0.0506688126415695i</v>
      </c>
      <c r="AR199" s="170" t="str">
        <f t="shared" si="96"/>
        <v>0.986646612751439-0.0594280839080122i</v>
      </c>
    </row>
    <row r="200" spans="7:44">
      <c r="G200" s="688">
        <v>11351</v>
      </c>
      <c r="H200" s="676">
        <f t="shared" si="88"/>
        <v>11.351000000000001</v>
      </c>
      <c r="I200" s="677">
        <f t="shared" si="66"/>
        <v>91.518623975234789</v>
      </c>
      <c r="J200" s="678">
        <f t="shared" si="67"/>
        <v>1.5598693716401444</v>
      </c>
      <c r="K200" s="678">
        <f t="shared" si="68"/>
        <v>1.000123088256923</v>
      </c>
      <c r="L200" s="679">
        <f t="shared" si="69"/>
        <v>1.568920856192486E-2</v>
      </c>
      <c r="M200" s="678">
        <f t="shared" si="70"/>
        <v>1.0018000623159649</v>
      </c>
      <c r="N200" s="679">
        <f t="shared" si="71"/>
        <v>-5.9956088434042071E-2</v>
      </c>
      <c r="O200" s="677">
        <f t="shared" si="72"/>
        <v>470714.8798470422</v>
      </c>
      <c r="P200" s="680">
        <f t="shared" si="73"/>
        <v>1.5707942023666221</v>
      </c>
      <c r="Q200" s="689">
        <f t="shared" si="100"/>
        <v>18.855131847151448</v>
      </c>
      <c r="R200" s="690">
        <f t="shared" si="101"/>
        <v>1.5177354728768397</v>
      </c>
      <c r="S200" s="677">
        <f t="shared" si="76"/>
        <v>1.0036556733667528</v>
      </c>
      <c r="T200" s="680">
        <f t="shared" si="77"/>
        <v>8.5376476551773689E-2</v>
      </c>
      <c r="U200" s="681">
        <f t="shared" si="89"/>
        <v>0.98433766518285082</v>
      </c>
      <c r="V200" s="682">
        <f t="shared" si="90"/>
        <v>-0.21583770449375039</v>
      </c>
      <c r="W200" s="683">
        <f t="shared" si="78"/>
        <v>-21.74737096267609</v>
      </c>
      <c r="X200" s="684">
        <f t="shared" si="79"/>
        <v>-112.20857967329476</v>
      </c>
      <c r="Y200" s="687">
        <f t="shared" si="80"/>
        <v>67.791420326705236</v>
      </c>
      <c r="AA200" s="170">
        <f t="shared" si="81"/>
        <v>11351</v>
      </c>
      <c r="AB200" s="170">
        <f t="shared" si="82"/>
        <v>128845201</v>
      </c>
      <c r="AD200" s="686">
        <f t="shared" si="83"/>
        <v>17.127188155235636</v>
      </c>
      <c r="AE200" s="687">
        <f t="shared" si="84"/>
        <v>-7.93175305126847</v>
      </c>
      <c r="AG200" s="686">
        <f t="shared" si="85"/>
        <v>-0.32404620953059238</v>
      </c>
      <c r="AH200" s="687">
        <f t="shared" si="86"/>
        <v>-79.543647539197039</v>
      </c>
      <c r="AJ200" s="170">
        <f t="shared" si="87"/>
        <v>0</v>
      </c>
      <c r="AK200" s="170">
        <f t="shared" si="99"/>
        <v>0</v>
      </c>
      <c r="AM200" s="170" t="str">
        <f t="shared" si="91"/>
        <v>0.047878654080436+0.305720366747652i</v>
      </c>
      <c r="AN200" s="170" t="str">
        <f t="shared" si="92"/>
        <v>0.310694928792576i</v>
      </c>
      <c r="AO200" s="170" t="str">
        <f t="shared" si="93"/>
        <v>0.983988917797094-0.154101820285584i</v>
      </c>
      <c r="AP200" s="170" t="str">
        <f t="shared" si="94"/>
        <v>0.158686890986594-0.050953394457942i</v>
      </c>
      <c r="AQ200" s="170" t="str">
        <f t="shared" si="95"/>
        <v>0.841313109013406+0.050953394457942i</v>
      </c>
      <c r="AR200" s="170" t="str">
        <f t="shared" si="96"/>
        <v>0.986500391251937-0.0597465355405191i</v>
      </c>
    </row>
    <row r="201" spans="7:44">
      <c r="G201" s="688">
        <v>11416.5</v>
      </c>
      <c r="H201" s="676">
        <f t="shared" si="88"/>
        <v>11.416499999999999</v>
      </c>
      <c r="I201" s="677">
        <f t="shared" si="66"/>
        <v>92.04666170071394</v>
      </c>
      <c r="J201" s="678">
        <f t="shared" si="67"/>
        <v>1.5599320580224081</v>
      </c>
      <c r="K201" s="678">
        <f t="shared" si="68"/>
        <v>1.0001245128078655</v>
      </c>
      <c r="L201" s="679">
        <f t="shared" si="69"/>
        <v>1.5779726848410097E-2</v>
      </c>
      <c r="M201" s="678">
        <f t="shared" si="70"/>
        <v>1.001820877539281</v>
      </c>
      <c r="N201" s="679">
        <f t="shared" si="71"/>
        <v>-6.0301224362830523E-2</v>
      </c>
      <c r="O201" s="677">
        <f t="shared" si="72"/>
        <v>473431.10085222614</v>
      </c>
      <c r="P201" s="680">
        <f t="shared" si="73"/>
        <v>1.5707942145551257</v>
      </c>
      <c r="Q201" s="689">
        <f t="shared" si="100"/>
        <v>18.963628650789417</v>
      </c>
      <c r="R201" s="690">
        <f t="shared" si="101"/>
        <v>1.5180393332630466</v>
      </c>
      <c r="S201" s="677">
        <f t="shared" si="76"/>
        <v>1.0036979066646892</v>
      </c>
      <c r="T201" s="680">
        <f t="shared" si="77"/>
        <v>8.5866723240554166E-2</v>
      </c>
      <c r="U201" s="681">
        <f t="shared" si="89"/>
        <v>0.98416486892365829</v>
      </c>
      <c r="V201" s="682">
        <f t="shared" si="90"/>
        <v>-0.21706434004987041</v>
      </c>
      <c r="W201" s="683">
        <f t="shared" si="78"/>
        <v>-21.799179499763085</v>
      </c>
      <c r="X201" s="684">
        <f t="shared" si="79"/>
        <v>-112.30772074205095</v>
      </c>
      <c r="Y201" s="687">
        <f t="shared" si="80"/>
        <v>67.692279257949053</v>
      </c>
      <c r="AA201" s="170">
        <f t="shared" si="81"/>
        <v>11416.5</v>
      </c>
      <c r="AB201" s="170">
        <f t="shared" si="82"/>
        <v>130336472.25</v>
      </c>
      <c r="AD201" s="686">
        <f t="shared" si="83"/>
        <v>17.126682892445693</v>
      </c>
      <c r="AE201" s="687">
        <f t="shared" si="84"/>
        <v>-7.9424328981269952</v>
      </c>
      <c r="AG201" s="686">
        <f t="shared" si="85"/>
        <v>-0.37229967471626946</v>
      </c>
      <c r="AH201" s="687">
        <f t="shared" si="86"/>
        <v>-79.491546680201338</v>
      </c>
      <c r="AJ201" s="170">
        <f t="shared" si="87"/>
        <v>0</v>
      </c>
      <c r="AK201" s="170">
        <f t="shared" si="99"/>
        <v>0</v>
      </c>
      <c r="AM201" s="170" t="str">
        <f t="shared" si="91"/>
        <v>0.0484282914349+0.307426874977607i</v>
      </c>
      <c r="AN201" s="170" t="str">
        <f t="shared" si="92"/>
        <v>0.312487767999334i</v>
      </c>
      <c r="AO201" s="170" t="str">
        <f t="shared" si="93"/>
        <v>0.983804508400029-0.154976598748029i</v>
      </c>
      <c r="AP201" s="170" t="str">
        <f t="shared" si="94"/>
        <v>0.15859528476085-0.0512378124962678i</v>
      </c>
      <c r="AQ201" s="170" t="str">
        <f t="shared" si="95"/>
        <v>0.84140471523915+0.0512378124962678i</v>
      </c>
      <c r="AR201" s="170" t="str">
        <f t="shared" si="96"/>
        <v>0.986353426646021-0.0600645456511087i</v>
      </c>
    </row>
    <row r="202" spans="7:44">
      <c r="G202" s="688">
        <v>11482</v>
      </c>
      <c r="H202" s="676">
        <f t="shared" si="88"/>
        <v>11.481999999999999</v>
      </c>
      <c r="I202" s="677">
        <f t="shared" si="66"/>
        <v>92.57469978377182</v>
      </c>
      <c r="J202" s="678">
        <f t="shared" si="67"/>
        <v>1.5599940292895045</v>
      </c>
      <c r="K202" s="678">
        <f t="shared" si="68"/>
        <v>1.0001259455533649</v>
      </c>
      <c r="L202" s="679">
        <f t="shared" si="69"/>
        <v>1.5870244876290324E-2</v>
      </c>
      <c r="M202" s="678">
        <f t="shared" si="70"/>
        <v>1.0018418120933401</v>
      </c>
      <c r="N202" s="679">
        <f t="shared" si="71"/>
        <v>-6.0646345908760738E-2</v>
      </c>
      <c r="O202" s="677">
        <f t="shared" si="72"/>
        <v>476147.32185741013</v>
      </c>
      <c r="P202" s="680">
        <f t="shared" si="73"/>
        <v>1.5707942266045687</v>
      </c>
      <c r="Q202" s="689">
        <f t="shared" si="100"/>
        <v>19.072127185439349</v>
      </c>
      <c r="R202" s="690">
        <f t="shared" si="101"/>
        <v>1.518339736442375</v>
      </c>
      <c r="S202" s="677">
        <f t="shared" si="76"/>
        <v>1.0037403811728693</v>
      </c>
      <c r="T202" s="680">
        <f t="shared" si="77"/>
        <v>8.6356928556360568E-2</v>
      </c>
      <c r="U202" s="681">
        <f t="shared" si="89"/>
        <v>0.98399116512132978</v>
      </c>
      <c r="V202" s="682">
        <f t="shared" si="90"/>
        <v>-0.21829065850060228</v>
      </c>
      <c r="W202" s="683">
        <f t="shared" si="78"/>
        <v>-21.850709090277402</v>
      </c>
      <c r="X202" s="684">
        <f t="shared" si="79"/>
        <v>-112.40699756456445</v>
      </c>
      <c r="Y202" s="687">
        <f t="shared" si="80"/>
        <v>67.593002435435551</v>
      </c>
      <c r="AA202" s="170">
        <f t="shared" si="81"/>
        <v>11482</v>
      </c>
      <c r="AB202" s="170">
        <f t="shared" si="82"/>
        <v>131836324</v>
      </c>
      <c r="AD202" s="686">
        <f t="shared" si="83"/>
        <v>17.126177938539303</v>
      </c>
      <c r="AE202" s="687">
        <f t="shared" si="84"/>
        <v>-7.953308449884414</v>
      </c>
      <c r="AG202" s="686">
        <f t="shared" si="85"/>
        <v>-0.42025794456352189</v>
      </c>
      <c r="AH202" s="687">
        <f t="shared" si="86"/>
        <v>-79.439422207664961</v>
      </c>
      <c r="AJ202" s="170">
        <f t="shared" si="87"/>
        <v>0</v>
      </c>
      <c r="AK202" s="170">
        <f t="shared" si="99"/>
        <v>0</v>
      </c>
      <c r="AM202" s="170" t="str">
        <f t="shared" si="91"/>
        <v>0.0489809873992449+0.309132395054102i</v>
      </c>
      <c r="AN202" s="170" t="str">
        <f t="shared" si="92"/>
        <v>0.314280607206093i</v>
      </c>
      <c r="AO202" s="170" t="str">
        <f t="shared" si="93"/>
        <v>0.983619058783939-0.15585112881981i</v>
      </c>
      <c r="AP202" s="170" t="str">
        <f t="shared" si="94"/>
        <v>0.158503168766793-0.0515220658423503i</v>
      </c>
      <c r="AQ202" s="170" t="str">
        <f t="shared" si="95"/>
        <v>0.841496831233207+0.0515220658423503i</v>
      </c>
      <c r="AR202" s="170" t="str">
        <f t="shared" si="96"/>
        <v>0.986205720613138-0.06038211219057i</v>
      </c>
    </row>
    <row r="203" spans="7:44">
      <c r="G203" s="688">
        <v>11548.75</v>
      </c>
      <c r="H203" s="676">
        <f t="shared" si="88"/>
        <v>11.54875</v>
      </c>
      <c r="I203" s="677">
        <f t="shared" si="66"/>
        <v>93.112815291064805</v>
      </c>
      <c r="J203" s="678">
        <f t="shared" si="67"/>
        <v>1.56005646009389</v>
      </c>
      <c r="K203" s="678">
        <f t="shared" si="68"/>
        <v>1.0001274140719254</v>
      </c>
      <c r="L203" s="679">
        <f t="shared" si="69"/>
        <v>1.5962490079861186E-2</v>
      </c>
      <c r="M203" s="678">
        <f t="shared" si="70"/>
        <v>1.001863268922474</v>
      </c>
      <c r="N203" s="679">
        <f t="shared" si="71"/>
        <v>-6.0998038862350744E-2</v>
      </c>
      <c r="O203" s="677">
        <f t="shared" si="72"/>
        <v>478915.37914131902</v>
      </c>
      <c r="P203" s="680">
        <f t="shared" si="73"/>
        <v>1.570794238743346</v>
      </c>
      <c r="Q203" s="689">
        <f t="shared" si="100"/>
        <v>19.182698053280134</v>
      </c>
      <c r="R203" s="690">
        <f t="shared" si="101"/>
        <v>1.5186423763852885</v>
      </c>
      <c r="S203" s="677">
        <f t="shared" si="76"/>
        <v>1.0037839143906047</v>
      </c>
      <c r="T203" s="680">
        <f t="shared" si="77"/>
        <v>8.685644613212784E-2</v>
      </c>
      <c r="U203" s="681">
        <f t="shared" si="89"/>
        <v>0.98381321414115541</v>
      </c>
      <c r="V203" s="682">
        <f t="shared" si="90"/>
        <v>-0.21954005208435942</v>
      </c>
      <c r="W203" s="683">
        <f t="shared" si="78"/>
        <v>-21.902938499354811</v>
      </c>
      <c r="X203" s="684">
        <f t="shared" si="79"/>
        <v>-112.50830577960713</v>
      </c>
      <c r="Y203" s="687">
        <f t="shared" si="80"/>
        <v>67.491694220392873</v>
      </c>
      <c r="AA203" s="170">
        <f t="shared" si="81"/>
        <v>11548.75</v>
      </c>
      <c r="AB203" s="170">
        <f t="shared" si="82"/>
        <v>133373626.5625</v>
      </c>
      <c r="AD203" s="686">
        <f t="shared" si="83"/>
        <v>17.12566361080269</v>
      </c>
      <c r="AE203" s="687">
        <f t="shared" si="84"/>
        <v>-7.9645894028410629</v>
      </c>
      <c r="AG203" s="686">
        <f t="shared" si="85"/>
        <v>-0.46883112298899554</v>
      </c>
      <c r="AH203" s="687">
        <f t="shared" si="86"/>
        <v>-79.386279510987407</v>
      </c>
      <c r="AJ203" s="170">
        <f t="shared" si="87"/>
        <v>0</v>
      </c>
      <c r="AK203" s="170">
        <f t="shared" si="99"/>
        <v>0</v>
      </c>
      <c r="AM203" s="170" t="str">
        <f t="shared" si="91"/>
        <v>0.049547375879606+0.310869440927628i</v>
      </c>
      <c r="AN203" s="170" t="str">
        <f t="shared" si="92"/>
        <v>0.31610766090153i</v>
      </c>
      <c r="AO203" s="170" t="str">
        <f t="shared" si="93"/>
        <v>0.983429000236936-0.156742091407397i</v>
      </c>
      <c r="AP203" s="170" t="str">
        <f t="shared" si="94"/>
        <v>0.158408770686732-0.051811573487938i</v>
      </c>
      <c r="AQ203" s="170" t="str">
        <f t="shared" si="95"/>
        <v>0.841591229313268+0.051811573487938i</v>
      </c>
      <c r="AR203" s="170" t="str">
        <f t="shared" si="96"/>
        <v>0.986054434722671-0.060705280697173i</v>
      </c>
    </row>
    <row r="204" spans="7:44">
      <c r="G204" s="688">
        <v>11615.5</v>
      </c>
      <c r="H204" s="676">
        <f t="shared" si="88"/>
        <v>11.615500000000001</v>
      </c>
      <c r="I204" s="677">
        <f t="shared" si="66"/>
        <v>93.650931157104168</v>
      </c>
      <c r="J204" s="678">
        <f t="shared" si="67"/>
        <v>1.5601181734468887</v>
      </c>
      <c r="K204" s="678">
        <f t="shared" si="68"/>
        <v>1.0001288911007229</v>
      </c>
      <c r="L204" s="679">
        <f t="shared" si="69"/>
        <v>1.6054735011754452E-2</v>
      </c>
      <c r="M204" s="678">
        <f t="shared" si="70"/>
        <v>1.0018848496646884</v>
      </c>
      <c r="N204" s="679">
        <f t="shared" si="71"/>
        <v>-6.1349716708404972E-2</v>
      </c>
      <c r="O204" s="677">
        <f t="shared" si="72"/>
        <v>481683.43642522802</v>
      </c>
      <c r="P204" s="680">
        <f t="shared" si="73"/>
        <v>1.5707942507426091</v>
      </c>
      <c r="Q204" s="689">
        <f t="shared" si="100"/>
        <v>19.293270657943584</v>
      </c>
      <c r="R204" s="690">
        <f t="shared" si="101"/>
        <v>1.5189415474062609</v>
      </c>
      <c r="S204" s="677">
        <f t="shared" si="76"/>
        <v>1.0038276980485423</v>
      </c>
      <c r="T204" s="680">
        <f t="shared" si="77"/>
        <v>8.7355920257890934E-2</v>
      </c>
      <c r="U204" s="681">
        <f t="shared" si="89"/>
        <v>0.98363432362764125</v>
      </c>
      <c r="V204" s="682">
        <f t="shared" si="90"/>
        <v>-0.22078911300557577</v>
      </c>
      <c r="W204" s="683">
        <f t="shared" si="78"/>
        <v>-21.95488506337913</v>
      </c>
      <c r="X204" s="684">
        <f t="shared" si="79"/>
        <v>-112.60974923461313</v>
      </c>
      <c r="Y204" s="687">
        <f t="shared" si="80"/>
        <v>67.390250765386867</v>
      </c>
      <c r="AA204" s="170">
        <f t="shared" si="81"/>
        <v>11615.5</v>
      </c>
      <c r="AB204" s="170">
        <f t="shared" si="82"/>
        <v>134919840.25</v>
      </c>
      <c r="AD204" s="686">
        <f t="shared" si="83"/>
        <v>17.125149493887125</v>
      </c>
      <c r="AE204" s="687">
        <f t="shared" si="84"/>
        <v>-7.9760666128891797</v>
      </c>
      <c r="AG204" s="686">
        <f t="shared" si="85"/>
        <v>-0.51710450591507429</v>
      </c>
      <c r="AH204" s="687">
        <f t="shared" si="86"/>
        <v>-79.333113917500867</v>
      </c>
      <c r="AJ204" s="170">
        <f t="shared" si="87"/>
        <v>0</v>
      </c>
      <c r="AK204" s="170">
        <f t="shared" si="99"/>
        <v>0</v>
      </c>
      <c r="AM204" s="170" t="str">
        <f t="shared" si="91"/>
        <v>0.050116937088945+0.312605449080326i</v>
      </c>
      <c r="AN204" s="170" t="str">
        <f t="shared" si="92"/>
        <v>0.317934714596966i</v>
      </c>
      <c r="AO204" s="170" t="str">
        <f t="shared" si="93"/>
        <v>0.98323786213973-0.157632793111241i</v>
      </c>
      <c r="AP204" s="170" t="str">
        <f t="shared" si="94"/>
        <v>0.158313843818509-0.0521009081800543i</v>
      </c>
      <c r="AQ204" s="170" t="str">
        <f t="shared" si="95"/>
        <v>0.841686156181491+0.0521009081800543i</v>
      </c>
      <c r="AR204" s="170" t="str">
        <f t="shared" si="96"/>
        <v>0.985902382379515-0.0610279842689677i</v>
      </c>
    </row>
    <row r="205" spans="7:44">
      <c r="G205" s="688">
        <v>11682.25</v>
      </c>
      <c r="H205" s="676">
        <f t="shared" si="88"/>
        <v>11.68225</v>
      </c>
      <c r="I205" s="677">
        <f t="shared" ref="I205:I268" si="102">SQRT(1+(G205/pole1)^2)</f>
        <v>94.189047375741197</v>
      </c>
      <c r="J205" s="678">
        <f t="shared" ref="J205:J268" si="103">ATAN(G205/pole1)</f>
        <v>1.5601791816447501</v>
      </c>
      <c r="K205" s="678">
        <f t="shared" ref="K205:K268" si="104">SQRT(1+(G205/Zero1)^2)</f>
        <v>1.0001303766397192</v>
      </c>
      <c r="L205" s="679">
        <f t="shared" ref="L205:L268" si="105">ATAN(G205/Zero1)</f>
        <v>1.6146979670401473E-2</v>
      </c>
      <c r="M205" s="678">
        <f t="shared" ref="M205:M268" si="106">SQRT(1+(G205/z_RHP)^2)</f>
        <v>1.0019065543119767</v>
      </c>
      <c r="N205" s="679">
        <f t="shared" ref="N205:N268" si="107">-ATAN(G205/z_RHP)</f>
        <v>-6.1701379360913348E-2</v>
      </c>
      <c r="O205" s="677">
        <f t="shared" ref="O205:O268" si="108">SQRT(1+(G205/Pole2)^2)</f>
        <v>484451.49370913714</v>
      </c>
      <c r="P205" s="680">
        <f t="shared" ref="P205:P268" si="109">ATAN(G205/Pole2)</f>
        <v>1.5707942626047497</v>
      </c>
      <c r="Q205" s="689">
        <f t="shared" si="100"/>
        <v>19.403844969737897</v>
      </c>
      <c r="R205" s="690">
        <f t="shared" si="101"/>
        <v>1.5192373087550353</v>
      </c>
      <c r="S205" s="677">
        <f t="shared" ref="S205:S268" si="110">SQRT(1+(G205/pole4)^2)</f>
        <v>1.0038717321139135</v>
      </c>
      <c r="T205" s="680">
        <f t="shared" ref="T205:T268" si="111">ATAN(G205/pole4)</f>
        <v>8.7855350690139375E-2</v>
      </c>
      <c r="U205" s="681">
        <f t="shared" si="89"/>
        <v>0.98345449509426008</v>
      </c>
      <c r="V205" s="682">
        <f t="shared" si="90"/>
        <v>-0.22203783958513215</v>
      </c>
      <c r="W205" s="683">
        <f t="shared" ref="W205:W268" si="112">20*LOG10(((K205*Q205*M205*U205)/(I205*O205*S205))*Adc)</f>
        <v>-22.006552150082349</v>
      </c>
      <c r="X205" s="684">
        <f t="shared" ref="X205:X268" si="113">((L205+R205+N205+V205)-(J205+P205+T205))*radconv</f>
        <v>-112.7113251244857</v>
      </c>
      <c r="Y205" s="687">
        <f t="shared" ref="Y205:Y268" si="114">IF(X205&gt;0,X205,X205+180)</f>
        <v>67.288674875514303</v>
      </c>
      <c r="AA205" s="170">
        <f t="shared" ref="AA205:AA268" si="115">IF(W205&lt;0,G205,1000000000)</f>
        <v>11682.25</v>
      </c>
      <c r="AB205" s="170">
        <f t="shared" ref="AB205:AB268" si="116">G205^2</f>
        <v>136474965.0625</v>
      </c>
      <c r="AD205" s="686">
        <f t="shared" ref="AD205:AD268" si="117">20*LOG10((Q205/(O205*S205))*Aea)</f>
        <v>17.12463553466031</v>
      </c>
      <c r="AE205" s="687">
        <f t="shared" ref="AE205:AE268" si="118">(R205-(P205+T205))*radconv</f>
        <v>-7.9877366714534723</v>
      </c>
      <c r="AG205" s="686">
        <f t="shared" ref="AG205:AG268" si="119">20*LOG10((K205*M205/(I205*U205))*Acs*Am)</f>
        <v>-0.56508142541508721</v>
      </c>
      <c r="AH205" s="687">
        <f t="shared" ref="AH205:AH268" si="120">(L205+N205-(J205+V205))*radconv</f>
        <v>-79.279926223096851</v>
      </c>
      <c r="AJ205" s="170">
        <f t="shared" ref="AJ205:AJ268" si="121">SUM((W206&lt;0)*(W205&gt;0))*G205</f>
        <v>0</v>
      </c>
      <c r="AK205" s="170">
        <f t="shared" si="99"/>
        <v>0</v>
      </c>
      <c r="AM205" s="170" t="str">
        <f t="shared" si="91"/>
        <v>0.050689669125997+0.314340413717186i</v>
      </c>
      <c r="AN205" s="170" t="str">
        <f t="shared" si="92"/>
        <v>0.319761768292403i</v>
      </c>
      <c r="AO205" s="170" t="str">
        <f t="shared" si="93"/>
        <v>0.983045644874407-0.158523232457372i</v>
      </c>
      <c r="AP205" s="170" t="str">
        <f t="shared" si="94"/>
        <v>0.158218388479-0.0523900689528643i</v>
      </c>
      <c r="AQ205" s="170" t="str">
        <f t="shared" si="95"/>
        <v>0.841781611521+0.0523900689528643i</v>
      </c>
      <c r="AR205" s="170" t="str">
        <f t="shared" si="96"/>
        <v>0.985749565382703-0.061350220762535i</v>
      </c>
    </row>
    <row r="206" spans="7:44">
      <c r="G206" s="688">
        <v>11749</v>
      </c>
      <c r="H206" s="676">
        <f t="shared" ref="H206:H269" si="122">G206/1000</f>
        <v>11.749000000000001</v>
      </c>
      <c r="I206" s="677">
        <f t="shared" si="102"/>
        <v>94.727163940966904</v>
      </c>
      <c r="J206" s="678">
        <f t="shared" si="103"/>
        <v>1.5602394967043398</v>
      </c>
      <c r="K206" s="678">
        <f t="shared" si="104"/>
        <v>1.0001318706888769</v>
      </c>
      <c r="L206" s="679">
        <f t="shared" si="105"/>
        <v>1.6239224054233645E-2</v>
      </c>
      <c r="M206" s="678">
        <f t="shared" si="106"/>
        <v>1.0019283828562862</v>
      </c>
      <c r="N206" s="679">
        <f t="shared" si="107"/>
        <v>-6.205302673388826E-2</v>
      </c>
      <c r="O206" s="677">
        <f t="shared" si="108"/>
        <v>487219.55099304632</v>
      </c>
      <c r="P206" s="680">
        <f t="shared" si="109"/>
        <v>1.5707942743321046</v>
      </c>
      <c r="Q206" s="689">
        <f t="shared" si="100"/>
        <v>19.514420959643793</v>
      </c>
      <c r="R206" s="690">
        <f t="shared" si="101"/>
        <v>1.5195297183408485</v>
      </c>
      <c r="S206" s="677">
        <f t="shared" si="110"/>
        <v>1.0039160165537682</v>
      </c>
      <c r="T206" s="680">
        <f t="shared" si="111"/>
        <v>8.8354737185492513E-2</v>
      </c>
      <c r="U206" s="681">
        <f t="shared" ref="U206:U269" si="123">IMABS(IMPRODUCT(AO206, AR206))</f>
        <v>0.98327373006097696</v>
      </c>
      <c r="V206" s="682">
        <f t="shared" ref="V206:V269" si="124">IMARGUMENT(IMPRODUCT(AO206, AR206))</f>
        <v>-0.22328623014786614</v>
      </c>
      <c r="W206" s="683">
        <f t="shared" si="112"/>
        <v>-22.057943068860236</v>
      </c>
      <c r="X206" s="684">
        <f t="shared" si="113"/>
        <v>-112.8130307051583</v>
      </c>
      <c r="Y206" s="687">
        <f t="shared" si="114"/>
        <v>67.186969294841703</v>
      </c>
      <c r="AA206" s="170">
        <f t="shared" si="115"/>
        <v>11749</v>
      </c>
      <c r="AB206" s="170">
        <f t="shared" si="116"/>
        <v>138039001</v>
      </c>
      <c r="AD206" s="686">
        <f t="shared" si="117"/>
        <v>17.124121681510061</v>
      </c>
      <c r="AE206" s="687">
        <f t="shared" si="118"/>
        <v>-7.9995962467682578</v>
      </c>
      <c r="AG206" s="686">
        <f t="shared" si="119"/>
        <v>-0.61276515682632493</v>
      </c>
      <c r="AH206" s="687">
        <f t="shared" si="120"/>
        <v>-79.226717207433964</v>
      </c>
      <c r="AJ206" s="170">
        <f t="shared" si="121"/>
        <v>0</v>
      </c>
      <c r="AK206" s="170">
        <f t="shared" si="99"/>
        <v>0</v>
      </c>
      <c r="AM206" s="170" t="str">
        <f t="shared" ref="AM206:AM269" si="125">IMSUB(1,IMEXP(COMPLEX(0,-2*Pi*G206*Tsw)))</f>
        <v>0.051265570078912+0.316074329046679i</v>
      </c>
      <c r="AN206" s="170" t="str">
        <f t="shared" ref="AN206:AN269" si="126">COMPLEX(0, 2*Pi*G206*Tsw)</f>
        <v>0.32158882198784i</v>
      </c>
      <c r="AO206" s="170" t="str">
        <f t="shared" ref="AO206:AO269" si="127">IMDIV(AM206, AN206)</f>
        <v>0.982852348825204-0.159413407972403i</v>
      </c>
      <c r="AP206" s="170" t="str">
        <f t="shared" ref="AP206:AP269" si="128">IMDIV(IMEXP(COMPLEX(0,-2*Pi*G206*Tsw)),6)</f>
        <v>0.158122404986848-0.0526790548411132i</v>
      </c>
      <c r="AQ206" s="170" t="str">
        <f t="shared" ref="AQ206:AQ269" si="129">IMSUB(1, AP206)</f>
        <v>0.841877595013152+0.0526790548411132i</v>
      </c>
      <c r="AR206" s="170" t="str">
        <f t="shared" ref="AR206:AR269" si="130">IMDIV(0.833, AQ206)</f>
        <v>0.985595985538441-0.0616719880430473i</v>
      </c>
    </row>
    <row r="207" spans="7:44">
      <c r="G207" s="688">
        <v>11817.5</v>
      </c>
      <c r="H207" s="676">
        <f t="shared" si="122"/>
        <v>11.817500000000001</v>
      </c>
      <c r="I207" s="677">
        <f t="shared" si="102"/>
        <v>95.279388785302615</v>
      </c>
      <c r="J207" s="678">
        <f t="shared" si="103"/>
        <v>1.5603006847390926</v>
      </c>
      <c r="K207" s="678">
        <f t="shared" si="104"/>
        <v>1.0001334127555774</v>
      </c>
      <c r="L207" s="679">
        <f t="shared" si="105"/>
        <v>1.6333886542789618E-2</v>
      </c>
      <c r="M207" s="678">
        <f t="shared" si="106"/>
        <v>1.0019509124879915</v>
      </c>
      <c r="N207" s="679">
        <f t="shared" si="107"/>
        <v>-6.2413877350558096E-2</v>
      </c>
      <c r="O207" s="677">
        <f t="shared" si="108"/>
        <v>490060.17906717031</v>
      </c>
      <c r="P207" s="680">
        <f t="shared" si="109"/>
        <v>1.570794286229181</v>
      </c>
      <c r="Q207" s="689">
        <f t="shared" si="100"/>
        <v>19.627897660476918</v>
      </c>
      <c r="R207" s="690">
        <f t="shared" si="101"/>
        <v>1.5198263687273081</v>
      </c>
      <c r="S207" s="677">
        <f t="shared" si="110"/>
        <v>1.0039617222808688</v>
      </c>
      <c r="T207" s="680">
        <f t="shared" si="111"/>
        <v>8.8867170275726784E-2</v>
      </c>
      <c r="U207" s="681">
        <f t="shared" si="123"/>
        <v>0.98308725381998707</v>
      </c>
      <c r="V207" s="682">
        <f t="shared" si="124"/>
        <v>-0.22456699895209364</v>
      </c>
      <c r="W207" s="683">
        <f t="shared" si="112"/>
        <v>-22.11039760230776</v>
      </c>
      <c r="X207" s="684">
        <f t="shared" si="113"/>
        <v>-112.91753474460789</v>
      </c>
      <c r="Y207" s="687">
        <f t="shared" si="114"/>
        <v>67.082465255392108</v>
      </c>
      <c r="AA207" s="170">
        <f t="shared" si="115"/>
        <v>11817.5</v>
      </c>
      <c r="AB207" s="170">
        <f t="shared" si="116"/>
        <v>139653306.25</v>
      </c>
      <c r="AD207" s="686">
        <f t="shared" si="117"/>
        <v>17.123594414260825</v>
      </c>
      <c r="AE207" s="687">
        <f t="shared" si="118"/>
        <v>-8.0119603666528683</v>
      </c>
      <c r="AG207" s="686">
        <f t="shared" si="119"/>
        <v>-0.66139758129922555</v>
      </c>
      <c r="AH207" s="687">
        <f t="shared" si="120"/>
        <v>-79.172091832802735</v>
      </c>
      <c r="AJ207" s="170">
        <f t="shared" si="121"/>
        <v>0</v>
      </c>
      <c r="AK207" s="170">
        <f t="shared" si="99"/>
        <v>0</v>
      </c>
      <c r="AM207" s="170" t="str">
        <f t="shared" si="125"/>
        <v>0.051859862167667+0.317852605827426i</v>
      </c>
      <c r="AN207" s="170" t="str">
        <f t="shared" si="126"/>
        <v>0.323463775967427i</v>
      </c>
      <c r="AO207" s="170" t="str">
        <f t="shared" si="127"/>
        <v>0.982652863915847-0.160326645580522i</v>
      </c>
      <c r="AP207" s="170" t="str">
        <f t="shared" si="128"/>
        <v>0.158023356305389-0.052975434304571i</v>
      </c>
      <c r="AQ207" s="170" t="str">
        <f t="shared" si="129"/>
        <v>0.841976643694611+0.052975434304571i</v>
      </c>
      <c r="AR207" s="170" t="str">
        <f t="shared" si="130"/>
        <v>0.985437588048855-0.0620017011135426i</v>
      </c>
    </row>
    <row r="208" spans="7:44">
      <c r="G208" s="688">
        <v>11886</v>
      </c>
      <c r="H208" s="676">
        <f t="shared" si="122"/>
        <v>11.885999999999999</v>
      </c>
      <c r="I208" s="677">
        <f t="shared" si="102"/>
        <v>95.831613982250829</v>
      </c>
      <c r="J208" s="678">
        <f t="shared" si="103"/>
        <v>1.5603611675876883</v>
      </c>
      <c r="K208" s="678">
        <f t="shared" si="104"/>
        <v>1.0001349637844326</v>
      </c>
      <c r="L208" s="679">
        <f t="shared" si="105"/>
        <v>1.6428548738584976E-2</v>
      </c>
      <c r="M208" s="678">
        <f t="shared" si="106"/>
        <v>1.0019735725810222</v>
      </c>
      <c r="N208" s="679">
        <f t="shared" si="107"/>
        <v>-6.2774711692606344E-2</v>
      </c>
      <c r="O208" s="677">
        <f t="shared" si="108"/>
        <v>492900.80714129441</v>
      </c>
      <c r="P208" s="680">
        <f t="shared" si="109"/>
        <v>1.5707942979891298</v>
      </c>
      <c r="Q208" s="689">
        <f t="shared" si="100"/>
        <v>19.74137606873602</v>
      </c>
      <c r="R208" s="690">
        <f t="shared" si="101"/>
        <v>1.5201196086968585</v>
      </c>
      <c r="S208" s="677">
        <f t="shared" si="110"/>
        <v>1.0040076916118983</v>
      </c>
      <c r="T208" s="680">
        <f t="shared" si="111"/>
        <v>8.9379556576142771E-2</v>
      </c>
      <c r="U208" s="681">
        <f t="shared" si="123"/>
        <v>0.98289979459470844</v>
      </c>
      <c r="V208" s="682">
        <f t="shared" si="124"/>
        <v>-0.2258474103279712</v>
      </c>
      <c r="W208" s="683">
        <f t="shared" si="112"/>
        <v>-22.162568176204044</v>
      </c>
      <c r="X208" s="684">
        <f t="shared" si="113"/>
        <v>-113.02216969881727</v>
      </c>
      <c r="Y208" s="687">
        <f t="shared" si="114"/>
        <v>66.977830301182735</v>
      </c>
      <c r="AA208" s="170">
        <f t="shared" si="115"/>
        <v>11886</v>
      </c>
      <c r="AB208" s="170">
        <f t="shared" si="116"/>
        <v>141276996</v>
      </c>
      <c r="AD208" s="686">
        <f t="shared" si="117"/>
        <v>17.123067153285408</v>
      </c>
      <c r="AE208" s="687">
        <f t="shared" si="118"/>
        <v>-8.0245172003170282</v>
      </c>
      <c r="AG208" s="686">
        <f t="shared" si="119"/>
        <v>-0.70972805419165741</v>
      </c>
      <c r="AH208" s="687">
        <f t="shared" si="120"/>
        <v>-79.117445617423655</v>
      </c>
      <c r="AJ208" s="170">
        <f t="shared" si="121"/>
        <v>0</v>
      </c>
      <c r="AK208" s="170">
        <f t="shared" si="99"/>
        <v>0</v>
      </c>
      <c r="AM208" s="170" t="str">
        <f t="shared" si="125"/>
        <v>0.052457487396994+0.319629765212787i</v>
      </c>
      <c r="AN208" s="170" t="str">
        <f t="shared" si="126"/>
        <v>0.325338729947014i</v>
      </c>
      <c r="AO208" s="170" t="str">
        <f t="shared" si="127"/>
        <v>0.982452243742524-0.161239602200259i</v>
      </c>
      <c r="AP208" s="170" t="str">
        <f t="shared" si="128"/>
        <v>0.157923752100501-0.0532716275354645i</v>
      </c>
      <c r="AQ208" s="170" t="str">
        <f t="shared" si="129"/>
        <v>0.842076247899499+0.0532716275354645i</v>
      </c>
      <c r="AR208" s="170" t="str">
        <f t="shared" si="130"/>
        <v>0.985278391065129-0.0623309155180299i</v>
      </c>
    </row>
    <row r="209" spans="7:44">
      <c r="G209" s="688">
        <v>11954.5</v>
      </c>
      <c r="H209" s="676">
        <f t="shared" si="122"/>
        <v>11.954499999999999</v>
      </c>
      <c r="I209" s="677">
        <f t="shared" si="102"/>
        <v>96.383839525750744</v>
      </c>
      <c r="J209" s="678">
        <f t="shared" si="103"/>
        <v>1.5604209573706485</v>
      </c>
      <c r="K209" s="678">
        <f t="shared" si="104"/>
        <v>1.0001365237754007</v>
      </c>
      <c r="L209" s="679">
        <f t="shared" si="105"/>
        <v>1.6523210639924568E-2</v>
      </c>
      <c r="M209" s="678">
        <f t="shared" si="106"/>
        <v>1.0019963631265267</v>
      </c>
      <c r="N209" s="679">
        <f t="shared" si="107"/>
        <v>-6.3135529667178045E-2</v>
      </c>
      <c r="O209" s="677">
        <f t="shared" si="108"/>
        <v>495741.43521541863</v>
      </c>
      <c r="P209" s="680">
        <f t="shared" si="109"/>
        <v>1.5707943096143082</v>
      </c>
      <c r="Q209" s="689">
        <f t="shared" si="100"/>
        <v>19.854856155145246</v>
      </c>
      <c r="R209" s="690">
        <f t="shared" si="101"/>
        <v>1.5204094966751669</v>
      </c>
      <c r="S209" s="677">
        <f t="shared" si="110"/>
        <v>1.0040539245106499</v>
      </c>
      <c r="T209" s="680">
        <f t="shared" si="111"/>
        <v>8.9891895824142157E-2</v>
      </c>
      <c r="U209" s="681">
        <f t="shared" si="123"/>
        <v>0.9827113540488579</v>
      </c>
      <c r="V209" s="682">
        <f t="shared" si="124"/>
        <v>-0.22712746247817428</v>
      </c>
      <c r="W209" s="683">
        <f t="shared" si="112"/>
        <v>-22.21445818421082</v>
      </c>
      <c r="X209" s="684">
        <f t="shared" si="113"/>
        <v>-113.12693279158414</v>
      </c>
      <c r="Y209" s="687">
        <f t="shared" si="114"/>
        <v>66.873067208415861</v>
      </c>
      <c r="AA209" s="170">
        <f t="shared" si="115"/>
        <v>11954.5</v>
      </c>
      <c r="AB209" s="170">
        <f t="shared" si="116"/>
        <v>142910070.25</v>
      </c>
      <c r="AD209" s="686">
        <f t="shared" si="117"/>
        <v>17.122539847467408</v>
      </c>
      <c r="AE209" s="687">
        <f t="shared" si="118"/>
        <v>-8.0372633853058648</v>
      </c>
      <c r="AG209" s="686">
        <f t="shared" si="119"/>
        <v>-0.75775993727974611</v>
      </c>
      <c r="AH209" s="687">
        <f t="shared" si="120"/>
        <v>-79.062779353507509</v>
      </c>
      <c r="AJ209" s="170">
        <f t="shared" si="121"/>
        <v>0</v>
      </c>
      <c r="AK209" s="170">
        <f t="shared" si="99"/>
        <v>0</v>
      </c>
      <c r="AM209" s="170" t="str">
        <f t="shared" si="125"/>
        <v>0.053058443665968+0.321405800955243i</v>
      </c>
      <c r="AN209" s="170" t="str">
        <f t="shared" si="126"/>
        <v>0.327213683926601i</v>
      </c>
      <c r="AO209" s="170" t="str">
        <f t="shared" si="127"/>
        <v>0.982250488727541-0.162152276241203i</v>
      </c>
      <c r="AP209" s="170" t="str">
        <f t="shared" si="128"/>
        <v>0.157823592722339-0.0535676334925405i</v>
      </c>
      <c r="AQ209" s="170" t="str">
        <f t="shared" si="129"/>
        <v>0.842176407277661+0.0535676334925405i</v>
      </c>
      <c r="AR209" s="170" t="str">
        <f t="shared" si="130"/>
        <v>0.985118396562507-0.0626596289777343i</v>
      </c>
    </row>
    <row r="210" spans="7:44">
      <c r="G210" s="688">
        <v>12023</v>
      </c>
      <c r="H210" s="676">
        <f t="shared" si="122"/>
        <v>12.023</v>
      </c>
      <c r="I210" s="677">
        <f t="shared" si="102"/>
        <v>96.936065409879618</v>
      </c>
      <c r="J210" s="678">
        <f t="shared" si="103"/>
        <v>1.5604800659323217</v>
      </c>
      <c r="K210" s="678">
        <f t="shared" si="104"/>
        <v>1.0001380927284398</v>
      </c>
      <c r="L210" s="679">
        <f t="shared" si="105"/>
        <v>1.6617872245113265E-2</v>
      </c>
      <c r="M210" s="678">
        <f t="shared" si="106"/>
        <v>1.0020192841156035</v>
      </c>
      <c r="N210" s="679">
        <f t="shared" si="107"/>
        <v>-6.3496331181443752E-2</v>
      </c>
      <c r="O210" s="677">
        <f t="shared" si="108"/>
        <v>498582.06328954292</v>
      </c>
      <c r="P210" s="680">
        <f t="shared" si="109"/>
        <v>1.5707943211070197</v>
      </c>
      <c r="Q210" s="689">
        <f t="shared" si="100"/>
        <v>19.9683378910938</v>
      </c>
      <c r="R210" s="690">
        <f t="shared" si="101"/>
        <v>1.5206960897620321</v>
      </c>
      <c r="S210" s="677">
        <f t="shared" si="110"/>
        <v>1.0041004209407165</v>
      </c>
      <c r="T210" s="680">
        <f t="shared" si="111"/>
        <v>9.0404187757273671E-2</v>
      </c>
      <c r="U210" s="681">
        <f t="shared" si="123"/>
        <v>0.98252193385319175</v>
      </c>
      <c r="V210" s="682">
        <f t="shared" si="124"/>
        <v>-0.22840715360984615</v>
      </c>
      <c r="W210" s="683">
        <f t="shared" si="112"/>
        <v>-22.266070961044857</v>
      </c>
      <c r="X210" s="684">
        <f t="shared" si="113"/>
        <v>-113.23182130711207</v>
      </c>
      <c r="Y210" s="687">
        <f t="shared" si="114"/>
        <v>66.768178692887929</v>
      </c>
      <c r="AA210" s="170">
        <f t="shared" si="115"/>
        <v>12023</v>
      </c>
      <c r="AB210" s="170">
        <f t="shared" si="116"/>
        <v>144552529</v>
      </c>
      <c r="AD210" s="686">
        <f t="shared" si="117"/>
        <v>17.122012447159868</v>
      </c>
      <c r="AE210" s="687">
        <f t="shared" si="118"/>
        <v>-8.0501956351365358</v>
      </c>
      <c r="AG210" s="686">
        <f t="shared" si="119"/>
        <v>-0.80549653495133122</v>
      </c>
      <c r="AH210" s="687">
        <f t="shared" si="120"/>
        <v>-79.008093817186975</v>
      </c>
      <c r="AJ210" s="170">
        <f t="shared" si="121"/>
        <v>0</v>
      </c>
      <c r="AK210" s="170">
        <f t="shared" si="99"/>
        <v>0</v>
      </c>
      <c r="AM210" s="170" t="str">
        <f t="shared" si="125"/>
        <v>0.053662728861958+0.323180706811228i</v>
      </c>
      <c r="AN210" s="170" t="str">
        <f t="shared" si="126"/>
        <v>0.329088637906188i</v>
      </c>
      <c r="AO210" s="170" t="str">
        <f t="shared" si="127"/>
        <v>0.982047599295591-0.163064666113618i</v>
      </c>
      <c r="AP210" s="170" t="str">
        <f t="shared" si="128"/>
        <v>0.157722878523007-0.0538634511352047i</v>
      </c>
      <c r="AQ210" s="170" t="str">
        <f t="shared" si="129"/>
        <v>0.842277121476993+0.0538634511352047i</v>
      </c>
      <c r="AR210" s="170" t="str">
        <f t="shared" si="130"/>
        <v>0.984957606523962-0.0629878392235313i</v>
      </c>
    </row>
    <row r="211" spans="7:44">
      <c r="G211" s="688">
        <v>12093</v>
      </c>
      <c r="H211" s="676">
        <f t="shared" si="122"/>
        <v>12.093</v>
      </c>
      <c r="I211" s="677">
        <f t="shared" si="102"/>
        <v>97.50038417749343</v>
      </c>
      <c r="J211" s="678">
        <f t="shared" si="103"/>
        <v>1.5605397771263685</v>
      </c>
      <c r="K211" s="678">
        <f t="shared" si="104"/>
        <v>1.000139705296665</v>
      </c>
      <c r="L211" s="679">
        <f t="shared" si="105"/>
        <v>1.6714606424453972E-2</v>
      </c>
      <c r="M211" s="678">
        <f t="shared" si="106"/>
        <v>1.0020428417743241</v>
      </c>
      <c r="N211" s="679">
        <f t="shared" si="107"/>
        <v>-6.3865016357302018E-2</v>
      </c>
      <c r="O211" s="677">
        <f t="shared" si="108"/>
        <v>501484.89489813708</v>
      </c>
      <c r="P211" s="680">
        <f t="shared" si="109"/>
        <v>1.5707943327168892</v>
      </c>
      <c r="Q211" s="689">
        <f t="shared" si="100"/>
        <v>20.084306303579247</v>
      </c>
      <c r="R211" s="690">
        <f t="shared" si="101"/>
        <v>1.5209856127737287</v>
      </c>
      <c r="S211" s="677">
        <f t="shared" si="110"/>
        <v>1.004148207753325</v>
      </c>
      <c r="T211" s="680">
        <f t="shared" si="111"/>
        <v>9.0927648608624373E-2</v>
      </c>
      <c r="U211" s="681">
        <f t="shared" si="123"/>
        <v>0.98232735545299521</v>
      </c>
      <c r="V211" s="682">
        <f t="shared" si="124"/>
        <v>-0.22971449235067856</v>
      </c>
      <c r="W211" s="683">
        <f t="shared" si="112"/>
        <v>-22.3185309508413</v>
      </c>
      <c r="X211" s="684">
        <f t="shared" si="113"/>
        <v>-113.33913345929888</v>
      </c>
      <c r="Y211" s="687">
        <f t="shared" si="114"/>
        <v>66.660866540701122</v>
      </c>
      <c r="AA211" s="170">
        <f t="shared" si="115"/>
        <v>12093</v>
      </c>
      <c r="AB211" s="170">
        <f t="shared" si="116"/>
        <v>146240649</v>
      </c>
      <c r="AD211" s="686">
        <f t="shared" si="117"/>
        <v>17.121473350146093</v>
      </c>
      <c r="AE211" s="687">
        <f t="shared" si="118"/>
        <v>-8.0635999512289622</v>
      </c>
      <c r="AG211" s="686">
        <f t="shared" si="119"/>
        <v>-0.85397678416956646</v>
      </c>
      <c r="AH211" s="687">
        <f t="shared" si="120"/>
        <v>-78.952191668622859</v>
      </c>
      <c r="AJ211" s="170">
        <f t="shared" si="121"/>
        <v>0</v>
      </c>
      <c r="AK211" s="170">
        <f t="shared" si="99"/>
        <v>0</v>
      </c>
      <c r="AM211" s="170" t="str">
        <f t="shared" si="125"/>
        <v>0.0542836834392481+0.324993305455304i</v>
      </c>
      <c r="AN211" s="170" t="str">
        <f t="shared" si="126"/>
        <v>0.331004649272189i</v>
      </c>
      <c r="AO211" s="170" t="str">
        <f t="shared" si="127"/>
        <v>0.98183909552297-0.16399674010201i</v>
      </c>
      <c r="AP211" s="170" t="str">
        <f t="shared" si="128"/>
        <v>0.157619386093459-0.0541655509092173i</v>
      </c>
      <c r="AQ211" s="170" t="str">
        <f t="shared" si="129"/>
        <v>0.842380613906541+0.0541655509092173i</v>
      </c>
      <c r="AR211" s="170" t="str">
        <f t="shared" si="130"/>
        <v>0.984792475749835-0.0633227143403373i</v>
      </c>
    </row>
    <row r="212" spans="7:44">
      <c r="G212" s="688">
        <v>12163</v>
      </c>
      <c r="H212" s="676">
        <f t="shared" si="122"/>
        <v>12.163</v>
      </c>
      <c r="I212" s="677">
        <f t="shared" si="102"/>
        <v>98.064703288736766</v>
      </c>
      <c r="J212" s="678">
        <f t="shared" si="103"/>
        <v>1.5605988010974572</v>
      </c>
      <c r="K212" s="678">
        <f t="shared" si="104"/>
        <v>1.0001413272236688</v>
      </c>
      <c r="L212" s="679">
        <f t="shared" si="105"/>
        <v>1.6811340290952641E-2</v>
      </c>
      <c r="M212" s="678">
        <f t="shared" si="106"/>
        <v>1.0020665356330698</v>
      </c>
      <c r="N212" s="679">
        <f t="shared" si="107"/>
        <v>-6.4233684148152226E-2</v>
      </c>
      <c r="O212" s="677">
        <f t="shared" si="108"/>
        <v>504387.7265067313</v>
      </c>
      <c r="P212" s="680">
        <f t="shared" si="109"/>
        <v>1.5707943441931254</v>
      </c>
      <c r="Q212" s="689">
        <f t="shared" si="100"/>
        <v>20.20027638027279</v>
      </c>
      <c r="R212" s="690">
        <f t="shared" si="101"/>
        <v>1.5212718114976533</v>
      </c>
      <c r="S212" s="677">
        <f t="shared" si="110"/>
        <v>1.004196269687621</v>
      </c>
      <c r="T212" s="680">
        <f t="shared" si="111"/>
        <v>9.1451059496563791E-2</v>
      </c>
      <c r="U212" s="681">
        <f t="shared" si="123"/>
        <v>0.98213175757878834</v>
      </c>
      <c r="V212" s="682">
        <f t="shared" si="124"/>
        <v>-0.23102145031765933</v>
      </c>
      <c r="W212" s="683">
        <f t="shared" si="112"/>
        <v>-22.370708293486373</v>
      </c>
      <c r="X212" s="684">
        <f t="shared" si="113"/>
        <v>-113.44657103892297</v>
      </c>
      <c r="Y212" s="687">
        <f t="shared" si="114"/>
        <v>66.553428961077032</v>
      </c>
      <c r="AA212" s="170">
        <f t="shared" si="115"/>
        <v>12163</v>
      </c>
      <c r="AB212" s="170">
        <f t="shared" si="116"/>
        <v>147938569</v>
      </c>
      <c r="AD212" s="686">
        <f t="shared" si="117"/>
        <v>17.120934054116983</v>
      </c>
      <c r="AE212" s="687">
        <f t="shared" si="118"/>
        <v>-8.0771918646316081</v>
      </c>
      <c r="AG212" s="686">
        <f t="shared" si="119"/>
        <v>-0.90215547336110147</v>
      </c>
      <c r="AH212" s="687">
        <f t="shared" si="120"/>
        <v>-78.896270983655228</v>
      </c>
      <c r="AJ212" s="170">
        <f t="shared" si="121"/>
        <v>0</v>
      </c>
      <c r="AK212" s="170">
        <f t="shared" si="99"/>
        <v>0</v>
      </c>
      <c r="AM212" s="170" t="str">
        <f t="shared" si="125"/>
        <v>0.054908109834225+0.326804711016967i</v>
      </c>
      <c r="AN212" s="170" t="str">
        <f t="shared" si="126"/>
        <v>0.332920660638191i</v>
      </c>
      <c r="AO212" s="170" t="str">
        <f t="shared" si="127"/>
        <v>0.981629408011206-0.164928513985792i</v>
      </c>
      <c r="AP212" s="170" t="str">
        <f t="shared" si="128"/>
        <v>0.157515315027629-0.0544674518361612i</v>
      </c>
      <c r="AQ212" s="170" t="str">
        <f t="shared" si="129"/>
        <v>0.842484684972371+0.0544674518361612i</v>
      </c>
      <c r="AR212" s="170" t="str">
        <f t="shared" si="130"/>
        <v>0.984626518428664-0.0636570592032532i</v>
      </c>
    </row>
    <row r="213" spans="7:44">
      <c r="G213" s="688">
        <v>12233</v>
      </c>
      <c r="H213" s="676">
        <f t="shared" si="122"/>
        <v>12.233000000000001</v>
      </c>
      <c r="I213" s="677">
        <f t="shared" si="102"/>
        <v>98.62902273771131</v>
      </c>
      <c r="J213" s="678">
        <f t="shared" si="103"/>
        <v>1.5606571496412935</v>
      </c>
      <c r="K213" s="678">
        <f t="shared" si="104"/>
        <v>1.0001429585094055</v>
      </c>
      <c r="L213" s="679">
        <f t="shared" si="105"/>
        <v>1.690807384280045E-2</v>
      </c>
      <c r="M213" s="678">
        <f t="shared" si="106"/>
        <v>1.0020903656821791</v>
      </c>
      <c r="N213" s="679">
        <f t="shared" si="107"/>
        <v>-6.4602334455015425E-2</v>
      </c>
      <c r="O213" s="677">
        <f t="shared" si="108"/>
        <v>507290.55811532564</v>
      </c>
      <c r="P213" s="680">
        <f t="shared" si="109"/>
        <v>1.5707943555380222</v>
      </c>
      <c r="Q213" s="689">
        <f t="shared" si="100"/>
        <v>20.316248092675327</v>
      </c>
      <c r="R213" s="690">
        <f t="shared" si="101"/>
        <v>1.521554742814843</v>
      </c>
      <c r="S213" s="677">
        <f t="shared" si="110"/>
        <v>1.0042446067041035</v>
      </c>
      <c r="T213" s="680">
        <f t="shared" si="111"/>
        <v>9.1974420141499966E-2</v>
      </c>
      <c r="U213" s="681">
        <f t="shared" si="123"/>
        <v>0.98193514203598997</v>
      </c>
      <c r="V213" s="682">
        <f t="shared" si="124"/>
        <v>-0.23232802561208343</v>
      </c>
      <c r="W213" s="683">
        <f t="shared" si="112"/>
        <v>-22.422606365499153</v>
      </c>
      <c r="X213" s="684">
        <f t="shared" si="113"/>
        <v>-113.55413133254201</v>
      </c>
      <c r="Y213" s="687">
        <f t="shared" si="114"/>
        <v>66.445868667457987</v>
      </c>
      <c r="AA213" s="170">
        <f t="shared" si="115"/>
        <v>12233</v>
      </c>
      <c r="AB213" s="170">
        <f t="shared" si="116"/>
        <v>149646289</v>
      </c>
      <c r="AD213" s="686">
        <f t="shared" si="117"/>
        <v>17.120394510532872</v>
      </c>
      <c r="AE213" s="687">
        <f t="shared" si="118"/>
        <v>-8.0909681004130967</v>
      </c>
      <c r="AG213" s="686">
        <f t="shared" si="119"/>
        <v>-0.95003595139970454</v>
      </c>
      <c r="AH213" s="687">
        <f t="shared" si="120"/>
        <v>-78.840332541348573</v>
      </c>
      <c r="AJ213" s="170">
        <f t="shared" si="121"/>
        <v>0</v>
      </c>
      <c r="AK213" s="170">
        <f t="shared" si="99"/>
        <v>0</v>
      </c>
      <c r="AM213" s="170" t="str">
        <f t="shared" si="125"/>
        <v>0.055536005754558+0.328614916846367i</v>
      </c>
      <c r="AN213" s="170" t="str">
        <f t="shared" si="126"/>
        <v>0.334836672004192i</v>
      </c>
      <c r="AO213" s="170" t="str">
        <f t="shared" si="127"/>
        <v>0.981418537221195-0.16585998607065i</v>
      </c>
      <c r="AP213" s="170" t="str">
        <f t="shared" si="128"/>
        <v>0.157410665707574-0.0547691528077278i</v>
      </c>
      <c r="AQ213" s="170" t="str">
        <f t="shared" si="129"/>
        <v>0.842589334292426+0.0547691528077278i</v>
      </c>
      <c r="AR213" s="170" t="str">
        <f t="shared" si="130"/>
        <v>0.984459736701218-0.0639908714222247i</v>
      </c>
    </row>
    <row r="214" spans="7:44">
      <c r="G214" s="688">
        <v>12303</v>
      </c>
      <c r="H214" s="676">
        <f t="shared" si="122"/>
        <v>12.303000000000001</v>
      </c>
      <c r="I214" s="677">
        <f t="shared" si="102"/>
        <v>99.193342518652898</v>
      </c>
      <c r="J214" s="678">
        <f t="shared" si="103"/>
        <v>1.5607148342851749</v>
      </c>
      <c r="K214" s="678">
        <f t="shared" si="104"/>
        <v>1.0001445991538296</v>
      </c>
      <c r="L214" s="679">
        <f t="shared" si="105"/>
        <v>1.7004807078188588E-2</v>
      </c>
      <c r="M214" s="678">
        <f t="shared" si="106"/>
        <v>1.0021143319119363</v>
      </c>
      <c r="N214" s="679">
        <f t="shared" si="107"/>
        <v>-6.4970967178941144E-2</v>
      </c>
      <c r="O214" s="677">
        <f t="shared" si="108"/>
        <v>510193.38972392009</v>
      </c>
      <c r="P214" s="680">
        <f t="shared" si="109"/>
        <v>1.5707943667538218</v>
      </c>
      <c r="Q214" s="689">
        <f t="shared" si="100"/>
        <v>20.432221412934378</v>
      </c>
      <c r="R214" s="690">
        <f t="shared" si="101"/>
        <v>1.5218344623170272</v>
      </c>
      <c r="S214" s="677">
        <f t="shared" si="110"/>
        <v>1.0042932187630533</v>
      </c>
      <c r="T214" s="680">
        <f t="shared" si="111"/>
        <v>9.2497730264004721E-2</v>
      </c>
      <c r="U214" s="681">
        <f t="shared" si="123"/>
        <v>0.98173751063750869</v>
      </c>
      <c r="V214" s="682">
        <f t="shared" si="124"/>
        <v>-0.23363421634016993</v>
      </c>
      <c r="W214" s="683">
        <f t="shared" si="112"/>
        <v>-22.474228484836015</v>
      </c>
      <c r="X214" s="684">
        <f t="shared" si="113"/>
        <v>-113.66181168549694</v>
      </c>
      <c r="Y214" s="687">
        <f t="shared" si="114"/>
        <v>66.338188314503057</v>
      </c>
      <c r="AA214" s="170">
        <f t="shared" si="115"/>
        <v>12303</v>
      </c>
      <c r="AB214" s="170">
        <f t="shared" si="116"/>
        <v>151363809</v>
      </c>
      <c r="AD214" s="686">
        <f t="shared" si="117"/>
        <v>17.119854672250696</v>
      </c>
      <c r="AE214" s="687">
        <f t="shared" si="118"/>
        <v>-8.1049254575203609</v>
      </c>
      <c r="AG214" s="686">
        <f t="shared" si="119"/>
        <v>-0.99762151008636235</v>
      </c>
      <c r="AH214" s="687">
        <f t="shared" si="120"/>
        <v>-78.784377105108248</v>
      </c>
      <c r="AJ214" s="170">
        <f t="shared" si="121"/>
        <v>0</v>
      </c>
      <c r="AK214" s="170">
        <f t="shared" si="99"/>
        <v>0</v>
      </c>
      <c r="AM214" s="170" t="str">
        <f t="shared" si="125"/>
        <v>0.056167368895178+0.330423916298062i</v>
      </c>
      <c r="AN214" s="170" t="str">
        <f t="shared" si="126"/>
        <v>0.336752683370193i</v>
      </c>
      <c r="AO214" s="170" t="str">
        <f t="shared" si="127"/>
        <v>0.981206483616424-0.166791154663i</v>
      </c>
      <c r="AP214" s="170" t="str">
        <f t="shared" si="128"/>
        <v>0.15730543851747-0.0550706527163437i</v>
      </c>
      <c r="AQ214" s="170" t="str">
        <f t="shared" si="129"/>
        <v>0.84269456148253+0.0550706527163437i</v>
      </c>
      <c r="AR214" s="170" t="str">
        <f t="shared" si="130"/>
        <v>0.984292132716449-0.0643241486178507i</v>
      </c>
    </row>
    <row r="215" spans="7:44">
      <c r="G215" s="688">
        <v>12374.5</v>
      </c>
      <c r="H215" s="676">
        <f t="shared" si="122"/>
        <v>12.374499999999999</v>
      </c>
      <c r="I215" s="677">
        <f t="shared" si="102"/>
        <v>99.769755203185625</v>
      </c>
      <c r="J215" s="678">
        <f t="shared" si="103"/>
        <v>1.5607730813494085</v>
      </c>
      <c r="K215" s="678">
        <f t="shared" si="104"/>
        <v>1.0001462846165228</v>
      </c>
      <c r="L215" s="679">
        <f t="shared" si="105"/>
        <v>1.7103612840035861E-2</v>
      </c>
      <c r="M215" s="678">
        <f t="shared" si="106"/>
        <v>1.00213895228275</v>
      </c>
      <c r="N215" s="679">
        <f t="shared" si="107"/>
        <v>-6.5347480920528542E-2</v>
      </c>
      <c r="O215" s="677">
        <f t="shared" si="108"/>
        <v>513158.42486698437</v>
      </c>
      <c r="P215" s="680">
        <f t="shared" si="109"/>
        <v>1.5707943780789611</v>
      </c>
      <c r="Q215" s="689">
        <f t="shared" ref="Q215:Q278" si="131">SQRT(1+(G215/Zero2)^2)</f>
        <v>20.550681507374474</v>
      </c>
      <c r="R215" s="690">
        <f t="shared" ref="R215:R278" si="132">ATAN(G215/Zero2)</f>
        <v>1.5221169165108936</v>
      </c>
      <c r="S215" s="677">
        <f t="shared" si="110"/>
        <v>1.0043431564137195</v>
      </c>
      <c r="T215" s="680">
        <f t="shared" si="111"/>
        <v>9.30322017265202E-2</v>
      </c>
      <c r="U215" s="681">
        <f t="shared" si="123"/>
        <v>0.9815345974318076</v>
      </c>
      <c r="V215" s="682">
        <f t="shared" si="124"/>
        <v>-0.23496799789001671</v>
      </c>
      <c r="W215" s="683">
        <f t="shared" si="112"/>
        <v>-22.526675296531312</v>
      </c>
      <c r="X215" s="684">
        <f t="shared" si="113"/>
        <v>-113.77192072008793</v>
      </c>
      <c r="Y215" s="687">
        <f t="shared" si="114"/>
        <v>66.228079279912066</v>
      </c>
      <c r="AA215" s="170">
        <f t="shared" si="115"/>
        <v>12374.5</v>
      </c>
      <c r="AB215" s="170">
        <f t="shared" si="116"/>
        <v>153128250.25</v>
      </c>
      <c r="AD215" s="686">
        <f t="shared" si="117"/>
        <v>17.119302914160876</v>
      </c>
      <c r="AE215" s="687">
        <f t="shared" si="118"/>
        <v>-8.1193656322775514</v>
      </c>
      <c r="AG215" s="686">
        <f t="shared" si="119"/>
        <v>-1.0459256570419533</v>
      </c>
      <c r="AH215" s="687">
        <f t="shared" si="120"/>
        <v>-78.727205857570098</v>
      </c>
      <c r="AJ215" s="170">
        <f t="shared" si="121"/>
        <v>0</v>
      </c>
      <c r="AK215" s="170">
        <f t="shared" ref="AK215:AK278" si="133">IF(AJ215&gt;0,Y215,0)</f>
        <v>0</v>
      </c>
      <c r="AM215" s="170" t="str">
        <f t="shared" si="125"/>
        <v>0.056815838298663+0.332270427687667i</v>
      </c>
      <c r="AN215" s="170" t="str">
        <f t="shared" si="126"/>
        <v>0.338709752122609i</v>
      </c>
      <c r="AO215" s="170" t="str">
        <f t="shared" si="127"/>
        <v>0.980988665385073-0.167741961790626i</v>
      </c>
      <c r="AP215" s="170" t="str">
        <f t="shared" si="128"/>
        <v>0.157197360283556-0.0553784046146112i</v>
      </c>
      <c r="AQ215" s="170" t="str">
        <f t="shared" si="129"/>
        <v>0.842802639716444+0.0553784046146112i</v>
      </c>
      <c r="AR215" s="170" t="str">
        <f t="shared" si="130"/>
        <v>0.984120090584766-0.0646640126615015i</v>
      </c>
    </row>
    <row r="216" spans="7:44">
      <c r="G216" s="688">
        <v>12446</v>
      </c>
      <c r="H216" s="676">
        <f t="shared" si="122"/>
        <v>12.446</v>
      </c>
      <c r="I216" s="677">
        <f t="shared" si="102"/>
        <v>100.34616822232051</v>
      </c>
      <c r="J216" s="678">
        <f t="shared" si="103"/>
        <v>1.5608306592429693</v>
      </c>
      <c r="K216" s="678">
        <f t="shared" si="104"/>
        <v>1.0001479798431896</v>
      </c>
      <c r="L216" s="679">
        <f t="shared" si="105"/>
        <v>1.7202418267900969E-2</v>
      </c>
      <c r="M216" s="678">
        <f t="shared" si="106"/>
        <v>1.0021637147123927</v>
      </c>
      <c r="N216" s="679">
        <f t="shared" si="107"/>
        <v>-6.5723976108955834E-2</v>
      </c>
      <c r="O216" s="677">
        <f t="shared" si="108"/>
        <v>516123.46001004876</v>
      </c>
      <c r="P216" s="680">
        <f t="shared" si="109"/>
        <v>1.5707943892739786</v>
      </c>
      <c r="Q216" s="689">
        <f t="shared" si="131"/>
        <v>20.669143222562255</v>
      </c>
      <c r="R216" s="690">
        <f t="shared" si="132"/>
        <v>1.5223961330494891</v>
      </c>
      <c r="S216" s="677">
        <f t="shared" si="110"/>
        <v>1.0043933809362184</v>
      </c>
      <c r="T216" s="680">
        <f t="shared" si="111"/>
        <v>9.3566619889373134E-2</v>
      </c>
      <c r="U216" s="681">
        <f t="shared" si="123"/>
        <v>0.98133062821438666</v>
      </c>
      <c r="V216" s="682">
        <f t="shared" si="124"/>
        <v>-0.23630137423739198</v>
      </c>
      <c r="W216" s="683">
        <f t="shared" si="112"/>
        <v>-22.578841018731737</v>
      </c>
      <c r="X216" s="684">
        <f t="shared" si="113"/>
        <v>-113.88214959643166</v>
      </c>
      <c r="Y216" s="687">
        <f t="shared" si="114"/>
        <v>66.11785040356834</v>
      </c>
      <c r="AA216" s="170">
        <f t="shared" si="115"/>
        <v>12446</v>
      </c>
      <c r="AB216" s="170">
        <f t="shared" si="116"/>
        <v>154902916</v>
      </c>
      <c r="AD216" s="686">
        <f t="shared" si="117"/>
        <v>17.118750753439166</v>
      </c>
      <c r="AE216" s="687">
        <f t="shared" si="118"/>
        <v>-8.1339882497163654</v>
      </c>
      <c r="AG216" s="686">
        <f t="shared" si="119"/>
        <v>-1.0939288756498289</v>
      </c>
      <c r="AH216" s="687">
        <f t="shared" si="120"/>
        <v>-78.670018441886072</v>
      </c>
      <c r="AJ216" s="170">
        <f t="shared" si="121"/>
        <v>0</v>
      </c>
      <c r="AK216" s="170">
        <f t="shared" si="133"/>
        <v>0</v>
      </c>
      <c r="AM216" s="170" t="str">
        <f t="shared" si="125"/>
        <v>0.057467920207725+0.334115666442699i</v>
      </c>
      <c r="AN216" s="170" t="str">
        <f t="shared" si="126"/>
        <v>0.340666820875024i</v>
      </c>
      <c r="AO216" s="170" t="str">
        <f t="shared" si="127"/>
        <v>0.980769614089514-0.168692448710195i</v>
      </c>
      <c r="AP216" s="170" t="str">
        <f t="shared" si="128"/>
        <v>0.157088679965379-0.0556859444071165i</v>
      </c>
      <c r="AQ216" s="170" t="str">
        <f t="shared" si="129"/>
        <v>0.842911320034621+0.0556859444071165i</v>
      </c>
      <c r="AR216" s="170" t="str">
        <f t="shared" si="130"/>
        <v>0.983947195136542-0.0650033135225437i</v>
      </c>
    </row>
    <row r="217" spans="7:44">
      <c r="G217" s="688">
        <v>12517.5</v>
      </c>
      <c r="H217" s="676">
        <f t="shared" si="122"/>
        <v>12.5175</v>
      </c>
      <c r="I217" s="677">
        <f t="shared" si="102"/>
        <v>100.92258157032435</v>
      </c>
      <c r="J217" s="678">
        <f t="shared" si="103"/>
        <v>1.5608875794312587</v>
      </c>
      <c r="K217" s="678">
        <f t="shared" si="104"/>
        <v>1.0001496848337803</v>
      </c>
      <c r="L217" s="679">
        <f t="shared" si="105"/>
        <v>1.7301223359856434E-2</v>
      </c>
      <c r="M217" s="678">
        <f t="shared" si="106"/>
        <v>1.0021886191903342</v>
      </c>
      <c r="N217" s="679">
        <f t="shared" si="107"/>
        <v>-6.6100452638866908E-2</v>
      </c>
      <c r="O217" s="677">
        <f t="shared" si="108"/>
        <v>519088.49515311327</v>
      </c>
      <c r="P217" s="680">
        <f t="shared" si="109"/>
        <v>1.5707944003411043</v>
      </c>
      <c r="Q217" s="689">
        <f t="shared" si="131"/>
        <v>20.787606530789393</v>
      </c>
      <c r="R217" s="690">
        <f t="shared" si="132"/>
        <v>1.5226721672406345</v>
      </c>
      <c r="S217" s="677">
        <f t="shared" si="110"/>
        <v>1.0044438922875167</v>
      </c>
      <c r="T217" s="680">
        <f t="shared" si="111"/>
        <v>9.4100984455319212E-2</v>
      </c>
      <c r="U217" s="681">
        <f t="shared" si="123"/>
        <v>0.98112560494110734</v>
      </c>
      <c r="V217" s="682">
        <f t="shared" si="124"/>
        <v>-0.23763434338021919</v>
      </c>
      <c r="W217" s="683">
        <f t="shared" si="112"/>
        <v>-22.630729006649702</v>
      </c>
      <c r="X217" s="684">
        <f t="shared" si="113"/>
        <v>-113.99249566500288</v>
      </c>
      <c r="Y217" s="687">
        <f t="shared" si="114"/>
        <v>66.007504334997122</v>
      </c>
      <c r="AA217" s="170">
        <f t="shared" si="115"/>
        <v>12517.5</v>
      </c>
      <c r="AB217" s="170">
        <f t="shared" si="116"/>
        <v>156687806.25</v>
      </c>
      <c r="AD217" s="686">
        <f t="shared" si="117"/>
        <v>17.118198144060777</v>
      </c>
      <c r="AE217" s="687">
        <f t="shared" si="118"/>
        <v>-8.1487901240289702</v>
      </c>
      <c r="AG217" s="686">
        <f t="shared" si="119"/>
        <v>-1.1416344977620645</v>
      </c>
      <c r="AH217" s="687">
        <f t="shared" si="120"/>
        <v>-78.612815623759801</v>
      </c>
      <c r="AJ217" s="170">
        <f t="shared" si="121"/>
        <v>0</v>
      </c>
      <c r="AK217" s="170">
        <f t="shared" si="133"/>
        <v>0</v>
      </c>
      <c r="AM217" s="170" t="str">
        <f t="shared" si="125"/>
        <v>0.058123612124816+0.335959625495677i</v>
      </c>
      <c r="AN217" s="170" t="str">
        <f t="shared" si="126"/>
        <v>0.34262388962744i</v>
      </c>
      <c r="AO217" s="170" t="str">
        <f t="shared" si="127"/>
        <v>0.980549330232023-0.169642613619319i</v>
      </c>
      <c r="AP217" s="170" t="str">
        <f t="shared" si="128"/>
        <v>0.156979397979197-0.0559932709159462i</v>
      </c>
      <c r="AQ217" s="170" t="str">
        <f t="shared" si="129"/>
        <v>0.843020602020803+0.0559932709159462i</v>
      </c>
      <c r="AR217" s="170" t="str">
        <f t="shared" si="130"/>
        <v>0.983773448687884-0.0653420486999392i</v>
      </c>
    </row>
    <row r="218" spans="7:44">
      <c r="G218" s="688">
        <v>12589</v>
      </c>
      <c r="H218" s="676">
        <f t="shared" si="122"/>
        <v>12.589</v>
      </c>
      <c r="I218" s="677">
        <f t="shared" si="102"/>
        <v>101.49899524159423</v>
      </c>
      <c r="J218" s="678">
        <f t="shared" si="103"/>
        <v>1.5609438531192459</v>
      </c>
      <c r="K218" s="678">
        <f t="shared" si="104"/>
        <v>1.0001513995882454</v>
      </c>
      <c r="L218" s="679">
        <f t="shared" si="105"/>
        <v>1.7400028113974821E-2</v>
      </c>
      <c r="M218" s="678">
        <f t="shared" si="106"/>
        <v>1.002213665705985</v>
      </c>
      <c r="N218" s="679">
        <f t="shared" si="107"/>
        <v>-6.6476910404937223E-2</v>
      </c>
      <c r="O218" s="677">
        <f t="shared" si="108"/>
        <v>522053.53029617778</v>
      </c>
      <c r="P218" s="680">
        <f t="shared" si="109"/>
        <v>1.5707944112825172</v>
      </c>
      <c r="Q218" s="689">
        <f t="shared" si="131"/>
        <v>20.906071404975243</v>
      </c>
      <c r="R218" s="690">
        <f t="shared" si="132"/>
        <v>1.5229450731405025</v>
      </c>
      <c r="S218" s="677">
        <f t="shared" si="110"/>
        <v>1.004494690424345</v>
      </c>
      <c r="T218" s="680">
        <f t="shared" si="111"/>
        <v>9.463529512729621E-2</v>
      </c>
      <c r="U218" s="681">
        <f t="shared" si="123"/>
        <v>0.98091952957580153</v>
      </c>
      <c r="V218" s="682">
        <f t="shared" si="124"/>
        <v>-0.23896690332186568</v>
      </c>
      <c r="W218" s="683">
        <f t="shared" si="112"/>
        <v>-22.682342557409854</v>
      </c>
      <c r="X218" s="684">
        <f t="shared" si="113"/>
        <v>-114.10295633339008</v>
      </c>
      <c r="Y218" s="687">
        <f t="shared" si="114"/>
        <v>65.897043666609918</v>
      </c>
      <c r="AA218" s="170">
        <f t="shared" si="115"/>
        <v>12589</v>
      </c>
      <c r="AB218" s="170">
        <f t="shared" si="116"/>
        <v>158482921</v>
      </c>
      <c r="AD218" s="686">
        <f t="shared" si="117"/>
        <v>17.117645041326185</v>
      </c>
      <c r="AE218" s="687">
        <f t="shared" si="118"/>
        <v>-8.1637681411292924</v>
      </c>
      <c r="AG218" s="686">
        <f t="shared" si="119"/>
        <v>-1.1890457985681944</v>
      </c>
      <c r="AH218" s="687">
        <f t="shared" si="120"/>
        <v>-78.555598153663112</v>
      </c>
      <c r="AJ218" s="170">
        <f t="shared" si="121"/>
        <v>0</v>
      </c>
      <c r="AK218" s="170">
        <f t="shared" si="133"/>
        <v>0</v>
      </c>
      <c r="AM218" s="170" t="str">
        <f t="shared" si="125"/>
        <v>0.058782911538558+0.337802297784022i</v>
      </c>
      <c r="AN218" s="170" t="str">
        <f t="shared" si="126"/>
        <v>0.344580958379855i</v>
      </c>
      <c r="AO218" s="170" t="str">
        <f t="shared" si="127"/>
        <v>0.980327814317701-0.170592454716426i</v>
      </c>
      <c r="AP218" s="170" t="str">
        <f t="shared" si="128"/>
        <v>0.156869514743574-0.0563003829640037i</v>
      </c>
      <c r="AQ218" s="170" t="str">
        <f t="shared" si="129"/>
        <v>0.843130485256426+0.0563003829640037i</v>
      </c>
      <c r="AR218" s="170" t="str">
        <f t="shared" si="130"/>
        <v>0.983598853563532-0.0656802157043814i</v>
      </c>
    </row>
    <row r="219" spans="7:44">
      <c r="G219" s="688">
        <v>12662.25</v>
      </c>
      <c r="H219" s="676">
        <f t="shared" si="122"/>
        <v>12.66225</v>
      </c>
      <c r="I219" s="677">
        <f t="shared" si="102"/>
        <v>102.08951726928967</v>
      </c>
      <c r="J219" s="678">
        <f t="shared" si="103"/>
        <v>1.5610008451544919</v>
      </c>
      <c r="K219" s="678">
        <f t="shared" si="104"/>
        <v>1.0001531664374355</v>
      </c>
      <c r="L219" s="679">
        <f t="shared" si="105"/>
        <v>1.7501250813914515E-2</v>
      </c>
      <c r="M219" s="678">
        <f t="shared" si="106"/>
        <v>1.0022394725320338</v>
      </c>
      <c r="N219" s="679">
        <f t="shared" si="107"/>
        <v>-6.6862562603851178E-2</v>
      </c>
      <c r="O219" s="677">
        <f t="shared" si="108"/>
        <v>525091.13622945722</v>
      </c>
      <c r="P219" s="680">
        <f t="shared" si="109"/>
        <v>1.5707944223635875</v>
      </c>
      <c r="Q219" s="689">
        <f t="shared" si="131"/>
        <v>21.027437365337409</v>
      </c>
      <c r="R219" s="690">
        <f t="shared" si="132"/>
        <v>1.5232214697121607</v>
      </c>
      <c r="S219" s="677">
        <f t="shared" si="110"/>
        <v>1.0045470292269969</v>
      </c>
      <c r="T219" s="680">
        <f t="shared" si="111"/>
        <v>9.5182627134088094E-2</v>
      </c>
      <c r="U219" s="681">
        <f t="shared" si="123"/>
        <v>0.98070732143636863</v>
      </c>
      <c r="V219" s="682">
        <f t="shared" si="124"/>
        <v>-0.24033165193844039</v>
      </c>
      <c r="W219" s="683">
        <f t="shared" si="112"/>
        <v>-22.734938169405837</v>
      </c>
      <c r="X219" s="684">
        <f t="shared" si="113"/>
        <v>-114.21623677414352</v>
      </c>
      <c r="Y219" s="687">
        <f t="shared" si="114"/>
        <v>65.783763225856475</v>
      </c>
      <c r="AA219" s="170">
        <f t="shared" si="115"/>
        <v>12662.25</v>
      </c>
      <c r="AB219" s="170">
        <f t="shared" si="116"/>
        <v>160332575.0625</v>
      </c>
      <c r="AD219" s="686">
        <f t="shared" si="117"/>
        <v>17.117077844110142</v>
      </c>
      <c r="AE219" s="687">
        <f t="shared" si="118"/>
        <v>-8.1792922329992965</v>
      </c>
      <c r="AG219" s="686">
        <f t="shared" si="119"/>
        <v>-1.2373156667404532</v>
      </c>
      <c r="AH219" s="687">
        <f t="shared" si="120"/>
        <v>-78.49696583071578</v>
      </c>
      <c r="AJ219" s="170">
        <f t="shared" si="121"/>
        <v>0</v>
      </c>
      <c r="AK219" s="170">
        <f t="shared" si="133"/>
        <v>0</v>
      </c>
      <c r="AM219" s="170" t="str">
        <f t="shared" si="125"/>
        <v>0.059462086031374+0.339688728673099i</v>
      </c>
      <c r="AN219" s="170" t="str">
        <f t="shared" si="126"/>
        <v>0.346585927416421i</v>
      </c>
      <c r="AO219" s="170" t="str">
        <f t="shared" si="127"/>
        <v>0.9800995995575-0.171565205992714i</v>
      </c>
      <c r="AP219" s="170" t="str">
        <f t="shared" si="128"/>
        <v>0.156756318994771-0.0566147881121832i</v>
      </c>
      <c r="AQ219" s="170" t="str">
        <f t="shared" si="129"/>
        <v>0.843243681005229+0.0566147881121832i</v>
      </c>
      <c r="AR219" s="170" t="str">
        <f t="shared" si="130"/>
        <v>0.983419107483824-0.0660260677308577i</v>
      </c>
    </row>
    <row r="220" spans="7:44">
      <c r="G220" s="688">
        <v>12735.5</v>
      </c>
      <c r="H220" s="676">
        <f t="shared" si="122"/>
        <v>12.7355</v>
      </c>
      <c r="I220" s="677">
        <f t="shared" si="102"/>
        <v>102.68003962476719</v>
      </c>
      <c r="J220" s="678">
        <f t="shared" si="103"/>
        <v>1.561057181657042</v>
      </c>
      <c r="K220" s="678">
        <f t="shared" si="104"/>
        <v>1.0001549435341937</v>
      </c>
      <c r="L220" s="679">
        <f t="shared" si="105"/>
        <v>1.7602473155182E-2</v>
      </c>
      <c r="M220" s="678">
        <f t="shared" si="106"/>
        <v>1.0022654284110835</v>
      </c>
      <c r="N220" s="679">
        <f t="shared" si="107"/>
        <v>-6.7248194885484266E-2</v>
      </c>
      <c r="O220" s="677">
        <f t="shared" si="108"/>
        <v>528128.74216273671</v>
      </c>
      <c r="P220" s="680">
        <f t="shared" si="109"/>
        <v>1.570794433317189</v>
      </c>
      <c r="Q220" s="689">
        <f t="shared" si="131"/>
        <v>21.148804913654843</v>
      </c>
      <c r="R220" s="690">
        <f t="shared" si="132"/>
        <v>1.5234946939669161</v>
      </c>
      <c r="S220" s="677">
        <f t="shared" si="110"/>
        <v>1.004599668932729</v>
      </c>
      <c r="T220" s="680">
        <f t="shared" si="111"/>
        <v>9.5729901945854776E-2</v>
      </c>
      <c r="U220" s="681">
        <f t="shared" si="123"/>
        <v>0.98049401327171848</v>
      </c>
      <c r="V220" s="682">
        <f t="shared" si="124"/>
        <v>-0.24169596685309006</v>
      </c>
      <c r="W220" s="683">
        <f t="shared" si="112"/>
        <v>-22.787252570353456</v>
      </c>
      <c r="X220" s="684">
        <f t="shared" si="113"/>
        <v>-114.32963216175753</v>
      </c>
      <c r="Y220" s="687">
        <f t="shared" si="114"/>
        <v>65.67036783824247</v>
      </c>
      <c r="AA220" s="170">
        <f t="shared" si="115"/>
        <v>12735.5</v>
      </c>
      <c r="AB220" s="170">
        <f t="shared" si="116"/>
        <v>162192960.25</v>
      </c>
      <c r="AD220" s="686">
        <f t="shared" si="117"/>
        <v>17.11651003818849</v>
      </c>
      <c r="AE220" s="687">
        <f t="shared" si="118"/>
        <v>-8.1949948009023412</v>
      </c>
      <c r="AG220" s="686">
        <f t="shared" si="119"/>
        <v>-1.2852834122386989</v>
      </c>
      <c r="AH220" s="687">
        <f t="shared" si="120"/>
        <v>-78.438319677175755</v>
      </c>
      <c r="AJ220" s="170">
        <f t="shared" si="121"/>
        <v>0</v>
      </c>
      <c r="AK220" s="170">
        <f t="shared" si="133"/>
        <v>0</v>
      </c>
      <c r="AM220" s="170" t="str">
        <f t="shared" si="125"/>
        <v>0.060145041392073+0.341573794047628i</v>
      </c>
      <c r="AN220" s="170" t="str">
        <f t="shared" si="126"/>
        <v>0.348590896452987i</v>
      </c>
      <c r="AO220" s="170" t="str">
        <f t="shared" si="127"/>
        <v>0.979870092774194-0.172537613586775i</v>
      </c>
      <c r="AP220" s="170" t="str">
        <f t="shared" si="128"/>
        <v>0.156642493101321-0.0569289656746047i</v>
      </c>
      <c r="AQ220" s="170" t="str">
        <f t="shared" si="129"/>
        <v>0.843357506898679+0.0569289656746047i</v>
      </c>
      <c r="AR220" s="170" t="str">
        <f t="shared" si="130"/>
        <v>0.983238475643492-0.0663713181799943i</v>
      </c>
    </row>
    <row r="221" spans="7:44">
      <c r="G221" s="688">
        <v>12808.75</v>
      </c>
      <c r="H221" s="676">
        <f t="shared" si="122"/>
        <v>12.80875</v>
      </c>
      <c r="I221" s="677">
        <f t="shared" si="102"/>
        <v>103.27056230240379</v>
      </c>
      <c r="J221" s="678">
        <f t="shared" si="103"/>
        <v>1.5611128738719549</v>
      </c>
      <c r="K221" s="678">
        <f t="shared" si="104"/>
        <v>1.0001567308784651</v>
      </c>
      <c r="L221" s="679">
        <f t="shared" si="105"/>
        <v>1.770369513570496E-2</v>
      </c>
      <c r="M221" s="678">
        <f t="shared" si="106"/>
        <v>1.0022915333315539</v>
      </c>
      <c r="N221" s="679">
        <f t="shared" si="107"/>
        <v>-6.7633807136691843E-2</v>
      </c>
      <c r="O221" s="677">
        <f t="shared" si="108"/>
        <v>531166.34809601633</v>
      </c>
      <c r="P221" s="680">
        <f t="shared" si="109"/>
        <v>1.5707944441455088</v>
      </c>
      <c r="Q221" s="689">
        <f t="shared" si="131"/>
        <v>21.270174022744936</v>
      </c>
      <c r="R221" s="690">
        <f t="shared" si="132"/>
        <v>1.5237648001680122</v>
      </c>
      <c r="S221" s="677">
        <f t="shared" si="110"/>
        <v>1.0046526094942432</v>
      </c>
      <c r="T221" s="680">
        <f t="shared" si="111"/>
        <v>9.6277119243784223E-2</v>
      </c>
      <c r="U221" s="681">
        <f t="shared" si="123"/>
        <v>0.98027960721906093</v>
      </c>
      <c r="V221" s="682">
        <f t="shared" si="124"/>
        <v>-0.24305984593688665</v>
      </c>
      <c r="W221" s="683">
        <f t="shared" si="112"/>
        <v>-22.839289124378908</v>
      </c>
      <c r="X221" s="684">
        <f t="shared" si="113"/>
        <v>-114.44313988498784</v>
      </c>
      <c r="Y221" s="687">
        <f t="shared" si="114"/>
        <v>65.556860115012157</v>
      </c>
      <c r="AA221" s="170">
        <f t="shared" si="115"/>
        <v>12808.75</v>
      </c>
      <c r="AB221" s="170">
        <f t="shared" si="116"/>
        <v>164064076.5625</v>
      </c>
      <c r="AD221" s="686">
        <f t="shared" si="117"/>
        <v>17.115941579539804</v>
      </c>
      <c r="AE221" s="687">
        <f t="shared" si="118"/>
        <v>-8.2108727176422871</v>
      </c>
      <c r="AG221" s="686">
        <f t="shared" si="119"/>
        <v>-1.3329523799669203</v>
      </c>
      <c r="AH221" s="687">
        <f t="shared" si="120"/>
        <v>-78.379660452952066</v>
      </c>
      <c r="AJ221" s="170">
        <f t="shared" si="121"/>
        <v>0</v>
      </c>
      <c r="AK221" s="170">
        <f t="shared" si="133"/>
        <v>0</v>
      </c>
      <c r="AM221" s="170" t="str">
        <f t="shared" si="125"/>
        <v>0.0608317748752401+0.343457486329835i</v>
      </c>
      <c r="AN221" s="170" t="str">
        <f t="shared" si="126"/>
        <v>0.350595865489552i</v>
      </c>
      <c r="AO221" s="170" t="str">
        <f t="shared" si="127"/>
        <v>0.979639294520061-0.173509675564194i</v>
      </c>
      <c r="AP221" s="170" t="str">
        <f t="shared" si="128"/>
        <v>0.156528037520793-0.0572429143883058i</v>
      </c>
      <c r="AQ221" s="170" t="str">
        <f t="shared" si="129"/>
        <v>0.843471962479207+0.0572429143883058i</v>
      </c>
      <c r="AR221" s="170" t="str">
        <f t="shared" si="130"/>
        <v>0.983056960569893-0.0667159644137167i</v>
      </c>
    </row>
    <row r="222" spans="7:44">
      <c r="G222" s="688">
        <v>12882</v>
      </c>
      <c r="H222" s="676">
        <f t="shared" si="122"/>
        <v>12.882</v>
      </c>
      <c r="I222" s="677">
        <f t="shared" si="102"/>
        <v>103.86108529670442</v>
      </c>
      <c r="J222" s="678">
        <f t="shared" si="103"/>
        <v>1.561167932788561</v>
      </c>
      <c r="K222" s="678">
        <f t="shared" si="104"/>
        <v>1.0001585284701953</v>
      </c>
      <c r="L222" s="679">
        <f t="shared" si="105"/>
        <v>1.7804916753411112E-2</v>
      </c>
      <c r="M222" s="678">
        <f t="shared" si="106"/>
        <v>1.0023177872818001</v>
      </c>
      <c r="N222" s="679">
        <f t="shared" si="107"/>
        <v>-6.8019399244364856E-2</v>
      </c>
      <c r="O222" s="677">
        <f t="shared" si="108"/>
        <v>534203.95402929606</v>
      </c>
      <c r="P222" s="680">
        <f t="shared" si="109"/>
        <v>1.5707944548506843</v>
      </c>
      <c r="Q222" s="689">
        <f t="shared" si="131"/>
        <v>21.391544666041646</v>
      </c>
      <c r="R222" s="690">
        <f t="shared" si="132"/>
        <v>1.5240318413490286</v>
      </c>
      <c r="S222" s="677">
        <f t="shared" si="110"/>
        <v>1.0047058508639806</v>
      </c>
      <c r="T222" s="680">
        <f t="shared" si="111"/>
        <v>9.682427870926924E-2</v>
      </c>
      <c r="U222" s="681">
        <f t="shared" si="123"/>
        <v>0.98006410542414668</v>
      </c>
      <c r="V222" s="682">
        <f t="shared" si="124"/>
        <v>-0.24442328706701166</v>
      </c>
      <c r="W222" s="683">
        <f t="shared" si="112"/>
        <v>-22.891051137296955</v>
      </c>
      <c r="X222" s="684">
        <f t="shared" si="113"/>
        <v>-114.55675738875351</v>
      </c>
      <c r="Y222" s="687">
        <f t="shared" si="114"/>
        <v>65.44324261124649</v>
      </c>
      <c r="AA222" s="170">
        <f t="shared" si="115"/>
        <v>12882</v>
      </c>
      <c r="AB222" s="170">
        <f t="shared" si="116"/>
        <v>165945924</v>
      </c>
      <c r="AD222" s="686">
        <f t="shared" si="117"/>
        <v>17.115372425415408</v>
      </c>
      <c r="AE222" s="687">
        <f t="shared" si="118"/>
        <v>-8.2269229264865</v>
      </c>
      <c r="AG222" s="686">
        <f t="shared" si="119"/>
        <v>-1.3803258578981259</v>
      </c>
      <c r="AH222" s="687">
        <f t="shared" si="120"/>
        <v>-78.320988902953587</v>
      </c>
      <c r="AJ222" s="170">
        <f t="shared" si="121"/>
        <v>0</v>
      </c>
      <c r="AK222" s="170">
        <f t="shared" si="133"/>
        <v>0</v>
      </c>
      <c r="AM222" s="170" t="str">
        <f t="shared" si="125"/>
        <v>0.061522283720279+0.345339797947469i</v>
      </c>
      <c r="AN222" s="170" t="str">
        <f t="shared" si="126"/>
        <v>0.352600834526118i</v>
      </c>
      <c r="AO222" s="170" t="str">
        <f t="shared" si="127"/>
        <v>0.979407205350471-0.174481389991497i</v>
      </c>
      <c r="AP222" s="170" t="str">
        <f t="shared" si="128"/>
        <v>0.156412952713287-0.0575566329912448i</v>
      </c>
      <c r="AQ222" s="170" t="str">
        <f t="shared" si="129"/>
        <v>0.843587047286713+0.0575566329912448i</v>
      </c>
      <c r="AR222" s="170" t="str">
        <f t="shared" si="130"/>
        <v>0.982874564799577-0.0670600038070188i</v>
      </c>
    </row>
    <row r="223" spans="7:44">
      <c r="G223" s="688">
        <v>12957.25</v>
      </c>
      <c r="H223" s="676">
        <f t="shared" si="122"/>
        <v>12.95725</v>
      </c>
      <c r="I223" s="677">
        <f t="shared" si="102"/>
        <v>104.46773210983835</v>
      </c>
      <c r="J223" s="678">
        <f t="shared" si="103"/>
        <v>1.5612238468335824</v>
      </c>
      <c r="K223" s="678">
        <f t="shared" si="104"/>
        <v>1.0001603858138393</v>
      </c>
      <c r="L223" s="679">
        <f t="shared" si="105"/>
        <v>1.790890172130459E-2</v>
      </c>
      <c r="M223" s="678">
        <f t="shared" si="106"/>
        <v>1.0023449132400817</v>
      </c>
      <c r="N223" s="679">
        <f t="shared" si="107"/>
        <v>-6.841549836934073E-2</v>
      </c>
      <c r="O223" s="677">
        <f t="shared" si="108"/>
        <v>537324.49800853559</v>
      </c>
      <c r="P223" s="680">
        <f t="shared" si="109"/>
        <v>1.5707944657221116</v>
      </c>
      <c r="Q223" s="689">
        <f t="shared" si="131"/>
        <v>21.516230753889019</v>
      </c>
      <c r="R223" s="690">
        <f t="shared" si="132"/>
        <v>1.5243030365282837</v>
      </c>
      <c r="S223" s="677">
        <f t="shared" si="110"/>
        <v>1.0047608591128838</v>
      </c>
      <c r="T223" s="680">
        <f t="shared" si="111"/>
        <v>9.7386317125202126E-2</v>
      </c>
      <c r="U223" s="681">
        <f t="shared" si="123"/>
        <v>0.97984158085739792</v>
      </c>
      <c r="V223" s="682">
        <f t="shared" si="124"/>
        <v>-0.24582349698091044</v>
      </c>
      <c r="W223" s="683">
        <f t="shared" si="112"/>
        <v>-22.943943973546702</v>
      </c>
      <c r="X223" s="684">
        <f t="shared" si="113"/>
        <v>-114.67358876736631</v>
      </c>
      <c r="Y223" s="687">
        <f t="shared" si="114"/>
        <v>65.326411232633689</v>
      </c>
      <c r="AA223" s="170">
        <f t="shared" si="115"/>
        <v>12957.25</v>
      </c>
      <c r="AB223" s="170">
        <f t="shared" si="116"/>
        <v>167890327.5625</v>
      </c>
      <c r="AD223" s="686">
        <f t="shared" si="117"/>
        <v>17.11478696340852</v>
      </c>
      <c r="AE223" s="687">
        <f t="shared" si="118"/>
        <v>-8.2435876393540024</v>
      </c>
      <c r="AG223" s="686">
        <f t="shared" si="119"/>
        <v>-1.4286885038811026</v>
      </c>
      <c r="AH223" s="687">
        <f t="shared" si="120"/>
        <v>-78.260703331518002</v>
      </c>
      <c r="AJ223" s="170">
        <f t="shared" si="121"/>
        <v>0</v>
      </c>
      <c r="AK223" s="170">
        <f t="shared" si="133"/>
        <v>0</v>
      </c>
      <c r="AM223" s="170" t="str">
        <f t="shared" si="125"/>
        <v>0.062235574523686+0.347272058062664i</v>
      </c>
      <c r="AN223" s="170" t="str">
        <f t="shared" si="126"/>
        <v>0.354660546744569i</v>
      </c>
      <c r="AO223" s="170" t="str">
        <f t="shared" si="127"/>
        <v>0.97916743559518-0.175479271926203i</v>
      </c>
      <c r="AP223" s="170" t="str">
        <f t="shared" si="128"/>
        <v>0.156294070912719-0.0578786763437773i</v>
      </c>
      <c r="AQ223" s="170" t="str">
        <f t="shared" si="129"/>
        <v>0.843705929087281+0.0578786763437773i</v>
      </c>
      <c r="AR223" s="170" t="str">
        <f t="shared" si="130"/>
        <v>0.982686274520539-0.0674128021027131i</v>
      </c>
    </row>
    <row r="224" spans="7:44">
      <c r="G224" s="688">
        <v>13032.5</v>
      </c>
      <c r="H224" s="676">
        <f t="shared" si="122"/>
        <v>13.032500000000001</v>
      </c>
      <c r="I224" s="677">
        <f t="shared" si="102"/>
        <v>105.07437924580682</v>
      </c>
      <c r="J224" s="678">
        <f t="shared" si="103"/>
        <v>1.5612791152390764</v>
      </c>
      <c r="K224" s="678">
        <f t="shared" si="104"/>
        <v>1.0001622539720509</v>
      </c>
      <c r="L224" s="679">
        <f t="shared" si="105"/>
        <v>1.8012886301864723E-2</v>
      </c>
      <c r="M224" s="678">
        <f t="shared" si="106"/>
        <v>1.0023721964522578</v>
      </c>
      <c r="N224" s="679">
        <f t="shared" si="107"/>
        <v>-6.8811575993893898E-2</v>
      </c>
      <c r="O224" s="677">
        <f t="shared" si="108"/>
        <v>540445.04198777524</v>
      </c>
      <c r="P224" s="680">
        <f t="shared" si="109"/>
        <v>1.5707944764679951</v>
      </c>
      <c r="Q224" s="689">
        <f t="shared" si="131"/>
        <v>21.640918405951929</v>
      </c>
      <c r="R224" s="690">
        <f t="shared" si="132"/>
        <v>1.5245711066572771</v>
      </c>
      <c r="S224" s="677">
        <f t="shared" si="110"/>
        <v>1.004816184718053</v>
      </c>
      <c r="T224" s="680">
        <f t="shared" si="111"/>
        <v>9.7948293826493046E-2</v>
      </c>
      <c r="U224" s="681">
        <f t="shared" si="123"/>
        <v>0.97961790451405639</v>
      </c>
      <c r="V224" s="682">
        <f t="shared" si="124"/>
        <v>-0.24722324017711239</v>
      </c>
      <c r="W224" s="683">
        <f t="shared" si="112"/>
        <v>-22.996553961530303</v>
      </c>
      <c r="X224" s="684">
        <f t="shared" si="113"/>
        <v>-114.7905307119232</v>
      </c>
      <c r="Y224" s="687">
        <f t="shared" si="114"/>
        <v>65.209469288076804</v>
      </c>
      <c r="AA224" s="170">
        <f t="shared" si="115"/>
        <v>13032.5</v>
      </c>
      <c r="AB224" s="170">
        <f t="shared" si="116"/>
        <v>169846056.25</v>
      </c>
      <c r="AD224" s="686">
        <f t="shared" si="117"/>
        <v>17.114200679910702</v>
      </c>
      <c r="AE224" s="687">
        <f t="shared" si="118"/>
        <v>-8.2604278612308253</v>
      </c>
      <c r="AG224" s="686">
        <f t="shared" si="119"/>
        <v>-1.4767461594521665</v>
      </c>
      <c r="AH224" s="687">
        <f t="shared" si="120"/>
        <v>-78.200406298925714</v>
      </c>
      <c r="AJ224" s="170">
        <f t="shared" si="121"/>
        <v>0</v>
      </c>
      <c r="AK224" s="170">
        <f t="shared" si="133"/>
        <v>0</v>
      </c>
      <c r="AM224" s="170" t="str">
        <f t="shared" si="125"/>
        <v>0.06295284371101+0.349202844906392i</v>
      </c>
      <c r="AN224" s="170" t="str">
        <f t="shared" si="126"/>
        <v>0.356720258963021i</v>
      </c>
      <c r="AO224" s="170" t="str">
        <f t="shared" si="127"/>
        <v>0.978926304666626-0.176476782939138i</v>
      </c>
      <c r="AP224" s="170" t="str">
        <f t="shared" si="128"/>
        <v>0.156174526048165-0.0582004741510653i</v>
      </c>
      <c r="AQ224" s="170" t="str">
        <f t="shared" si="129"/>
        <v>0.843825473951835+0.0582004741510653i</v>
      </c>
      <c r="AR224" s="170" t="str">
        <f t="shared" si="130"/>
        <v>0.98249706025203-0.0677649543938274i</v>
      </c>
    </row>
    <row r="225" spans="7:44">
      <c r="G225" s="688">
        <v>13107.75</v>
      </c>
      <c r="H225" s="676">
        <f t="shared" si="122"/>
        <v>13.107749999999999</v>
      </c>
      <c r="I225" s="677">
        <f t="shared" si="102"/>
        <v>105.68102669905031</v>
      </c>
      <c r="J225" s="678">
        <f t="shared" si="103"/>
        <v>1.5613337491233181</v>
      </c>
      <c r="K225" s="678">
        <f t="shared" si="104"/>
        <v>1.0001641329447697</v>
      </c>
      <c r="L225" s="679">
        <f t="shared" si="105"/>
        <v>1.8116870492844956E-2</v>
      </c>
      <c r="M225" s="678">
        <f t="shared" si="106"/>
        <v>1.0023996369054886</v>
      </c>
      <c r="N225" s="679">
        <f t="shared" si="107"/>
        <v>-6.9207631995513719E-2</v>
      </c>
      <c r="O225" s="677">
        <f t="shared" si="108"/>
        <v>543565.58596701478</v>
      </c>
      <c r="P225" s="680">
        <f t="shared" si="109"/>
        <v>1.5707944870904971</v>
      </c>
      <c r="Q225" s="689">
        <f t="shared" si="131"/>
        <v>21.76560759534782</v>
      </c>
      <c r="R225" s="690">
        <f t="shared" si="132"/>
        <v>1.5248361054048107</v>
      </c>
      <c r="S225" s="677">
        <f t="shared" si="110"/>
        <v>1.0048718276270698</v>
      </c>
      <c r="T225" s="680">
        <f t="shared" si="111"/>
        <v>9.8510208468400459E-2</v>
      </c>
      <c r="U225" s="681">
        <f t="shared" si="123"/>
        <v>0.97939307874823156</v>
      </c>
      <c r="V225" s="682">
        <f t="shared" si="124"/>
        <v>-0.24862251437435667</v>
      </c>
      <c r="W225" s="683">
        <f t="shared" si="112"/>
        <v>-23.048884501790145</v>
      </c>
      <c r="X225" s="684">
        <f t="shared" si="113"/>
        <v>-114.90758062723296</v>
      </c>
      <c r="Y225" s="687">
        <f t="shared" si="114"/>
        <v>65.09241937276704</v>
      </c>
      <c r="AA225" s="170">
        <f t="shared" si="115"/>
        <v>13107.75</v>
      </c>
      <c r="AB225" s="170">
        <f t="shared" si="116"/>
        <v>171813110.0625</v>
      </c>
      <c r="AD225" s="686">
        <f t="shared" si="117"/>
        <v>17.113613532493417</v>
      </c>
      <c r="AE225" s="687">
        <f t="shared" si="118"/>
        <v>-8.2774404974927638</v>
      </c>
      <c r="AG225" s="686">
        <f t="shared" si="119"/>
        <v>-1.5245022100796835</v>
      </c>
      <c r="AH225" s="687">
        <f t="shared" si="120"/>
        <v>-78.140098566022999</v>
      </c>
      <c r="AJ225" s="170">
        <f t="shared" si="121"/>
        <v>0</v>
      </c>
      <c r="AK225" s="170">
        <f t="shared" si="133"/>
        <v>0</v>
      </c>
      <c r="AM225" s="170" t="str">
        <f t="shared" si="125"/>
        <v>0.0636740882393+0.351132150287458i</v>
      </c>
      <c r="AN225" s="170" t="str">
        <f t="shared" si="126"/>
        <v>0.358779971181472i</v>
      </c>
      <c r="AO225" s="170" t="str">
        <f t="shared" si="127"/>
        <v>0.978683813177114-0.177473920937168i</v>
      </c>
      <c r="AP225" s="170" t="str">
        <f t="shared" si="128"/>
        <v>0.156054318626783-0.0585220250479097i</v>
      </c>
      <c r="AQ225" s="170" t="str">
        <f t="shared" si="129"/>
        <v>0.843945681373217+0.0585220250479097i</v>
      </c>
      <c r="AR225" s="170" t="str">
        <f t="shared" si="130"/>
        <v>0.98230692477386-0.0681164578777301i</v>
      </c>
    </row>
    <row r="226" spans="7:44">
      <c r="G226" s="688">
        <v>13183</v>
      </c>
      <c r="H226" s="676">
        <f t="shared" si="122"/>
        <v>13.183</v>
      </c>
      <c r="I226" s="677">
        <f t="shared" si="102"/>
        <v>106.28767446413613</v>
      </c>
      <c r="J226" s="678">
        <f t="shared" si="103"/>
        <v>1.5613877593507632</v>
      </c>
      <c r="K226" s="678">
        <f t="shared" si="104"/>
        <v>1.0001660227319344</v>
      </c>
      <c r="L226" s="679">
        <f t="shared" si="105"/>
        <v>1.8220854291998791E-2</v>
      </c>
      <c r="M226" s="678">
        <f t="shared" si="106"/>
        <v>1.002427234586861</v>
      </c>
      <c r="N226" s="679">
        <f t="shared" si="107"/>
        <v>-6.9603666251730062E-2</v>
      </c>
      <c r="O226" s="677">
        <f t="shared" si="108"/>
        <v>546686.12994625454</v>
      </c>
      <c r="P226" s="680">
        <f t="shared" si="109"/>
        <v>1.5707944975917301</v>
      </c>
      <c r="Q226" s="689">
        <f t="shared" si="131"/>
        <v>21.890298295806321</v>
      </c>
      <c r="R226" s="690">
        <f t="shared" si="132"/>
        <v>1.5250980852186096</v>
      </c>
      <c r="S226" s="677">
        <f t="shared" si="110"/>
        <v>1.0049277877872267</v>
      </c>
      <c r="T226" s="680">
        <f t="shared" si="111"/>
        <v>9.9072060706415777E-2</v>
      </c>
      <c r="U226" s="681">
        <f t="shared" si="123"/>
        <v>0.97916710592326195</v>
      </c>
      <c r="V226" s="682">
        <f t="shared" si="124"/>
        <v>-0.2500213172982666</v>
      </c>
      <c r="W226" s="683">
        <f t="shared" si="112"/>
        <v>-23.100938935694892</v>
      </c>
      <c r="X226" s="684">
        <f t="shared" si="113"/>
        <v>-115.02473597393143</v>
      </c>
      <c r="Y226" s="687">
        <f t="shared" si="114"/>
        <v>64.975264026068572</v>
      </c>
      <c r="AA226" s="170">
        <f t="shared" si="115"/>
        <v>13183</v>
      </c>
      <c r="AB226" s="170">
        <f t="shared" si="116"/>
        <v>173791489</v>
      </c>
      <c r="AD226" s="686">
        <f t="shared" si="117"/>
        <v>17.113025479963625</v>
      </c>
      <c r="AE226" s="687">
        <f t="shared" si="118"/>
        <v>-8.2946225234886892</v>
      </c>
      <c r="AG226" s="686">
        <f t="shared" si="119"/>
        <v>-1.5719599834109135</v>
      </c>
      <c r="AH226" s="687">
        <f t="shared" si="120"/>
        <v>-78.079780878721181</v>
      </c>
      <c r="AJ226" s="170">
        <f t="shared" si="121"/>
        <v>0</v>
      </c>
      <c r="AK226" s="170">
        <f t="shared" si="133"/>
        <v>0</v>
      </c>
      <c r="AM226" s="170" t="str">
        <f t="shared" si="125"/>
        <v>0.064399305048738+0.353059966020951i</v>
      </c>
      <c r="AN226" s="170" t="str">
        <f t="shared" si="126"/>
        <v>0.360839683399923i</v>
      </c>
      <c r="AO226" s="170" t="str">
        <f t="shared" si="127"/>
        <v>0.978439961742374-0.178470683828207i</v>
      </c>
      <c r="AP226" s="170" t="str">
        <f t="shared" si="128"/>
        <v>0.155933449158544-0.0588433276701585i</v>
      </c>
      <c r="AQ226" s="170" t="str">
        <f t="shared" si="129"/>
        <v>0.844066550841456+0.0588433276701585i</v>
      </c>
      <c r="AR226" s="170" t="str">
        <f t="shared" si="130"/>
        <v>0.982115870875713-0.0684673097664994i</v>
      </c>
    </row>
    <row r="227" spans="7:44">
      <c r="G227" s="688">
        <v>13259.75</v>
      </c>
      <c r="H227" s="676">
        <f t="shared" si="122"/>
        <v>13.25975</v>
      </c>
      <c r="I227" s="677">
        <f t="shared" si="102"/>
        <v>106.90641519142576</v>
      </c>
      <c r="J227" s="678">
        <f t="shared" si="103"/>
        <v>1.5614422147746447</v>
      </c>
      <c r="K227" s="678">
        <f t="shared" si="104"/>
        <v>1.0001679613291616</v>
      </c>
      <c r="L227" s="679">
        <f t="shared" si="105"/>
        <v>1.8326910451963749E-2</v>
      </c>
      <c r="M227" s="678">
        <f t="shared" si="106"/>
        <v>1.0024555443352143</v>
      </c>
      <c r="N227" s="679">
        <f t="shared" si="107"/>
        <v>-7.0007572351631575E-2</v>
      </c>
      <c r="O227" s="677">
        <f t="shared" si="108"/>
        <v>549868.87745996437</v>
      </c>
      <c r="P227" s="680">
        <f t="shared" si="109"/>
        <v>1.5707945081795121</v>
      </c>
      <c r="Q227" s="689">
        <f t="shared" si="131"/>
        <v>22.017476055100641</v>
      </c>
      <c r="R227" s="690">
        <f t="shared" si="132"/>
        <v>1.5253622305696801</v>
      </c>
      <c r="S227" s="677">
        <f t="shared" si="110"/>
        <v>1.0049851901774323</v>
      </c>
      <c r="T227" s="680">
        <f t="shared" si="111"/>
        <v>9.9645048017637558E-2</v>
      </c>
      <c r="U227" s="681">
        <f t="shared" si="123"/>
        <v>0.97893544953233991</v>
      </c>
      <c r="V227" s="682">
        <f t="shared" si="124"/>
        <v>-0.25144751552754757</v>
      </c>
      <c r="W227" s="683">
        <f t="shared" si="112"/>
        <v>-23.153749987196335</v>
      </c>
      <c r="X227" s="684">
        <f t="shared" si="113"/>
        <v>-115.14433267128992</v>
      </c>
      <c r="Y227" s="687">
        <f t="shared" si="114"/>
        <v>64.855667328710084</v>
      </c>
      <c r="AA227" s="170">
        <f t="shared" si="115"/>
        <v>13259.75</v>
      </c>
      <c r="AB227" s="170">
        <f t="shared" si="116"/>
        <v>175820970.0625</v>
      </c>
      <c r="AD227" s="686">
        <f t="shared" si="117"/>
        <v>17.112424731630004</v>
      </c>
      <c r="AE227" s="687">
        <f t="shared" si="118"/>
        <v>-8.3123184709973508</v>
      </c>
      <c r="AG227" s="686">
        <f t="shared" si="119"/>
        <v>-1.6200598954262777</v>
      </c>
      <c r="AH227" s="687">
        <f t="shared" si="120"/>
        <v>-78.01825134981064</v>
      </c>
      <c r="AJ227" s="170">
        <f t="shared" si="121"/>
        <v>0</v>
      </c>
      <c r="AK227" s="170">
        <f t="shared" si="133"/>
        <v>0</v>
      </c>
      <c r="AM227" s="170" t="str">
        <f t="shared" si="125"/>
        <v>0.065143066659643+0.355024667009861i</v>
      </c>
      <c r="AN227" s="170" t="str">
        <f t="shared" si="126"/>
        <v>0.362940453004789i</v>
      </c>
      <c r="AO227" s="170" t="str">
        <f t="shared" si="127"/>
        <v>0.978189849245536-0.179486927181367i</v>
      </c>
      <c r="AP227" s="170" t="str">
        <f t="shared" si="128"/>
        <v>0.155809488890059-0.0591707778349768i</v>
      </c>
      <c r="AQ227" s="170" t="str">
        <f t="shared" si="129"/>
        <v>0.844190511109941+0.0591707778349768i</v>
      </c>
      <c r="AR227" s="170" t="str">
        <f t="shared" si="130"/>
        <v>0.981920065433642-0.0688244812975792i</v>
      </c>
    </row>
    <row r="228" spans="7:44">
      <c r="G228" s="688">
        <v>13336.5</v>
      </c>
      <c r="H228" s="676">
        <f t="shared" si="122"/>
        <v>13.336499999999999</v>
      </c>
      <c r="I228" s="677">
        <f t="shared" si="102"/>
        <v>107.52515623208643</v>
      </c>
      <c r="J228" s="678">
        <f t="shared" si="103"/>
        <v>1.5614960434838425</v>
      </c>
      <c r="K228" s="678">
        <f t="shared" si="104"/>
        <v>1.0001699111761433</v>
      </c>
      <c r="L228" s="679">
        <f t="shared" si="105"/>
        <v>1.8432966199605303E-2</v>
      </c>
      <c r="M228" s="678">
        <f t="shared" si="106"/>
        <v>1.0024840176150509</v>
      </c>
      <c r="N228" s="679">
        <f t="shared" si="107"/>
        <v>-7.0411455573350185E-2</v>
      </c>
      <c r="O228" s="677">
        <f t="shared" si="108"/>
        <v>553051.62497367407</v>
      </c>
      <c r="P228" s="680">
        <f t="shared" si="109"/>
        <v>1.5707945186454313</v>
      </c>
      <c r="Q228" s="689">
        <f t="shared" si="131"/>
        <v>22.144655332969947</v>
      </c>
      <c r="R228" s="690">
        <f t="shared" si="132"/>
        <v>1.5256233419051202</v>
      </c>
      <c r="S228" s="677">
        <f t="shared" si="110"/>
        <v>1.0050429224810535</v>
      </c>
      <c r="T228" s="680">
        <f t="shared" si="111"/>
        <v>0.10021796968914946</v>
      </c>
      <c r="U228" s="681">
        <f t="shared" si="123"/>
        <v>0.97870260489166061</v>
      </c>
      <c r="V228" s="682">
        <f t="shared" si="124"/>
        <v>-0.25287321875083735</v>
      </c>
      <c r="W228" s="683">
        <f t="shared" si="112"/>
        <v>-23.206280653966541</v>
      </c>
      <c r="X228" s="684">
        <f t="shared" si="113"/>
        <v>-115.26403388001923</v>
      </c>
      <c r="Y228" s="687">
        <f t="shared" si="114"/>
        <v>64.735966119980773</v>
      </c>
      <c r="AA228" s="170">
        <f t="shared" si="115"/>
        <v>13336.5</v>
      </c>
      <c r="AB228" s="170">
        <f t="shared" si="116"/>
        <v>177862232.25</v>
      </c>
      <c r="AD228" s="686">
        <f t="shared" si="117"/>
        <v>17.111822958930873</v>
      </c>
      <c r="AE228" s="687">
        <f t="shared" si="118"/>
        <v>-8.3301844869362345</v>
      </c>
      <c r="AG228" s="686">
        <f t="shared" si="119"/>
        <v>-1.667856334354848</v>
      </c>
      <c r="AH228" s="687">
        <f t="shared" si="120"/>
        <v>-77.956712987348951</v>
      </c>
      <c r="AJ228" s="170">
        <f t="shared" si="121"/>
        <v>0</v>
      </c>
      <c r="AK228" s="170">
        <f t="shared" si="133"/>
        <v>0</v>
      </c>
      <c r="AM228" s="170" t="str">
        <f t="shared" si="125"/>
        <v>0.065890954010436+0.356987801192794i</v>
      </c>
      <c r="AN228" s="170" t="str">
        <f t="shared" si="126"/>
        <v>0.365041222609655i</v>
      </c>
      <c r="AO228" s="170" t="str">
        <f t="shared" si="127"/>
        <v>0.97793832335075-0.180502775931403i</v>
      </c>
      <c r="AP228" s="170" t="str">
        <f t="shared" si="128"/>
        <v>0.155684840998261-0.0594979668654657i</v>
      </c>
      <c r="AQ228" s="170" t="str">
        <f t="shared" si="129"/>
        <v>0.844315159001739+0.0594979668654657i</v>
      </c>
      <c r="AR228" s="170" t="str">
        <f t="shared" si="130"/>
        <v>0.981723310484747-0.0691809691861241i</v>
      </c>
    </row>
    <row r="229" spans="7:44">
      <c r="G229" s="688">
        <v>13413.25</v>
      </c>
      <c r="H229" s="676">
        <f t="shared" si="122"/>
        <v>13.41325</v>
      </c>
      <c r="I229" s="677">
        <f t="shared" si="102"/>
        <v>108.14389758073933</v>
      </c>
      <c r="J229" s="678">
        <f t="shared" si="103"/>
        <v>1.5615492562352173</v>
      </c>
      <c r="K229" s="678">
        <f t="shared" si="104"/>
        <v>1.0001718722728139</v>
      </c>
      <c r="L229" s="679">
        <f t="shared" si="105"/>
        <v>1.8539021532540077E-2</v>
      </c>
      <c r="M229" s="678">
        <f t="shared" si="106"/>
        <v>1.0025126544124368</v>
      </c>
      <c r="N229" s="679">
        <f t="shared" si="107"/>
        <v>-7.0815315787076699E-2</v>
      </c>
      <c r="O229" s="677">
        <f t="shared" si="108"/>
        <v>556234.37248738389</v>
      </c>
      <c r="P229" s="680">
        <f t="shared" si="109"/>
        <v>1.5707945289915795</v>
      </c>
      <c r="Q229" s="689">
        <f t="shared" si="131"/>
        <v>22.271836103399604</v>
      </c>
      <c r="R229" s="690">
        <f t="shared" si="132"/>
        <v>1.5258814711652131</v>
      </c>
      <c r="S229" s="677">
        <f t="shared" si="110"/>
        <v>1.0051009846412404</v>
      </c>
      <c r="T229" s="680">
        <f t="shared" si="111"/>
        <v>0.10079082535618417</v>
      </c>
      <c r="U229" s="681">
        <f t="shared" si="123"/>
        <v>0.97846857453802261</v>
      </c>
      <c r="V229" s="682">
        <f t="shared" si="124"/>
        <v>-0.25429842457730972</v>
      </c>
      <c r="W229" s="683">
        <f t="shared" si="112"/>
        <v>-23.258534299614205</v>
      </c>
      <c r="X229" s="684">
        <f t="shared" si="113"/>
        <v>-115.38383707541796</v>
      </c>
      <c r="Y229" s="687">
        <f t="shared" si="114"/>
        <v>64.616162924582042</v>
      </c>
      <c r="AA229" s="170">
        <f t="shared" si="115"/>
        <v>13413.25</v>
      </c>
      <c r="AB229" s="170">
        <f t="shared" si="116"/>
        <v>179915275.5625</v>
      </c>
      <c r="AD229" s="686">
        <f t="shared" si="117"/>
        <v>17.111220121868939</v>
      </c>
      <c r="AE229" s="687">
        <f t="shared" si="118"/>
        <v>-8.348217574566549</v>
      </c>
      <c r="AG229" s="686">
        <f t="shared" si="119"/>
        <v>-1.7153526533288184</v>
      </c>
      <c r="AH229" s="687">
        <f t="shared" si="120"/>
        <v>-77.895166537342121</v>
      </c>
      <c r="AJ229" s="170">
        <f t="shared" si="121"/>
        <v>0</v>
      </c>
      <c r="AK229" s="170">
        <f t="shared" si="133"/>
        <v>0</v>
      </c>
      <c r="AM229" s="170" t="str">
        <f t="shared" si="125"/>
        <v>0.066642963800517+0.358949359905985i</v>
      </c>
      <c r="AN229" s="170" t="str">
        <f t="shared" si="126"/>
        <v>0.36714199221452i</v>
      </c>
      <c r="AO229" s="170" t="str">
        <f t="shared" si="127"/>
        <v>0.977685384722355-0.181518227862036i</v>
      </c>
      <c r="AP229" s="170" t="str">
        <f t="shared" si="128"/>
        <v>0.155559506033247-0.0598248933176642i</v>
      </c>
      <c r="AQ229" s="170" t="str">
        <f t="shared" si="129"/>
        <v>0.844440493966753+0.0598248933176642i</v>
      </c>
      <c r="AR229" s="170" t="str">
        <f t="shared" si="130"/>
        <v>0.981525609020022-0.0695367705216776i</v>
      </c>
    </row>
    <row r="230" spans="7:44">
      <c r="G230" s="688">
        <v>13490</v>
      </c>
      <c r="H230" s="676">
        <f t="shared" si="122"/>
        <v>13.49</v>
      </c>
      <c r="I230" s="677">
        <f t="shared" si="102"/>
        <v>108.76263923212805</v>
      </c>
      <c r="J230" s="678">
        <f t="shared" si="103"/>
        <v>1.5616018635408642</v>
      </c>
      <c r="K230" s="678">
        <f t="shared" si="104"/>
        <v>1.0001738446191073</v>
      </c>
      <c r="L230" s="679">
        <f t="shared" si="105"/>
        <v>1.8645076448384756E-2</v>
      </c>
      <c r="M230" s="678">
        <f t="shared" si="106"/>
        <v>1.0025414547133598</v>
      </c>
      <c r="N230" s="679">
        <f t="shared" si="107"/>
        <v>-7.1219152863046711E-2</v>
      </c>
      <c r="O230" s="677">
        <f t="shared" si="108"/>
        <v>559417.12000109383</v>
      </c>
      <c r="P230" s="680">
        <f t="shared" si="109"/>
        <v>1.5707945392200009</v>
      </c>
      <c r="Q230" s="689">
        <f t="shared" si="131"/>
        <v>22.399018340965505</v>
      </c>
      <c r="R230" s="690">
        <f t="shared" si="132"/>
        <v>1.5261366691121796</v>
      </c>
      <c r="S230" s="677">
        <f t="shared" si="110"/>
        <v>1.0051593766008315</v>
      </c>
      <c r="T230" s="680">
        <f t="shared" si="111"/>
        <v>0.1013636146542317</v>
      </c>
      <c r="U230" s="681">
        <f t="shared" si="123"/>
        <v>0.97823336101794034</v>
      </c>
      <c r="V230" s="682">
        <f t="shared" si="124"/>
        <v>-0.25572313062370111</v>
      </c>
      <c r="W230" s="683">
        <f t="shared" si="112"/>
        <v>-23.310514229402539</v>
      </c>
      <c r="X230" s="684">
        <f t="shared" si="113"/>
        <v>-115.5037397867067</v>
      </c>
      <c r="Y230" s="687">
        <f t="shared" si="114"/>
        <v>64.496260213293297</v>
      </c>
      <c r="AA230" s="170">
        <f t="shared" si="115"/>
        <v>13490</v>
      </c>
      <c r="AB230" s="170">
        <f t="shared" si="116"/>
        <v>181980100</v>
      </c>
      <c r="AD230" s="686">
        <f t="shared" si="117"/>
        <v>17.11061618161218</v>
      </c>
      <c r="AE230" s="687">
        <f t="shared" si="118"/>
        <v>-8.3664148046595148</v>
      </c>
      <c r="AG230" s="686">
        <f t="shared" si="119"/>
        <v>-1.7625521484244622</v>
      </c>
      <c r="AH230" s="687">
        <f t="shared" si="120"/>
        <v>-77.833612731341375</v>
      </c>
      <c r="AJ230" s="170">
        <f t="shared" si="121"/>
        <v>0</v>
      </c>
      <c r="AK230" s="170">
        <f t="shared" si="133"/>
        <v>0</v>
      </c>
      <c r="AM230" s="170" t="str">
        <f t="shared" si="125"/>
        <v>0.067399092711093+0.360909334492623i</v>
      </c>
      <c r="AN230" s="170" t="str">
        <f t="shared" si="126"/>
        <v>0.369242761819386i</v>
      </c>
      <c r="AO230" s="170" t="str">
        <f t="shared" si="127"/>
        <v>0.977431034028396-0.182533280758151i</v>
      </c>
      <c r="AP230" s="170" t="str">
        <f t="shared" si="128"/>
        <v>0.155433484548151-0.0601515557487705i</v>
      </c>
      <c r="AQ230" s="170" t="str">
        <f t="shared" si="129"/>
        <v>0.844566515451849+0.0601515557487705i</v>
      </c>
      <c r="AR230" s="170" t="str">
        <f t="shared" si="130"/>
        <v>0.981326964040748-0.0698918824098635i</v>
      </c>
    </row>
    <row r="231" spans="7:44">
      <c r="G231" s="688">
        <v>13568.5</v>
      </c>
      <c r="H231" s="676">
        <f t="shared" si="122"/>
        <v>13.5685</v>
      </c>
      <c r="I231" s="677">
        <f t="shared" si="102"/>
        <v>109.3954893071609</v>
      </c>
      <c r="J231" s="678">
        <f t="shared" si="103"/>
        <v>1.5616550547588044</v>
      </c>
      <c r="K231" s="678">
        <f t="shared" si="104"/>
        <v>1.0001758735747024</v>
      </c>
      <c r="L231" s="679">
        <f t="shared" si="105"/>
        <v>1.8753549120545051E-2</v>
      </c>
      <c r="M231" s="678">
        <f t="shared" si="106"/>
        <v>1.0025710808221613</v>
      </c>
      <c r="N231" s="679">
        <f t="shared" si="107"/>
        <v>-7.1632173880183933E-2</v>
      </c>
      <c r="O231" s="677">
        <f t="shared" si="108"/>
        <v>562672.43830501859</v>
      </c>
      <c r="P231" s="680">
        <f t="shared" si="109"/>
        <v>1.570794549561942</v>
      </c>
      <c r="Q231" s="689">
        <f t="shared" si="131"/>
        <v>22.529101991055569</v>
      </c>
      <c r="R231" s="690">
        <f t="shared" si="132"/>
        <v>1.5263947052838007</v>
      </c>
      <c r="S231" s="677">
        <f t="shared" si="110"/>
        <v>1.0052194410781945</v>
      </c>
      <c r="T231" s="680">
        <f t="shared" si="111"/>
        <v>0.10194939525872475</v>
      </c>
      <c r="U231" s="681">
        <f t="shared" si="123"/>
        <v>0.97799156304691115</v>
      </c>
      <c r="V231" s="682">
        <f t="shared" si="124"/>
        <v>-0.25717980234460247</v>
      </c>
      <c r="W231" s="683">
        <f t="shared" si="112"/>
        <v>-23.363399606087725</v>
      </c>
      <c r="X231" s="684">
        <f t="shared" si="113"/>
        <v>-115.62647686102274</v>
      </c>
      <c r="Y231" s="687">
        <f t="shared" si="114"/>
        <v>64.373523138977262</v>
      </c>
      <c r="AA231" s="170">
        <f t="shared" si="115"/>
        <v>13568.5</v>
      </c>
      <c r="AB231" s="170">
        <f t="shared" si="116"/>
        <v>184104192.25</v>
      </c>
      <c r="AD231" s="686">
        <f t="shared" si="117"/>
        <v>17.109997290222385</v>
      </c>
      <c r="AE231" s="687">
        <f t="shared" si="118"/>
        <v>-8.3851937699930232</v>
      </c>
      <c r="AG231" s="686">
        <f t="shared" si="119"/>
        <v>-1.8105241776459557</v>
      </c>
      <c r="AH231" s="687">
        <f t="shared" si="120"/>
        <v>-77.770648556645725</v>
      </c>
      <c r="AJ231" s="170">
        <f t="shared" si="121"/>
        <v>0</v>
      </c>
      <c r="AK231" s="170">
        <f t="shared" si="133"/>
        <v>0</v>
      </c>
      <c r="AM231" s="170" t="str">
        <f t="shared" si="125"/>
        <v>0.068176719940931+0.362912351319101i</v>
      </c>
      <c r="AN231" s="170" t="str">
        <f t="shared" si="126"/>
        <v>0.371391431708402i</v>
      </c>
      <c r="AO231" s="170" t="str">
        <f t="shared" si="127"/>
        <v>0.977169423779388-0.183571063089199i</v>
      </c>
      <c r="AP231" s="170" t="str">
        <f t="shared" si="128"/>
        <v>0.155303880009845-0.0604853918865168i</v>
      </c>
      <c r="AQ231" s="170" t="str">
        <f t="shared" si="129"/>
        <v>0.844696119990155+0.0604853918865168i</v>
      </c>
      <c r="AR231" s="170" t="str">
        <f t="shared" si="130"/>
        <v>0.981122816806244-0.0702543751047661i</v>
      </c>
    </row>
    <row r="232" spans="7:44">
      <c r="G232" s="688">
        <v>13647</v>
      </c>
      <c r="H232" s="676">
        <f t="shared" si="122"/>
        <v>13.647</v>
      </c>
      <c r="I232" s="677">
        <f t="shared" si="102"/>
        <v>110.02833968814656</v>
      </c>
      <c r="J232" s="678">
        <f t="shared" si="103"/>
        <v>1.5617076340966682</v>
      </c>
      <c r="K232" s="678">
        <f t="shared" si="104"/>
        <v>1.0001779142986398</v>
      </c>
      <c r="L232" s="679">
        <f t="shared" si="105"/>
        <v>1.8862021351334853E-2</v>
      </c>
      <c r="M232" s="678">
        <f t="shared" si="106"/>
        <v>1.0026008779457904</v>
      </c>
      <c r="N232" s="679">
        <f t="shared" si="107"/>
        <v>-7.2045170417943741E-2</v>
      </c>
      <c r="O232" s="677">
        <f t="shared" si="108"/>
        <v>565927.75660894345</v>
      </c>
      <c r="P232" s="680">
        <f t="shared" si="109"/>
        <v>1.5707945597849058</v>
      </c>
      <c r="Q232" s="689">
        <f t="shared" si="131"/>
        <v>22.65918712397006</v>
      </c>
      <c r="R232" s="690">
        <f t="shared" si="132"/>
        <v>1.5266497787296258</v>
      </c>
      <c r="S232" s="677">
        <f t="shared" si="110"/>
        <v>1.0052798504441796</v>
      </c>
      <c r="T232" s="680">
        <f t="shared" si="111"/>
        <v>0.10253510566261759</v>
      </c>
      <c r="U232" s="681">
        <f t="shared" si="123"/>
        <v>0.97774853275829154</v>
      </c>
      <c r="V232" s="682">
        <f t="shared" si="124"/>
        <v>-0.25863594621539759</v>
      </c>
      <c r="W232" s="683">
        <f t="shared" si="112"/>
        <v>-23.416005455574247</v>
      </c>
      <c r="X232" s="684">
        <f t="shared" si="113"/>
        <v>-115.7493129790022</v>
      </c>
      <c r="Y232" s="687">
        <f t="shared" si="114"/>
        <v>64.250687020997802</v>
      </c>
      <c r="AA232" s="170">
        <f t="shared" si="115"/>
        <v>13647</v>
      </c>
      <c r="AB232" s="170">
        <f t="shared" si="116"/>
        <v>186240609</v>
      </c>
      <c r="AD232" s="686">
        <f t="shared" si="117"/>
        <v>17.109377166148072</v>
      </c>
      <c r="AE232" s="687">
        <f t="shared" si="118"/>
        <v>-8.4041384579956784</v>
      </c>
      <c r="AG232" s="686">
        <f t="shared" si="119"/>
        <v>-1.8581924903691225</v>
      </c>
      <c r="AH232" s="687">
        <f t="shared" si="120"/>
        <v>-77.707678190111082</v>
      </c>
      <c r="AJ232" s="170">
        <f t="shared" si="121"/>
        <v>0</v>
      </c>
      <c r="AK232" s="170">
        <f t="shared" si="133"/>
        <v>0</v>
      </c>
      <c r="AM232" s="170" t="str">
        <f t="shared" si="125"/>
        <v>0.068958649194333+0.364913692658906i</v>
      </c>
      <c r="AN232" s="170" t="str">
        <f t="shared" si="126"/>
        <v>0.373540101597417i</v>
      </c>
      <c r="AO232" s="170" t="str">
        <f t="shared" si="127"/>
        <v>0.976906337762342-0.184608423297623i</v>
      </c>
      <c r="AP232" s="170" t="str">
        <f t="shared" si="128"/>
        <v>0.155173558467611-0.0608189487764843i</v>
      </c>
      <c r="AQ232" s="170" t="str">
        <f t="shared" si="129"/>
        <v>0.844826441532389+0.0608189487764843i</v>
      </c>
      <c r="AR232" s="170" t="str">
        <f t="shared" si="130"/>
        <v>0.980917688923418-0.0706161404801314i</v>
      </c>
    </row>
    <row r="233" spans="7:44">
      <c r="G233" s="688">
        <v>13725.5</v>
      </c>
      <c r="H233" s="676">
        <f t="shared" si="122"/>
        <v>13.7255</v>
      </c>
      <c r="I233" s="677">
        <f t="shared" si="102"/>
        <v>110.66119036983599</v>
      </c>
      <c r="J233" s="678">
        <f t="shared" si="103"/>
        <v>1.5617596120518467</v>
      </c>
      <c r="K233" s="678">
        <f t="shared" si="104"/>
        <v>1.0001799667908471</v>
      </c>
      <c r="L233" s="679">
        <f t="shared" si="105"/>
        <v>1.8970493138204259E-2</v>
      </c>
      <c r="M233" s="678">
        <f t="shared" si="106"/>
        <v>1.0026308460690001</v>
      </c>
      <c r="N233" s="679">
        <f t="shared" si="107"/>
        <v>-7.2458142337628484E-2</v>
      </c>
      <c r="O233" s="677">
        <f t="shared" si="108"/>
        <v>569183.07491286856</v>
      </c>
      <c r="P233" s="680">
        <f t="shared" si="109"/>
        <v>1.5707945698909336</v>
      </c>
      <c r="Q233" s="689">
        <f t="shared" si="131"/>
        <v>22.789273714316323</v>
      </c>
      <c r="R233" s="690">
        <f t="shared" si="132"/>
        <v>1.526901940152005</v>
      </c>
      <c r="S233" s="677">
        <f t="shared" si="110"/>
        <v>1.0053406046366158</v>
      </c>
      <c r="T233" s="680">
        <f t="shared" si="111"/>
        <v>0.10312074547673764</v>
      </c>
      <c r="U233" s="681">
        <f t="shared" si="123"/>
        <v>0.97750427290783592</v>
      </c>
      <c r="V233" s="682">
        <f t="shared" si="124"/>
        <v>-0.26009155971074249</v>
      </c>
      <c r="W233" s="683">
        <f t="shared" si="112"/>
        <v>-23.468335133576566</v>
      </c>
      <c r="X233" s="684">
        <f t="shared" si="113"/>
        <v>-115.8722456623975</v>
      </c>
      <c r="Y233" s="687">
        <f t="shared" si="114"/>
        <v>64.127754337602497</v>
      </c>
      <c r="AA233" s="170">
        <f t="shared" si="115"/>
        <v>13725.5</v>
      </c>
      <c r="AB233" s="170">
        <f t="shared" si="116"/>
        <v>188389350.25</v>
      </c>
      <c r="AD233" s="686">
        <f t="shared" si="117"/>
        <v>17.108755771372984</v>
      </c>
      <c r="AE233" s="687">
        <f t="shared" si="118"/>
        <v>-8.4232459414558107</v>
      </c>
      <c r="AG233" s="686">
        <f t="shared" si="119"/>
        <v>-1.9055604364103786</v>
      </c>
      <c r="AH233" s="687">
        <f t="shared" si="120"/>
        <v>-77.644702370084516</v>
      </c>
      <c r="AJ233" s="170">
        <f t="shared" si="121"/>
        <v>0</v>
      </c>
      <c r="AK233" s="170">
        <f t="shared" si="133"/>
        <v>0</v>
      </c>
      <c r="AM233" s="170" t="str">
        <f t="shared" si="125"/>
        <v>0.069744876861302+0.366913349272286i</v>
      </c>
      <c r="AN233" s="170" t="str">
        <f t="shared" si="126"/>
        <v>0.375688771486433i</v>
      </c>
      <c r="AO233" s="170" t="str">
        <f t="shared" si="127"/>
        <v>0.976641776704088-0.185645359017126i</v>
      </c>
      <c r="AP233" s="170" t="str">
        <f t="shared" si="128"/>
        <v>0.155042520523116-0.0611522248787143i</v>
      </c>
      <c r="AQ233" s="170" t="str">
        <f t="shared" si="129"/>
        <v>0.844957479476884+0.0611522248787143i</v>
      </c>
      <c r="AR233" s="170" t="str">
        <f t="shared" si="130"/>
        <v>0.980711583636272-0.0709771754914988i</v>
      </c>
    </row>
    <row r="234" spans="7:44">
      <c r="G234" s="688">
        <v>13804</v>
      </c>
      <c r="H234" s="676">
        <f t="shared" si="122"/>
        <v>13.804</v>
      </c>
      <c r="I234" s="677">
        <f t="shared" si="102"/>
        <v>111.29404134709951</v>
      </c>
      <c r="J234" s="678">
        <f t="shared" si="103"/>
        <v>1.5618109988829776</v>
      </c>
      <c r="K234" s="678">
        <f t="shared" si="104"/>
        <v>1.0001820310512524</v>
      </c>
      <c r="L234" s="679">
        <f t="shared" si="105"/>
        <v>1.9078964478603425E-2</v>
      </c>
      <c r="M234" s="678">
        <f t="shared" si="106"/>
        <v>1.0026609851764574</v>
      </c>
      <c r="N234" s="679">
        <f t="shared" si="107"/>
        <v>-7.2871089500590638E-2</v>
      </c>
      <c r="O234" s="677">
        <f t="shared" si="108"/>
        <v>572438.39321679354</v>
      </c>
      <c r="P234" s="680">
        <f t="shared" si="109"/>
        <v>1.5707945798820204</v>
      </c>
      <c r="Q234" s="689">
        <f t="shared" si="131"/>
        <v>22.919361737277914</v>
      </c>
      <c r="R234" s="690">
        <f t="shared" si="132"/>
        <v>1.5271512391036628</v>
      </c>
      <c r="S234" s="677">
        <f t="shared" si="110"/>
        <v>1.0054017035929919</v>
      </c>
      <c r="T234" s="680">
        <f t="shared" si="111"/>
        <v>0.1037063143121998</v>
      </c>
      <c r="U234" s="681">
        <f t="shared" si="123"/>
        <v>0.97725878626159735</v>
      </c>
      <c r="V234" s="682">
        <f t="shared" si="124"/>
        <v>-0.26154664031368979</v>
      </c>
      <c r="W234" s="683">
        <f t="shared" si="112"/>
        <v>-23.520391937617976</v>
      </c>
      <c r="X234" s="684">
        <f t="shared" si="113"/>
        <v>-115.99527248564772</v>
      </c>
      <c r="Y234" s="687">
        <f t="shared" si="114"/>
        <v>64.004727514352282</v>
      </c>
      <c r="AA234" s="170">
        <f t="shared" si="115"/>
        <v>13804</v>
      </c>
      <c r="AB234" s="170">
        <f t="shared" si="116"/>
        <v>190550416</v>
      </c>
      <c r="AD234" s="686">
        <f t="shared" si="117"/>
        <v>17.108133068992718</v>
      </c>
      <c r="AE234" s="687">
        <f t="shared" si="118"/>
        <v>-8.4425133590442893</v>
      </c>
      <c r="AG234" s="686">
        <f t="shared" si="119"/>
        <v>-1.9526313086395892</v>
      </c>
      <c r="AH234" s="687">
        <f t="shared" si="120"/>
        <v>-77.581721820755305</v>
      </c>
      <c r="AJ234" s="170">
        <f t="shared" si="121"/>
        <v>0</v>
      </c>
      <c r="AK234" s="170">
        <f t="shared" si="133"/>
        <v>0</v>
      </c>
      <c r="AM234" s="170" t="str">
        <f t="shared" si="125"/>
        <v>0.070535399311999+0.368911311927263i</v>
      </c>
      <c r="AN234" s="170" t="str">
        <f t="shared" si="126"/>
        <v>0.377837441375449i</v>
      </c>
      <c r="AO234" s="170" t="str">
        <f t="shared" si="127"/>
        <v>0.976375741335501-0.186681867882727i</v>
      </c>
      <c r="AP234" s="170" t="str">
        <f t="shared" si="128"/>
        <v>0.154910766781334-0.0614852186545438i</v>
      </c>
      <c r="AQ234" s="170" t="str">
        <f t="shared" si="129"/>
        <v>0.845089233218666+0.0614852186545438i</v>
      </c>
      <c r="AR234" s="170" t="str">
        <f t="shared" si="130"/>
        <v>0.980504504199608-0.0713374771121701i</v>
      </c>
    </row>
    <row r="235" spans="7:44">
      <c r="G235" s="688">
        <v>13884.25</v>
      </c>
      <c r="H235" s="676">
        <f t="shared" si="122"/>
        <v>13.88425</v>
      </c>
      <c r="I235" s="677">
        <f t="shared" si="102"/>
        <v>111.94100076747925</v>
      </c>
      <c r="J235" s="678">
        <f t="shared" si="103"/>
        <v>1.5618629306827008</v>
      </c>
      <c r="K235" s="678">
        <f t="shared" si="104"/>
        <v>1.0001841534947702</v>
      </c>
      <c r="L235" s="679">
        <f t="shared" si="105"/>
        <v>1.9189853505737018E-2</v>
      </c>
      <c r="M235" s="678">
        <f t="shared" si="106"/>
        <v>1.00269197290315</v>
      </c>
      <c r="N235" s="679">
        <f t="shared" si="107"/>
        <v>-7.3293216756969468E-2</v>
      </c>
      <c r="O235" s="677">
        <f t="shared" si="108"/>
        <v>575766.28231093334</v>
      </c>
      <c r="P235" s="680">
        <f t="shared" si="109"/>
        <v>1.5707945899790554</v>
      </c>
      <c r="Q235" s="689">
        <f t="shared" si="131"/>
        <v>23.052351267327282</v>
      </c>
      <c r="R235" s="690">
        <f t="shared" si="132"/>
        <v>1.5274031872065701</v>
      </c>
      <c r="S235" s="677">
        <f t="shared" si="110"/>
        <v>1.0054645209409003</v>
      </c>
      <c r="T235" s="680">
        <f t="shared" si="111"/>
        <v>0.10430486345552528</v>
      </c>
      <c r="U235" s="681">
        <f t="shared" si="123"/>
        <v>0.97700656175025458</v>
      </c>
      <c r="V235" s="682">
        <f t="shared" si="124"/>
        <v>-0.26303360556250277</v>
      </c>
      <c r="W235" s="683">
        <f t="shared" si="112"/>
        <v>-23.573330551529668</v>
      </c>
      <c r="X235" s="684">
        <f t="shared" si="113"/>
        <v>-116.12113678404499</v>
      </c>
      <c r="Y235" s="687">
        <f t="shared" si="114"/>
        <v>63.878863215955008</v>
      </c>
      <c r="AA235" s="170">
        <f t="shared" si="115"/>
        <v>13884.25</v>
      </c>
      <c r="AB235" s="170">
        <f t="shared" si="116"/>
        <v>192772398.0625</v>
      </c>
      <c r="AD235" s="686">
        <f t="shared" si="117"/>
        <v>17.107495095750387</v>
      </c>
      <c r="AE235" s="687">
        <f t="shared" si="118"/>
        <v>-8.4623727143752703</v>
      </c>
      <c r="AG235" s="686">
        <f t="shared" si="119"/>
        <v>-2.000447820715193</v>
      </c>
      <c r="AH235" s="687">
        <f t="shared" si="120"/>
        <v>-77.517333097547649</v>
      </c>
      <c r="AJ235" s="170">
        <f t="shared" si="121"/>
        <v>0</v>
      </c>
      <c r="AK235" s="170">
        <f t="shared" si="133"/>
        <v>0</v>
      </c>
      <c r="AM235" s="170" t="str">
        <f t="shared" si="125"/>
        <v>0.071347980540198+0.370952054520838i</v>
      </c>
      <c r="AN235" s="170" t="str">
        <f t="shared" si="126"/>
        <v>0.380034011548614i</v>
      </c>
      <c r="AO235" s="170" t="str">
        <f t="shared" si="127"/>
        <v>0.976102252030634-0.187741039938661i</v>
      </c>
      <c r="AP235" s="170" t="str">
        <f t="shared" si="128"/>
        <v>0.154775336576634-0.0618253424201397i</v>
      </c>
      <c r="AQ235" s="170" t="str">
        <f t="shared" si="129"/>
        <v>0.845224663423366+0.0618253424201397i</v>
      </c>
      <c r="AR235" s="170" t="str">
        <f t="shared" si="130"/>
        <v>0.980291804776365-0.0717050497041613i</v>
      </c>
    </row>
    <row r="236" spans="7:44">
      <c r="G236" s="688">
        <v>13964.5</v>
      </c>
      <c r="H236" s="676">
        <f t="shared" si="122"/>
        <v>13.964499999999999</v>
      </c>
      <c r="I236" s="677">
        <f t="shared" si="102"/>
        <v>112.58796048628446</v>
      </c>
      <c r="J236" s="678">
        <f t="shared" si="103"/>
        <v>1.5619142656552909</v>
      </c>
      <c r="K236" s="678">
        <f t="shared" si="104"/>
        <v>1.0001862882368766</v>
      </c>
      <c r="L236" s="679">
        <f t="shared" si="105"/>
        <v>1.9300742060883364E-2</v>
      </c>
      <c r="M236" s="678">
        <f t="shared" si="106"/>
        <v>1.0027231392898879</v>
      </c>
      <c r="N236" s="679">
        <f t="shared" si="107"/>
        <v>-7.3715317847654172E-2</v>
      </c>
      <c r="O236" s="677">
        <f t="shared" si="108"/>
        <v>579094.17140507349</v>
      </c>
      <c r="P236" s="680">
        <f t="shared" si="109"/>
        <v>1.5707945999600408</v>
      </c>
      <c r="Q236" s="689">
        <f t="shared" si="131"/>
        <v>23.185342243903275</v>
      </c>
      <c r="R236" s="690">
        <f t="shared" si="132"/>
        <v>1.5276522449796841</v>
      </c>
      <c r="S236" s="677">
        <f t="shared" si="110"/>
        <v>1.0055276984625285</v>
      </c>
      <c r="T236" s="680">
        <f t="shared" si="111"/>
        <v>0.10490333759929547</v>
      </c>
      <c r="U236" s="681">
        <f t="shared" si="123"/>
        <v>0.97675306101408188</v>
      </c>
      <c r="V236" s="682">
        <f t="shared" si="124"/>
        <v>-0.26452000860196839</v>
      </c>
      <c r="W236" s="683">
        <f t="shared" si="112"/>
        <v>-23.625990778304224</v>
      </c>
      <c r="X236" s="684">
        <f t="shared" si="113"/>
        <v>-116.24709450229416</v>
      </c>
      <c r="Y236" s="687">
        <f t="shared" si="114"/>
        <v>63.752905497705839</v>
      </c>
      <c r="AA236" s="170">
        <f t="shared" si="115"/>
        <v>13964.5</v>
      </c>
      <c r="AB236" s="170">
        <f t="shared" si="116"/>
        <v>195007260.25</v>
      </c>
      <c r="AD236" s="686">
        <f t="shared" si="117"/>
        <v>17.106855681352553</v>
      </c>
      <c r="AE236" s="687">
        <f t="shared" si="118"/>
        <v>-8.4823933695978582</v>
      </c>
      <c r="AG236" s="686">
        <f t="shared" si="119"/>
        <v>-2.0479606487846045</v>
      </c>
      <c r="AH236" s="687">
        <f t="shared" si="120"/>
        <v>-77.452940918746037</v>
      </c>
      <c r="AJ236" s="170">
        <f t="shared" si="121"/>
        <v>0</v>
      </c>
      <c r="AK236" s="170">
        <f t="shared" si="133"/>
        <v>0</v>
      </c>
      <c r="AM236" s="170" t="str">
        <f t="shared" si="125"/>
        <v>0.072165042438785+0.372991007300951i</v>
      </c>
      <c r="AN236" s="170" t="str">
        <f t="shared" si="126"/>
        <v>0.38223058172178i</v>
      </c>
      <c r="AO236" s="170" t="str">
        <f t="shared" si="127"/>
        <v>0.975827223506793-0.188799760902734i</v>
      </c>
      <c r="AP236" s="170" t="str">
        <f t="shared" si="128"/>
        <v>0.154639159593536-0.0621651678834918i</v>
      </c>
      <c r="AQ236" s="170" t="str">
        <f t="shared" si="129"/>
        <v>0.845360840406464+0.0621651678834918i</v>
      </c>
      <c r="AR236" s="170" t="str">
        <f t="shared" si="130"/>
        <v>0.980078094198989-0.0720718495021821i</v>
      </c>
    </row>
    <row r="237" spans="7:44">
      <c r="G237" s="688">
        <v>14044.75</v>
      </c>
      <c r="H237" s="676">
        <f t="shared" si="122"/>
        <v>14.044750000000001</v>
      </c>
      <c r="I237" s="677">
        <f t="shared" si="102"/>
        <v>113.23492049840006</v>
      </c>
      <c r="J237" s="678">
        <f t="shared" si="103"/>
        <v>1.5619650140302688</v>
      </c>
      <c r="K237" s="678">
        <f t="shared" si="104"/>
        <v>1.0001884352774926</v>
      </c>
      <c r="L237" s="679">
        <f t="shared" si="105"/>
        <v>1.9411630141318463E-2</v>
      </c>
      <c r="M237" s="678">
        <f t="shared" si="106"/>
        <v>1.0027544843200125</v>
      </c>
      <c r="N237" s="679">
        <f t="shared" si="107"/>
        <v>-7.4137392624680651E-2</v>
      </c>
      <c r="O237" s="677">
        <f t="shared" si="108"/>
        <v>582422.06049921352</v>
      </c>
      <c r="P237" s="680">
        <f t="shared" si="109"/>
        <v>1.5707946098269658</v>
      </c>
      <c r="Q237" s="689">
        <f t="shared" si="131"/>
        <v>23.318334642256065</v>
      </c>
      <c r="R237" s="690">
        <f t="shared" si="132"/>
        <v>1.5278984618454434</v>
      </c>
      <c r="S237" s="677">
        <f t="shared" si="110"/>
        <v>1.0055912360899912</v>
      </c>
      <c r="T237" s="680">
        <f t="shared" si="111"/>
        <v>0.10550173632897424</v>
      </c>
      <c r="U237" s="681">
        <f t="shared" si="123"/>
        <v>0.97649828704112862</v>
      </c>
      <c r="V237" s="682">
        <f t="shared" si="124"/>
        <v>-0.26600584677036199</v>
      </c>
      <c r="W237" s="683">
        <f t="shared" si="112"/>
        <v>-23.678375960899643</v>
      </c>
      <c r="X237" s="684">
        <f t="shared" si="113"/>
        <v>-116.37314321034205</v>
      </c>
      <c r="Y237" s="687">
        <f t="shared" si="114"/>
        <v>63.62685678965795</v>
      </c>
      <c r="AA237" s="170">
        <f t="shared" si="115"/>
        <v>14044.75</v>
      </c>
      <c r="AB237" s="170">
        <f t="shared" si="116"/>
        <v>197255002.5625</v>
      </c>
      <c r="AD237" s="686">
        <f t="shared" si="117"/>
        <v>17.106214789736683</v>
      </c>
      <c r="AE237" s="687">
        <f t="shared" si="118"/>
        <v>-8.5025724693777232</v>
      </c>
      <c r="AG237" s="686">
        <f t="shared" si="119"/>
        <v>-2.0951731346250368</v>
      </c>
      <c r="AH237" s="687">
        <f t="shared" si="120"/>
        <v>-77.388546014642714</v>
      </c>
      <c r="AJ237" s="170">
        <f t="shared" si="121"/>
        <v>0</v>
      </c>
      <c r="AK237" s="170">
        <f t="shared" si="133"/>
        <v>0</v>
      </c>
      <c r="AM237" s="170" t="str">
        <f t="shared" si="125"/>
        <v>0.072986581065503+0.375028160429821i</v>
      </c>
      <c r="AN237" s="170" t="str">
        <f t="shared" si="126"/>
        <v>0.384427151894946i</v>
      </c>
      <c r="AO237" s="170" t="str">
        <f t="shared" si="127"/>
        <v>0.97555065655796-0.189858028252511i</v>
      </c>
      <c r="AP237" s="170" t="str">
        <f t="shared" si="128"/>
        <v>0.154502236489083-0.0625046934049702i</v>
      </c>
      <c r="AQ237" s="170" t="str">
        <f t="shared" si="129"/>
        <v>0.845497763510917+0.0625046934049702i</v>
      </c>
      <c r="AR237" s="170" t="str">
        <f t="shared" si="130"/>
        <v>0.979863375979088-0.0724378733303901i</v>
      </c>
    </row>
    <row r="238" spans="7:44">
      <c r="G238" s="688">
        <v>14125</v>
      </c>
      <c r="H238" s="676">
        <f t="shared" si="122"/>
        <v>14.125</v>
      </c>
      <c r="I238" s="677">
        <f t="shared" si="102"/>
        <v>113.88188079882715</v>
      </c>
      <c r="J238" s="678">
        <f t="shared" si="103"/>
        <v>1.5620151858047129</v>
      </c>
      <c r="K238" s="678">
        <f t="shared" si="104"/>
        <v>1.0001905946165393</v>
      </c>
      <c r="L238" s="679">
        <f t="shared" si="105"/>
        <v>1.9522517744318384E-2</v>
      </c>
      <c r="M238" s="678">
        <f t="shared" si="106"/>
        <v>1.0027860079767714</v>
      </c>
      <c r="N238" s="679">
        <f t="shared" si="107"/>
        <v>-7.4559440940140692E-2</v>
      </c>
      <c r="O238" s="677">
        <f t="shared" si="108"/>
        <v>585749.94959335355</v>
      </c>
      <c r="P238" s="680">
        <f t="shared" si="109"/>
        <v>1.5707946195817748</v>
      </c>
      <c r="Q238" s="689">
        <f t="shared" si="131"/>
        <v>23.451328438196974</v>
      </c>
      <c r="R238" s="690">
        <f t="shared" si="132"/>
        <v>1.5281418861065716</v>
      </c>
      <c r="S238" s="677">
        <f t="shared" si="110"/>
        <v>1.0056551337550339</v>
      </c>
      <c r="T238" s="680">
        <f t="shared" si="111"/>
        <v>0.10610005923034597</v>
      </c>
      <c r="U238" s="681">
        <f t="shared" si="123"/>
        <v>0.97624224283031558</v>
      </c>
      <c r="V238" s="682">
        <f t="shared" si="124"/>
        <v>-0.26749111741523657</v>
      </c>
      <c r="W238" s="683">
        <f t="shared" si="112"/>
        <v>-23.730489384345816</v>
      </c>
      <c r="X238" s="684">
        <f t="shared" si="113"/>
        <v>-116.49928052952305</v>
      </c>
      <c r="Y238" s="687">
        <f t="shared" si="114"/>
        <v>63.500719470476952</v>
      </c>
      <c r="AA238" s="170">
        <f t="shared" si="115"/>
        <v>14125</v>
      </c>
      <c r="AB238" s="170">
        <f t="shared" si="116"/>
        <v>199515625</v>
      </c>
      <c r="AD238" s="686">
        <f t="shared" si="117"/>
        <v>17.105572385899141</v>
      </c>
      <c r="AE238" s="687">
        <f t="shared" si="118"/>
        <v>-8.5229072225512272</v>
      </c>
      <c r="AG238" s="686">
        <f t="shared" si="119"/>
        <v>-2.1420885632858426</v>
      </c>
      <c r="AH238" s="687">
        <f t="shared" si="120"/>
        <v>-77.32414910168373</v>
      </c>
      <c r="AJ238" s="170">
        <f t="shared" si="121"/>
        <v>0</v>
      </c>
      <c r="AK238" s="170">
        <f t="shared" si="133"/>
        <v>0</v>
      </c>
      <c r="AM238" s="170" t="str">
        <f t="shared" si="125"/>
        <v>0.073812592456496+0.377063504078349i</v>
      </c>
      <c r="AN238" s="170" t="str">
        <f t="shared" si="126"/>
        <v>0.386623722068112i</v>
      </c>
      <c r="AO238" s="170" t="str">
        <f t="shared" si="127"/>
        <v>0.975272551982522-0.190915839467016i</v>
      </c>
      <c r="AP238" s="170" t="str">
        <f t="shared" si="128"/>
        <v>0.154364567923917-0.0628439173463915i</v>
      </c>
      <c r="AQ238" s="170" t="str">
        <f t="shared" si="129"/>
        <v>0.845635432076083+0.0628439173463915i</v>
      </c>
      <c r="AR238" s="170" t="str">
        <f t="shared" si="130"/>
        <v>0.979647653639554-0.0728031180325133i</v>
      </c>
    </row>
    <row r="239" spans="7:44">
      <c r="G239" s="688">
        <v>14207.25</v>
      </c>
      <c r="H239" s="676">
        <f t="shared" si="122"/>
        <v>14.20725</v>
      </c>
      <c r="I239" s="677">
        <f t="shared" si="102"/>
        <v>114.54496501451625</v>
      </c>
      <c r="J239" s="678">
        <f t="shared" si="103"/>
        <v>1.5620660198536056</v>
      </c>
      <c r="K239" s="678">
        <f t="shared" si="104"/>
        <v>1.0001928205328101</v>
      </c>
      <c r="L239" s="679">
        <f t="shared" si="105"/>
        <v>1.9636168403005638E-2</v>
      </c>
      <c r="M239" s="678">
        <f t="shared" si="106"/>
        <v>1.0028185026119494</v>
      </c>
      <c r="N239" s="679">
        <f t="shared" si="107"/>
        <v>-7.4991979979979834E-2</v>
      </c>
      <c r="O239" s="677">
        <f t="shared" si="108"/>
        <v>589160.77673345373</v>
      </c>
      <c r="P239" s="680">
        <f t="shared" si="109"/>
        <v>1.5707946294653399</v>
      </c>
      <c r="Q239" s="689">
        <f t="shared" si="131"/>
        <v>23.587638146797708</v>
      </c>
      <c r="R239" s="690">
        <f t="shared" si="132"/>
        <v>1.5283885285419212</v>
      </c>
      <c r="S239" s="677">
        <f t="shared" si="110"/>
        <v>1.0057209974221843</v>
      </c>
      <c r="T239" s="680">
        <f t="shared" si="111"/>
        <v>0.10671321448627562</v>
      </c>
      <c r="U239" s="681">
        <f t="shared" si="123"/>
        <v>0.97597850248668938</v>
      </c>
      <c r="V239" s="682">
        <f t="shared" si="124"/>
        <v>-0.2690128124698471</v>
      </c>
      <c r="W239" s="683">
        <f t="shared" si="112"/>
        <v>-23.783622959518095</v>
      </c>
      <c r="X239" s="684">
        <f t="shared" si="113"/>
        <v>-116.62865097288208</v>
      </c>
      <c r="Y239" s="687">
        <f t="shared" si="114"/>
        <v>63.371349027117915</v>
      </c>
      <c r="AA239" s="170">
        <f t="shared" si="115"/>
        <v>14207.25</v>
      </c>
      <c r="AB239" s="170">
        <f t="shared" si="116"/>
        <v>201845952.5625</v>
      </c>
      <c r="AD239" s="686">
        <f t="shared" si="117"/>
        <v>17.104912367226664</v>
      </c>
      <c r="AE239" s="687">
        <f t="shared" si="118"/>
        <v>-8.543907426618464</v>
      </c>
      <c r="AG239" s="686">
        <f t="shared" si="119"/>
        <v>-2.1898683482697492</v>
      </c>
      <c r="AH239" s="687">
        <f t="shared" si="120"/>
        <v>-77.258145932106075</v>
      </c>
      <c r="AJ239" s="170">
        <f t="shared" si="121"/>
        <v>0</v>
      </c>
      <c r="AK239" s="170">
        <f t="shared" si="133"/>
        <v>0</v>
      </c>
      <c r="AM239" s="170" t="str">
        <f t="shared" si="125"/>
        <v>0.074663826990456+0.379147684840685i</v>
      </c>
      <c r="AN239" s="170" t="str">
        <f t="shared" si="126"/>
        <v>0.388875035423163i</v>
      </c>
      <c r="AO239" s="170" t="str">
        <f t="shared" si="127"/>
        <v>0.97498592170646-0.191999537612922i</v>
      </c>
      <c r="AP239" s="170" t="str">
        <f t="shared" si="128"/>
        <v>0.154222695501591-0.0631912808067808i</v>
      </c>
      <c r="AQ239" s="170" t="str">
        <f t="shared" si="129"/>
        <v>0.845777304498409+0.0631912808067808i</v>
      </c>
      <c r="AR239" s="170" t="str">
        <f t="shared" si="130"/>
        <v>0.979425516771485-0.0731766536302816i</v>
      </c>
    </row>
    <row r="240" spans="7:44">
      <c r="G240" s="688">
        <v>14289.5</v>
      </c>
      <c r="H240" s="676">
        <f t="shared" si="122"/>
        <v>14.2895</v>
      </c>
      <c r="I240" s="677">
        <f t="shared" si="102"/>
        <v>115.20804952279384</v>
      </c>
      <c r="J240" s="678">
        <f t="shared" si="103"/>
        <v>1.5621162687478489</v>
      </c>
      <c r="K240" s="678">
        <f t="shared" si="104"/>
        <v>1.000195059367986</v>
      </c>
      <c r="L240" s="679">
        <f t="shared" si="105"/>
        <v>1.9749818554369906E-2</v>
      </c>
      <c r="M240" s="678">
        <f t="shared" si="106"/>
        <v>1.0028511848522828</v>
      </c>
      <c r="N240" s="679">
        <f t="shared" si="107"/>
        <v>-7.5424490908424818E-2</v>
      </c>
      <c r="O240" s="677">
        <f t="shared" si="108"/>
        <v>592571.6038735538</v>
      </c>
      <c r="P240" s="680">
        <f t="shared" si="109"/>
        <v>1.5707946392351257</v>
      </c>
      <c r="Q240" s="689">
        <f t="shared" si="131"/>
        <v>23.723949273804344</v>
      </c>
      <c r="R240" s="690">
        <f t="shared" si="132"/>
        <v>1.5286323367161037</v>
      </c>
      <c r="S240" s="677">
        <f t="shared" si="110"/>
        <v>1.0057872391499614</v>
      </c>
      <c r="T240" s="680">
        <f t="shared" si="111"/>
        <v>0.10732628920715348</v>
      </c>
      <c r="U240" s="681">
        <f t="shared" si="123"/>
        <v>0.97571343421592127</v>
      </c>
      <c r="V240" s="682">
        <f t="shared" si="124"/>
        <v>-0.27053390574861946</v>
      </c>
      <c r="W240" s="683">
        <f t="shared" si="112"/>
        <v>-23.836477867805964</v>
      </c>
      <c r="X240" s="684">
        <f t="shared" si="113"/>
        <v>-116.75810959890225</v>
      </c>
      <c r="Y240" s="687">
        <f t="shared" si="114"/>
        <v>63.241890401097749</v>
      </c>
      <c r="AA240" s="170">
        <f t="shared" si="115"/>
        <v>14289.5</v>
      </c>
      <c r="AB240" s="170">
        <f t="shared" si="116"/>
        <v>204189810.25</v>
      </c>
      <c r="AD240" s="686">
        <f t="shared" si="117"/>
        <v>17.104250688820354</v>
      </c>
      <c r="AE240" s="687">
        <f t="shared" si="118"/>
        <v>-8.5650654010511573</v>
      </c>
      <c r="AG240" s="686">
        <f t="shared" si="119"/>
        <v>-2.237342895418029</v>
      </c>
      <c r="AH240" s="687">
        <f t="shared" si="120"/>
        <v>-77.192142133255601</v>
      </c>
      <c r="AJ240" s="170">
        <f t="shared" si="121"/>
        <v>0</v>
      </c>
      <c r="AK240" s="170">
        <f t="shared" si="133"/>
        <v>0</v>
      </c>
      <c r="AM240" s="170" t="str">
        <f t="shared" si="125"/>
        <v>0.075519751507235+0.381229943927226i</v>
      </c>
      <c r="AN240" s="170" t="str">
        <f t="shared" si="126"/>
        <v>0.391126348778215i</v>
      </c>
      <c r="AO240" s="170" t="str">
        <f t="shared" si="127"/>
        <v>0.974697677919417-0.193082751246856i</v>
      </c>
      <c r="AP240" s="170" t="str">
        <f t="shared" si="128"/>
        <v>0.154080041415461-0.063538323987871i</v>
      </c>
      <c r="AQ240" s="170" t="str">
        <f t="shared" si="129"/>
        <v>0.845919958584539+0.063538323987871i</v>
      </c>
      <c r="AR240" s="170" t="str">
        <f t="shared" si="130"/>
        <v>0.979202332639916-0.0735493641325833i</v>
      </c>
    </row>
    <row r="241" spans="7:44">
      <c r="G241" s="688">
        <v>14371.75</v>
      </c>
      <c r="H241" s="676">
        <f t="shared" si="122"/>
        <v>14.37175</v>
      </c>
      <c r="I241" s="677">
        <f t="shared" si="102"/>
        <v>115.87113431863679</v>
      </c>
      <c r="J241" s="678">
        <f t="shared" si="103"/>
        <v>1.5621659425330148</v>
      </c>
      <c r="K241" s="678">
        <f t="shared" si="104"/>
        <v>1.0001973111219806</v>
      </c>
      <c r="L241" s="679">
        <f t="shared" si="105"/>
        <v>1.9863468195478715E-2</v>
      </c>
      <c r="M241" s="678">
        <f t="shared" si="106"/>
        <v>1.0028840546794309</v>
      </c>
      <c r="N241" s="679">
        <f t="shared" si="107"/>
        <v>-7.5856973566416033E-2</v>
      </c>
      <c r="O241" s="677">
        <f t="shared" si="108"/>
        <v>595982.43101365387</v>
      </c>
      <c r="P241" s="680">
        <f t="shared" si="109"/>
        <v>1.5707946488930862</v>
      </c>
      <c r="Q241" s="689">
        <f t="shared" si="131"/>
        <v>23.860261794907274</v>
      </c>
      <c r="R241" s="690">
        <f t="shared" si="132"/>
        <v>1.528873359175873</v>
      </c>
      <c r="S241" s="677">
        <f t="shared" si="110"/>
        <v>1.0058538588636723</v>
      </c>
      <c r="T241" s="680">
        <f t="shared" si="111"/>
        <v>0.10793928294807524</v>
      </c>
      <c r="U241" s="681">
        <f t="shared" si="123"/>
        <v>0.97544704128175552</v>
      </c>
      <c r="V241" s="682">
        <f t="shared" si="124"/>
        <v>-0.27205439442632889</v>
      </c>
      <c r="W241" s="683">
        <f t="shared" si="112"/>
        <v>-23.889057465157645</v>
      </c>
      <c r="X241" s="684">
        <f t="shared" si="113"/>
        <v>-116.88765400543015</v>
      </c>
      <c r="Y241" s="687">
        <f t="shared" si="114"/>
        <v>63.11234599456985</v>
      </c>
      <c r="AA241" s="170">
        <f t="shared" si="115"/>
        <v>14371.75</v>
      </c>
      <c r="AB241" s="170">
        <f t="shared" si="116"/>
        <v>206547198.0625</v>
      </c>
      <c r="AD241" s="686">
        <f t="shared" si="117"/>
        <v>17.103587316228079</v>
      </c>
      <c r="AE241" s="687">
        <f t="shared" si="118"/>
        <v>-8.586378338945984</v>
      </c>
      <c r="AG241" s="686">
        <f t="shared" si="119"/>
        <v>-2.284515564391103</v>
      </c>
      <c r="AH241" s="687">
        <f t="shared" si="120"/>
        <v>-77.126138433629237</v>
      </c>
      <c r="AJ241" s="170">
        <f t="shared" si="121"/>
        <v>0</v>
      </c>
      <c r="AK241" s="170">
        <f t="shared" si="133"/>
        <v>0</v>
      </c>
      <c r="AM241" s="170" t="str">
        <f t="shared" si="125"/>
        <v>0.076380361668656+0.383310270784226i</v>
      </c>
      <c r="AN241" s="170" t="str">
        <f t="shared" si="126"/>
        <v>0.393377662133266i</v>
      </c>
      <c r="AO241" s="170" t="str">
        <f t="shared" si="127"/>
        <v>0.974407821495392-0.194165477659431i</v>
      </c>
      <c r="AP241" s="170" t="str">
        <f t="shared" si="128"/>
        <v>0.153936606388557-0.0638850451307043i</v>
      </c>
      <c r="AQ241" s="170" t="str">
        <f t="shared" si="129"/>
        <v>0.846063393611443+0.0638850451307043i</v>
      </c>
      <c r="AR241" s="170" t="str">
        <f t="shared" si="130"/>
        <v>0.978978105073806-0.073921246205499i</v>
      </c>
    </row>
    <row r="242" spans="7:44">
      <c r="G242" s="688">
        <v>14454</v>
      </c>
      <c r="H242" s="676">
        <f t="shared" si="122"/>
        <v>14.454000000000001</v>
      </c>
      <c r="I242" s="677">
        <f t="shared" si="102"/>
        <v>116.53421939713634</v>
      </c>
      <c r="J242" s="678">
        <f t="shared" si="103"/>
        <v>1.5622150510260473</v>
      </c>
      <c r="K242" s="678">
        <f t="shared" si="104"/>
        <v>1.0001995757947062</v>
      </c>
      <c r="L242" s="679">
        <f t="shared" si="105"/>
        <v>1.9977117323399664E-2</v>
      </c>
      <c r="M242" s="678">
        <f t="shared" si="106"/>
        <v>1.0029171120749496</v>
      </c>
      <c r="N242" s="679">
        <f t="shared" si="107"/>
        <v>-7.6289427794956857E-2</v>
      </c>
      <c r="O242" s="677">
        <f t="shared" si="108"/>
        <v>599393.25815375417</v>
      </c>
      <c r="P242" s="680">
        <f t="shared" si="109"/>
        <v>1.5707946584411299</v>
      </c>
      <c r="Q242" s="689">
        <f t="shared" si="131"/>
        <v>23.996575686349022</v>
      </c>
      <c r="R242" s="690">
        <f t="shared" si="132"/>
        <v>1.5291116433662051</v>
      </c>
      <c r="S242" s="677">
        <f t="shared" si="110"/>
        <v>1.0059208564882176</v>
      </c>
      <c r="T242" s="680">
        <f t="shared" si="111"/>
        <v>0.10855219526449747</v>
      </c>
      <c r="U242" s="681">
        <f t="shared" si="123"/>
        <v>0.97517932695954335</v>
      </c>
      <c r="V242" s="682">
        <f t="shared" si="124"/>
        <v>-0.27357427568811765</v>
      </c>
      <c r="W242" s="683">
        <f t="shared" si="112"/>
        <v>-23.941365049258778</v>
      </c>
      <c r="X242" s="684">
        <f t="shared" si="113"/>
        <v>-117.01728184095602</v>
      </c>
      <c r="Y242" s="687">
        <f t="shared" si="114"/>
        <v>62.982718159043984</v>
      </c>
      <c r="AA242" s="170">
        <f t="shared" si="115"/>
        <v>14454</v>
      </c>
      <c r="AB242" s="170">
        <f t="shared" si="116"/>
        <v>208918116</v>
      </c>
      <c r="AD242" s="686">
        <f t="shared" si="117"/>
        <v>17.102922216016708</v>
      </c>
      <c r="AE242" s="687">
        <f t="shared" si="118"/>
        <v>-8.6078434965449766</v>
      </c>
      <c r="AG242" s="686">
        <f t="shared" si="119"/>
        <v>-2.3313896577582573</v>
      </c>
      <c r="AH242" s="687">
        <f t="shared" si="120"/>
        <v>-77.060135548034083</v>
      </c>
      <c r="AJ242" s="170">
        <f t="shared" si="121"/>
        <v>0</v>
      </c>
      <c r="AK242" s="170">
        <f t="shared" si="133"/>
        <v>0</v>
      </c>
      <c r="AM242" s="170" t="str">
        <f t="shared" si="125"/>
        <v>0.077245653112794+0.38538865486774i</v>
      </c>
      <c r="AN242" s="170" t="str">
        <f t="shared" si="126"/>
        <v>0.395628975488318i</v>
      </c>
      <c r="AO242" s="170" t="str">
        <f t="shared" si="127"/>
        <v>0.974116353313256-0.195247714142906i</v>
      </c>
      <c r="AP242" s="170" t="str">
        <f t="shared" si="128"/>
        <v>0.153792391147868-0.0642314424779567i</v>
      </c>
      <c r="AQ242" s="170" t="str">
        <f t="shared" si="129"/>
        <v>0.846207608852132+0.0642314424779567i</v>
      </c>
      <c r="AR242" s="170" t="str">
        <f t="shared" si="130"/>
        <v>0.97875283791399-0.074292296536883i</v>
      </c>
    </row>
    <row r="243" spans="7:44">
      <c r="G243" s="688">
        <v>14622.5</v>
      </c>
      <c r="H243" s="676">
        <f t="shared" si="122"/>
        <v>14.6225</v>
      </c>
      <c r="I243" s="677">
        <f t="shared" si="102"/>
        <v>117.89263771535578</v>
      </c>
      <c r="J243" s="678">
        <f t="shared" si="103"/>
        <v>1.5623139311905645</v>
      </c>
      <c r="K243" s="678">
        <f t="shared" si="104"/>
        <v>1.0002042556179835</v>
      </c>
      <c r="L243" s="679">
        <f t="shared" si="105"/>
        <v>2.0209940973580458E-2</v>
      </c>
      <c r="M243" s="678">
        <f t="shared" si="106"/>
        <v>1.0029854201737898</v>
      </c>
      <c r="N243" s="679">
        <f t="shared" si="107"/>
        <v>-7.7175278012560466E-2</v>
      </c>
      <c r="O243" s="677">
        <f t="shared" si="108"/>
        <v>606380.78852587461</v>
      </c>
      <c r="P243" s="680">
        <f t="shared" si="109"/>
        <v>1.570794677666133</v>
      </c>
      <c r="Q243" s="689">
        <f t="shared" si="131"/>
        <v>24.275836898191962</v>
      </c>
      <c r="R243" s="690">
        <f t="shared" si="132"/>
        <v>1.5295914433548954</v>
      </c>
      <c r="S243" s="677">
        <f t="shared" si="110"/>
        <v>1.0060592897878033</v>
      </c>
      <c r="T243" s="680">
        <f t="shared" si="111"/>
        <v>0.10980757104231476</v>
      </c>
      <c r="U243" s="681">
        <f t="shared" si="123"/>
        <v>0.97462676625605549</v>
      </c>
      <c r="V243" s="682">
        <f t="shared" si="124"/>
        <v>-0.27668604478648146</v>
      </c>
      <c r="W243" s="683">
        <f t="shared" si="112"/>
        <v>-24.047688214478995</v>
      </c>
      <c r="X243" s="684">
        <f t="shared" si="113"/>
        <v>-117.28309248066391</v>
      </c>
      <c r="Y243" s="687">
        <f t="shared" si="114"/>
        <v>62.71690751933609</v>
      </c>
      <c r="AA243" s="170">
        <f t="shared" si="115"/>
        <v>14622.5</v>
      </c>
      <c r="AB243" s="170">
        <f t="shared" si="116"/>
        <v>213817506.25</v>
      </c>
      <c r="AD243" s="686">
        <f t="shared" si="117"/>
        <v>17.101554139653768</v>
      </c>
      <c r="AE243" s="687">
        <f t="shared" si="118"/>
        <v>-8.6522818175168013</v>
      </c>
      <c r="AG243" s="686">
        <f t="shared" si="119"/>
        <v>-2.4264986774417672</v>
      </c>
      <c r="AH243" s="687">
        <f t="shared" si="120"/>
        <v>-76.924925394051755</v>
      </c>
      <c r="AJ243" s="170">
        <f t="shared" si="121"/>
        <v>0</v>
      </c>
      <c r="AK243" s="170">
        <f t="shared" si="133"/>
        <v>0</v>
      </c>
      <c r="AM243" s="170" t="str">
        <f t="shared" si="125"/>
        <v>0.079032917072178+0.389640388260018i</v>
      </c>
      <c r="AN243" s="170" t="str">
        <f t="shared" si="126"/>
        <v>0.400241088562192i</v>
      </c>
      <c r="AO243" s="170" t="str">
        <f t="shared" si="127"/>
        <v>0.973514212795454-0.197463277336398i</v>
      </c>
      <c r="AP243" s="170" t="str">
        <f t="shared" si="128"/>
        <v>0.153494513821304-0.064940064710003i</v>
      </c>
      <c r="AQ243" s="170" t="str">
        <f t="shared" si="129"/>
        <v>0.846505486178696+0.064940064710003i</v>
      </c>
      <c r="AR243" s="170" t="str">
        <f t="shared" si="130"/>
        <v>0.978288118196377-0.0750498310264804i</v>
      </c>
    </row>
    <row r="244" spans="7:44">
      <c r="G244" s="688">
        <v>14706.75</v>
      </c>
      <c r="H244" s="676">
        <f t="shared" si="122"/>
        <v>14.70675</v>
      </c>
      <c r="I244" s="677">
        <f t="shared" si="102"/>
        <v>118.57184729928865</v>
      </c>
      <c r="J244" s="678">
        <f t="shared" si="103"/>
        <v>1.5623625216571637</v>
      </c>
      <c r="K244" s="678">
        <f t="shared" si="104"/>
        <v>1.0002066158612009</v>
      </c>
      <c r="L244" s="679">
        <f t="shared" si="105"/>
        <v>2.0326351978504374E-2</v>
      </c>
      <c r="M244" s="678">
        <f t="shared" si="106"/>
        <v>1.0030198693455057</v>
      </c>
      <c r="N244" s="679">
        <f t="shared" si="107"/>
        <v>-7.7618157701173238E-2</v>
      </c>
      <c r="O244" s="677">
        <f t="shared" si="108"/>
        <v>609874.55371193483</v>
      </c>
      <c r="P244" s="680">
        <f t="shared" si="109"/>
        <v>1.5707946871134344</v>
      </c>
      <c r="Q244" s="689">
        <f t="shared" si="131"/>
        <v>24.415469563842731</v>
      </c>
      <c r="R244" s="690">
        <f t="shared" si="132"/>
        <v>1.5298272274011071</v>
      </c>
      <c r="S244" s="677">
        <f t="shared" si="110"/>
        <v>1.0061291008837294</v>
      </c>
      <c r="T244" s="680">
        <f t="shared" si="111"/>
        <v>0.11043512889136448</v>
      </c>
      <c r="U244" s="681">
        <f t="shared" si="123"/>
        <v>0.97434842030477209</v>
      </c>
      <c r="V244" s="682">
        <f t="shared" si="124"/>
        <v>-0.27824096145411958</v>
      </c>
      <c r="W244" s="683">
        <f t="shared" si="112"/>
        <v>-24.100435289405869</v>
      </c>
      <c r="X244" s="684">
        <f t="shared" si="113"/>
        <v>-117.4161194764623</v>
      </c>
      <c r="Y244" s="687">
        <f t="shared" si="114"/>
        <v>62.583880523537701</v>
      </c>
      <c r="AA244" s="170">
        <f t="shared" si="115"/>
        <v>14706.75</v>
      </c>
      <c r="AB244" s="170">
        <f t="shared" si="116"/>
        <v>216288495.5625</v>
      </c>
      <c r="AD244" s="686">
        <f t="shared" si="117"/>
        <v>17.100867247838682</v>
      </c>
      <c r="AE244" s="687">
        <f t="shared" si="118"/>
        <v>-8.6747293442593598</v>
      </c>
      <c r="AG244" s="686">
        <f t="shared" si="119"/>
        <v>-2.4735969046555835</v>
      </c>
      <c r="AH244" s="687">
        <f t="shared" si="120"/>
        <v>-76.857324537803564</v>
      </c>
      <c r="AJ244" s="170">
        <f t="shared" si="121"/>
        <v>0</v>
      </c>
      <c r="AK244" s="170">
        <f t="shared" si="133"/>
        <v>0</v>
      </c>
      <c r="AM244" s="170" t="str">
        <f t="shared" si="125"/>
        <v>0.0799338978430399+0.39176315250633i</v>
      </c>
      <c r="AN244" s="170" t="str">
        <f t="shared" si="126"/>
        <v>0.402547145099129i</v>
      </c>
      <c r="AO244" s="170" t="str">
        <f t="shared" si="127"/>
        <v>0.973210609678667-0.198570276342056i</v>
      </c>
      <c r="AP244" s="170" t="str">
        <f t="shared" si="128"/>
        <v>0.153344350359493-0.065293858751055i</v>
      </c>
      <c r="AQ244" s="170" t="str">
        <f t="shared" si="129"/>
        <v>0.846655649640507+0.065293858751055i</v>
      </c>
      <c r="AR244" s="170" t="str">
        <f t="shared" si="130"/>
        <v>0.978054138647063-0.0754272753117772i</v>
      </c>
    </row>
    <row r="245" spans="7:44">
      <c r="G245" s="688">
        <v>14791</v>
      </c>
      <c r="H245" s="676">
        <f t="shared" si="122"/>
        <v>14.791</v>
      </c>
      <c r="I245" s="677">
        <f t="shared" si="102"/>
        <v>119.25105715998464</v>
      </c>
      <c r="J245" s="678">
        <f t="shared" si="103"/>
        <v>1.5624105586172676</v>
      </c>
      <c r="K245" s="678">
        <f t="shared" si="104"/>
        <v>1.0002089896586761</v>
      </c>
      <c r="L245" s="679">
        <f t="shared" si="105"/>
        <v>2.0442762432449E-2</v>
      </c>
      <c r="M245" s="678">
        <f t="shared" si="106"/>
        <v>1.0030545152384287</v>
      </c>
      <c r="N245" s="679">
        <f t="shared" si="107"/>
        <v>-7.806100688216927E-2</v>
      </c>
      <c r="O245" s="677">
        <f t="shared" si="108"/>
        <v>613368.31889799517</v>
      </c>
      <c r="P245" s="680">
        <f t="shared" si="109"/>
        <v>1.5707946964531114</v>
      </c>
      <c r="Q245" s="689">
        <f t="shared" si="131"/>
        <v>24.555103571412694</v>
      </c>
      <c r="R245" s="690">
        <f t="shared" si="132"/>
        <v>1.5300603298610982</v>
      </c>
      <c r="S245" s="677">
        <f t="shared" si="110"/>
        <v>1.0061993081672518</v>
      </c>
      <c r="T245" s="680">
        <f t="shared" si="111"/>
        <v>0.1110625994121445</v>
      </c>
      <c r="U245" s="681">
        <f t="shared" si="123"/>
        <v>0.97406870204242035</v>
      </c>
      <c r="V245" s="682">
        <f t="shared" si="124"/>
        <v>-0.27979522889068087</v>
      </c>
      <c r="W245" s="683">
        <f t="shared" si="112"/>
        <v>-24.15291045091665</v>
      </c>
      <c r="X245" s="684">
        <f t="shared" si="113"/>
        <v>-117.5492244779503</v>
      </c>
      <c r="Y245" s="687">
        <f t="shared" si="114"/>
        <v>62.450775522049696</v>
      </c>
      <c r="AA245" s="170">
        <f t="shared" si="115"/>
        <v>14791</v>
      </c>
      <c r="AB245" s="170">
        <f t="shared" si="116"/>
        <v>218773681</v>
      </c>
      <c r="AD245" s="686">
        <f t="shared" si="117"/>
        <v>17.100178410811314</v>
      </c>
      <c r="AE245" s="687">
        <f t="shared" si="118"/>
        <v>-8.6973255048672229</v>
      </c>
      <c r="AG245" s="686">
        <f t="shared" si="119"/>
        <v>-2.5203953814233011</v>
      </c>
      <c r="AH245" s="687">
        <f t="shared" si="120"/>
        <v>-76.789727449780997</v>
      </c>
      <c r="AJ245" s="170">
        <f t="shared" si="121"/>
        <v>0</v>
      </c>
      <c r="AK245" s="170">
        <f t="shared" si="133"/>
        <v>0</v>
      </c>
      <c r="AM245" s="170" t="str">
        <f t="shared" si="125"/>
        <v>0.080839771428269+0.393883833397569i</v>
      </c>
      <c r="AN245" s="170" t="str">
        <f t="shared" si="126"/>
        <v>0.404853201636067i</v>
      </c>
      <c r="AO245" s="170" t="str">
        <f t="shared" si="127"/>
        <v>0.972905319275803-0.199676749749253i</v>
      </c>
      <c r="AP245" s="170" t="str">
        <f t="shared" si="128"/>
        <v>0.153193371428622-0.0656473055662615i</v>
      </c>
      <c r="AQ245" s="170" t="str">
        <f t="shared" si="129"/>
        <v>0.846806628571378+0.0656473055662615i</v>
      </c>
      <c r="AR245" s="170" t="str">
        <f t="shared" si="130"/>
        <v>0.977819084870747-0.0758038329970647i</v>
      </c>
    </row>
    <row r="246" spans="7:44">
      <c r="G246" s="688">
        <v>14877.25</v>
      </c>
      <c r="H246" s="676">
        <f t="shared" si="122"/>
        <v>14.87725</v>
      </c>
      <c r="I246" s="677">
        <f t="shared" si="102"/>
        <v>119.94639097868617</v>
      </c>
      <c r="J246" s="678">
        <f t="shared" si="103"/>
        <v>1.562459172365946</v>
      </c>
      <c r="K246" s="678">
        <f t="shared" si="104"/>
        <v>1.0002114338480472</v>
      </c>
      <c r="L246" s="679">
        <f t="shared" si="105"/>
        <v>2.0561935765262249E-2</v>
      </c>
      <c r="M246" s="678">
        <f t="shared" si="106"/>
        <v>1.003090187346046</v>
      </c>
      <c r="N246" s="679">
        <f t="shared" si="107"/>
        <v>-7.8514337022783015E-2</v>
      </c>
      <c r="O246" s="677">
        <f t="shared" si="108"/>
        <v>616945.02213001554</v>
      </c>
      <c r="P246" s="680">
        <f t="shared" si="109"/>
        <v>1.5707947059049241</v>
      </c>
      <c r="Q246" s="689">
        <f t="shared" si="131"/>
        <v>24.698053699188698</v>
      </c>
      <c r="R246" s="690">
        <f t="shared" si="132"/>
        <v>1.5302962355432528</v>
      </c>
      <c r="S246" s="677">
        <f t="shared" si="110"/>
        <v>1.0062715924127341</v>
      </c>
      <c r="T246" s="680">
        <f t="shared" si="111"/>
        <v>0.11170487441633004</v>
      </c>
      <c r="U246" s="681">
        <f t="shared" si="123"/>
        <v>0.97378092576020903</v>
      </c>
      <c r="V246" s="682">
        <f t="shared" si="124"/>
        <v>-0.28138571725272604</v>
      </c>
      <c r="W246" s="683">
        <f t="shared" si="112"/>
        <v>-24.206353031034304</v>
      </c>
      <c r="X246" s="684">
        <f t="shared" si="113"/>
        <v>-117.68556767464902</v>
      </c>
      <c r="Y246" s="687">
        <f t="shared" si="114"/>
        <v>62.314432325350978</v>
      </c>
      <c r="AA246" s="170">
        <f t="shared" si="115"/>
        <v>14877.25</v>
      </c>
      <c r="AB246" s="170">
        <f t="shared" si="116"/>
        <v>221332567.5625</v>
      </c>
      <c r="AD246" s="686">
        <f t="shared" si="117"/>
        <v>17.099471174284297</v>
      </c>
      <c r="AE246" s="687">
        <f t="shared" si="118"/>
        <v>-8.7206092935187627</v>
      </c>
      <c r="AG246" s="686">
        <f t="shared" si="119"/>
        <v>-2.5679976941880529</v>
      </c>
      <c r="AH246" s="687">
        <f t="shared" si="120"/>
        <v>-76.720530316600176</v>
      </c>
      <c r="AJ246" s="170">
        <f t="shared" si="121"/>
        <v>0</v>
      </c>
      <c r="AK246" s="170">
        <f t="shared" si="133"/>
        <v>0</v>
      </c>
      <c r="AM246" s="170" t="str">
        <f t="shared" si="125"/>
        <v>0.081772212818915+0.396052686960368i</v>
      </c>
      <c r="AN246" s="170" t="str">
        <f t="shared" si="126"/>
        <v>0.40721400135489i</v>
      </c>
      <c r="AO246" s="170" t="str">
        <f t="shared" si="127"/>
        <v>0.972591034794025-0.200808942096394i</v>
      </c>
      <c r="AP246" s="170" t="str">
        <f t="shared" si="128"/>
        <v>0.153037964530181-0.0660087811600613i</v>
      </c>
      <c r="AQ246" s="170" t="str">
        <f t="shared" si="129"/>
        <v>0.846962035469819+0.0660087811600613i</v>
      </c>
      <c r="AR246" s="170" t="str">
        <f t="shared" si="130"/>
        <v>0.977577342776916-0.076188407725502i</v>
      </c>
    </row>
    <row r="247" spans="7:44">
      <c r="G247" s="688">
        <v>14963.5</v>
      </c>
      <c r="H247" s="676">
        <f t="shared" si="122"/>
        <v>14.9635</v>
      </c>
      <c r="I247" s="677">
        <f t="shared" si="102"/>
        <v>120.64172507758899</v>
      </c>
      <c r="J247" s="678">
        <f t="shared" si="103"/>
        <v>1.5625072257315507</v>
      </c>
      <c r="K247" s="678">
        <f t="shared" si="104"/>
        <v>1.0002138922426349</v>
      </c>
      <c r="L247" s="679">
        <f t="shared" si="105"/>
        <v>2.0681108513943166E-2</v>
      </c>
      <c r="M247" s="678">
        <f t="shared" si="106"/>
        <v>1.0031260655822529</v>
      </c>
      <c r="N247" s="679">
        <f t="shared" si="107"/>
        <v>-7.8967634828547947E-2</v>
      </c>
      <c r="O247" s="677">
        <f t="shared" si="108"/>
        <v>620521.7253620358</v>
      </c>
      <c r="P247" s="680">
        <f t="shared" si="109"/>
        <v>1.5707947152477757</v>
      </c>
      <c r="Q247" s="689">
        <f t="shared" si="131"/>
        <v>24.841005185628951</v>
      </c>
      <c r="R247" s="690">
        <f t="shared" si="132"/>
        <v>1.5305294261252711</v>
      </c>
      <c r="S247" s="677">
        <f t="shared" si="110"/>
        <v>1.0063442917028045</v>
      </c>
      <c r="T247" s="680">
        <f t="shared" si="111"/>
        <v>0.11234705688825353</v>
      </c>
      <c r="U247" s="681">
        <f t="shared" si="123"/>
        <v>0.97349171884914432</v>
      </c>
      <c r="V247" s="682">
        <f t="shared" si="124"/>
        <v>-0.2829755189113054</v>
      </c>
      <c r="W247" s="683">
        <f t="shared" si="112"/>
        <v>-24.259517460712807</v>
      </c>
      <c r="X247" s="684">
        <f t="shared" si="113"/>
        <v>-117.821987855198</v>
      </c>
      <c r="Y247" s="687">
        <f t="shared" si="114"/>
        <v>62.178012144801997</v>
      </c>
      <c r="AA247" s="170">
        <f t="shared" si="115"/>
        <v>14963.5</v>
      </c>
      <c r="AB247" s="170">
        <f t="shared" si="116"/>
        <v>223906332.25</v>
      </c>
      <c r="AD247" s="686">
        <f t="shared" si="117"/>
        <v>17.09876183454687</v>
      </c>
      <c r="AE247" s="687">
        <f t="shared" si="118"/>
        <v>-8.7440433379981588</v>
      </c>
      <c r="AG247" s="686">
        <f t="shared" si="119"/>
        <v>-2.6152927068538752</v>
      </c>
      <c r="AH247" s="687">
        <f t="shared" si="120"/>
        <v>-76.651338601862648</v>
      </c>
      <c r="AJ247" s="170">
        <f t="shared" si="121"/>
        <v>0</v>
      </c>
      <c r="AK247" s="170">
        <f t="shared" si="133"/>
        <v>0</v>
      </c>
      <c r="AM247" s="170" t="str">
        <f t="shared" si="125"/>
        <v>0.082709771835263+0.398219333173924i</v>
      </c>
      <c r="AN247" s="170" t="str">
        <f t="shared" si="126"/>
        <v>0.409574801073713i</v>
      </c>
      <c r="AO247" s="170" t="str">
        <f t="shared" si="127"/>
        <v>0.972274984032171-0.201940577443819i</v>
      </c>
      <c r="AP247" s="170" t="str">
        <f t="shared" si="128"/>
        <v>0.152881704694123-0.0663698888623207i</v>
      </c>
      <c r="AQ247" s="170" t="str">
        <f t="shared" si="129"/>
        <v>0.847118295305877+0.0663698888623207i</v>
      </c>
      <c r="AR247" s="170" t="str">
        <f t="shared" si="130"/>
        <v>0.977334483749626-0.0765720459907605i</v>
      </c>
    </row>
    <row r="248" spans="7:44">
      <c r="G248" s="688">
        <v>15049.75</v>
      </c>
      <c r="H248" s="676">
        <f t="shared" si="122"/>
        <v>15.04975</v>
      </c>
      <c r="I248" s="677">
        <f t="shared" si="102"/>
        <v>121.3370594518759</v>
      </c>
      <c r="J248" s="678">
        <f t="shared" si="103"/>
        <v>1.5625547283478547</v>
      </c>
      <c r="K248" s="678">
        <f t="shared" si="104"/>
        <v>1.0002163648423346</v>
      </c>
      <c r="L248" s="679">
        <f t="shared" si="105"/>
        <v>2.0800280675111055E-2</v>
      </c>
      <c r="M248" s="678">
        <f t="shared" si="106"/>
        <v>1.0031621499249324</v>
      </c>
      <c r="N248" s="679">
        <f t="shared" si="107"/>
        <v>-7.9420900116657242E-2</v>
      </c>
      <c r="O248" s="677">
        <f t="shared" si="108"/>
        <v>624098.42859405617</v>
      </c>
      <c r="P248" s="680">
        <f t="shared" si="109"/>
        <v>1.5707947244835396</v>
      </c>
      <c r="Q248" s="689">
        <f t="shared" si="131"/>
        <v>24.983958007411726</v>
      </c>
      <c r="R248" s="690">
        <f t="shared" si="132"/>
        <v>1.5307599481872256</v>
      </c>
      <c r="S248" s="677">
        <f t="shared" si="110"/>
        <v>1.0064174059475197</v>
      </c>
      <c r="T248" s="680">
        <f t="shared" si="111"/>
        <v>0.1129891463183551</v>
      </c>
      <c r="U248" s="681">
        <f t="shared" si="123"/>
        <v>0.97320108517828463</v>
      </c>
      <c r="V248" s="682">
        <f t="shared" si="124"/>
        <v>-0.28456463070733551</v>
      </c>
      <c r="W248" s="683">
        <f t="shared" si="112"/>
        <v>-24.312407103298831</v>
      </c>
      <c r="X248" s="684">
        <f t="shared" si="113"/>
        <v>-117.95848268235953</v>
      </c>
      <c r="Y248" s="687">
        <f t="shared" si="114"/>
        <v>62.041517317640469</v>
      </c>
      <c r="AA248" s="170">
        <f t="shared" si="115"/>
        <v>15049.75</v>
      </c>
      <c r="AB248" s="170">
        <f t="shared" si="116"/>
        <v>226494975.0625</v>
      </c>
      <c r="AD248" s="686">
        <f t="shared" si="117"/>
        <v>17.098050360404308</v>
      </c>
      <c r="AE248" s="687">
        <f t="shared" si="118"/>
        <v>-8.7676249403755193</v>
      </c>
      <c r="AG248" s="686">
        <f t="shared" si="119"/>
        <v>-2.6622837969792243</v>
      </c>
      <c r="AH248" s="687">
        <f t="shared" si="120"/>
        <v>-76.582153028264742</v>
      </c>
      <c r="AJ248" s="170">
        <f t="shared" si="121"/>
        <v>0</v>
      </c>
      <c r="AK248" s="170">
        <f t="shared" si="133"/>
        <v>0</v>
      </c>
      <c r="AM248" s="170" t="str">
        <f t="shared" si="125"/>
        <v>0.083652443251949+0.40038375996271i</v>
      </c>
      <c r="AN248" s="170" t="str">
        <f t="shared" si="126"/>
        <v>0.411935600792536i</v>
      </c>
      <c r="AO248" s="170" t="str">
        <f t="shared" si="127"/>
        <v>0.97195716804374-0.203071652683107i</v>
      </c>
      <c r="AP248" s="170" t="str">
        <f t="shared" si="128"/>
        <v>0.152724592791342-0.0667306266604517i</v>
      </c>
      <c r="AQ248" s="170" t="str">
        <f t="shared" si="129"/>
        <v>0.847275407208658+0.0667306266604517i</v>
      </c>
      <c r="AR248" s="170" t="str">
        <f t="shared" si="130"/>
        <v>0.977090512311034-0.076954744154919i</v>
      </c>
    </row>
    <row r="249" spans="7:44">
      <c r="G249" s="688">
        <v>15136</v>
      </c>
      <c r="H249" s="676">
        <f t="shared" si="122"/>
        <v>15.135999999999999</v>
      </c>
      <c r="I249" s="677">
        <f t="shared" si="102"/>
        <v>122.03239409683958</v>
      </c>
      <c r="J249" s="678">
        <f t="shared" si="103"/>
        <v>1.5626016896290702</v>
      </c>
      <c r="K249" s="678">
        <f t="shared" si="104"/>
        <v>1.0002188516470405</v>
      </c>
      <c r="L249" s="679">
        <f t="shared" si="105"/>
        <v>2.0919452245385318E-2</v>
      </c>
      <c r="M249" s="678">
        <f t="shared" si="106"/>
        <v>1.0031984403518437</v>
      </c>
      <c r="N249" s="679">
        <f t="shared" si="107"/>
        <v>-7.9874132704383732E-2</v>
      </c>
      <c r="O249" s="677">
        <f t="shared" si="108"/>
        <v>627675.13182607654</v>
      </c>
      <c r="P249" s="680">
        <f t="shared" si="109"/>
        <v>1.5707947336140466</v>
      </c>
      <c r="Q249" s="689">
        <f t="shared" si="131"/>
        <v>25.126912141745795</v>
      </c>
      <c r="R249" s="690">
        <f t="shared" si="132"/>
        <v>1.5309878472503082</v>
      </c>
      <c r="S249" s="677">
        <f t="shared" si="110"/>
        <v>1.0064909350564495</v>
      </c>
      <c r="T249" s="680">
        <f t="shared" si="111"/>
        <v>0.11363114219752934</v>
      </c>
      <c r="U249" s="681">
        <f t="shared" si="123"/>
        <v>0.97290902862964812</v>
      </c>
      <c r="V249" s="682">
        <f t="shared" si="124"/>
        <v>-0.28615304949456083</v>
      </c>
      <c r="W249" s="683">
        <f t="shared" si="112"/>
        <v>-24.36502526362392</v>
      </c>
      <c r="X249" s="684">
        <f t="shared" si="113"/>
        <v>-118.09504986774827</v>
      </c>
      <c r="Y249" s="687">
        <f t="shared" si="114"/>
        <v>61.904950132251727</v>
      </c>
      <c r="AA249" s="170">
        <f t="shared" si="115"/>
        <v>15136</v>
      </c>
      <c r="AB249" s="170">
        <f t="shared" si="116"/>
        <v>229098496</v>
      </c>
      <c r="AD249" s="686">
        <f t="shared" si="117"/>
        <v>17.097336721598747</v>
      </c>
      <c r="AE249" s="687">
        <f t="shared" si="118"/>
        <v>-8.7913514634140082</v>
      </c>
      <c r="AG249" s="686">
        <f t="shared" si="119"/>
        <v>-2.7089742847180771</v>
      </c>
      <c r="AH249" s="687">
        <f t="shared" si="120"/>
        <v>-76.512974305192429</v>
      </c>
      <c r="AJ249" s="170">
        <f t="shared" si="121"/>
        <v>0</v>
      </c>
      <c r="AK249" s="170">
        <f t="shared" si="133"/>
        <v>0</v>
      </c>
      <c r="AM249" s="170" t="str">
        <f t="shared" si="125"/>
        <v>0.084600221815113+0.40254595526357i</v>
      </c>
      <c r="AN249" s="170" t="str">
        <f t="shared" si="126"/>
        <v>0.414296400511359i</v>
      </c>
      <c r="AO249" s="170" t="str">
        <f t="shared" si="127"/>
        <v>0.971637587888078-0.204202164707906i</v>
      </c>
      <c r="AP249" s="170" t="str">
        <f t="shared" si="128"/>
        <v>0.152566629697481-0.0670909925439283i</v>
      </c>
      <c r="AQ249" s="170" t="str">
        <f t="shared" si="129"/>
        <v>0.847433370302519+0.0670909925439283i</v>
      </c>
      <c r="AR249" s="170" t="str">
        <f t="shared" si="130"/>
        <v>0.976845432996209-0.0773364986067557i</v>
      </c>
    </row>
    <row r="250" spans="7:44">
      <c r="G250" s="688">
        <v>15224</v>
      </c>
      <c r="H250" s="676">
        <f t="shared" si="122"/>
        <v>15.224</v>
      </c>
      <c r="I250" s="677">
        <f t="shared" si="102"/>
        <v>122.74183725517368</v>
      </c>
      <c r="J250" s="678">
        <f t="shared" si="103"/>
        <v>1.5626490553717716</v>
      </c>
      <c r="K250" s="678">
        <f t="shared" si="104"/>
        <v>1.0002214035488002</v>
      </c>
      <c r="L250" s="679">
        <f t="shared" si="105"/>
        <v>2.1041041177042589E-2</v>
      </c>
      <c r="M250" s="678">
        <f t="shared" si="106"/>
        <v>1.0032356794818327</v>
      </c>
      <c r="N250" s="679">
        <f t="shared" si="107"/>
        <v>-8.0336527423770232E-2</v>
      </c>
      <c r="O250" s="677">
        <f t="shared" si="108"/>
        <v>631324.40584831196</v>
      </c>
      <c r="P250" s="680">
        <f t="shared" si="109"/>
        <v>1.5707947428231845</v>
      </c>
      <c r="Q250" s="689">
        <f t="shared" si="131"/>
        <v>25.272768124405342</v>
      </c>
      <c r="R250" s="690">
        <f t="shared" si="132"/>
        <v>1.5312177131434896</v>
      </c>
      <c r="S250" s="677">
        <f t="shared" si="110"/>
        <v>1.0065663835419163</v>
      </c>
      <c r="T250" s="680">
        <f t="shared" si="111"/>
        <v>0.11428606713488626</v>
      </c>
      <c r="U250" s="681">
        <f t="shared" si="123"/>
        <v>0.97260958386172491</v>
      </c>
      <c r="V250" s="682">
        <f t="shared" si="124"/>
        <v>-0.28777297957458331</v>
      </c>
      <c r="W250" s="683">
        <f t="shared" si="112"/>
        <v>-24.418434607657371</v>
      </c>
      <c r="X250" s="684">
        <f t="shared" si="113"/>
        <v>-118.23446023193982</v>
      </c>
      <c r="Y250" s="687">
        <f t="shared" si="114"/>
        <v>61.765539768060179</v>
      </c>
      <c r="AA250" s="170">
        <f t="shared" si="115"/>
        <v>15224</v>
      </c>
      <c r="AB250" s="170">
        <f t="shared" si="116"/>
        <v>231770176</v>
      </c>
      <c r="AD250" s="686">
        <f t="shared" si="117"/>
        <v>17.096606341723877</v>
      </c>
      <c r="AE250" s="687">
        <f t="shared" si="118"/>
        <v>-8.8157060803616893</v>
      </c>
      <c r="AG250" s="686">
        <f t="shared" si="119"/>
        <v>-2.7563056891859672</v>
      </c>
      <c r="AH250" s="687">
        <f t="shared" si="120"/>
        <v>-76.442399738841004</v>
      </c>
      <c r="AJ250" s="170">
        <f t="shared" si="121"/>
        <v>0</v>
      </c>
      <c r="AK250" s="170">
        <f t="shared" si="133"/>
        <v>0</v>
      </c>
      <c r="AM250" s="170" t="str">
        <f t="shared" si="125"/>
        <v>0.085572488819439+0.404749708827721i</v>
      </c>
      <c r="AN250" s="170" t="str">
        <f t="shared" si="126"/>
        <v>0.416705100514331i</v>
      </c>
      <c r="AO250" s="170" t="str">
        <f t="shared" si="127"/>
        <v>0.971309706380235-0.205355030965108i</v>
      </c>
      <c r="AP250" s="170" t="str">
        <f t="shared" si="128"/>
        <v>0.15240458519676-0.0674582848046202i</v>
      </c>
      <c r="AQ250" s="170" t="str">
        <f t="shared" si="129"/>
        <v>0.84759541480324+0.0674582848046202i</v>
      </c>
      <c r="AR250" s="170" t="str">
        <f t="shared" si="130"/>
        <v>0.976594243954268-0.077725022453682i</v>
      </c>
    </row>
    <row r="251" spans="7:44">
      <c r="G251" s="688">
        <v>15312</v>
      </c>
      <c r="H251" s="676">
        <f t="shared" si="122"/>
        <v>15.311999999999999</v>
      </c>
      <c r="I251" s="677">
        <f t="shared" si="102"/>
        <v>123.45128068571574</v>
      </c>
      <c r="J251" s="678">
        <f t="shared" si="103"/>
        <v>1.5626958767165795</v>
      </c>
      <c r="K251" s="678">
        <f t="shared" si="104"/>
        <v>1.0002239702376261</v>
      </c>
      <c r="L251" s="679">
        <f t="shared" si="105"/>
        <v>2.1162629486475255E-2</v>
      </c>
      <c r="M251" s="678">
        <f t="shared" si="106"/>
        <v>1.003273133096565</v>
      </c>
      <c r="N251" s="679">
        <f t="shared" si="107"/>
        <v>-8.0798887718300655E-2</v>
      </c>
      <c r="O251" s="677">
        <f t="shared" si="108"/>
        <v>634973.67987054749</v>
      </c>
      <c r="P251" s="680">
        <f t="shared" si="109"/>
        <v>1.5707947519264702</v>
      </c>
      <c r="Q251" s="689">
        <f t="shared" si="131"/>
        <v>25.418625427110555</v>
      </c>
      <c r="R251" s="690">
        <f t="shared" si="132"/>
        <v>1.5314449410129807</v>
      </c>
      <c r="S251" s="677">
        <f t="shared" si="110"/>
        <v>1.0066422637057266</v>
      </c>
      <c r="T251" s="680">
        <f t="shared" si="111"/>
        <v>0.11494089361728664</v>
      </c>
      <c r="U251" s="681">
        <f t="shared" si="123"/>
        <v>0.97230866609519595</v>
      </c>
      <c r="V251" s="682">
        <f t="shared" si="124"/>
        <v>-0.2893921816624716</v>
      </c>
      <c r="W251" s="683">
        <f t="shared" si="112"/>
        <v>-24.471568111018009</v>
      </c>
      <c r="X251" s="684">
        <f t="shared" si="113"/>
        <v>-118.37394125731018</v>
      </c>
      <c r="Y251" s="687">
        <f t="shared" si="114"/>
        <v>61.626058742689821</v>
      </c>
      <c r="AA251" s="170">
        <f t="shared" si="115"/>
        <v>15312</v>
      </c>
      <c r="AB251" s="170">
        <f t="shared" si="116"/>
        <v>234457344</v>
      </c>
      <c r="AD251" s="686">
        <f t="shared" si="117"/>
        <v>17.09587364766411</v>
      </c>
      <c r="AE251" s="687">
        <f t="shared" si="118"/>
        <v>-8.8402061978148918</v>
      </c>
      <c r="AG251" s="686">
        <f t="shared" si="119"/>
        <v>-2.8033309747986439</v>
      </c>
      <c r="AH251" s="687">
        <f t="shared" si="120"/>
        <v>-76.371833754916622</v>
      </c>
      <c r="AJ251" s="170">
        <f t="shared" si="121"/>
        <v>0</v>
      </c>
      <c r="AK251" s="170">
        <f t="shared" si="133"/>
        <v>0</v>
      </c>
      <c r="AM251" s="170" t="str">
        <f t="shared" si="125"/>
        <v>0.086550061179384+0.406951114101697i</v>
      </c>
      <c r="AN251" s="170" t="str">
        <f t="shared" si="126"/>
        <v>0.419113800517305i</v>
      </c>
      <c r="AO251" s="170" t="str">
        <f t="shared" si="127"/>
        <v>0.970979990635966-0.20650730439455i</v>
      </c>
      <c r="AP251" s="170" t="str">
        <f t="shared" si="128"/>
        <v>0.152241656470103-0.0678251856836162i</v>
      </c>
      <c r="AQ251" s="170" t="str">
        <f t="shared" si="129"/>
        <v>0.847758343529897+0.0678251856836162i</v>
      </c>
      <c r="AR251" s="170" t="str">
        <f t="shared" si="130"/>
        <v>0.976341911200702-0.0781125563944969i</v>
      </c>
    </row>
    <row r="252" spans="7:44">
      <c r="G252" s="688">
        <v>15400</v>
      </c>
      <c r="H252" s="676">
        <f t="shared" si="122"/>
        <v>15.4</v>
      </c>
      <c r="I252" s="677">
        <f t="shared" si="102"/>
        <v>124.16072438379967</v>
      </c>
      <c r="J252" s="678">
        <f t="shared" si="103"/>
        <v>1.562742162995215</v>
      </c>
      <c r="K252" s="678">
        <f t="shared" si="104"/>
        <v>1.0002265517134037</v>
      </c>
      <c r="L252" s="679">
        <f t="shared" si="105"/>
        <v>2.1284217170093066E-2</v>
      </c>
      <c r="M252" s="678">
        <f t="shared" si="106"/>
        <v>1.0033108011720202</v>
      </c>
      <c r="N252" s="679">
        <f t="shared" si="107"/>
        <v>-8.1261213394157344E-2</v>
      </c>
      <c r="O252" s="677">
        <f t="shared" si="108"/>
        <v>638622.95389278291</v>
      </c>
      <c r="P252" s="680">
        <f t="shared" si="109"/>
        <v>1.5707947609257185</v>
      </c>
      <c r="Q252" s="689">
        <f t="shared" si="131"/>
        <v>25.564484027267003</v>
      </c>
      <c r="R252" s="690">
        <f t="shared" si="132"/>
        <v>1.5316695759889811</v>
      </c>
      <c r="S252" s="677">
        <f t="shared" si="110"/>
        <v>1.0067185754502694</v>
      </c>
      <c r="T252" s="680">
        <f t="shared" si="111"/>
        <v>0.11559562110548083</v>
      </c>
      <c r="U252" s="681">
        <f t="shared" si="123"/>
        <v>0.97200627949403462</v>
      </c>
      <c r="V252" s="682">
        <f t="shared" si="124"/>
        <v>-0.29101065245808871</v>
      </c>
      <c r="W252" s="683">
        <f t="shared" si="112"/>
        <v>-24.524429103991743</v>
      </c>
      <c r="X252" s="684">
        <f t="shared" si="113"/>
        <v>-118.51349066198173</v>
      </c>
      <c r="Y252" s="687">
        <f t="shared" si="114"/>
        <v>61.486509338018266</v>
      </c>
      <c r="AA252" s="170">
        <f t="shared" si="115"/>
        <v>15400</v>
      </c>
      <c r="AB252" s="170">
        <f t="shared" si="116"/>
        <v>237160000</v>
      </c>
      <c r="AD252" s="686">
        <f t="shared" si="117"/>
        <v>17.095138610098971</v>
      </c>
      <c r="AE252" s="687">
        <f t="shared" si="118"/>
        <v>-8.8648491992108802</v>
      </c>
      <c r="AG252" s="686">
        <f t="shared" si="119"/>
        <v>-2.8500534914837914</v>
      </c>
      <c r="AH252" s="687">
        <f t="shared" si="120"/>
        <v>-76.301277066272192</v>
      </c>
      <c r="AJ252" s="170">
        <f t="shared" si="121"/>
        <v>0</v>
      </c>
      <c r="AK252" s="170">
        <f t="shared" si="133"/>
        <v>0</v>
      </c>
      <c r="AM252" s="170" t="str">
        <f t="shared" si="125"/>
        <v>0.087532933223235+0.409150158313311i</v>
      </c>
      <c r="AN252" s="170" t="str">
        <f t="shared" si="126"/>
        <v>0.421522500520278i</v>
      </c>
      <c r="AO252" s="170" t="str">
        <f t="shared" si="127"/>
        <v>0.970648441799202-0.207658981703692i</v>
      </c>
      <c r="AP252" s="170" t="str">
        <f t="shared" si="128"/>
        <v>0.152077844462794-0.0681916930522185i</v>
      </c>
      <c r="AQ252" s="170" t="str">
        <f t="shared" si="129"/>
        <v>0.847922155537206+0.0681916930522185i</v>
      </c>
      <c r="AR252" s="170" t="str">
        <f t="shared" si="130"/>
        <v>0.976088439592629-0.0784990966798707i</v>
      </c>
    </row>
    <row r="253" spans="7:44">
      <c r="G253" s="688">
        <v>15488</v>
      </c>
      <c r="H253" s="676">
        <f t="shared" si="122"/>
        <v>15.488</v>
      </c>
      <c r="I253" s="677">
        <f t="shared" si="102"/>
        <v>124.87016834486541</v>
      </c>
      <c r="J253" s="678">
        <f t="shared" si="103"/>
        <v>1.5627879233273378</v>
      </c>
      <c r="K253" s="678">
        <f t="shared" si="104"/>
        <v>1.000229147976019</v>
      </c>
      <c r="L253" s="679">
        <f t="shared" si="105"/>
        <v>2.1405804224305883E-2</v>
      </c>
      <c r="M253" s="678">
        <f t="shared" si="106"/>
        <v>1.0033486836840446</v>
      </c>
      <c r="N253" s="679">
        <f t="shared" si="107"/>
        <v>-8.1723504257610879E-2</v>
      </c>
      <c r="O253" s="677">
        <f t="shared" si="108"/>
        <v>642272.22791501856</v>
      </c>
      <c r="P253" s="680">
        <f t="shared" si="109"/>
        <v>1.5707947698227023</v>
      </c>
      <c r="Q253" s="689">
        <f t="shared" si="131"/>
        <v>25.71034390279279</v>
      </c>
      <c r="R253" s="690">
        <f t="shared" si="132"/>
        <v>1.5318916621786209</v>
      </c>
      <c r="S253" s="677">
        <f t="shared" si="110"/>
        <v>1.0067953186774068</v>
      </c>
      <c r="T253" s="680">
        <f t="shared" si="111"/>
        <v>0.11625024906072166</v>
      </c>
      <c r="U253" s="681">
        <f t="shared" si="123"/>
        <v>0.97170242823565156</v>
      </c>
      <c r="V253" s="682">
        <f t="shared" si="124"/>
        <v>-0.29262838867537005</v>
      </c>
      <c r="W253" s="683">
        <f t="shared" si="112"/>
        <v>-24.577020859066089</v>
      </c>
      <c r="X253" s="684">
        <f t="shared" si="113"/>
        <v>-118.65310621138191</v>
      </c>
      <c r="Y253" s="687">
        <f t="shared" si="114"/>
        <v>61.34689378861809</v>
      </c>
      <c r="AA253" s="170">
        <f t="shared" si="115"/>
        <v>15488</v>
      </c>
      <c r="AB253" s="170">
        <f t="shared" si="116"/>
        <v>239878144</v>
      </c>
      <c r="AD253" s="686">
        <f t="shared" si="117"/>
        <v>17.094401200593556</v>
      </c>
      <c r="AE253" s="687">
        <f t="shared" si="118"/>
        <v>-8.8896325266308853</v>
      </c>
      <c r="AG253" s="686">
        <f t="shared" si="119"/>
        <v>-2.8964765324385984</v>
      </c>
      <c r="AH253" s="687">
        <f t="shared" si="120"/>
        <v>-76.230730372809191</v>
      </c>
      <c r="AJ253" s="170">
        <f t="shared" si="121"/>
        <v>0</v>
      </c>
      <c r="AK253" s="170">
        <f t="shared" si="133"/>
        <v>0</v>
      </c>
      <c r="AM253" s="170" t="str">
        <f t="shared" si="125"/>
        <v>0.088521099248534+0.411346828704075i</v>
      </c>
      <c r="AN253" s="170" t="str">
        <f t="shared" si="126"/>
        <v>0.423931200523251i</v>
      </c>
      <c r="AO253" s="170" t="str">
        <f t="shared" si="127"/>
        <v>0.970315061020177-0.208810059602299i</v>
      </c>
      <c r="AP253" s="170" t="str">
        <f t="shared" si="128"/>
        <v>0.151913150125244-0.0685578047840125i</v>
      </c>
      <c r="AQ253" s="170" t="str">
        <f t="shared" si="129"/>
        <v>0.848086849874756+0.0685578047840125i</v>
      </c>
      <c r="AR253" s="170" t="str">
        <f t="shared" si="130"/>
        <v>0.975833834000348-0.0788846395895776i</v>
      </c>
    </row>
    <row r="254" spans="7:44">
      <c r="G254" s="688">
        <v>15578.25</v>
      </c>
      <c r="H254" s="676">
        <f t="shared" si="122"/>
        <v>15.578250000000001</v>
      </c>
      <c r="I254" s="677">
        <f t="shared" si="102"/>
        <v>125.59775176660295</v>
      </c>
      <c r="J254" s="678">
        <f t="shared" si="103"/>
        <v>1.5628343167141969</v>
      </c>
      <c r="K254" s="678">
        <f t="shared" si="104"/>
        <v>1.0002318259790082</v>
      </c>
      <c r="L254" s="679">
        <f t="shared" si="105"/>
        <v>2.1530499380917049E-2</v>
      </c>
      <c r="M254" s="678">
        <f t="shared" si="106"/>
        <v>1.0033877574883716</v>
      </c>
      <c r="N254" s="679">
        <f t="shared" si="107"/>
        <v>-8.2197578696152906E-2</v>
      </c>
      <c r="O254" s="677">
        <f t="shared" si="108"/>
        <v>646014.80723895913</v>
      </c>
      <c r="P254" s="680">
        <f t="shared" si="109"/>
        <v>1.5707947788427619</v>
      </c>
      <c r="Q254" s="689">
        <f t="shared" si="131"/>
        <v>25.859934452229048</v>
      </c>
      <c r="R254" s="690">
        <f t="shared" si="132"/>
        <v>1.5321168244927013</v>
      </c>
      <c r="S254" s="677">
        <f t="shared" si="110"/>
        <v>1.0068744721579441</v>
      </c>
      <c r="T254" s="680">
        <f t="shared" si="111"/>
        <v>0.11692151071592093</v>
      </c>
      <c r="U254" s="681">
        <f t="shared" si="123"/>
        <v>0.97138929113414008</v>
      </c>
      <c r="V254" s="682">
        <f t="shared" si="124"/>
        <v>-0.29428672104779641</v>
      </c>
      <c r="W254" s="683">
        <f t="shared" si="112"/>
        <v>-24.630681006404007</v>
      </c>
      <c r="X254" s="684">
        <f t="shared" si="113"/>
        <v>-118.79635788738487</v>
      </c>
      <c r="Y254" s="687">
        <f t="shared" si="114"/>
        <v>61.203642112615128</v>
      </c>
      <c r="AA254" s="170">
        <f t="shared" si="115"/>
        <v>15578.25</v>
      </c>
      <c r="AB254" s="170">
        <f t="shared" si="116"/>
        <v>242681873.0625</v>
      </c>
      <c r="AD254" s="686">
        <f t="shared" si="117"/>
        <v>17.093642444298748</v>
      </c>
      <c r="AE254" s="687">
        <f t="shared" si="118"/>
        <v>-8.9151926529611263</v>
      </c>
      <c r="AG254" s="686">
        <f t="shared" si="119"/>
        <v>-2.9437788582358571</v>
      </c>
      <c r="AH254" s="687">
        <f t="shared" si="120"/>
        <v>-76.158391030324864</v>
      </c>
      <c r="AJ254" s="170">
        <f t="shared" si="121"/>
        <v>0</v>
      </c>
      <c r="AK254" s="170">
        <f t="shared" si="133"/>
        <v>0</v>
      </c>
      <c r="AM254" s="170" t="str">
        <f t="shared" si="125"/>
        <v>0.089540023624638+0.413597184974191i</v>
      </c>
      <c r="AN254" s="170" t="str">
        <f t="shared" si="126"/>
        <v>0.426401486605845i</v>
      </c>
      <c r="AO254" s="170" t="str">
        <f t="shared" si="127"/>
        <v>0.969971254712135-0.209989942430493i</v>
      </c>
      <c r="AP254" s="170" t="str">
        <f t="shared" si="128"/>
        <v>0.151743329395894-0.0689328641623652i</v>
      </c>
      <c r="AQ254" s="170" t="str">
        <f t="shared" si="129"/>
        <v>0.848256670604106+0.0689328641623652i</v>
      </c>
      <c r="AR254" s="170" t="str">
        <f t="shared" si="130"/>
        <v>0.975571545875724-0.0792790003108694i</v>
      </c>
    </row>
    <row r="255" spans="7:44">
      <c r="G255" s="688">
        <v>15668.5</v>
      </c>
      <c r="H255" s="676">
        <f t="shared" si="122"/>
        <v>15.6685</v>
      </c>
      <c r="I255" s="677">
        <f t="shared" si="102"/>
        <v>126.32533545555638</v>
      </c>
      <c r="J255" s="678">
        <f t="shared" si="103"/>
        <v>1.5628801756862414</v>
      </c>
      <c r="K255" s="678">
        <f t="shared" si="104"/>
        <v>1.0002345195344007</v>
      </c>
      <c r="L255" s="679">
        <f t="shared" si="105"/>
        <v>2.1655193867877943E-2</v>
      </c>
      <c r="M255" s="678">
        <f t="shared" si="106"/>
        <v>1.0034270567830665</v>
      </c>
      <c r="N255" s="679">
        <f t="shared" si="107"/>
        <v>-8.2671616106905585E-2</v>
      </c>
      <c r="O255" s="677">
        <f t="shared" si="108"/>
        <v>649757.38656289957</v>
      </c>
      <c r="P255" s="680">
        <f t="shared" si="109"/>
        <v>1.5707947877589108</v>
      </c>
      <c r="Q255" s="689">
        <f t="shared" si="131"/>
        <v>26.009526297633315</v>
      </c>
      <c r="R255" s="690">
        <f t="shared" si="132"/>
        <v>1.532339396809536</v>
      </c>
      <c r="S255" s="677">
        <f t="shared" si="110"/>
        <v>1.006954079256829</v>
      </c>
      <c r="T255" s="680">
        <f t="shared" si="111"/>
        <v>0.11759266653719239</v>
      </c>
      <c r="U255" s="681">
        <f t="shared" si="123"/>
        <v>0.9710746224632909</v>
      </c>
      <c r="V255" s="682">
        <f t="shared" si="124"/>
        <v>-0.29594427384267502</v>
      </c>
      <c r="W255" s="683">
        <f t="shared" si="112"/>
        <v>-24.684064763061933</v>
      </c>
      <c r="X255" s="684">
        <f t="shared" si="113"/>
        <v>-118.9396745201234</v>
      </c>
      <c r="Y255" s="687">
        <f t="shared" si="114"/>
        <v>61.060325479876596</v>
      </c>
      <c r="AA255" s="170">
        <f t="shared" si="115"/>
        <v>15668.5</v>
      </c>
      <c r="AB255" s="170">
        <f t="shared" si="116"/>
        <v>245501892.25</v>
      </c>
      <c r="AD255" s="686">
        <f t="shared" si="117"/>
        <v>17.092881135371986</v>
      </c>
      <c r="AE255" s="687">
        <f t="shared" si="118"/>
        <v>-8.940895105411613</v>
      </c>
      <c r="AG255" s="686">
        <f t="shared" si="119"/>
        <v>-2.9907730369375107</v>
      </c>
      <c r="AH255" s="687">
        <f t="shared" si="120"/>
        <v>-76.086063651462553</v>
      </c>
      <c r="AJ255" s="170">
        <f t="shared" si="121"/>
        <v>0</v>
      </c>
      <c r="AK255" s="170">
        <f t="shared" si="133"/>
        <v>0</v>
      </c>
      <c r="AM255" s="170" t="str">
        <f t="shared" si="125"/>
        <v>0.090564503909967+0.415845017345978i</v>
      </c>
      <c r="AN255" s="170" t="str">
        <f t="shared" si="126"/>
        <v>0.42887177268844i</v>
      </c>
      <c r="AO255" s="170" t="str">
        <f t="shared" si="127"/>
        <v>0.969625524056288-0.211169187802338i</v>
      </c>
      <c r="AP255" s="170" t="str">
        <f t="shared" si="128"/>
        <v>0.151572582681672-0.0693075028909963i</v>
      </c>
      <c r="AQ255" s="170" t="str">
        <f t="shared" si="129"/>
        <v>0.848427417318328+0.0693075028909963i</v>
      </c>
      <c r="AR255" s="170" t="str">
        <f t="shared" si="130"/>
        <v>0.975308075455437-0.0796723041705733i</v>
      </c>
    </row>
    <row r="256" spans="7:44">
      <c r="G256" s="688">
        <v>15758.75</v>
      </c>
      <c r="H256" s="676">
        <f t="shared" si="122"/>
        <v>15.758749999999999</v>
      </c>
      <c r="I256" s="677">
        <f t="shared" si="102"/>
        <v>127.05291940713495</v>
      </c>
      <c r="J256" s="678">
        <f t="shared" si="103"/>
        <v>1.5629255094244499</v>
      </c>
      <c r="K256" s="678">
        <f t="shared" si="104"/>
        <v>1.0002372286420707</v>
      </c>
      <c r="L256" s="679">
        <f t="shared" si="105"/>
        <v>2.1779887681316317E-2</v>
      </c>
      <c r="M256" s="678">
        <f t="shared" si="106"/>
        <v>1.0034665815416361</v>
      </c>
      <c r="N256" s="679">
        <f t="shared" si="107"/>
        <v>-8.3145616281188606E-2</v>
      </c>
      <c r="O256" s="677">
        <f t="shared" si="108"/>
        <v>653499.96588684013</v>
      </c>
      <c r="P256" s="680">
        <f t="shared" si="109"/>
        <v>1.5707947965729345</v>
      </c>
      <c r="Q256" s="689">
        <f t="shared" si="131"/>
        <v>26.159119416772462</v>
      </c>
      <c r="R256" s="690">
        <f t="shared" si="132"/>
        <v>1.5325594235402316</v>
      </c>
      <c r="S256" s="677">
        <f t="shared" si="110"/>
        <v>1.007034139866485</v>
      </c>
      <c r="T256" s="680">
        <f t="shared" si="111"/>
        <v>0.11826371594506245</v>
      </c>
      <c r="U256" s="681">
        <f t="shared" si="123"/>
        <v>0.97075842677228419</v>
      </c>
      <c r="V256" s="682">
        <f t="shared" si="124"/>
        <v>-0.29760104356172518</v>
      </c>
      <c r="W256" s="683">
        <f t="shared" si="112"/>
        <v>-24.737175478146987</v>
      </c>
      <c r="X256" s="684">
        <f t="shared" si="113"/>
        <v>-119.08305384578939</v>
      </c>
      <c r="Y256" s="687">
        <f t="shared" si="114"/>
        <v>60.916946154210606</v>
      </c>
      <c r="AA256" s="170">
        <f t="shared" si="115"/>
        <v>15758.75</v>
      </c>
      <c r="AB256" s="170">
        <f t="shared" si="116"/>
        <v>248338201.5625</v>
      </c>
      <c r="AD256" s="686">
        <f t="shared" si="117"/>
        <v>17.092117245852535</v>
      </c>
      <c r="AE256" s="687">
        <f t="shared" si="118"/>
        <v>-8.9667373063142843</v>
      </c>
      <c r="AG256" s="686">
        <f t="shared" si="119"/>
        <v>-3.0374624432899173</v>
      </c>
      <c r="AH256" s="687">
        <f t="shared" si="120"/>
        <v>-76.013748950955645</v>
      </c>
      <c r="AJ256" s="170">
        <f t="shared" si="121"/>
        <v>0</v>
      </c>
      <c r="AK256" s="170">
        <f t="shared" si="133"/>
        <v>0</v>
      </c>
      <c r="AM256" s="170" t="str">
        <f t="shared" si="125"/>
        <v>0.091594533852825+0.418090312102461i</v>
      </c>
      <c r="AN256" s="170" t="str">
        <f t="shared" si="126"/>
        <v>0.431342058771034i</v>
      </c>
      <c r="AO256" s="170" t="str">
        <f t="shared" si="127"/>
        <v>0.969277870314039-0.212347792176337i</v>
      </c>
      <c r="AP256" s="170" t="str">
        <f t="shared" si="128"/>
        <v>0.151400911024529-0.0696817186837435i</v>
      </c>
      <c r="AQ256" s="170" t="str">
        <f t="shared" si="129"/>
        <v>0.848599088975471+0.0696817186837435i</v>
      </c>
      <c r="AR256" s="170" t="str">
        <f t="shared" si="130"/>
        <v>0.975043428034843-0.0800645472513826i</v>
      </c>
    </row>
    <row r="257" spans="7:44">
      <c r="G257" s="688">
        <v>15849</v>
      </c>
      <c r="H257" s="676">
        <f t="shared" si="122"/>
        <v>15.849</v>
      </c>
      <c r="I257" s="677">
        <f t="shared" si="102"/>
        <v>127.78050361685251</v>
      </c>
      <c r="J257" s="678">
        <f t="shared" si="103"/>
        <v>1.5629703269007043</v>
      </c>
      <c r="K257" s="678">
        <f t="shared" si="104"/>
        <v>1.0002399533018922</v>
      </c>
      <c r="L257" s="679">
        <f t="shared" si="105"/>
        <v>2.1904580817360037E-2</v>
      </c>
      <c r="M257" s="678">
        <f t="shared" si="106"/>
        <v>1.00350633173744</v>
      </c>
      <c r="N257" s="679">
        <f t="shared" si="107"/>
        <v>-8.3619579010421372E-2</v>
      </c>
      <c r="O257" s="677">
        <f t="shared" si="108"/>
        <v>657242.54521078081</v>
      </c>
      <c r="P257" s="680">
        <f t="shared" si="109"/>
        <v>1.5707948052865779</v>
      </c>
      <c r="Q257" s="689">
        <f t="shared" si="131"/>
        <v>26.308713787918872</v>
      </c>
      <c r="R257" s="690">
        <f t="shared" si="132"/>
        <v>1.5327769480867866</v>
      </c>
      <c r="S257" s="677">
        <f t="shared" si="110"/>
        <v>1.0071146538787563</v>
      </c>
      <c r="T257" s="680">
        <f t="shared" si="111"/>
        <v>0.11893465836062461</v>
      </c>
      <c r="U257" s="681">
        <f t="shared" si="123"/>
        <v>0.97044070862450116</v>
      </c>
      <c r="V257" s="682">
        <f t="shared" si="124"/>
        <v>-0.29925702672238086</v>
      </c>
      <c r="W257" s="683">
        <f t="shared" si="112"/>
        <v>-24.790016442481285</v>
      </c>
      <c r="X257" s="684">
        <f t="shared" si="113"/>
        <v>-119.22649364734829</v>
      </c>
      <c r="Y257" s="687">
        <f t="shared" si="114"/>
        <v>60.773506352651708</v>
      </c>
      <c r="AA257" s="170">
        <f t="shared" si="115"/>
        <v>15849</v>
      </c>
      <c r="AB257" s="170">
        <f t="shared" si="116"/>
        <v>251190801</v>
      </c>
      <c r="AD257" s="686">
        <f t="shared" si="117"/>
        <v>17.091350748634412</v>
      </c>
      <c r="AE257" s="687">
        <f t="shared" si="118"/>
        <v>-8.9927167358488873</v>
      </c>
      <c r="AG257" s="686">
        <f t="shared" si="119"/>
        <v>-3.0838503948045211</v>
      </c>
      <c r="AH257" s="687">
        <f t="shared" si="120"/>
        <v>-75.941447630662495</v>
      </c>
      <c r="AJ257" s="170">
        <f t="shared" si="121"/>
        <v>0</v>
      </c>
      <c r="AK257" s="170">
        <f t="shared" si="133"/>
        <v>0</v>
      </c>
      <c r="AM257" s="170" t="str">
        <f t="shared" si="125"/>
        <v>0.092630107167648+0.420333055542156i</v>
      </c>
      <c r="AN257" s="170" t="str">
        <f t="shared" si="126"/>
        <v>0.433812344853628i</v>
      </c>
      <c r="AO257" s="170" t="str">
        <f t="shared" si="127"/>
        <v>0.96892829475376-0.213525752013586i</v>
      </c>
      <c r="AP257" s="170" t="str">
        <f t="shared" si="128"/>
        <v>0.151228315472059-0.070055509257026i</v>
      </c>
      <c r="AQ257" s="170" t="str">
        <f t="shared" si="129"/>
        <v>0.848771684527941+0.070055509257026i</v>
      </c>
      <c r="AR257" s="170" t="str">
        <f t="shared" si="130"/>
        <v>0.974777608922961-0.080455725668351i</v>
      </c>
    </row>
    <row r="258" spans="7:44">
      <c r="G258" s="688">
        <v>15941.25</v>
      </c>
      <c r="H258" s="676">
        <f t="shared" si="122"/>
        <v>15.94125</v>
      </c>
      <c r="I258" s="677">
        <f t="shared" si="102"/>
        <v>128.52421183858874</v>
      </c>
      <c r="J258" s="678">
        <f t="shared" si="103"/>
        <v>1.5630156131403778</v>
      </c>
      <c r="K258" s="678">
        <f t="shared" si="104"/>
        <v>1.0002427544147932</v>
      </c>
      <c r="L258" s="679">
        <f t="shared" si="105"/>
        <v>2.2032036532087493E-2</v>
      </c>
      <c r="M258" s="678">
        <f t="shared" si="106"/>
        <v>1.0035471957824669</v>
      </c>
      <c r="N258" s="679">
        <f t="shared" si="107"/>
        <v>-8.4104006152825608E-2</v>
      </c>
      <c r="O258" s="677">
        <f t="shared" si="108"/>
        <v>661068.06258068141</v>
      </c>
      <c r="P258" s="680">
        <f t="shared" si="109"/>
        <v>1.5707948140913544</v>
      </c>
      <c r="Q258" s="689">
        <f t="shared" si="131"/>
        <v>26.461624541608948</v>
      </c>
      <c r="R258" s="690">
        <f t="shared" si="132"/>
        <v>1.5329967513085156</v>
      </c>
      <c r="S258" s="677">
        <f t="shared" si="110"/>
        <v>1.0071974206073611</v>
      </c>
      <c r="T258" s="680">
        <f t="shared" si="111"/>
        <v>0.11962035812894596</v>
      </c>
      <c r="U258" s="681">
        <f t="shared" si="123"/>
        <v>0.97011438095846703</v>
      </c>
      <c r="V258" s="682">
        <f t="shared" si="124"/>
        <v>-0.30094889106402883</v>
      </c>
      <c r="W258" s="683">
        <f t="shared" si="112"/>
        <v>-24.843752980468828</v>
      </c>
      <c r="X258" s="684">
        <f t="shared" si="113"/>
        <v>-119.37317241070298</v>
      </c>
      <c r="Y258" s="687">
        <f t="shared" si="114"/>
        <v>60.626827589297022</v>
      </c>
      <c r="AA258" s="170">
        <f t="shared" si="115"/>
        <v>15941.25</v>
      </c>
      <c r="AB258" s="170">
        <f t="shared" si="116"/>
        <v>254123451.5625</v>
      </c>
      <c r="AD258" s="686">
        <f t="shared" si="117"/>
        <v>17.090564542950975</v>
      </c>
      <c r="AE258" s="687">
        <f t="shared" si="118"/>
        <v>-9.0194111461653765</v>
      </c>
      <c r="AG258" s="686">
        <f t="shared" si="119"/>
        <v>-3.1309581800251642</v>
      </c>
      <c r="AH258" s="687">
        <f t="shared" si="120"/>
        <v>-75.867558610908915</v>
      </c>
      <c r="AJ258" s="170">
        <f t="shared" si="121"/>
        <v>0</v>
      </c>
      <c r="AK258" s="170">
        <f t="shared" si="133"/>
        <v>0</v>
      </c>
      <c r="AM258" s="170" t="str">
        <f t="shared" si="125"/>
        <v>0.093694351896494+0.422622848667325i</v>
      </c>
      <c r="AN258" s="170" t="str">
        <f t="shared" si="126"/>
        <v>0.436337374118109i</v>
      </c>
      <c r="AO258" s="170" t="str">
        <f t="shared" si="127"/>
        <v>0.968568987521404-0.214729146422219i</v>
      </c>
      <c r="AP258" s="170" t="str">
        <f t="shared" si="128"/>
        <v>0.151050941350584-0.0704371414445542i</v>
      </c>
      <c r="AQ258" s="170" t="str">
        <f t="shared" si="129"/>
        <v>0.848949058649416+0.0704371414445542i</v>
      </c>
      <c r="AR258" s="170" t="str">
        <f t="shared" si="130"/>
        <v>0.974504693697049-0.0808544685325663i</v>
      </c>
    </row>
    <row r="259" spans="7:44">
      <c r="G259" s="688">
        <v>16033.5</v>
      </c>
      <c r="H259" s="676">
        <f t="shared" si="122"/>
        <v>16.0335</v>
      </c>
      <c r="I259" s="677">
        <f t="shared" si="102"/>
        <v>129.26792032087513</v>
      </c>
      <c r="J259" s="678">
        <f t="shared" si="103"/>
        <v>1.5630603782955532</v>
      </c>
      <c r="K259" s="678">
        <f t="shared" si="104"/>
        <v>1.000245571776506</v>
      </c>
      <c r="L259" s="679">
        <f t="shared" si="105"/>
        <v>2.2159491530884059E-2</v>
      </c>
      <c r="M259" s="678">
        <f t="shared" si="106"/>
        <v>1.0035882953103585</v>
      </c>
      <c r="N259" s="679">
        <f t="shared" si="107"/>
        <v>-8.4588393731812567E-2</v>
      </c>
      <c r="O259" s="677">
        <f t="shared" si="108"/>
        <v>664893.57995058212</v>
      </c>
      <c r="P259" s="680">
        <f t="shared" si="109"/>
        <v>1.5707948227948128</v>
      </c>
      <c r="Q259" s="689">
        <f t="shared" si="131"/>
        <v>26.614536559061133</v>
      </c>
      <c r="R259" s="690">
        <f t="shared" si="132"/>
        <v>1.5332140288115914</v>
      </c>
      <c r="S259" s="677">
        <f t="shared" si="110"/>
        <v>1.0072806608262967</v>
      </c>
      <c r="T259" s="680">
        <f t="shared" si="111"/>
        <v>0.12030594488909817</v>
      </c>
      <c r="U259" s="681">
        <f t="shared" si="123"/>
        <v>0.96978647229675485</v>
      </c>
      <c r="V259" s="682">
        <f t="shared" si="124"/>
        <v>-0.30263992629225261</v>
      </c>
      <c r="W259" s="683">
        <f t="shared" si="112"/>
        <v>-24.897214451664507</v>
      </c>
      <c r="X259" s="684">
        <f t="shared" si="113"/>
        <v>-119.51990981994106</v>
      </c>
      <c r="Y259" s="687">
        <f t="shared" si="114"/>
        <v>60.480090180058937</v>
      </c>
      <c r="AA259" s="170">
        <f t="shared" si="115"/>
        <v>16033.5</v>
      </c>
      <c r="AB259" s="170">
        <f t="shared" si="116"/>
        <v>257073122.25</v>
      </c>
      <c r="AD259" s="686">
        <f t="shared" si="117"/>
        <v>17.089775558053212</v>
      </c>
      <c r="AE259" s="687">
        <f t="shared" si="118"/>
        <v>-9.0462437888048637</v>
      </c>
      <c r="AG259" s="686">
        <f t="shared" si="119"/>
        <v>-3.1777578332463858</v>
      </c>
      <c r="AH259" s="687">
        <f t="shared" si="120"/>
        <v>-75.793685014115766</v>
      </c>
      <c r="AJ259" s="170">
        <f t="shared" si="121"/>
        <v>0</v>
      </c>
      <c r="AK259" s="170">
        <f t="shared" si="133"/>
        <v>0</v>
      </c>
      <c r="AM259" s="170" t="str">
        <f t="shared" si="125"/>
        <v>0.094764375021158+0.424909947246666i</v>
      </c>
      <c r="AN259" s="170" t="str">
        <f t="shared" si="126"/>
        <v>0.438862403382589i</v>
      </c>
      <c r="AO259" s="170" t="str">
        <f t="shared" si="127"/>
        <v>0.968207675051719-0.215931859942317i</v>
      </c>
      <c r="AP259" s="170" t="str">
        <f t="shared" si="128"/>
        <v>0.15087260416314-0.070818324541111i</v>
      </c>
      <c r="AQ259" s="170" t="str">
        <f t="shared" si="129"/>
        <v>0.84912739583686+0.070818324541111i</v>
      </c>
      <c r="AR259" s="170" t="str">
        <f t="shared" si="130"/>
        <v>0.974230565532993-0.081252090918335i</v>
      </c>
    </row>
    <row r="260" spans="7:44">
      <c r="G260" s="688">
        <v>16125.75</v>
      </c>
      <c r="H260" s="676">
        <f t="shared" si="122"/>
        <v>16.12575</v>
      </c>
      <c r="I260" s="677">
        <f t="shared" si="102"/>
        <v>130.01162905924033</v>
      </c>
      <c r="J260" s="678">
        <f t="shared" si="103"/>
        <v>1.5631046313083672</v>
      </c>
      <c r="K260" s="678">
        <f t="shared" si="104"/>
        <v>1.0002484053868932</v>
      </c>
      <c r="L260" s="679">
        <f t="shared" si="105"/>
        <v>2.228694580961485E-2</v>
      </c>
      <c r="M260" s="678">
        <f t="shared" si="106"/>
        <v>1.0036296302921857</v>
      </c>
      <c r="N260" s="679">
        <f t="shared" si="107"/>
        <v>-8.5072741524951728E-2</v>
      </c>
      <c r="O260" s="677">
        <f t="shared" si="108"/>
        <v>668719.09732048283</v>
      </c>
      <c r="P260" s="680">
        <f t="shared" si="109"/>
        <v>1.5707948313986921</v>
      </c>
      <c r="Q260" s="689">
        <f t="shared" si="131"/>
        <v>26.767449818617276</v>
      </c>
      <c r="R260" s="690">
        <f t="shared" si="132"/>
        <v>1.5334288238610136</v>
      </c>
      <c r="S260" s="677">
        <f t="shared" si="110"/>
        <v>1.0073643744181875</v>
      </c>
      <c r="T260" s="680">
        <f t="shared" si="111"/>
        <v>0.12099141802468402</v>
      </c>
      <c r="U260" s="681">
        <f t="shared" si="123"/>
        <v>0.96945698755779142</v>
      </c>
      <c r="V260" s="682">
        <f t="shared" si="124"/>
        <v>-0.30433012873898563</v>
      </c>
      <c r="W260" s="683">
        <f t="shared" si="112"/>
        <v>-24.950404190284718</v>
      </c>
      <c r="X260" s="684">
        <f t="shared" si="113"/>
        <v>-119.6667036506179</v>
      </c>
      <c r="Y260" s="687">
        <f t="shared" si="114"/>
        <v>60.333296349382096</v>
      </c>
      <c r="AA260" s="170">
        <f t="shared" si="115"/>
        <v>16125.75</v>
      </c>
      <c r="AB260" s="170">
        <f t="shared" si="116"/>
        <v>260039813.0625</v>
      </c>
      <c r="AD260" s="686">
        <f t="shared" si="117"/>
        <v>17.088983767579574</v>
      </c>
      <c r="AE260" s="687">
        <f t="shared" si="118"/>
        <v>-9.0732121496481266</v>
      </c>
      <c r="AG260" s="686">
        <f t="shared" si="119"/>
        <v>-3.2242527203965565</v>
      </c>
      <c r="AH260" s="687">
        <f t="shared" si="120"/>
        <v>-75.719827550287036</v>
      </c>
      <c r="AJ260" s="170">
        <f t="shared" si="121"/>
        <v>0</v>
      </c>
      <c r="AK260" s="170">
        <f t="shared" si="133"/>
        <v>0</v>
      </c>
      <c r="AM260" s="170" t="str">
        <f t="shared" si="125"/>
        <v>0.095840169719418+0.427194336698169i</v>
      </c>
      <c r="AN260" s="170" t="str">
        <f t="shared" si="126"/>
        <v>0.441387432647069i</v>
      </c>
      <c r="AO260" s="170" t="str">
        <f t="shared" si="127"/>
        <v>0.967844358721811-0.217133888802972i</v>
      </c>
      <c r="AP260" s="170" t="str">
        <f t="shared" si="128"/>
        <v>0.150693305046764-0.0711990561163615i</v>
      </c>
      <c r="AQ260" s="170" t="str">
        <f t="shared" si="129"/>
        <v>0.849306694953236+0.0711990561163615i</v>
      </c>
      <c r="AR260" s="170" t="str">
        <f t="shared" si="130"/>
        <v>0.973955230143399-0.0816485887817261i</v>
      </c>
    </row>
    <row r="261" spans="7:44">
      <c r="G261" s="688">
        <v>16218</v>
      </c>
      <c r="H261" s="676">
        <f t="shared" si="122"/>
        <v>16.218</v>
      </c>
      <c r="I261" s="677">
        <f t="shared" si="102"/>
        <v>130.75533804931484</v>
      </c>
      <c r="J261" s="678">
        <f t="shared" si="103"/>
        <v>1.5631483809175202</v>
      </c>
      <c r="K261" s="678">
        <f t="shared" si="104"/>
        <v>1.0002512552458163</v>
      </c>
      <c r="L261" s="679">
        <f t="shared" si="105"/>
        <v>2.2414399364145115E-2</v>
      </c>
      <c r="M261" s="678">
        <f t="shared" si="106"/>
        <v>1.0036712006988571</v>
      </c>
      <c r="N261" s="679">
        <f t="shared" si="107"/>
        <v>-8.5557049309923791E-2</v>
      </c>
      <c r="O261" s="677">
        <f t="shared" si="108"/>
        <v>672544.61469038343</v>
      </c>
      <c r="P261" s="680">
        <f t="shared" si="109"/>
        <v>1.5707948399046916</v>
      </c>
      <c r="Q261" s="689">
        <f t="shared" si="131"/>
        <v>26.920364299111153</v>
      </c>
      <c r="R261" s="690">
        <f t="shared" si="132"/>
        <v>1.5336411787396864</v>
      </c>
      <c r="S261" s="677">
        <f t="shared" si="110"/>
        <v>1.0074485612650288</v>
      </c>
      <c r="T261" s="680">
        <f t="shared" si="111"/>
        <v>0.12167677691993779</v>
      </c>
      <c r="U261" s="681">
        <f t="shared" si="123"/>
        <v>0.96912593167474503</v>
      </c>
      <c r="V261" s="682">
        <f t="shared" si="124"/>
        <v>-0.30601949475350598</v>
      </c>
      <c r="W261" s="683">
        <f t="shared" si="112"/>
        <v>-25.003325472548813</v>
      </c>
      <c r="X261" s="684">
        <f t="shared" si="113"/>
        <v>-119.81355172393674</v>
      </c>
      <c r="Y261" s="687">
        <f t="shared" si="114"/>
        <v>60.18644827606326</v>
      </c>
      <c r="AA261" s="170">
        <f t="shared" si="115"/>
        <v>16218</v>
      </c>
      <c r="AB261" s="170">
        <f t="shared" si="116"/>
        <v>263023524</v>
      </c>
      <c r="AD261" s="686">
        <f t="shared" si="117"/>
        <v>17.088189145982643</v>
      </c>
      <c r="AE261" s="687">
        <f t="shared" si="118"/>
        <v>-9.1003137708797919</v>
      </c>
      <c r="AG261" s="686">
        <f t="shared" si="119"/>
        <v>-3.2704461504268458</v>
      </c>
      <c r="AH261" s="687">
        <f t="shared" si="120"/>
        <v>-75.645986916783343</v>
      </c>
      <c r="AJ261" s="170">
        <f t="shared" si="121"/>
        <v>0</v>
      </c>
      <c r="AK261" s="170">
        <f t="shared" si="133"/>
        <v>0</v>
      </c>
      <c r="AM261" s="170" t="str">
        <f t="shared" si="125"/>
        <v>0.0969217291322551+0.429476002457093i</v>
      </c>
      <c r="AN261" s="170" t="str">
        <f t="shared" si="126"/>
        <v>0.443912461911549i</v>
      </c>
      <c r="AO261" s="170" t="str">
        <f t="shared" si="127"/>
        <v>0.96747903991636-0.21833522923618i</v>
      </c>
      <c r="AP261" s="170" t="str">
        <f t="shared" si="128"/>
        <v>0.150513045144624-0.0715793337428488i</v>
      </c>
      <c r="AQ261" s="170" t="str">
        <f t="shared" si="129"/>
        <v>0.849486954855376+0.0715793337428488i</v>
      </c>
      <c r="AR261" s="170" t="str">
        <f t="shared" si="130"/>
        <v>0.973678693254767-0.0820439581142825i</v>
      </c>
    </row>
    <row r="262" spans="7:44">
      <c r="G262" s="688">
        <v>16312.5</v>
      </c>
      <c r="H262" s="676">
        <f t="shared" si="122"/>
        <v>16.3125</v>
      </c>
      <c r="I262" s="677">
        <f t="shared" si="102"/>
        <v>131.51718653957911</v>
      </c>
      <c r="J262" s="678">
        <f t="shared" si="103"/>
        <v>1.5631926845465129</v>
      </c>
      <c r="K262" s="678">
        <f t="shared" si="104"/>
        <v>1.0002541914611764</v>
      </c>
      <c r="L262" s="679">
        <f t="shared" si="105"/>
        <v>2.2544960786723574E-2</v>
      </c>
      <c r="M262" s="678">
        <f t="shared" si="106"/>
        <v>1.0037140290952824</v>
      </c>
      <c r="N262" s="679">
        <f t="shared" si="107"/>
        <v>-8.6053127763838944E-2</v>
      </c>
      <c r="O262" s="677">
        <f t="shared" si="108"/>
        <v>676463.43736198917</v>
      </c>
      <c r="P262" s="680">
        <f t="shared" si="109"/>
        <v>1.5707948485184005</v>
      </c>
      <c r="Q262" s="689">
        <f t="shared" si="131"/>
        <v>27.077009645427179</v>
      </c>
      <c r="R262" s="690">
        <f t="shared" si="132"/>
        <v>1.5338562260298123</v>
      </c>
      <c r="S262" s="677">
        <f t="shared" si="110"/>
        <v>1.0075352920355085</v>
      </c>
      <c r="T262" s="680">
        <f t="shared" si="111"/>
        <v>0.12237873278897066</v>
      </c>
      <c r="U262" s="681">
        <f t="shared" si="123"/>
        <v>0.96878517733769187</v>
      </c>
      <c r="V262" s="682">
        <f t="shared" si="124"/>
        <v>-0.30774919373711013</v>
      </c>
      <c r="W262" s="683">
        <f t="shared" si="112"/>
        <v>-25.057262525091446</v>
      </c>
      <c r="X262" s="684">
        <f t="shared" si="113"/>
        <v>-119.9640354700007</v>
      </c>
      <c r="Y262" s="687">
        <f t="shared" si="114"/>
        <v>60.035964529999305</v>
      </c>
      <c r="AA262" s="170">
        <f t="shared" si="115"/>
        <v>16312.5</v>
      </c>
      <c r="AB262" s="170">
        <f t="shared" si="116"/>
        <v>266097656.25</v>
      </c>
      <c r="AD262" s="686">
        <f t="shared" si="117"/>
        <v>17.087372181950514</v>
      </c>
      <c r="AE262" s="687">
        <f t="shared" si="118"/>
        <v>-9.1282120710209167</v>
      </c>
      <c r="AG262" s="686">
        <f t="shared" si="119"/>
        <v>-3.317457074111215</v>
      </c>
      <c r="AH262" s="687">
        <f t="shared" si="120"/>
        <v>-75.57036345930247</v>
      </c>
      <c r="AJ262" s="170">
        <f t="shared" si="121"/>
        <v>0</v>
      </c>
      <c r="AK262" s="170">
        <f t="shared" si="133"/>
        <v>0</v>
      </c>
      <c r="AM262" s="170" t="str">
        <f t="shared" si="125"/>
        <v>0.098035638167931+0.431810479243926i</v>
      </c>
      <c r="AN262" s="170" t="str">
        <f t="shared" si="126"/>
        <v>0.446499077255651i</v>
      </c>
      <c r="AO262" s="170" t="str">
        <f t="shared" si="127"/>
        <v>0.967102736019061-0.21956515290131i</v>
      </c>
      <c r="AP262" s="170" t="str">
        <f t="shared" si="128"/>
        <v>0.150327393638678-0.071968413207321i</v>
      </c>
      <c r="AQ262" s="170" t="str">
        <f t="shared" si="129"/>
        <v>0.849672606361322+0.071968413207321i</v>
      </c>
      <c r="AR262" s="170" t="str">
        <f t="shared" si="130"/>
        <v>0.973394171750605-0.0824477962943239i</v>
      </c>
    </row>
    <row r="263" spans="7:44">
      <c r="G263" s="688">
        <v>16407</v>
      </c>
      <c r="H263" s="676">
        <f t="shared" si="122"/>
        <v>16.407</v>
      </c>
      <c r="I263" s="677">
        <f t="shared" si="102"/>
        <v>132.27903528501329</v>
      </c>
      <c r="J263" s="678">
        <f t="shared" si="103"/>
        <v>1.5632364778503667</v>
      </c>
      <c r="K263" s="678">
        <f t="shared" si="104"/>
        <v>1.0002571447270543</v>
      </c>
      <c r="L263" s="679">
        <f t="shared" si="105"/>
        <v>2.2675521440560654E-2</v>
      </c>
      <c r="M263" s="678">
        <f t="shared" si="106"/>
        <v>1.0037571044784257</v>
      </c>
      <c r="N263" s="679">
        <f t="shared" si="107"/>
        <v>-8.6549163762246223E-2</v>
      </c>
      <c r="O263" s="677">
        <f t="shared" si="108"/>
        <v>680382.26003359491</v>
      </c>
      <c r="P263" s="680">
        <f t="shared" si="109"/>
        <v>1.5707948570328838</v>
      </c>
      <c r="Q263" s="689">
        <f t="shared" si="131"/>
        <v>27.233656229523714</v>
      </c>
      <c r="R263" s="690">
        <f t="shared" si="132"/>
        <v>1.5340687994478621</v>
      </c>
      <c r="S263" s="677">
        <f t="shared" si="110"/>
        <v>1.0076225191753787</v>
      </c>
      <c r="T263" s="680">
        <f t="shared" si="111"/>
        <v>0.12308056747095793</v>
      </c>
      <c r="U263" s="681">
        <f t="shared" si="123"/>
        <v>0.96844278480710455</v>
      </c>
      <c r="V263" s="682">
        <f t="shared" si="124"/>
        <v>-0.30947800728990538</v>
      </c>
      <c r="W263" s="683">
        <f t="shared" si="112"/>
        <v>-25.110924645080559</v>
      </c>
      <c r="X263" s="684">
        <f t="shared" si="113"/>
        <v>-120.11457164990139</v>
      </c>
      <c r="Y263" s="687">
        <f t="shared" si="114"/>
        <v>59.885428350098607</v>
      </c>
      <c r="AA263" s="170">
        <f t="shared" si="115"/>
        <v>16407</v>
      </c>
      <c r="AB263" s="170">
        <f t="shared" si="116"/>
        <v>269189649</v>
      </c>
      <c r="AD263" s="686">
        <f t="shared" si="117"/>
        <v>17.08655219523833</v>
      </c>
      <c r="AE263" s="687">
        <f t="shared" si="118"/>
        <v>-9.1562451643997544</v>
      </c>
      <c r="AG263" s="686">
        <f t="shared" si="119"/>
        <v>-3.3641585077437797</v>
      </c>
      <c r="AH263" s="687">
        <f t="shared" si="120"/>
        <v>-75.494759105317613</v>
      </c>
      <c r="AJ263" s="170">
        <f t="shared" si="121"/>
        <v>0</v>
      </c>
      <c r="AK263" s="170">
        <f t="shared" si="133"/>
        <v>0</v>
      </c>
      <c r="AM263" s="170" t="str">
        <f t="shared" si="125"/>
        <v>0.099155581864005+0.434142066970272i</v>
      </c>
      <c r="AN263" s="170" t="str">
        <f t="shared" si="126"/>
        <v>0.449085692599753i</v>
      </c>
      <c r="AO263" s="170" t="str">
        <f t="shared" si="127"/>
        <v>0.96672433373913-0.2207943461525i</v>
      </c>
      <c r="AP263" s="170" t="str">
        <f t="shared" si="128"/>
        <v>0.150140736355999-0.072357011161712i</v>
      </c>
      <c r="AQ263" s="170" t="str">
        <f t="shared" si="129"/>
        <v>0.849859263644001+0.072357011161712i</v>
      </c>
      <c r="AR263" s="170" t="str">
        <f t="shared" si="130"/>
        <v>0.973108401631596-0.0828504418208093i</v>
      </c>
    </row>
    <row r="264" spans="7:44">
      <c r="G264" s="688">
        <v>16501.5</v>
      </c>
      <c r="H264" s="676">
        <f t="shared" si="122"/>
        <v>16.5015</v>
      </c>
      <c r="I264" s="677">
        <f t="shared" si="102"/>
        <v>133.04088428123382</v>
      </c>
      <c r="J264" s="678">
        <f t="shared" si="103"/>
        <v>1.5632797695959317</v>
      </c>
      <c r="K264" s="678">
        <f t="shared" si="104"/>
        <v>1.000260115043299</v>
      </c>
      <c r="L264" s="679">
        <f t="shared" si="105"/>
        <v>2.2806081321212097E-2</v>
      </c>
      <c r="M264" s="678">
        <f t="shared" si="106"/>
        <v>1.0038004268164906</v>
      </c>
      <c r="N264" s="679">
        <f t="shared" si="107"/>
        <v>-8.7045157066525991E-2</v>
      </c>
      <c r="O264" s="677">
        <f t="shared" si="108"/>
        <v>684301.08270520077</v>
      </c>
      <c r="P264" s="680">
        <f t="shared" si="109"/>
        <v>1.5707948654498465</v>
      </c>
      <c r="Q264" s="689">
        <f t="shared" si="131"/>
        <v>27.390304030163957</v>
      </c>
      <c r="R264" s="690">
        <f t="shared" si="132"/>
        <v>1.5342789414193996</v>
      </c>
      <c r="S264" s="677">
        <f t="shared" si="110"/>
        <v>1.007710242555742</v>
      </c>
      <c r="T264" s="680">
        <f t="shared" si="111"/>
        <v>0.12378228030605141</v>
      </c>
      <c r="U264" s="681">
        <f t="shared" si="123"/>
        <v>0.96809875943287693</v>
      </c>
      <c r="V264" s="682">
        <f t="shared" si="124"/>
        <v>-0.31120593154433374</v>
      </c>
      <c r="W264" s="683">
        <f t="shared" si="112"/>
        <v>-25.164315173593373</v>
      </c>
      <c r="X264" s="684">
        <f t="shared" si="113"/>
        <v>-120.26515806241589</v>
      </c>
      <c r="Y264" s="687">
        <f t="shared" si="114"/>
        <v>59.734841937584108</v>
      </c>
      <c r="AA264" s="170">
        <f t="shared" si="115"/>
        <v>16501.5</v>
      </c>
      <c r="AB264" s="170">
        <f t="shared" si="116"/>
        <v>272299502.25</v>
      </c>
      <c r="AD264" s="686">
        <f t="shared" si="117"/>
        <v>17.085729160866389</v>
      </c>
      <c r="AE264" s="687">
        <f t="shared" si="118"/>
        <v>-9.1844105825017373</v>
      </c>
      <c r="AG264" s="686">
        <f t="shared" si="119"/>
        <v>-3.4105538307302501</v>
      </c>
      <c r="AH264" s="687">
        <f t="shared" si="120"/>
        <v>-75.419174565309774</v>
      </c>
      <c r="AJ264" s="170">
        <f t="shared" si="121"/>
        <v>0</v>
      </c>
      <c r="AK264" s="170">
        <f t="shared" si="133"/>
        <v>0</v>
      </c>
      <c r="AM264" s="170" t="str">
        <f t="shared" si="125"/>
        <v>0.100281552727409+0.436470750036469i</v>
      </c>
      <c r="AN264" s="170" t="str">
        <f t="shared" si="126"/>
        <v>0.451672307943855i</v>
      </c>
      <c r="AO264" s="170" t="str">
        <f t="shared" si="127"/>
        <v>0.966343834589754-0.222022804948836i</v>
      </c>
      <c r="AP264" s="170" t="str">
        <f t="shared" si="128"/>
        <v>0.149953074545432-0.0727451250060782i</v>
      </c>
      <c r="AQ264" s="170" t="str">
        <f t="shared" si="129"/>
        <v>0.850046925454568+0.0727451250060782i</v>
      </c>
      <c r="AR264" s="170" t="str">
        <f t="shared" si="130"/>
        <v>0.972821389097214-0.0832518905007742i</v>
      </c>
    </row>
    <row r="265" spans="7:44">
      <c r="G265" s="688">
        <v>16596</v>
      </c>
      <c r="H265" s="676">
        <f t="shared" si="122"/>
        <v>16.596</v>
      </c>
      <c r="I265" s="677">
        <f t="shared" si="102"/>
        <v>133.80273352395682</v>
      </c>
      <c r="J265" s="678">
        <f t="shared" si="103"/>
        <v>1.5633225683503988</v>
      </c>
      <c r="K265" s="678">
        <f t="shared" si="104"/>
        <v>1.0002631024097588</v>
      </c>
      <c r="L265" s="679">
        <f t="shared" si="105"/>
        <v>2.2936640424233785E-2</v>
      </c>
      <c r="M265" s="678">
        <f t="shared" si="106"/>
        <v>1.0038439960775041</v>
      </c>
      <c r="N265" s="679">
        <f t="shared" si="107"/>
        <v>-8.7541107438183718E-2</v>
      </c>
      <c r="O265" s="677">
        <f t="shared" si="108"/>
        <v>688219.90537680662</v>
      </c>
      <c r="P265" s="680">
        <f t="shared" si="109"/>
        <v>1.5707948737709545</v>
      </c>
      <c r="Q265" s="689">
        <f t="shared" si="131"/>
        <v>27.546953026594011</v>
      </c>
      <c r="R265" s="690">
        <f t="shared" si="132"/>
        <v>1.534486693405827</v>
      </c>
      <c r="S265" s="677">
        <f t="shared" si="110"/>
        <v>1.0077984620470137</v>
      </c>
      <c r="T265" s="680">
        <f t="shared" si="111"/>
        <v>0.12448387063511204</v>
      </c>
      <c r="U265" s="681">
        <f t="shared" si="123"/>
        <v>0.96775310658027991</v>
      </c>
      <c r="V265" s="682">
        <f t="shared" si="124"/>
        <v>-0.31293296265211573</v>
      </c>
      <c r="W265" s="683">
        <f t="shared" si="112"/>
        <v>-25.217437393489508</v>
      </c>
      <c r="X265" s="684">
        <f t="shared" si="113"/>
        <v>-120.41579255127388</v>
      </c>
      <c r="Y265" s="687">
        <f t="shared" si="114"/>
        <v>59.584207448726119</v>
      </c>
      <c r="AA265" s="170">
        <f t="shared" si="115"/>
        <v>16596</v>
      </c>
      <c r="AB265" s="170">
        <f t="shared" si="116"/>
        <v>275427216</v>
      </c>
      <c r="AD265" s="686">
        <f t="shared" si="117"/>
        <v>17.08490305463739</v>
      </c>
      <c r="AE265" s="687">
        <f t="shared" si="118"/>
        <v>-9.2127059120930692</v>
      </c>
      <c r="AG265" s="686">
        <f t="shared" si="119"/>
        <v>-3.456646365259211</v>
      </c>
      <c r="AH265" s="687">
        <f t="shared" si="120"/>
        <v>-75.343610537222858</v>
      </c>
      <c r="AJ265" s="170">
        <f t="shared" si="121"/>
        <v>0</v>
      </c>
      <c r="AK265" s="170">
        <f t="shared" si="133"/>
        <v>0</v>
      </c>
      <c r="AM265" s="170" t="str">
        <f t="shared" si="125"/>
        <v>0.10141354322475+0.438796512862285i</v>
      </c>
      <c r="AN265" s="170" t="str">
        <f t="shared" si="126"/>
        <v>0.454258923287956i</v>
      </c>
      <c r="AO265" s="170" t="str">
        <f t="shared" si="127"/>
        <v>0.965961240092428-0.223250525252673i</v>
      </c>
      <c r="AP265" s="170" t="str">
        <f t="shared" si="128"/>
        <v>0.149764409462542-0.0731327521437142i</v>
      </c>
      <c r="AQ265" s="170" t="str">
        <f t="shared" si="129"/>
        <v>0.850235590537458+0.0731327521437142i</v>
      </c>
      <c r="AR265" s="170" t="str">
        <f t="shared" si="130"/>
        <v>0.972533140361087-0.0836521381804494i</v>
      </c>
    </row>
    <row r="266" spans="7:44">
      <c r="G266" s="688">
        <v>16692.5</v>
      </c>
      <c r="H266" s="676">
        <f t="shared" si="122"/>
        <v>16.692499999999999</v>
      </c>
      <c r="I266" s="677">
        <f t="shared" si="102"/>
        <v>134.58070681020922</v>
      </c>
      <c r="J266" s="678">
        <f t="shared" si="103"/>
        <v>1.5633657728473818</v>
      </c>
      <c r="K266" s="678">
        <f t="shared" si="104"/>
        <v>1.0002661705960567</v>
      </c>
      <c r="L266" s="679">
        <f t="shared" si="105"/>
        <v>2.3069961875766043E-2</v>
      </c>
      <c r="M266" s="678">
        <f t="shared" si="106"/>
        <v>1.0038887422229399</v>
      </c>
      <c r="N266" s="679">
        <f t="shared" si="107"/>
        <v>-8.8047509561101883E-2</v>
      </c>
      <c r="O266" s="677">
        <f t="shared" si="108"/>
        <v>692221.6660943724</v>
      </c>
      <c r="P266" s="680">
        <f t="shared" si="109"/>
        <v>1.570794882170943</v>
      </c>
      <c r="Q266" s="689">
        <f t="shared" si="131"/>
        <v>27.70691855864073</v>
      </c>
      <c r="R266" s="690">
        <f t="shared" si="132"/>
        <v>1.5346964179768041</v>
      </c>
      <c r="S266" s="677">
        <f t="shared" si="110"/>
        <v>1.007889060453645</v>
      </c>
      <c r="T266" s="680">
        <f t="shared" si="111"/>
        <v>0.12520018232992985</v>
      </c>
      <c r="U266" s="681">
        <f t="shared" si="123"/>
        <v>0.96739846440628019</v>
      </c>
      <c r="V266" s="682">
        <f t="shared" si="124"/>
        <v>-0.31469561900313509</v>
      </c>
      <c r="W266" s="683">
        <f t="shared" si="112"/>
        <v>-25.271410359014986</v>
      </c>
      <c r="X266" s="684">
        <f t="shared" si="113"/>
        <v>-120.56966248975206</v>
      </c>
      <c r="Y266" s="687">
        <f t="shared" si="114"/>
        <v>59.430337510247938</v>
      </c>
      <c r="AA266" s="170">
        <f t="shared" si="115"/>
        <v>16692.5</v>
      </c>
      <c r="AB266" s="170">
        <f t="shared" si="116"/>
        <v>278639556.25</v>
      </c>
      <c r="AD266" s="686">
        <f t="shared" si="117"/>
        <v>17.084056270257349</v>
      </c>
      <c r="AE266" s="687">
        <f t="shared" si="118"/>
        <v>-9.2417316975618586</v>
      </c>
      <c r="AG266" s="686">
        <f t="shared" si="119"/>
        <v>-3.5034053287354312</v>
      </c>
      <c r="AH266" s="687">
        <f t="shared" si="120"/>
        <v>-75.266469150710805</v>
      </c>
      <c r="AJ266" s="170">
        <f t="shared" si="121"/>
        <v>0</v>
      </c>
      <c r="AK266" s="170">
        <f t="shared" si="133"/>
        <v>0</v>
      </c>
      <c r="AM266" s="170" t="str">
        <f t="shared" si="125"/>
        <v>0.10257569540335+0.441168468409993i</v>
      </c>
      <c r="AN266" s="170" t="str">
        <f t="shared" si="126"/>
        <v>0.456900281813944i</v>
      </c>
      <c r="AO266" s="170" t="str">
        <f t="shared" si="127"/>
        <v>0.965568387610763-0.224503462760218i</v>
      </c>
      <c r="AP266" s="170" t="str">
        <f t="shared" si="128"/>
        <v>0.149570717432775-0.0735280780683322i</v>
      </c>
      <c r="AQ266" s="170" t="str">
        <f t="shared" si="129"/>
        <v>0.850429282567225+0.0735280780683322i</v>
      </c>
      <c r="AR266" s="170" t="str">
        <f t="shared" si="130"/>
        <v>0.972237521871502-0.0840596130384054i</v>
      </c>
    </row>
    <row r="267" spans="7:44">
      <c r="G267" s="688">
        <v>16789</v>
      </c>
      <c r="H267" s="676">
        <f t="shared" si="122"/>
        <v>16.789000000000001</v>
      </c>
      <c r="I267" s="677">
        <f t="shared" si="102"/>
        <v>135.35868034478614</v>
      </c>
      <c r="J267" s="678">
        <f t="shared" si="103"/>
        <v>1.5634084807090576</v>
      </c>
      <c r="K267" s="678">
        <f t="shared" si="104"/>
        <v>1.0002692565615858</v>
      </c>
      <c r="L267" s="679">
        <f t="shared" si="105"/>
        <v>2.3203282507038698E-2</v>
      </c>
      <c r="M267" s="678">
        <f t="shared" si="106"/>
        <v>1.0039337457857396</v>
      </c>
      <c r="N267" s="679">
        <f t="shared" si="107"/>
        <v>-8.8553866412659415E-2</v>
      </c>
      <c r="O267" s="677">
        <f t="shared" si="108"/>
        <v>696223.42681193817</v>
      </c>
      <c r="P267" s="680">
        <f t="shared" si="109"/>
        <v>1.5707948904743687</v>
      </c>
      <c r="Q267" s="689">
        <f t="shared" si="131"/>
        <v>27.866885295368284</v>
      </c>
      <c r="R267" s="690">
        <f t="shared" si="132"/>
        <v>1.53490373475595</v>
      </c>
      <c r="S267" s="677">
        <f t="shared" si="110"/>
        <v>1.0079801759174978</v>
      </c>
      <c r="T267" s="680">
        <f t="shared" si="111"/>
        <v>0.12591636489146124</v>
      </c>
      <c r="U267" s="681">
        <f t="shared" si="123"/>
        <v>0.9670421364930708</v>
      </c>
      <c r="V267" s="682">
        <f t="shared" si="124"/>
        <v>-0.31645733595320386</v>
      </c>
      <c r="W267" s="683">
        <f t="shared" si="112"/>
        <v>-25.325110277868163</v>
      </c>
      <c r="X267" s="684">
        <f t="shared" si="113"/>
        <v>-120.72357815453802</v>
      </c>
      <c r="Y267" s="687">
        <f t="shared" si="114"/>
        <v>59.276421845461982</v>
      </c>
      <c r="AA267" s="170">
        <f t="shared" si="115"/>
        <v>16789</v>
      </c>
      <c r="AB267" s="170">
        <f t="shared" si="116"/>
        <v>281870521</v>
      </c>
      <c r="AD267" s="686">
        <f t="shared" si="117"/>
        <v>17.083206234003143</v>
      </c>
      <c r="AE267" s="687">
        <f t="shared" si="118"/>
        <v>-9.2708880350157354</v>
      </c>
      <c r="AG267" s="686">
        <f t="shared" si="119"/>
        <v>-3.5498553767513923</v>
      </c>
      <c r="AH267" s="687">
        <f t="shared" si="120"/>
        <v>-75.189350585940971</v>
      </c>
      <c r="AJ267" s="170">
        <f t="shared" si="121"/>
        <v>0</v>
      </c>
      <c r="AK267" s="170">
        <f t="shared" si="133"/>
        <v>0</v>
      </c>
      <c r="AM267" s="170" t="str">
        <f t="shared" si="125"/>
        <v>0.103744108705639+0.443537346026409i</v>
      </c>
      <c r="AN267" s="170" t="str">
        <f t="shared" si="126"/>
        <v>0.459541640339931i</v>
      </c>
      <c r="AO267" s="170" t="str">
        <f t="shared" si="127"/>
        <v>0.965173353383856-0.225755621686204i</v>
      </c>
      <c r="AP267" s="170" t="str">
        <f t="shared" si="128"/>
        <v>0.149375981882394-0.0739228910044015i</v>
      </c>
      <c r="AQ267" s="170" t="str">
        <f t="shared" si="129"/>
        <v>0.850624018117606+0.0739228910044015i</v>
      </c>
      <c r="AR267" s="170" t="str">
        <f t="shared" si="130"/>
        <v>0.971940627440307-0.0844658268926116i</v>
      </c>
    </row>
    <row r="268" spans="7:44">
      <c r="G268" s="688">
        <v>16885.5</v>
      </c>
      <c r="H268" s="676">
        <f t="shared" si="122"/>
        <v>16.8855</v>
      </c>
      <c r="I268" s="677">
        <f t="shared" si="102"/>
        <v>136.13665412343028</v>
      </c>
      <c r="J268" s="678">
        <f t="shared" si="103"/>
        <v>1.5634507004495652</v>
      </c>
      <c r="K268" s="678">
        <f t="shared" si="104"/>
        <v>1.0002723603061816</v>
      </c>
      <c r="L268" s="679">
        <f t="shared" si="105"/>
        <v>2.3336602313319982E-2</v>
      </c>
      <c r="M268" s="678">
        <f t="shared" si="106"/>
        <v>1.003979006731287</v>
      </c>
      <c r="N268" s="679">
        <f t="shared" si="107"/>
        <v>-8.9060177739304719E-2</v>
      </c>
      <c r="O268" s="677">
        <f t="shared" si="108"/>
        <v>700225.18752950418</v>
      </c>
      <c r="P268" s="680">
        <f t="shared" si="109"/>
        <v>1.5707948986828866</v>
      </c>
      <c r="Q268" s="689">
        <f t="shared" si="131"/>
        <v>28.026853216149092</v>
      </c>
      <c r="R268" s="690">
        <f t="shared" si="132"/>
        <v>1.5351086849539048</v>
      </c>
      <c r="S268" s="677">
        <f t="shared" si="110"/>
        <v>1.008071808298368</v>
      </c>
      <c r="T268" s="680">
        <f t="shared" si="111"/>
        <v>0.12663241762013663</v>
      </c>
      <c r="U268" s="681">
        <f t="shared" si="123"/>
        <v>0.96668412860211561</v>
      </c>
      <c r="V268" s="682">
        <f t="shared" si="124"/>
        <v>-0.31821810946699558</v>
      </c>
      <c r="W268" s="683">
        <f t="shared" si="112"/>
        <v>-25.378540466330065</v>
      </c>
      <c r="X268" s="684">
        <f t="shared" si="113"/>
        <v>-120.87753738680904</v>
      </c>
      <c r="Y268" s="687">
        <f t="shared" si="114"/>
        <v>59.122462613190962</v>
      </c>
      <c r="AA268" s="170">
        <f t="shared" si="115"/>
        <v>16885.5</v>
      </c>
      <c r="AB268" s="170">
        <f t="shared" si="116"/>
        <v>285120110.25</v>
      </c>
      <c r="AD268" s="686">
        <f t="shared" si="117"/>
        <v>17.082352922468701</v>
      </c>
      <c r="AE268" s="687">
        <f t="shared" si="118"/>
        <v>-9.3001725232713692</v>
      </c>
      <c r="AG268" s="686">
        <f t="shared" si="119"/>
        <v>-3.5959998705188361</v>
      </c>
      <c r="AH268" s="687">
        <f t="shared" si="120"/>
        <v>-75.112255547688463</v>
      </c>
      <c r="AJ268" s="170">
        <f t="shared" si="121"/>
        <v>0</v>
      </c>
      <c r="AK268" s="170">
        <f t="shared" si="133"/>
        <v>0</v>
      </c>
      <c r="AM268" s="170" t="str">
        <f t="shared" si="125"/>
        <v>0.104918774979866+0.445903129184419i</v>
      </c>
      <c r="AN268" s="170" t="str">
        <f t="shared" si="126"/>
        <v>0.462182998865919i</v>
      </c>
      <c r="AO268" s="170" t="str">
        <f t="shared" si="127"/>
        <v>0.96477613905867-0.227006997741826i</v>
      </c>
      <c r="AP268" s="170" t="str">
        <f t="shared" si="128"/>
        <v>0.149180204170022-0.0743171881974032i</v>
      </c>
      <c r="AQ268" s="170" t="str">
        <f t="shared" si="129"/>
        <v>0.850819795829978+0.0743171881974032i</v>
      </c>
      <c r="AR268" s="170" t="str">
        <f t="shared" si="130"/>
        <v>0.971642463727856-0.0848707754466511i</v>
      </c>
    </row>
    <row r="269" spans="7:44">
      <c r="G269" s="688">
        <v>16982</v>
      </c>
      <c r="H269" s="676">
        <f t="shared" si="122"/>
        <v>16.981999999999999</v>
      </c>
      <c r="I269" s="677">
        <f t="shared" ref="I269:I332" si="134">SQRT(1+(G269/pole1)^2)</f>
        <v>136.91462814198118</v>
      </c>
      <c r="J269" s="678">
        <f t="shared" ref="J269:J332" si="135">ATAN(G269/pole1)</f>
        <v>1.5634924403895345</v>
      </c>
      <c r="K269" s="678">
        <f t="shared" ref="K269:K332" si="136">SQRT(1+(G269/Zero1)^2)</f>
        <v>1.0002754818296788</v>
      </c>
      <c r="L269" s="679">
        <f t="shared" ref="L269:L332" si="137">ATAN(G269/Zero1)</f>
        <v>2.34699212898783E-2</v>
      </c>
      <c r="M269" s="678">
        <f t="shared" ref="M269:M332" si="138">SQRT(1+(G269/z_RHP)^2)</f>
        <v>1.0040245250247741</v>
      </c>
      <c r="N269" s="679">
        <f t="shared" ref="N269:N332" si="139">-ATAN(G269/z_RHP)</f>
        <v>-8.9566443287625155E-2</v>
      </c>
      <c r="O269" s="677">
        <f t="shared" ref="O269:O332" si="140">SQRT(1+(G269/Pole2)^2)</f>
        <v>704226.94824707008</v>
      </c>
      <c r="P269" s="680">
        <f t="shared" ref="P269:P332" si="141">ATAN(G269/Pole2)</f>
        <v>1.5707949067981151</v>
      </c>
      <c r="Q269" s="689">
        <f t="shared" si="131"/>
        <v>28.186822300823668</v>
      </c>
      <c r="R269" s="690">
        <f t="shared" si="132"/>
        <v>1.5353113088465811</v>
      </c>
      <c r="S269" s="677">
        <f t="shared" ref="S269:S332" si="142">SQRT(1+(G269/pole4)^2)</f>
        <v>1.0081639574553072</v>
      </c>
      <c r="T269" s="680">
        <f t="shared" ref="T269:T332" si="143">ATAN(G269/pole4)</f>
        <v>0.12734833981717264</v>
      </c>
      <c r="U269" s="681">
        <f t="shared" si="123"/>
        <v>0.96632444651067018</v>
      </c>
      <c r="V269" s="682">
        <f t="shared" si="124"/>
        <v>-0.31997793553032799</v>
      </c>
      <c r="W269" s="683">
        <f t="shared" ref="W269:W332" si="144">20*LOG10(((K269*Q269*M269*U269)/(I269*O269*S269))*Adc)</f>
        <v>-25.43170418297095</v>
      </c>
      <c r="X269" s="684">
        <f t="shared" ref="X269:X332" si="145">((L269+R269+N269+V269)-(J269+P269+T269))*radconv</f>
        <v>-121.03153807147369</v>
      </c>
      <c r="Y269" s="687">
        <f t="shared" ref="Y269:Y332" si="146">IF(X269&gt;0,X269,X269+180)</f>
        <v>58.96846192852631</v>
      </c>
      <c r="AA269" s="170">
        <f t="shared" ref="AA269:AA332" si="147">IF(W269&lt;0,G269,1000000000)</f>
        <v>16982</v>
      </c>
      <c r="AB269" s="170">
        <f t="shared" ref="AB269:AB332" si="148">G269^2</f>
        <v>288388324</v>
      </c>
      <c r="AD269" s="686">
        <f t="shared" ref="AD269:AD332" si="149">20*LOG10((Q269/(O269*S269))*Aea)</f>
        <v>17.081496312990627</v>
      </c>
      <c r="AE269" s="687">
        <f t="shared" ref="AE269:AE332" si="150">(R269-(P269+T269))*radconv</f>
        <v>-9.3295828147443594</v>
      </c>
      <c r="AG269" s="686">
        <f t="shared" ref="AG269:AG332" si="151">20*LOG10((K269*M269/(I269*U269))*Acs*Am)</f>
        <v>-3.6418421145095632</v>
      </c>
      <c r="AH269" s="687">
        <f t="shared" ref="AH269:AH332" si="152">(L269+N269-(J269+V269))*radconv</f>
        <v>-75.035184728437528</v>
      </c>
      <c r="AJ269" s="170">
        <f t="shared" ref="AJ269:AJ332" si="153">SUM((W270&lt;0)*(W269&gt;0))*G269</f>
        <v>0</v>
      </c>
      <c r="AK269" s="170">
        <f t="shared" si="133"/>
        <v>0</v>
      </c>
      <c r="AM269" s="170" t="str">
        <f t="shared" si="125"/>
        <v>0.106099686030653+0.448265801378493i</v>
      </c>
      <c r="AN269" s="170" t="str">
        <f t="shared" si="126"/>
        <v>0.464824357391906i</v>
      </c>
      <c r="AO269" s="170" t="str">
        <f t="shared" si="127"/>
        <v>0.964376746291176-0.22825758664191i</v>
      </c>
      <c r="AP269" s="170" t="str">
        <f t="shared" si="128"/>
        <v>0.148983385661558-0.0747109668964155i</v>
      </c>
      <c r="AQ269" s="170" t="str">
        <f t="shared" si="129"/>
        <v>0.851016614338442+0.0747109668964155i</v>
      </c>
      <c r="AR269" s="170" t="str">
        <f t="shared" si="130"/>
        <v>0.971343037408632-0.0852744544468312i</v>
      </c>
    </row>
    <row r="270" spans="7:44">
      <c r="G270" s="688">
        <v>17081</v>
      </c>
      <c r="H270" s="676">
        <f t="shared" ref="H270:H333" si="154">G270/1000</f>
        <v>17.081</v>
      </c>
      <c r="I270" s="677">
        <f t="shared" si="134"/>
        <v>137.71275717290038</v>
      </c>
      <c r="J270" s="678">
        <f t="shared" si="135"/>
        <v>1.5635347715915358</v>
      </c>
      <c r="K270" s="678">
        <f t="shared" si="136"/>
        <v>1.0002787026972431</v>
      </c>
      <c r="L270" s="679">
        <f t="shared" si="137"/>
        <v>2.3606693258729092E-2</v>
      </c>
      <c r="M270" s="678">
        <f t="shared" si="138"/>
        <v>1.0040714899468435</v>
      </c>
      <c r="N270" s="679">
        <f t="shared" si="139"/>
        <v>-9.0085776685616265E-2</v>
      </c>
      <c r="O270" s="677">
        <f t="shared" si="140"/>
        <v>708332.38152208587</v>
      </c>
      <c r="P270" s="680">
        <f t="shared" si="141"/>
        <v>1.5707949150282936</v>
      </c>
      <c r="Q270" s="689">
        <f t="shared" si="131"/>
        <v>28.350936851165958</v>
      </c>
      <c r="R270" s="690">
        <f t="shared" si="132"/>
        <v>1.5355168058343212</v>
      </c>
      <c r="S270" s="677">
        <f t="shared" si="142"/>
        <v>1.0082590307790433</v>
      </c>
      <c r="T270" s="680">
        <f t="shared" si="143"/>
        <v>0.12808267284185945</v>
      </c>
      <c r="U270" s="681">
        <f t="shared" ref="U270:U333" si="155">IMABS(IMPRODUCT(AO270, AR270))</f>
        <v>0.96595371248034578</v>
      </c>
      <c r="V270" s="682">
        <f t="shared" ref="V270:V333" si="156">IMARGUMENT(IMPRODUCT(AO270, AR270))</f>
        <v>-0.32178236417082823</v>
      </c>
      <c r="W270" s="683">
        <f t="shared" si="144"/>
        <v>-25.485971637650124</v>
      </c>
      <c r="X270" s="684">
        <f t="shared" si="145"/>
        <v>-121.18956931622402</v>
      </c>
      <c r="Y270" s="687">
        <f t="shared" si="146"/>
        <v>58.810430683775976</v>
      </c>
      <c r="AA270" s="170">
        <f t="shared" si="147"/>
        <v>17081</v>
      </c>
      <c r="AB270" s="170">
        <f t="shared" si="148"/>
        <v>291760561</v>
      </c>
      <c r="AD270" s="686">
        <f t="shared" si="149"/>
        <v>17.080614061350637</v>
      </c>
      <c r="AE270" s="687">
        <f t="shared" si="150"/>
        <v>-9.3598833593049449</v>
      </c>
      <c r="AG270" s="686">
        <f t="shared" si="151"/>
        <v>-3.6885612898922133</v>
      </c>
      <c r="AH270" s="687">
        <f t="shared" si="152"/>
        <v>-74.956143137324631</v>
      </c>
      <c r="AJ270" s="170">
        <f t="shared" si="153"/>
        <v>0</v>
      </c>
      <c r="AK270" s="170">
        <f t="shared" si="133"/>
        <v>0</v>
      </c>
      <c r="AM270" s="170" t="str">
        <f t="shared" ref="AM270:AM333" si="157">IMSUB(1,IMEXP(COMPLEX(0,-2*Pi*G270*Tsw)))</f>
        <v>0.107317671540713+0.45068643251878i</v>
      </c>
      <c r="AN270" s="170" t="str">
        <f t="shared" ref="AN270:AN333" si="158">COMPLEX(0, 2*Pi*G270*Tsw)</f>
        <v>0.467534144895251i</v>
      </c>
      <c r="AO270" s="170" t="str">
        <f t="shared" ref="AO270:AO333" si="159">IMDIV(AM270, AN270)</f>
        <v>0.963964744478191-0.229539751721785i</v>
      </c>
      <c r="AP270" s="170" t="str">
        <f t="shared" ref="AP270:AP333" si="160">IMDIV(IMEXP(COMPLEX(0,-2*Pi*G270*Tsw)),6)</f>
        <v>0.148780388076548-0.0751144054197967i</v>
      </c>
      <c r="AQ270" s="170" t="str">
        <f t="shared" ref="AQ270:AQ333" si="161">IMSUB(1, AP270)</f>
        <v>0.851219611923452+0.0751144054197967i</v>
      </c>
      <c r="AR270" s="170" t="str">
        <f t="shared" ref="AR270:AR333" si="162">IMDIV(0.833, AQ270)</f>
        <v>0.971034548845909-0.0856872677238083i</v>
      </c>
    </row>
    <row r="271" spans="7:44">
      <c r="G271" s="688">
        <v>17180</v>
      </c>
      <c r="H271" s="676">
        <f t="shared" si="154"/>
        <v>17.18</v>
      </c>
      <c r="I271" s="677">
        <f t="shared" si="134"/>
        <v>138.5108864477474</v>
      </c>
      <c r="J271" s="678">
        <f t="shared" si="135"/>
        <v>1.563576614950779</v>
      </c>
      <c r="K271" s="678">
        <f t="shared" si="136"/>
        <v>1.0002819422764719</v>
      </c>
      <c r="L271" s="679">
        <f t="shared" si="137"/>
        <v>2.3743464344220904E-2</v>
      </c>
      <c r="M271" s="678">
        <f t="shared" si="138"/>
        <v>1.0041187256488264</v>
      </c>
      <c r="N271" s="679">
        <f t="shared" si="139"/>
        <v>-9.0605061362740685E-2</v>
      </c>
      <c r="O271" s="677">
        <f t="shared" si="140"/>
        <v>712437.81479710178</v>
      </c>
      <c r="P271" s="680">
        <f t="shared" si="141"/>
        <v>1.5707949231636193</v>
      </c>
      <c r="Q271" s="689">
        <f t="shared" si="131"/>
        <v>28.515052584959253</v>
      </c>
      <c r="R271" s="690">
        <f t="shared" si="132"/>
        <v>1.5357199373929462</v>
      </c>
      <c r="S271" s="677">
        <f t="shared" si="142"/>
        <v>1.0083546476987146</v>
      </c>
      <c r="T271" s="680">
        <f t="shared" si="143"/>
        <v>0.12881686699658745</v>
      </c>
      <c r="U271" s="681">
        <f t="shared" si="155"/>
        <v>0.96558122874816843</v>
      </c>
      <c r="V271" s="682">
        <f t="shared" si="156"/>
        <v>-0.32358578714358321</v>
      </c>
      <c r="W271" s="683">
        <f t="shared" si="144"/>
        <v>-25.539965402099995</v>
      </c>
      <c r="X271" s="684">
        <f t="shared" si="145"/>
        <v>-121.34763981524644</v>
      </c>
      <c r="Y271" s="687">
        <f t="shared" si="146"/>
        <v>58.652360184753562</v>
      </c>
      <c r="AA271" s="170">
        <f t="shared" si="147"/>
        <v>17180</v>
      </c>
      <c r="AB271" s="170">
        <f t="shared" si="148"/>
        <v>295152400</v>
      </c>
      <c r="AD271" s="686">
        <f t="shared" si="149"/>
        <v>17.079728292645196</v>
      </c>
      <c r="AE271" s="687">
        <f t="shared" si="150"/>
        <v>-9.3903114708735078</v>
      </c>
      <c r="AG271" s="686">
        <f t="shared" si="151"/>
        <v>-3.7349692201898099</v>
      </c>
      <c r="AH271" s="687">
        <f t="shared" si="152"/>
        <v>-74.877128474510783</v>
      </c>
      <c r="AJ271" s="170">
        <f t="shared" si="153"/>
        <v>0</v>
      </c>
      <c r="AK271" s="170">
        <f t="shared" si="133"/>
        <v>0</v>
      </c>
      <c r="AM271" s="170" t="str">
        <f t="shared" si="157"/>
        <v>0.108542211966959+0.453103754293913i</v>
      </c>
      <c r="AN271" s="170" t="str">
        <f t="shared" si="158"/>
        <v>0.470243932398595i</v>
      </c>
      <c r="AO271" s="170" t="str">
        <f t="shared" si="159"/>
        <v>0.963550453448162-0.230821079207365i</v>
      </c>
      <c r="AP271" s="170" t="str">
        <f t="shared" si="160"/>
        <v>0.148576298005507-0.0755172923823188i</v>
      </c>
      <c r="AQ271" s="170" t="str">
        <f t="shared" si="161"/>
        <v>0.851423701994493+0.0755172923823188i</v>
      </c>
      <c r="AR271" s="170" t="str">
        <f t="shared" si="162"/>
        <v>0.970724745684745-0.0860987358830905i</v>
      </c>
    </row>
    <row r="272" spans="7:44">
      <c r="G272" s="688">
        <v>17279</v>
      </c>
      <c r="H272" s="676">
        <f t="shared" si="154"/>
        <v>17.279</v>
      </c>
      <c r="I272" s="677">
        <f t="shared" si="134"/>
        <v>139.30901596232965</v>
      </c>
      <c r="J272" s="678">
        <f t="shared" si="135"/>
        <v>1.5636179788519664</v>
      </c>
      <c r="K272" s="678">
        <f t="shared" si="136"/>
        <v>1.0002852005671832</v>
      </c>
      <c r="L272" s="679">
        <f t="shared" si="137"/>
        <v>2.3880234541245379E-2</v>
      </c>
      <c r="M272" s="678">
        <f t="shared" si="138"/>
        <v>1.0041662320925102</v>
      </c>
      <c r="N272" s="679">
        <f t="shared" si="139"/>
        <v>-9.1124297045836633E-2</v>
      </c>
      <c r="O272" s="677">
        <f t="shared" si="140"/>
        <v>716543.2480721178</v>
      </c>
      <c r="P272" s="680">
        <f t="shared" si="141"/>
        <v>1.5707949312057221</v>
      </c>
      <c r="Q272" s="689">
        <f t="shared" si="131"/>
        <v>28.679169481886763</v>
      </c>
      <c r="R272" s="690">
        <f t="shared" si="132"/>
        <v>1.5359207441141378</v>
      </c>
      <c r="S272" s="677">
        <f t="shared" si="142"/>
        <v>1.008450808059697</v>
      </c>
      <c r="T272" s="680">
        <f t="shared" si="143"/>
        <v>0.12955092152944928</v>
      </c>
      <c r="U272" s="681">
        <f t="shared" si="155"/>
        <v>0.96520700160234485</v>
      </c>
      <c r="V272" s="682">
        <f t="shared" si="156"/>
        <v>-0.32538820018394077</v>
      </c>
      <c r="W272" s="683">
        <f t="shared" si="144"/>
        <v>-25.593688813954699</v>
      </c>
      <c r="X272" s="684">
        <f t="shared" si="145"/>
        <v>-121.50574742052434</v>
      </c>
      <c r="Y272" s="687">
        <f t="shared" si="146"/>
        <v>58.494252579475656</v>
      </c>
      <c r="AA272" s="170">
        <f t="shared" si="147"/>
        <v>17279</v>
      </c>
      <c r="AB272" s="170">
        <f t="shared" si="148"/>
        <v>298563841</v>
      </c>
      <c r="AD272" s="686">
        <f t="shared" si="149"/>
        <v>17.078838984681038</v>
      </c>
      <c r="AE272" s="687">
        <f t="shared" si="150"/>
        <v>-9.4208647807302555</v>
      </c>
      <c r="AG272" s="686">
        <f t="shared" si="151"/>
        <v>-3.7810692956088716</v>
      </c>
      <c r="AH272" s="687">
        <f t="shared" si="152"/>
        <v>-74.798141449392247</v>
      </c>
      <c r="AJ272" s="170">
        <f t="shared" si="153"/>
        <v>0</v>
      </c>
      <c r="AK272" s="170">
        <f t="shared" si="133"/>
        <v>0</v>
      </c>
      <c r="AM272" s="170" t="str">
        <f t="shared" si="157"/>
        <v>0.109773298317662+0.455517748953633i</v>
      </c>
      <c r="AN272" s="170" t="str">
        <f t="shared" si="158"/>
        <v>0.47295371990194i</v>
      </c>
      <c r="AO272" s="170" t="str">
        <f t="shared" si="159"/>
        <v>0.963133875018634-0.232101564483776i</v>
      </c>
      <c r="AP272" s="170" t="str">
        <f t="shared" si="160"/>
        <v>0.148371116947056-0.0759196248256055i</v>
      </c>
      <c r="AQ272" s="170" t="str">
        <f t="shared" si="161"/>
        <v>0.851628883052944+0.0759196248256055i</v>
      </c>
      <c r="AR272" s="170" t="str">
        <f t="shared" si="162"/>
        <v>0.970413635176123-0.0865088544720519i</v>
      </c>
    </row>
    <row r="273" spans="7:44">
      <c r="G273" s="688">
        <v>17378</v>
      </c>
      <c r="H273" s="676">
        <f t="shared" si="154"/>
        <v>17.378</v>
      </c>
      <c r="I273" s="677">
        <f t="shared" si="134"/>
        <v>140.10714571255019</v>
      </c>
      <c r="J273" s="678">
        <f t="shared" si="135"/>
        <v>1.5636588714887494</v>
      </c>
      <c r="K273" s="678">
        <f t="shared" si="136"/>
        <v>1.000288477569194</v>
      </c>
      <c r="L273" s="679">
        <f t="shared" si="137"/>
        <v>2.4017003844694355E-2</v>
      </c>
      <c r="M273" s="678">
        <f t="shared" si="138"/>
        <v>1.0042140092394714</v>
      </c>
      <c r="N273" s="679">
        <f t="shared" si="139"/>
        <v>-9.16434834618996E-2</v>
      </c>
      <c r="O273" s="677">
        <f t="shared" si="140"/>
        <v>720648.68134713382</v>
      </c>
      <c r="P273" s="680">
        <f t="shared" si="141"/>
        <v>1.5707949391561957</v>
      </c>
      <c r="Q273" s="689">
        <f t="shared" si="131"/>
        <v>28.843287522093952</v>
      </c>
      <c r="R273" s="690">
        <f t="shared" si="132"/>
        <v>1.5361192656664724</v>
      </c>
      <c r="S273" s="677">
        <f t="shared" si="142"/>
        <v>1.0085475117065466</v>
      </c>
      <c r="T273" s="680">
        <f t="shared" si="143"/>
        <v>0.13028483568942542</v>
      </c>
      <c r="U273" s="681">
        <f t="shared" si="155"/>
        <v>0.96483103734750819</v>
      </c>
      <c r="V273" s="682">
        <f t="shared" si="156"/>
        <v>-0.3271895990508471</v>
      </c>
      <c r="W273" s="683">
        <f t="shared" si="144"/>
        <v>-25.647145152569728</v>
      </c>
      <c r="X273" s="684">
        <f t="shared" si="145"/>
        <v>-121.66389002739454</v>
      </c>
      <c r="Y273" s="687">
        <f t="shared" si="146"/>
        <v>58.336109972605456</v>
      </c>
      <c r="AA273" s="170">
        <f t="shared" si="147"/>
        <v>17378</v>
      </c>
      <c r="AB273" s="170">
        <f t="shared" si="148"/>
        <v>301994884</v>
      </c>
      <c r="AD273" s="686">
        <f t="shared" si="149"/>
        <v>17.077946115983245</v>
      </c>
      <c r="AE273" s="687">
        <f t="shared" si="150"/>
        <v>-9.4515409730942643</v>
      </c>
      <c r="AG273" s="686">
        <f t="shared" si="151"/>
        <v>-3.826864849037888</v>
      </c>
      <c r="AH273" s="687">
        <f t="shared" si="152"/>
        <v>-74.719182759075821</v>
      </c>
      <c r="AJ273" s="170">
        <f t="shared" si="153"/>
        <v>0</v>
      </c>
      <c r="AK273" s="170">
        <f t="shared" si="133"/>
        <v>0</v>
      </c>
      <c r="AM273" s="170" t="str">
        <f t="shared" si="157"/>
        <v>0.111010921553022+0.457928398772114i</v>
      </c>
      <c r="AN273" s="170" t="str">
        <f t="shared" si="158"/>
        <v>0.475663507405285i</v>
      </c>
      <c r="AO273" s="170" t="str">
        <f t="shared" si="159"/>
        <v>0.962715011017105-0.233381202940246i</v>
      </c>
      <c r="AP273" s="170" t="str">
        <f t="shared" si="160"/>
        <v>0.14816484640783-0.0763213997953523i</v>
      </c>
      <c r="AQ273" s="170" t="str">
        <f t="shared" si="161"/>
        <v>0.85183515359217+0.0763213997953523i</v>
      </c>
      <c r="AR273" s="170" t="str">
        <f t="shared" si="162"/>
        <v>0.970101224585238-0.0869176190854626i</v>
      </c>
    </row>
    <row r="274" spans="7:44">
      <c r="G274" s="688">
        <v>17479.25</v>
      </c>
      <c r="H274" s="676">
        <f t="shared" si="154"/>
        <v>17.47925</v>
      </c>
      <c r="I274" s="677">
        <f t="shared" si="134"/>
        <v>140.92341501483546</v>
      </c>
      <c r="J274" s="678">
        <f t="shared" si="135"/>
        <v>1.5637002143964527</v>
      </c>
      <c r="K274" s="678">
        <f t="shared" si="136"/>
        <v>1.0002918484023491</v>
      </c>
      <c r="L274" s="679">
        <f t="shared" si="137"/>
        <v>2.4156880611811007E-2</v>
      </c>
      <c r="M274" s="678">
        <f t="shared" si="138"/>
        <v>1.0042631521921257</v>
      </c>
      <c r="N274" s="679">
        <f t="shared" si="139"/>
        <v>-9.2174418325566235E-2</v>
      </c>
      <c r="O274" s="677">
        <f t="shared" si="140"/>
        <v>724847.41992385476</v>
      </c>
      <c r="P274" s="680">
        <f t="shared" si="141"/>
        <v>1.5707949471942075</v>
      </c>
      <c r="Q274" s="689">
        <f t="shared" si="131"/>
        <v>29.011136680089436</v>
      </c>
      <c r="R274" s="690">
        <f t="shared" si="132"/>
        <v>1.5363199758116963</v>
      </c>
      <c r="S274" s="677">
        <f t="shared" si="142"/>
        <v>1.0086469749479803</v>
      </c>
      <c r="T274" s="680">
        <f t="shared" si="143"/>
        <v>0.13103528374032899</v>
      </c>
      <c r="U274" s="681">
        <f t="shared" si="155"/>
        <v>0.96444473826075272</v>
      </c>
      <c r="V274" s="682">
        <f t="shared" si="156"/>
        <v>-0.32903088539645736</v>
      </c>
      <c r="W274" s="683">
        <f t="shared" si="144"/>
        <v>-25.701543519000598</v>
      </c>
      <c r="X274" s="684">
        <f t="shared" si="145"/>
        <v>-121.82566083903683</v>
      </c>
      <c r="Y274" s="687">
        <f t="shared" si="146"/>
        <v>58.174339160963171</v>
      </c>
      <c r="AA274" s="170">
        <f t="shared" si="147"/>
        <v>17479.25</v>
      </c>
      <c r="AB274" s="170">
        <f t="shared" si="148"/>
        <v>305524180.5625</v>
      </c>
      <c r="AD274" s="686">
        <f t="shared" si="149"/>
        <v>17.077029250120109</v>
      </c>
      <c r="AE274" s="687">
        <f t="shared" si="150"/>
        <v>-9.4830390955082091</v>
      </c>
      <c r="AG274" s="686">
        <f t="shared" si="151"/>
        <v>-3.8733896432143382</v>
      </c>
      <c r="AH274" s="687">
        <f t="shared" si="152"/>
        <v>-74.638459575105983</v>
      </c>
      <c r="AJ274" s="170">
        <f t="shared" si="153"/>
        <v>0</v>
      </c>
      <c r="AK274" s="170">
        <f t="shared" si="133"/>
        <v>0</v>
      </c>
      <c r="AM274" s="170" t="str">
        <f t="shared" si="157"/>
        <v>0.112283424538976+0.460390357904846i</v>
      </c>
      <c r="AN274" s="170" t="str">
        <f t="shared" si="158"/>
        <v>0.478434880988251i</v>
      </c>
      <c r="AO274" s="170" t="str">
        <f t="shared" si="159"/>
        <v>0.962284265214667-0.234689043380458i</v>
      </c>
      <c r="AP274" s="170" t="str">
        <f t="shared" si="160"/>
        <v>0.147952762576837-0.0767317263174743i</v>
      </c>
      <c r="AQ274" s="170" t="str">
        <f t="shared" si="161"/>
        <v>0.852047237423163+0.0767317263174743i</v>
      </c>
      <c r="AR274" s="170" t="str">
        <f t="shared" si="162"/>
        <v>0.969780376600821-0.0873342687788503i</v>
      </c>
    </row>
    <row r="275" spans="7:44">
      <c r="G275" s="688">
        <v>17580.5</v>
      </c>
      <c r="H275" s="676">
        <f t="shared" si="154"/>
        <v>17.580500000000001</v>
      </c>
      <c r="I275" s="677">
        <f t="shared" si="134"/>
        <v>141.73968455521776</v>
      </c>
      <c r="J275" s="678">
        <f t="shared" si="135"/>
        <v>1.5637410811220411</v>
      </c>
      <c r="K275" s="678">
        <f t="shared" si="136"/>
        <v>1.000295238806592</v>
      </c>
      <c r="L275" s="679">
        <f t="shared" si="137"/>
        <v>2.4296756433466758E-2</v>
      </c>
      <c r="M275" s="678">
        <f t="shared" si="138"/>
        <v>1.0043125782106062</v>
      </c>
      <c r="N275" s="679">
        <f t="shared" si="139"/>
        <v>-9.2705301080248784E-2</v>
      </c>
      <c r="O275" s="677">
        <f t="shared" si="140"/>
        <v>729046.15850057581</v>
      </c>
      <c r="P275" s="680">
        <f t="shared" si="141"/>
        <v>1.5707949551396341</v>
      </c>
      <c r="Q275" s="689">
        <f t="shared" si="131"/>
        <v>29.178986993340171</v>
      </c>
      <c r="R275" s="690">
        <f t="shared" si="132"/>
        <v>1.5365183768195083</v>
      </c>
      <c r="S275" s="677">
        <f t="shared" si="142"/>
        <v>1.0087470061192223</v>
      </c>
      <c r="T275" s="680">
        <f t="shared" si="143"/>
        <v>0.13178558337917251</v>
      </c>
      <c r="U275" s="681">
        <f t="shared" si="155"/>
        <v>0.96405663559840993</v>
      </c>
      <c r="V275" s="682">
        <f t="shared" si="156"/>
        <v>-0.33087110204891862</v>
      </c>
      <c r="W275" s="683">
        <f t="shared" si="144"/>
        <v>-25.755669291818947</v>
      </c>
      <c r="X275" s="684">
        <f t="shared" si="145"/>
        <v>-121.98746394223552</v>
      </c>
      <c r="Y275" s="687">
        <f t="shared" si="146"/>
        <v>58.012536057764478</v>
      </c>
      <c r="AA275" s="170">
        <f t="shared" si="147"/>
        <v>17580.5</v>
      </c>
      <c r="AB275" s="170">
        <f t="shared" si="148"/>
        <v>309073980.25</v>
      </c>
      <c r="AD275" s="686">
        <f t="shared" si="149"/>
        <v>17.076108616596098</v>
      </c>
      <c r="AE275" s="687">
        <f t="shared" si="150"/>
        <v>-9.5146610130609055</v>
      </c>
      <c r="AG275" s="686">
        <f t="shared" si="151"/>
        <v>-3.9196027896907286</v>
      </c>
      <c r="AH275" s="687">
        <f t="shared" si="152"/>
        <v>-74.557767465359589</v>
      </c>
      <c r="AJ275" s="170">
        <f t="shared" si="153"/>
        <v>0</v>
      </c>
      <c r="AK275" s="170">
        <f t="shared" si="133"/>
        <v>0</v>
      </c>
      <c r="AM275" s="170" t="str">
        <f t="shared" si="157"/>
        <v>0.113562745637966+0.462848781006387i</v>
      </c>
      <c r="AN275" s="170" t="str">
        <f t="shared" si="158"/>
        <v>0.481206254571217i</v>
      </c>
      <c r="AO275" s="170" t="str">
        <f t="shared" si="159"/>
        <v>0.961851132668282-0.235995988329697i</v>
      </c>
      <c r="AP275" s="170" t="str">
        <f t="shared" si="160"/>
        <v>0.147739542393672-0.0771414635010645i</v>
      </c>
      <c r="AQ275" s="170" t="str">
        <f t="shared" si="161"/>
        <v>0.852260457606328+0.0771414635010645i</v>
      </c>
      <c r="AR275" s="170" t="str">
        <f t="shared" si="162"/>
        <v>0.969458184182974-0.0877494930845468i</v>
      </c>
    </row>
    <row r="276" spans="7:44">
      <c r="G276" s="688">
        <v>17681.75</v>
      </c>
      <c r="H276" s="676">
        <f t="shared" si="154"/>
        <v>17.681750000000001</v>
      </c>
      <c r="I276" s="677">
        <f t="shared" si="134"/>
        <v>142.55595432960712</v>
      </c>
      <c r="J276" s="678">
        <f t="shared" si="135"/>
        <v>1.5637814798451772</v>
      </c>
      <c r="K276" s="678">
        <f t="shared" si="136"/>
        <v>1.0002986487817243</v>
      </c>
      <c r="L276" s="679">
        <f t="shared" si="137"/>
        <v>2.4436631304197848E-2</v>
      </c>
      <c r="M276" s="678">
        <f t="shared" si="138"/>
        <v>1.0043622872531226</v>
      </c>
      <c r="N276" s="679">
        <f t="shared" si="139"/>
        <v>-9.3236131434418223E-2</v>
      </c>
      <c r="O276" s="677">
        <f t="shared" si="140"/>
        <v>733244.89707729698</v>
      </c>
      <c r="P276" s="680">
        <f t="shared" si="141"/>
        <v>1.5707949629940656</v>
      </c>
      <c r="Q276" s="689">
        <f t="shared" si="131"/>
        <v>29.346838442023586</v>
      </c>
      <c r="R276" s="690">
        <f t="shared" si="132"/>
        <v>1.5367145082960083</v>
      </c>
      <c r="S276" s="677">
        <f t="shared" si="142"/>
        <v>1.0088476050513353</v>
      </c>
      <c r="T276" s="680">
        <f t="shared" si="143"/>
        <v>0.1325357338054674</v>
      </c>
      <c r="U276" s="681">
        <f t="shared" si="155"/>
        <v>0.96366673615632337</v>
      </c>
      <c r="V276" s="682">
        <f t="shared" si="156"/>
        <v>-0.3327102445483216</v>
      </c>
      <c r="W276" s="683">
        <f t="shared" si="144"/>
        <v>-25.809525798487783</v>
      </c>
      <c r="X276" s="684">
        <f t="shared" si="145"/>
        <v>-122.14929721869059</v>
      </c>
      <c r="Y276" s="687">
        <f t="shared" si="146"/>
        <v>57.850702781309408</v>
      </c>
      <c r="AA276" s="170">
        <f t="shared" si="147"/>
        <v>17681.75</v>
      </c>
      <c r="AB276" s="170">
        <f t="shared" si="148"/>
        <v>312644283.0625</v>
      </c>
      <c r="AD276" s="686">
        <f t="shared" si="149"/>
        <v>17.075184194617808</v>
      </c>
      <c r="AE276" s="687">
        <f t="shared" si="150"/>
        <v>-9.5464044107164678</v>
      </c>
      <c r="AG276" s="686">
        <f t="shared" si="151"/>
        <v>-3.965507676143786</v>
      </c>
      <c r="AH276" s="687">
        <f t="shared" si="152"/>
        <v>-74.477107137640402</v>
      </c>
      <c r="AJ276" s="170">
        <f t="shared" si="153"/>
        <v>0</v>
      </c>
      <c r="AK276" s="170">
        <f t="shared" si="133"/>
        <v>0</v>
      </c>
      <c r="AM276" s="170" t="str">
        <f t="shared" si="157"/>
        <v>0.114848875024156+0.465303649194801i</v>
      </c>
      <c r="AN276" s="170" t="str">
        <f t="shared" si="158"/>
        <v>0.483977628154183i</v>
      </c>
      <c r="AO276" s="170" t="str">
        <f t="shared" si="159"/>
        <v>0.961415615365112-0.237302032869106i</v>
      </c>
      <c r="AP276" s="170" t="str">
        <f t="shared" si="160"/>
        <v>0.147525187495974-0.0775506081991335i</v>
      </c>
      <c r="AQ276" s="170" t="str">
        <f t="shared" si="161"/>
        <v>0.852474812504026+0.0775506081991335i</v>
      </c>
      <c r="AR276" s="170" t="str">
        <f t="shared" si="162"/>
        <v>0.969134655147343-0.0881632874439666i</v>
      </c>
    </row>
    <row r="277" spans="7:44">
      <c r="G277" s="688">
        <v>17783</v>
      </c>
      <c r="H277" s="676">
        <f t="shared" si="154"/>
        <v>17.783000000000001</v>
      </c>
      <c r="I277" s="677">
        <f t="shared" si="134"/>
        <v>143.37222433400666</v>
      </c>
      <c r="J277" s="678">
        <f t="shared" si="135"/>
        <v>1.5638214185592505</v>
      </c>
      <c r="K277" s="678">
        <f t="shared" si="136"/>
        <v>1.0003020783275451</v>
      </c>
      <c r="L277" s="679">
        <f t="shared" si="137"/>
        <v>2.4576505218540726E-2</v>
      </c>
      <c r="M277" s="678">
        <f t="shared" si="138"/>
        <v>1.0044122792776535</v>
      </c>
      <c r="N277" s="679">
        <f t="shared" si="139"/>
        <v>-9.3766909096721182E-2</v>
      </c>
      <c r="O277" s="677">
        <f t="shared" si="140"/>
        <v>737443.63565401803</v>
      </c>
      <c r="P277" s="680">
        <f t="shared" si="141"/>
        <v>1.5707949707590565</v>
      </c>
      <c r="Q277" s="689">
        <f t="shared" si="131"/>
        <v>29.514691006767897</v>
      </c>
      <c r="R277" s="690">
        <f t="shared" si="132"/>
        <v>1.5369084089470311</v>
      </c>
      <c r="S277" s="677">
        <f t="shared" si="142"/>
        <v>1.0089487715744905</v>
      </c>
      <c r="T277" s="680">
        <f t="shared" si="143"/>
        <v>0.13328573421971518</v>
      </c>
      <c r="U277" s="681">
        <f t="shared" si="155"/>
        <v>0.96327504674710063</v>
      </c>
      <c r="V277" s="682">
        <f t="shared" si="156"/>
        <v>-0.33454830846079159</v>
      </c>
      <c r="W277" s="683">
        <f t="shared" si="144"/>
        <v>-25.863116308348321</v>
      </c>
      <c r="X277" s="684">
        <f t="shared" si="145"/>
        <v>-122.31115859256715</v>
      </c>
      <c r="Y277" s="687">
        <f t="shared" si="146"/>
        <v>57.688841407432847</v>
      </c>
      <c r="AA277" s="170">
        <f t="shared" si="147"/>
        <v>17783</v>
      </c>
      <c r="AB277" s="170">
        <f t="shared" si="148"/>
        <v>316235089</v>
      </c>
      <c r="AD277" s="686">
        <f t="shared" si="149"/>
        <v>17.074255964078187</v>
      </c>
      <c r="AE277" s="687">
        <f t="shared" si="150"/>
        <v>-9.5782670250750979</v>
      </c>
      <c r="AG277" s="686">
        <f t="shared" si="151"/>
        <v>-4.0111076330677307</v>
      </c>
      <c r="AH277" s="687">
        <f t="shared" si="152"/>
        <v>-74.396479287597984</v>
      </c>
      <c r="AJ277" s="170">
        <f t="shared" si="153"/>
        <v>0</v>
      </c>
      <c r="AK277" s="170">
        <f t="shared" si="133"/>
        <v>0</v>
      </c>
      <c r="AM277" s="170" t="str">
        <f t="shared" si="157"/>
        <v>0.116141802819422+0.467754943615456i</v>
      </c>
      <c r="AN277" s="170" t="str">
        <f t="shared" si="158"/>
        <v>0.486749001737149i</v>
      </c>
      <c r="AO277" s="170" t="str">
        <f t="shared" si="159"/>
        <v>0.960977715303153-0.238607172084433i</v>
      </c>
      <c r="AP277" s="170" t="str">
        <f t="shared" si="160"/>
        <v>0.147309699530096-0.0779591572692427i</v>
      </c>
      <c r="AQ277" s="170" t="str">
        <f t="shared" si="161"/>
        <v>0.852690300469904+0.0779591572692427i</v>
      </c>
      <c r="AR277" s="170" t="str">
        <f t="shared" si="162"/>
        <v>0.968809797323527-0.088575647350399i</v>
      </c>
    </row>
    <row r="278" spans="7:44">
      <c r="G278" s="688">
        <v>17886.5</v>
      </c>
      <c r="H278" s="676">
        <f t="shared" si="154"/>
        <v>17.886500000000002</v>
      </c>
      <c r="I278" s="677">
        <f t="shared" si="134"/>
        <v>144.20663390550436</v>
      </c>
      <c r="J278" s="678">
        <f t="shared" si="135"/>
        <v>1.5638617774775425</v>
      </c>
      <c r="K278" s="678">
        <f t="shared" si="136"/>
        <v>1.0003056043131633</v>
      </c>
      <c r="L278" s="679">
        <f t="shared" si="137"/>
        <v>2.4719486447898651E-2</v>
      </c>
      <c r="M278" s="678">
        <f t="shared" si="138"/>
        <v>1.0044636746766882</v>
      </c>
      <c r="N278" s="679">
        <f t="shared" si="139"/>
        <v>-9.4309427053731243E-2</v>
      </c>
      <c r="O278" s="677">
        <f t="shared" si="140"/>
        <v>741735.6795324441</v>
      </c>
      <c r="P278" s="680">
        <f t="shared" si="141"/>
        <v>1.5707949786057402</v>
      </c>
      <c r="Q278" s="689">
        <f t="shared" si="131"/>
        <v>29.686274762333024</v>
      </c>
      <c r="R278" s="690">
        <f t="shared" si="132"/>
        <v>1.5371043521503249</v>
      </c>
      <c r="S278" s="677">
        <f t="shared" si="142"/>
        <v>1.0090527727157308</v>
      </c>
      <c r="T278" s="680">
        <f t="shared" si="143"/>
        <v>0.13405224542892108</v>
      </c>
      <c r="U278" s="681">
        <f t="shared" si="155"/>
        <v>0.96287281016489379</v>
      </c>
      <c r="V278" s="682">
        <f t="shared" si="156"/>
        <v>-0.33642609884241376</v>
      </c>
      <c r="W278" s="683">
        <f t="shared" si="144"/>
        <v>-25.917626134077221</v>
      </c>
      <c r="X278" s="684">
        <f t="shared" si="145"/>
        <v>-122.47664380861806</v>
      </c>
      <c r="Y278" s="687">
        <f t="shared" si="146"/>
        <v>57.523356191381936</v>
      </c>
      <c r="AA278" s="170">
        <f t="shared" si="147"/>
        <v>17886.5</v>
      </c>
      <c r="AB278" s="170">
        <f t="shared" si="148"/>
        <v>319926882.25</v>
      </c>
      <c r="AD278" s="686">
        <f t="shared" si="149"/>
        <v>17.073303149498017</v>
      </c>
      <c r="AE278" s="687">
        <f t="shared" si="150"/>
        <v>-9.610958613358271</v>
      </c>
      <c r="AG278" s="686">
        <f t="shared" si="151"/>
        <v>-4.0574091625571649</v>
      </c>
      <c r="AH278" s="687">
        <f t="shared" si="152"/>
        <v>-74.314093987765418</v>
      </c>
      <c r="AJ278" s="170">
        <f t="shared" si="153"/>
        <v>0</v>
      </c>
      <c r="AK278" s="170">
        <f t="shared" si="133"/>
        <v>0</v>
      </c>
      <c r="AM278" s="170" t="str">
        <f t="shared" si="157"/>
        <v>0.117470478704669+0.47025699786631i</v>
      </c>
      <c r="AN278" s="170" t="str">
        <f t="shared" si="158"/>
        <v>0.489581961399737i</v>
      </c>
      <c r="AO278" s="170" t="str">
        <f t="shared" si="159"/>
        <v>0.960527623448021-0.23994037355628i</v>
      </c>
      <c r="AP278" s="170" t="str">
        <f t="shared" si="160"/>
        <v>0.147088253549222-0.0783761663110517i</v>
      </c>
      <c r="AQ278" s="170" t="str">
        <f t="shared" si="161"/>
        <v>0.852911746450778+0.0783761663110517i</v>
      </c>
      <c r="AR278" s="170" t="str">
        <f t="shared" si="162"/>
        <v>0.968476355194395-0.0889956835497958i</v>
      </c>
    </row>
    <row r="279" spans="7:44">
      <c r="G279" s="688">
        <v>17990</v>
      </c>
      <c r="H279" s="676">
        <f t="shared" si="154"/>
        <v>17.989999999999998</v>
      </c>
      <c r="I279" s="677">
        <f t="shared" si="134"/>
        <v>145.04104370918935</v>
      </c>
      <c r="J279" s="678">
        <f t="shared" si="135"/>
        <v>1.5639016720324854</v>
      </c>
      <c r="K279" s="678">
        <f t="shared" si="136"/>
        <v>1.0003091507485165</v>
      </c>
      <c r="L279" s="679">
        <f t="shared" si="137"/>
        <v>2.4862466666345649E-2</v>
      </c>
      <c r="M279" s="678">
        <f t="shared" si="138"/>
        <v>1.0045153656849277</v>
      </c>
      <c r="N279" s="679">
        <f t="shared" si="139"/>
        <v>-9.4851889335901024E-2</v>
      </c>
      <c r="O279" s="677">
        <f t="shared" si="140"/>
        <v>746027.7234108703</v>
      </c>
      <c r="P279" s="680">
        <f t="shared" si="141"/>
        <v>1.5707949863621371</v>
      </c>
      <c r="Q279" s="689">
        <f t="shared" ref="Q279:Q342" si="163">SQRT(1+(G279/Zero2)^2)</f>
        <v>29.857859644565441</v>
      </c>
      <c r="R279" s="690">
        <f t="shared" ref="R279:R342" si="164">ATAN(G279/Zero2)</f>
        <v>1.5372980432979186</v>
      </c>
      <c r="S279" s="677">
        <f t="shared" si="142"/>
        <v>1.0091573665928659</v>
      </c>
      <c r="T279" s="680">
        <f t="shared" si="143"/>
        <v>0.13481859819856506</v>
      </c>
      <c r="U279" s="681">
        <f t="shared" si="155"/>
        <v>0.96246871762554176</v>
      </c>
      <c r="V279" s="682">
        <f t="shared" si="156"/>
        <v>-0.33830275288145184</v>
      </c>
      <c r="W279" s="683">
        <f t="shared" si="144"/>
        <v>-25.971864737828465</v>
      </c>
      <c r="X279" s="684">
        <f t="shared" si="145"/>
        <v>-122.6421541291579</v>
      </c>
      <c r="Y279" s="687">
        <f t="shared" si="146"/>
        <v>57.357845870842098</v>
      </c>
      <c r="AA279" s="170">
        <f t="shared" si="147"/>
        <v>17990</v>
      </c>
      <c r="AB279" s="170">
        <f t="shared" si="148"/>
        <v>323640100</v>
      </c>
      <c r="AD279" s="686">
        <f t="shared" si="149"/>
        <v>17.072346314815871</v>
      </c>
      <c r="AE279" s="687">
        <f t="shared" si="150"/>
        <v>-9.643770151837165</v>
      </c>
      <c r="AG279" s="686">
        <f t="shared" si="151"/>
        <v>-4.1033989198948326</v>
      </c>
      <c r="AH279" s="687">
        <f t="shared" si="152"/>
        <v>-74.231744057494538</v>
      </c>
      <c r="AJ279" s="170">
        <f t="shared" si="153"/>
        <v>0</v>
      </c>
      <c r="AK279" s="170">
        <f t="shared" ref="AK279:AK342" si="165">IF(AJ279&gt;0,Y279,0)</f>
        <v>0</v>
      </c>
      <c r="AM279" s="170" t="str">
        <f t="shared" si="157"/>
        <v>0.118806237467454+0.472755277996697i</v>
      </c>
      <c r="AN279" s="170" t="str">
        <f t="shared" si="158"/>
        <v>0.492414921062324i</v>
      </c>
      <c r="AO279" s="170" t="str">
        <f t="shared" si="159"/>
        <v>0.960075046013606-0.241272618650841i</v>
      </c>
      <c r="AP279" s="170" t="str">
        <f t="shared" si="160"/>
        <v>0.146865627088758-0.0787925463327828i</v>
      </c>
      <c r="AQ279" s="170" t="str">
        <f t="shared" si="161"/>
        <v>0.853134372911242+0.0787925463327828i</v>
      </c>
      <c r="AR279" s="170" t="str">
        <f t="shared" si="162"/>
        <v>0.968141541151236-0.0894142114770785i</v>
      </c>
    </row>
    <row r="280" spans="7:44">
      <c r="G280" s="688">
        <v>18093.5</v>
      </c>
      <c r="H280" s="676">
        <f t="shared" si="154"/>
        <v>18.093499999999999</v>
      </c>
      <c r="I280" s="677">
        <f t="shared" si="134"/>
        <v>145.87545374107725</v>
      </c>
      <c r="J280" s="678">
        <f t="shared" si="135"/>
        <v>1.5639411101924492</v>
      </c>
      <c r="K280" s="678">
        <f t="shared" si="136"/>
        <v>1.0003127176333877</v>
      </c>
      <c r="L280" s="679">
        <f t="shared" si="137"/>
        <v>2.5005445868046518E-2</v>
      </c>
      <c r="M280" s="678">
        <f t="shared" si="138"/>
        <v>1.0045673522567393</v>
      </c>
      <c r="N280" s="679">
        <f t="shared" si="139"/>
        <v>-9.5394295632593995E-2</v>
      </c>
      <c r="O280" s="677">
        <f t="shared" si="140"/>
        <v>750319.76728929637</v>
      </c>
      <c r="P280" s="680">
        <f t="shared" si="141"/>
        <v>1.5707949940297963</v>
      </c>
      <c r="Q280" s="689">
        <f t="shared" si="163"/>
        <v>30.029445634152193</v>
      </c>
      <c r="R280" s="690">
        <f t="shared" si="164"/>
        <v>1.5374895209793829</v>
      </c>
      <c r="S280" s="677">
        <f t="shared" si="142"/>
        <v>1.0092625530216133</v>
      </c>
      <c r="T280" s="680">
        <f t="shared" si="143"/>
        <v>0.13558479167789414</v>
      </c>
      <c r="U280" s="681">
        <f t="shared" si="155"/>
        <v>0.96206277645835092</v>
      </c>
      <c r="V280" s="682">
        <f t="shared" si="156"/>
        <v>-0.34017826592643541</v>
      </c>
      <c r="W280" s="683">
        <f t="shared" si="144"/>
        <v>-26.025835431962449</v>
      </c>
      <c r="X280" s="684">
        <f t="shared" si="145"/>
        <v>-122.8076874670919</v>
      </c>
      <c r="Y280" s="687">
        <f t="shared" si="146"/>
        <v>57.192312532908105</v>
      </c>
      <c r="AA280" s="170">
        <f t="shared" si="147"/>
        <v>18093.5</v>
      </c>
      <c r="AB280" s="170">
        <f t="shared" si="148"/>
        <v>327374742.25</v>
      </c>
      <c r="AD280" s="686">
        <f t="shared" si="149"/>
        <v>17.071385440633247</v>
      </c>
      <c r="AE280" s="687">
        <f t="shared" si="150"/>
        <v>-9.6766993808364496</v>
      </c>
      <c r="AG280" s="686">
        <f t="shared" si="151"/>
        <v>-4.1490802856413174</v>
      </c>
      <c r="AH280" s="687">
        <f t="shared" si="152"/>
        <v>-74.149430202385091</v>
      </c>
      <c r="AJ280" s="170">
        <f t="shared" si="153"/>
        <v>0</v>
      </c>
      <c r="AK280" s="170">
        <f t="shared" si="165"/>
        <v>0</v>
      </c>
      <c r="AM280" s="170" t="str">
        <f t="shared" si="157"/>
        <v>0.120149068387437+0.475249763956286i</v>
      </c>
      <c r="AN280" s="170" t="str">
        <f t="shared" si="158"/>
        <v>0.495247880724912i</v>
      </c>
      <c r="AO280" s="170" t="str">
        <f t="shared" si="159"/>
        <v>0.959619985169136-0.242603902133959i</v>
      </c>
      <c r="AP280" s="170" t="str">
        <f t="shared" si="160"/>
        <v>0.146641821935427-0.0792082939927143i</v>
      </c>
      <c r="AQ280" s="170" t="str">
        <f t="shared" si="161"/>
        <v>0.853358178064573+0.0792082939927143i</v>
      </c>
      <c r="AR280" s="170" t="str">
        <f t="shared" si="162"/>
        <v>0.967805363599907-0.0898312264864081i</v>
      </c>
    </row>
    <row r="281" spans="7:44">
      <c r="G281" s="688">
        <v>18197</v>
      </c>
      <c r="H281" s="676">
        <f t="shared" si="154"/>
        <v>18.196999999999999</v>
      </c>
      <c r="I281" s="677">
        <f t="shared" si="134"/>
        <v>146.70986399727434</v>
      </c>
      <c r="J281" s="678">
        <f t="shared" si="135"/>
        <v>1.5639800997445299</v>
      </c>
      <c r="K281" s="678">
        <f t="shared" si="136"/>
        <v>1.0003163049675576</v>
      </c>
      <c r="L281" s="679">
        <f t="shared" si="137"/>
        <v>2.5148424047166294E-2</v>
      </c>
      <c r="M281" s="678">
        <f t="shared" si="138"/>
        <v>1.004619634346239</v>
      </c>
      <c r="N281" s="679">
        <f t="shared" si="139"/>
        <v>-9.5936645633369538E-2</v>
      </c>
      <c r="O281" s="677">
        <f t="shared" si="140"/>
        <v>754611.81116772268</v>
      </c>
      <c r="P281" s="680">
        <f t="shared" si="141"/>
        <v>1.5707950016102319</v>
      </c>
      <c r="Q281" s="689">
        <f t="shared" si="163"/>
        <v>30.201032712219117</v>
      </c>
      <c r="R281" s="690">
        <f t="shared" si="164"/>
        <v>1.5376788229079597</v>
      </c>
      <c r="S281" s="677">
        <f t="shared" si="142"/>
        <v>1.0093683318167228</v>
      </c>
      <c r="T281" s="680">
        <f t="shared" si="143"/>
        <v>0.13635082501725704</v>
      </c>
      <c r="U281" s="681">
        <f t="shared" si="155"/>
        <v>0.96165499400960686</v>
      </c>
      <c r="V281" s="682">
        <f t="shared" si="156"/>
        <v>-0.34205263335450609</v>
      </c>
      <c r="W281" s="683">
        <f t="shared" si="144"/>
        <v>-26.079541470982889</v>
      </c>
      <c r="X281" s="684">
        <f t="shared" si="145"/>
        <v>-122.97324177686063</v>
      </c>
      <c r="Y281" s="687">
        <f t="shared" si="146"/>
        <v>57.026758223139367</v>
      </c>
      <c r="AA281" s="170">
        <f t="shared" si="147"/>
        <v>18197</v>
      </c>
      <c r="AB281" s="170">
        <f t="shared" si="148"/>
        <v>331130809</v>
      </c>
      <c r="AD281" s="686">
        <f t="shared" si="149"/>
        <v>17.070420508206428</v>
      </c>
      <c r="AE281" s="687">
        <f t="shared" si="150"/>
        <v>-9.709744090951844</v>
      </c>
      <c r="AG281" s="686">
        <f t="shared" si="151"/>
        <v>-4.1944565834182672</v>
      </c>
      <c r="AH281" s="687">
        <f t="shared" si="152"/>
        <v>-74.067153116022496</v>
      </c>
      <c r="AJ281" s="170">
        <f t="shared" si="153"/>
        <v>0</v>
      </c>
      <c r="AK281" s="170">
        <f t="shared" si="165"/>
        <v>0</v>
      </c>
      <c r="AM281" s="170" t="str">
        <f t="shared" si="157"/>
        <v>0.121498960687521+0.477740435725191i</v>
      </c>
      <c r="AN281" s="170" t="str">
        <f t="shared" si="158"/>
        <v>0.498080840387499i</v>
      </c>
      <c r="AO281" s="170" t="str">
        <f t="shared" si="159"/>
        <v>0.959162443095616-0.243934218776608i</v>
      </c>
      <c r="AP281" s="170" t="str">
        <f t="shared" si="160"/>
        <v>0.146416839885413-0.0796234059541985i</v>
      </c>
      <c r="AQ281" s="170" t="str">
        <f t="shared" si="161"/>
        <v>0.853583160114587+0.0796234059541985i</v>
      </c>
      <c r="AR281" s="170" t="str">
        <f t="shared" si="162"/>
        <v>0.967467830959744-0.0902467239885502i</v>
      </c>
    </row>
    <row r="282" spans="7:44">
      <c r="G282" s="688">
        <v>18303</v>
      </c>
      <c r="H282" s="676">
        <f t="shared" si="154"/>
        <v>18.303000000000001</v>
      </c>
      <c r="I282" s="677">
        <f t="shared" si="134"/>
        <v>147.5644293191036</v>
      </c>
      <c r="J282" s="678">
        <f t="shared" si="135"/>
        <v>1.5640195740319287</v>
      </c>
      <c r="K282" s="678">
        <f t="shared" si="136"/>
        <v>1.0003200001482624</v>
      </c>
      <c r="L282" s="679">
        <f t="shared" si="137"/>
        <v>2.5294854739465928E-2</v>
      </c>
      <c r="M282" s="678">
        <f t="shared" si="138"/>
        <v>1.0046734855509953</v>
      </c>
      <c r="N282" s="679">
        <f t="shared" si="139"/>
        <v>-9.6492037199499489E-2</v>
      </c>
      <c r="O282" s="677">
        <f t="shared" si="140"/>
        <v>759007.52760359889</v>
      </c>
      <c r="P282" s="680">
        <f t="shared" si="141"/>
        <v>1.5707950092849068</v>
      </c>
      <c r="Q282" s="689">
        <f t="shared" si="163"/>
        <v>30.376765514660782</v>
      </c>
      <c r="R282" s="690">
        <f t="shared" si="164"/>
        <v>1.537870480638001</v>
      </c>
      <c r="S282" s="677">
        <f t="shared" si="142"/>
        <v>1.0094772794623341</v>
      </c>
      <c r="T282" s="680">
        <f t="shared" si="143"/>
        <v>0.13713519470191143</v>
      </c>
      <c r="U282" s="681">
        <f t="shared" si="155"/>
        <v>0.9612354609048579</v>
      </c>
      <c r="V282" s="682">
        <f t="shared" si="156"/>
        <v>-0.34397108309900476</v>
      </c>
      <c r="W282" s="683">
        <f t="shared" si="144"/>
        <v>-26.134273777154853</v>
      </c>
      <c r="X282" s="684">
        <f t="shared" si="145"/>
        <v>-123.14281462593853</v>
      </c>
      <c r="Y282" s="687">
        <f t="shared" si="146"/>
        <v>56.857185374061473</v>
      </c>
      <c r="AA282" s="170">
        <f t="shared" si="147"/>
        <v>18303</v>
      </c>
      <c r="AB282" s="170">
        <f t="shared" si="148"/>
        <v>334999809</v>
      </c>
      <c r="AD282" s="686">
        <f t="shared" si="149"/>
        <v>17.069428042847893</v>
      </c>
      <c r="AE282" s="687">
        <f t="shared" si="150"/>
        <v>-9.7437044241834165</v>
      </c>
      <c r="AG282" s="686">
        <f t="shared" si="151"/>
        <v>-4.2406161311455843</v>
      </c>
      <c r="AH282" s="687">
        <f t="shared" si="152"/>
        <v>-73.982927484482204</v>
      </c>
      <c r="AJ282" s="170">
        <f t="shared" si="153"/>
        <v>0</v>
      </c>
      <c r="AK282" s="170">
        <f t="shared" si="165"/>
        <v>0</v>
      </c>
      <c r="AM282" s="170" t="str">
        <f t="shared" si="157"/>
        <v>0.122888767048748+0.480287294263271i</v>
      </c>
      <c r="AN282" s="170" t="str">
        <f t="shared" si="158"/>
        <v>0.500982229027444i</v>
      </c>
      <c r="AO282" s="170" t="str">
        <f t="shared" si="159"/>
        <v>0.958691279719945-0.245295661060297i</v>
      </c>
      <c r="AP282" s="170" t="str">
        <f t="shared" si="160"/>
        <v>0.146185205491875-0.0800478823772118i</v>
      </c>
      <c r="AQ282" s="170" t="str">
        <f t="shared" si="161"/>
        <v>0.853814794508125+0.0800478823772118i</v>
      </c>
      <c r="AR282" s="170" t="str">
        <f t="shared" si="162"/>
        <v>0.967120749586492-0.090670679994552i</v>
      </c>
    </row>
    <row r="283" spans="7:44">
      <c r="G283" s="688">
        <v>18409</v>
      </c>
      <c r="H283" s="676">
        <f t="shared" si="154"/>
        <v>18.408999999999999</v>
      </c>
      <c r="I283" s="677">
        <f t="shared" si="134"/>
        <v>148.41899486822274</v>
      </c>
      <c r="J283" s="678">
        <f t="shared" si="135"/>
        <v>1.5640585937499965</v>
      </c>
      <c r="K283" s="678">
        <f t="shared" si="136"/>
        <v>1.0003237167776178</v>
      </c>
      <c r="L283" s="679">
        <f t="shared" si="137"/>
        <v>2.5441284346800298E-2</v>
      </c>
      <c r="M283" s="678">
        <f t="shared" si="138"/>
        <v>1.0047276466238497</v>
      </c>
      <c r="N283" s="679">
        <f t="shared" si="139"/>
        <v>-9.7047369058788108E-2</v>
      </c>
      <c r="O283" s="677">
        <f t="shared" si="140"/>
        <v>763403.24403947499</v>
      </c>
      <c r="P283" s="680">
        <f t="shared" si="141"/>
        <v>1.5707950168711993</v>
      </c>
      <c r="Q283" s="689">
        <f t="shared" si="163"/>
        <v>30.552499420086583</v>
      </c>
      <c r="R283" s="690">
        <f t="shared" si="164"/>
        <v>1.538059933595487</v>
      </c>
      <c r="S283" s="677">
        <f t="shared" si="142"/>
        <v>1.0095868480402439</v>
      </c>
      <c r="T283" s="680">
        <f t="shared" si="143"/>
        <v>0.13791939461658831</v>
      </c>
      <c r="U283" s="681">
        <f t="shared" si="155"/>
        <v>0.96081401214364637</v>
      </c>
      <c r="V283" s="682">
        <f t="shared" si="156"/>
        <v>-0.34588832149165305</v>
      </c>
      <c r="W283" s="683">
        <f t="shared" si="144"/>
        <v>-26.188735217899715</v>
      </c>
      <c r="X283" s="684">
        <f t="shared" si="145"/>
        <v>-123.31240525797284</v>
      </c>
      <c r="Y283" s="687">
        <f t="shared" si="146"/>
        <v>56.687594742027159</v>
      </c>
      <c r="AA283" s="170">
        <f t="shared" si="147"/>
        <v>18409</v>
      </c>
      <c r="AB283" s="170">
        <f t="shared" si="148"/>
        <v>338891281</v>
      </c>
      <c r="AD283" s="686">
        <f t="shared" si="149"/>
        <v>17.068431283044241</v>
      </c>
      <c r="AE283" s="687">
        <f t="shared" si="150"/>
        <v>-9.7777813494101729</v>
      </c>
      <c r="AG283" s="686">
        <f t="shared" si="151"/>
        <v>-4.2864625742880653</v>
      </c>
      <c r="AH283" s="687">
        <f t="shared" si="152"/>
        <v>-73.898741854600274</v>
      </c>
      <c r="AJ283" s="170">
        <f t="shared" si="153"/>
        <v>0</v>
      </c>
      <c r="AK283" s="170">
        <f t="shared" si="165"/>
        <v>0</v>
      </c>
      <c r="AM283" s="170" t="str">
        <f t="shared" si="157"/>
        <v>0.124285956976307+0.482830109718829i</v>
      </c>
      <c r="AN283" s="170" t="str">
        <f t="shared" si="158"/>
        <v>0.503883617667389i</v>
      </c>
      <c r="AO283" s="170" t="str">
        <f t="shared" si="159"/>
        <v>0.958217518469796-0.246656078146894i</v>
      </c>
      <c r="AP283" s="170" t="str">
        <f t="shared" si="160"/>
        <v>0.145952340503949-0.0804716849531382i</v>
      </c>
      <c r="AQ283" s="170" t="str">
        <f t="shared" si="161"/>
        <v>0.854047659496051+0.0804716849531382i</v>
      </c>
      <c r="AR283" s="170" t="str">
        <f t="shared" si="162"/>
        <v>0.966772264787232-0.0910930347368392i</v>
      </c>
    </row>
    <row r="284" spans="7:44">
      <c r="G284" s="688">
        <v>18515</v>
      </c>
      <c r="H284" s="676">
        <f t="shared" si="154"/>
        <v>18.515000000000001</v>
      </c>
      <c r="I284" s="677">
        <f t="shared" si="134"/>
        <v>149.27356064072819</v>
      </c>
      <c r="J284" s="678">
        <f t="shared" si="135"/>
        <v>1.5640971667056096</v>
      </c>
      <c r="K284" s="678">
        <f t="shared" si="136"/>
        <v>1.0003274548553844</v>
      </c>
      <c r="L284" s="679">
        <f t="shared" si="137"/>
        <v>2.5587712862902151E-2</v>
      </c>
      <c r="M284" s="678">
        <f t="shared" si="138"/>
        <v>1.0047821175146936</v>
      </c>
      <c r="N284" s="679">
        <f t="shared" si="139"/>
        <v>-9.7602640878396943E-2</v>
      </c>
      <c r="O284" s="677">
        <f t="shared" si="140"/>
        <v>767798.96047535131</v>
      </c>
      <c r="P284" s="680">
        <f t="shared" si="141"/>
        <v>1.5707950243706275</v>
      </c>
      <c r="Q284" s="689">
        <f t="shared" si="163"/>
        <v>30.728234409572703</v>
      </c>
      <c r="R284" s="690">
        <f t="shared" si="164"/>
        <v>1.5382472195940287</v>
      </c>
      <c r="S284" s="677">
        <f t="shared" si="142"/>
        <v>1.0096970373483085</v>
      </c>
      <c r="T284" s="680">
        <f t="shared" si="143"/>
        <v>0.13870342385219575</v>
      </c>
      <c r="U284" s="681">
        <f t="shared" si="155"/>
        <v>0.96039065567072668</v>
      </c>
      <c r="V284" s="682">
        <f t="shared" si="156"/>
        <v>-0.34780434366005164</v>
      </c>
      <c r="W284" s="683">
        <f t="shared" si="144"/>
        <v>-26.24292910910841</v>
      </c>
      <c r="X284" s="684">
        <f t="shared" si="145"/>
        <v>-123.48201160382493</v>
      </c>
      <c r="Y284" s="687">
        <f t="shared" si="146"/>
        <v>56.51798839617507</v>
      </c>
      <c r="AA284" s="170">
        <f t="shared" si="147"/>
        <v>18515</v>
      </c>
      <c r="AB284" s="170">
        <f t="shared" si="148"/>
        <v>342805225</v>
      </c>
      <c r="AD284" s="686">
        <f t="shared" si="149"/>
        <v>17.067430210657385</v>
      </c>
      <c r="AE284" s="687">
        <f t="shared" si="150"/>
        <v>-9.8119726480716789</v>
      </c>
      <c r="AG284" s="686">
        <f t="shared" si="151"/>
        <v>-4.3319993058174591</v>
      </c>
      <c r="AH284" s="687">
        <f t="shared" si="152"/>
        <v>-73.814596934134499</v>
      </c>
      <c r="AJ284" s="170">
        <f t="shared" si="153"/>
        <v>0</v>
      </c>
      <c r="AK284" s="170">
        <f t="shared" si="165"/>
        <v>0</v>
      </c>
      <c r="AM284" s="170" t="str">
        <f t="shared" si="157"/>
        <v>0.125690518708583+0.485368860686317i</v>
      </c>
      <c r="AN284" s="170" t="str">
        <f t="shared" si="158"/>
        <v>0.506785006307334i</v>
      </c>
      <c r="AO284" s="170" t="str">
        <f t="shared" si="159"/>
        <v>0.95774116172642-0.248015464436135i</v>
      </c>
      <c r="AP284" s="170" t="str">
        <f t="shared" si="160"/>
        <v>0.145718246881903-0.0808948101143862i</v>
      </c>
      <c r="AQ284" s="170" t="str">
        <f t="shared" si="161"/>
        <v>0.854281753118097+0.0808948101143862i</v>
      </c>
      <c r="AR284" s="170" t="str">
        <f t="shared" si="162"/>
        <v>0.966422385647295-0.0915137834700099i</v>
      </c>
    </row>
    <row r="285" spans="7:44">
      <c r="G285" s="688">
        <v>18621</v>
      </c>
      <c r="H285" s="676">
        <f t="shared" si="154"/>
        <v>18.620999999999999</v>
      </c>
      <c r="I285" s="677">
        <f t="shared" si="134"/>
        <v>150.12812663280525</v>
      </c>
      <c r="J285" s="678">
        <f t="shared" si="135"/>
        <v>1.5641353005278957</v>
      </c>
      <c r="K285" s="678">
        <f t="shared" si="136"/>
        <v>1.0003312143813219</v>
      </c>
      <c r="L285" s="679">
        <f t="shared" si="137"/>
        <v>2.5734140281504524E-2</v>
      </c>
      <c r="M285" s="678">
        <f t="shared" si="138"/>
        <v>1.0048368981731426</v>
      </c>
      <c r="N285" s="679">
        <f t="shared" si="139"/>
        <v>-9.8157852325707645E-2</v>
      </c>
      <c r="O285" s="677">
        <f t="shared" si="140"/>
        <v>772194.67691122752</v>
      </c>
      <c r="P285" s="680">
        <f t="shared" si="141"/>
        <v>1.5707950317846746</v>
      </c>
      <c r="Q285" s="689">
        <f t="shared" si="163"/>
        <v>30.903970464625676</v>
      </c>
      <c r="R285" s="690">
        <f t="shared" si="164"/>
        <v>1.5384323755877425</v>
      </c>
      <c r="S285" s="677">
        <f t="shared" si="142"/>
        <v>1.0098078471833272</v>
      </c>
      <c r="T285" s="680">
        <f t="shared" si="143"/>
        <v>0.13948728150087686</v>
      </c>
      <c r="U285" s="681">
        <f t="shared" si="155"/>
        <v>0.95996539944804449</v>
      </c>
      <c r="V285" s="682">
        <f t="shared" si="156"/>
        <v>-0.34971914476347304</v>
      </c>
      <c r="W285" s="683">
        <f t="shared" si="144"/>
        <v>-26.296858708640801</v>
      </c>
      <c r="X285" s="684">
        <f t="shared" si="145"/>
        <v>-123.65163163531354</v>
      </c>
      <c r="Y285" s="687">
        <f t="shared" si="146"/>
        <v>56.348368364686465</v>
      </c>
      <c r="AA285" s="170">
        <f t="shared" si="147"/>
        <v>18621</v>
      </c>
      <c r="AB285" s="170">
        <f t="shared" si="148"/>
        <v>346741641</v>
      </c>
      <c r="AD285" s="686">
        <f t="shared" si="149"/>
        <v>17.066424808178919</v>
      </c>
      <c r="AE285" s="687">
        <f t="shared" si="150"/>
        <v>-9.8462761509216143</v>
      </c>
      <c r="AG285" s="686">
        <f t="shared" si="151"/>
        <v>-4.377229661578462</v>
      </c>
      <c r="AH285" s="687">
        <f t="shared" si="152"/>
        <v>-73.730493418856383</v>
      </c>
      <c r="AJ285" s="170">
        <f t="shared" si="153"/>
        <v>0</v>
      </c>
      <c r="AK285" s="170">
        <f t="shared" si="165"/>
        <v>0</v>
      </c>
      <c r="AM285" s="170" t="str">
        <f t="shared" si="157"/>
        <v>0.127102440421906+0.487903525794401i</v>
      </c>
      <c r="AN285" s="170" t="str">
        <f t="shared" si="158"/>
        <v>0.509686394947278i</v>
      </c>
      <c r="AO285" s="170" t="str">
        <f t="shared" si="159"/>
        <v>0.957262211883976-0.249373814333525i</v>
      </c>
      <c r="AP285" s="170" t="str">
        <f t="shared" si="160"/>
        <v>0.145482926596349-0.0813172542990668i</v>
      </c>
      <c r="AQ285" s="170" t="str">
        <f t="shared" si="161"/>
        <v>0.854517073403651+0.0813172542990668i</v>
      </c>
      <c r="AR285" s="170" t="str">
        <f t="shared" si="162"/>
        <v>0.966071121264879-0.0919329215108285i</v>
      </c>
    </row>
    <row r="286" spans="7:44">
      <c r="G286" s="688">
        <v>18729.5</v>
      </c>
      <c r="H286" s="676">
        <f t="shared" si="154"/>
        <v>18.729500000000002</v>
      </c>
      <c r="I286" s="677">
        <f t="shared" si="134"/>
        <v>151.00284770669541</v>
      </c>
      <c r="J286" s="678">
        <f t="shared" si="135"/>
        <v>1.5641738867238864</v>
      </c>
      <c r="K286" s="678">
        <f t="shared" si="136"/>
        <v>1.000335084787987</v>
      </c>
      <c r="L286" s="679">
        <f t="shared" si="137"/>
        <v>2.5884020033788212E-2</v>
      </c>
      <c r="M286" s="678">
        <f t="shared" si="138"/>
        <v>1.0048932915878912</v>
      </c>
      <c r="N286" s="679">
        <f t="shared" si="139"/>
        <v>-9.8726095510769218E-2</v>
      </c>
      <c r="O286" s="677">
        <f t="shared" si="140"/>
        <v>776694.06590455386</v>
      </c>
      <c r="P286" s="680">
        <f t="shared" si="141"/>
        <v>1.5707950392866692</v>
      </c>
      <c r="Q286" s="689">
        <f t="shared" si="163"/>
        <v>31.083852322653893</v>
      </c>
      <c r="R286" s="690">
        <f t="shared" si="164"/>
        <v>1.5386197302127087</v>
      </c>
      <c r="S286" s="677">
        <f t="shared" si="142"/>
        <v>1.0099219128967856</v>
      </c>
      <c r="T286" s="680">
        <f t="shared" si="143"/>
        <v>0.14028944770699631</v>
      </c>
      <c r="U286" s="681">
        <f t="shared" si="155"/>
        <v>0.95952815443952777</v>
      </c>
      <c r="V286" s="682">
        <f t="shared" si="156"/>
        <v>-0.35167783664819313</v>
      </c>
      <c r="W286" s="683">
        <f t="shared" si="144"/>
        <v>-26.351789858578002</v>
      </c>
      <c r="X286" s="684">
        <f t="shared" si="145"/>
        <v>-123.82526423767992</v>
      </c>
      <c r="Y286" s="687">
        <f t="shared" si="146"/>
        <v>56.174735762320083</v>
      </c>
      <c r="AA286" s="170">
        <f t="shared" si="147"/>
        <v>18729.5</v>
      </c>
      <c r="AB286" s="170">
        <f t="shared" si="148"/>
        <v>350794170.25</v>
      </c>
      <c r="AD286" s="686">
        <f t="shared" si="149"/>
        <v>17.065391191258719</v>
      </c>
      <c r="AE286" s="687">
        <f t="shared" si="150"/>
        <v>-9.8815026895903291</v>
      </c>
      <c r="AG286" s="686">
        <f t="shared" si="151"/>
        <v>-4.4232128946036333</v>
      </c>
      <c r="AH286" s="687">
        <f t="shared" si="152"/>
        <v>-73.644449925575586</v>
      </c>
      <c r="AJ286" s="170">
        <f t="shared" si="153"/>
        <v>0</v>
      </c>
      <c r="AK286" s="170">
        <f t="shared" si="165"/>
        <v>0</v>
      </c>
      <c r="AM286" s="170" t="str">
        <f t="shared" si="157"/>
        <v>0.128555272173791+0.490493716926022i</v>
      </c>
      <c r="AN286" s="170" t="str">
        <f t="shared" si="158"/>
        <v>0.51265621256458i</v>
      </c>
      <c r="AO286" s="170" t="str">
        <f t="shared" si="159"/>
        <v>0.956769283009974-0.250763121606757i</v>
      </c>
      <c r="AP286" s="170" t="str">
        <f t="shared" si="160"/>
        <v>0.145240787971035-0.0817489528210037i</v>
      </c>
      <c r="AQ286" s="170" t="str">
        <f t="shared" si="161"/>
        <v>0.854759212028965+0.0817489528210037i</v>
      </c>
      <c r="AR286" s="170" t="str">
        <f t="shared" si="162"/>
        <v>0.96571014722084-0.0923602719373158i</v>
      </c>
    </row>
    <row r="287" spans="7:44">
      <c r="G287" s="688">
        <v>18838</v>
      </c>
      <c r="H287" s="676">
        <f t="shared" si="154"/>
        <v>18.838000000000001</v>
      </c>
      <c r="I287" s="677">
        <f t="shared" si="134"/>
        <v>151.87756900282312</v>
      </c>
      <c r="J287" s="678">
        <f t="shared" si="135"/>
        <v>1.5642120284544656</v>
      </c>
      <c r="K287" s="678">
        <f t="shared" si="136"/>
        <v>1.0003389776659455</v>
      </c>
      <c r="L287" s="679">
        <f t="shared" si="137"/>
        <v>2.6033898622907007E-2</v>
      </c>
      <c r="M287" s="678">
        <f t="shared" si="138"/>
        <v>1.0049500094465245</v>
      </c>
      <c r="N287" s="679">
        <f t="shared" si="139"/>
        <v>-9.9294274737706939E-2</v>
      </c>
      <c r="O287" s="677">
        <f t="shared" si="140"/>
        <v>781193.45489788009</v>
      </c>
      <c r="P287" s="680">
        <f t="shared" si="141"/>
        <v>1.5707950467022465</v>
      </c>
      <c r="Q287" s="689">
        <f t="shared" si="163"/>
        <v>31.263735259224191</v>
      </c>
      <c r="R287" s="690">
        <f t="shared" si="164"/>
        <v>1.5388049288701173</v>
      </c>
      <c r="S287" s="677">
        <f t="shared" si="142"/>
        <v>1.0100366283183024</v>
      </c>
      <c r="T287" s="680">
        <f t="shared" si="143"/>
        <v>0.14109143221620568</v>
      </c>
      <c r="U287" s="681">
        <f t="shared" si="155"/>
        <v>0.95908893594786138</v>
      </c>
      <c r="V287" s="682">
        <f t="shared" si="156"/>
        <v>-0.35363523902999883</v>
      </c>
      <c r="W287" s="683">
        <f t="shared" si="144"/>
        <v>-26.406450829846779</v>
      </c>
      <c r="X287" s="684">
        <f t="shared" si="145"/>
        <v>-123.99890700551767</v>
      </c>
      <c r="Y287" s="687">
        <f t="shared" si="146"/>
        <v>56.001092994482335</v>
      </c>
      <c r="AA287" s="170">
        <f t="shared" si="147"/>
        <v>18838</v>
      </c>
      <c r="AB287" s="170">
        <f t="shared" si="148"/>
        <v>354870244</v>
      </c>
      <c r="AD287" s="686">
        <f t="shared" si="149"/>
        <v>17.064353002400281</v>
      </c>
      <c r="AE287" s="687">
        <f t="shared" si="150"/>
        <v>-9.916842340683564</v>
      </c>
      <c r="AG287" s="686">
        <f t="shared" si="151"/>
        <v>-4.4688820244975531</v>
      </c>
      <c r="AH287" s="687">
        <f t="shared" si="152"/>
        <v>-73.558451251491178</v>
      </c>
      <c r="AJ287" s="170">
        <f t="shared" si="153"/>
        <v>0</v>
      </c>
      <c r="AK287" s="170">
        <f t="shared" si="165"/>
        <v>0</v>
      </c>
      <c r="AM287" s="170" t="str">
        <f t="shared" si="157"/>
        <v>0.130015789902773+0.493079581996156i</v>
      </c>
      <c r="AN287" s="170" t="str">
        <f t="shared" si="158"/>
        <v>0.515626030181882i</v>
      </c>
      <c r="AO287" s="170" t="str">
        <f t="shared" si="159"/>
        <v>0.956273642395879-0.252151331182623i</v>
      </c>
      <c r="AP287" s="170" t="str">
        <f t="shared" si="160"/>
        <v>0.144997368349538-0.0821799303326927i</v>
      </c>
      <c r="AQ287" s="170" t="str">
        <f t="shared" si="161"/>
        <v>0.855002631650462+0.0821799303326927i</v>
      </c>
      <c r="AR287" s="170" t="str">
        <f t="shared" si="162"/>
        <v>0.965347741150993-0.0927859250695769i</v>
      </c>
    </row>
    <row r="288" spans="7:44">
      <c r="G288" s="688">
        <v>18946.5</v>
      </c>
      <c r="H288" s="676">
        <f t="shared" si="154"/>
        <v>18.9465</v>
      </c>
      <c r="I288" s="677">
        <f t="shared" si="134"/>
        <v>152.7522905173706</v>
      </c>
      <c r="J288" s="678">
        <f t="shared" si="135"/>
        <v>1.5642497333550887</v>
      </c>
      <c r="K288" s="678">
        <f t="shared" si="136"/>
        <v>1.000342893014935</v>
      </c>
      <c r="L288" s="679">
        <f t="shared" si="137"/>
        <v>2.6183776042140894E-2</v>
      </c>
      <c r="M288" s="678">
        <f t="shared" si="138"/>
        <v>1.0050070516941125</v>
      </c>
      <c r="N288" s="679">
        <f t="shared" si="139"/>
        <v>-9.9862389650532596E-2</v>
      </c>
      <c r="O288" s="677">
        <f t="shared" si="140"/>
        <v>785692.84389120655</v>
      </c>
      <c r="P288" s="680">
        <f t="shared" si="141"/>
        <v>1.5707950540328908</v>
      </c>
      <c r="Q288" s="689">
        <f t="shared" si="163"/>
        <v>31.443619255826178</v>
      </c>
      <c r="R288" s="690">
        <f t="shared" si="164"/>
        <v>1.5389880085490075</v>
      </c>
      <c r="S288" s="677">
        <f t="shared" si="142"/>
        <v>1.0101519932265304</v>
      </c>
      <c r="T288" s="680">
        <f t="shared" si="143"/>
        <v>0.14189323405894394</v>
      </c>
      <c r="U288" s="681">
        <f t="shared" si="155"/>
        <v>0.95864775256523194</v>
      </c>
      <c r="V288" s="682">
        <f t="shared" si="156"/>
        <v>-0.35559134682088422</v>
      </c>
      <c r="W288" s="683">
        <f t="shared" si="144"/>
        <v>-26.460844935919162</v>
      </c>
      <c r="X288" s="684">
        <f t="shared" si="145"/>
        <v>-124.17255788999074</v>
      </c>
      <c r="Y288" s="687">
        <f t="shared" si="146"/>
        <v>55.827442110009258</v>
      </c>
      <c r="AA288" s="170">
        <f t="shared" si="147"/>
        <v>18946.5</v>
      </c>
      <c r="AB288" s="170">
        <f t="shared" si="148"/>
        <v>358969862.25</v>
      </c>
      <c r="AD288" s="686">
        <f t="shared" si="149"/>
        <v>17.063310224743823</v>
      </c>
      <c r="AE288" s="687">
        <f t="shared" si="150"/>
        <v>-9.9522929294187481</v>
      </c>
      <c r="AG288" s="686">
        <f t="shared" si="151"/>
        <v>-4.5142404511512568</v>
      </c>
      <c r="AH288" s="687">
        <f t="shared" si="152"/>
        <v>-73.472498105592166</v>
      </c>
      <c r="AJ288" s="170">
        <f t="shared" si="153"/>
        <v>0</v>
      </c>
      <c r="AK288" s="170">
        <f t="shared" si="165"/>
        <v>0</v>
      </c>
      <c r="AM288" s="170" t="str">
        <f t="shared" si="157"/>
        <v>0.131483980727363+0.495661098197964i</v>
      </c>
      <c r="AN288" s="170" t="str">
        <f t="shared" si="158"/>
        <v>0.518595847799184i</v>
      </c>
      <c r="AO288" s="170" t="str">
        <f t="shared" si="159"/>
        <v>0.955775292651203-0.253538437080348i</v>
      </c>
      <c r="AP288" s="170" t="str">
        <f t="shared" si="160"/>
        <v>0.144752669878773-0.082610183032994i</v>
      </c>
      <c r="AQ288" s="170" t="str">
        <f t="shared" si="161"/>
        <v>0.855247330121227+0.082610183032994i</v>
      </c>
      <c r="AR288" s="170" t="str">
        <f t="shared" si="162"/>
        <v>0.964983912851232-0.0932098760872314i</v>
      </c>
    </row>
    <row r="289" spans="7:44">
      <c r="G289" s="688">
        <v>19055</v>
      </c>
      <c r="H289" s="676">
        <f t="shared" si="154"/>
        <v>19.055</v>
      </c>
      <c r="I289" s="677">
        <f t="shared" si="134"/>
        <v>153.6270122466068</v>
      </c>
      <c r="J289" s="678">
        <f t="shared" si="135"/>
        <v>1.5642870088873166</v>
      </c>
      <c r="K289" s="678">
        <f t="shared" si="136"/>
        <v>1.0003468308346917</v>
      </c>
      <c r="L289" s="679">
        <f t="shared" si="137"/>
        <v>2.6333652284770193E-2</v>
      </c>
      <c r="M289" s="678">
        <f t="shared" si="138"/>
        <v>1.0050644182754229</v>
      </c>
      <c r="N289" s="679">
        <f t="shared" si="139"/>
        <v>-0.10043043989350457</v>
      </c>
      <c r="O289" s="677">
        <f t="shared" si="140"/>
        <v>790192.23288453277</v>
      </c>
      <c r="P289" s="680">
        <f t="shared" si="141"/>
        <v>1.570795061280053</v>
      </c>
      <c r="Q289" s="689">
        <f t="shared" si="163"/>
        <v>31.623504294370509</v>
      </c>
      <c r="R289" s="690">
        <f t="shared" si="164"/>
        <v>1.5391690053973692</v>
      </c>
      <c r="S289" s="677">
        <f t="shared" si="142"/>
        <v>1.0102680073989703</v>
      </c>
      <c r="T289" s="680">
        <f t="shared" si="143"/>
        <v>0.14269485226703119</v>
      </c>
      <c r="U289" s="681">
        <f t="shared" si="155"/>
        <v>0.95820461290103964</v>
      </c>
      <c r="V289" s="682">
        <f t="shared" si="156"/>
        <v>-0.35754615496778108</v>
      </c>
      <c r="W289" s="683">
        <f t="shared" si="144"/>
        <v>-26.514975432192664</v>
      </c>
      <c r="X289" s="684">
        <f t="shared" si="145"/>
        <v>-124.34621488258141</v>
      </c>
      <c r="Y289" s="687">
        <f t="shared" si="146"/>
        <v>55.653785117418593</v>
      </c>
      <c r="AA289" s="170">
        <f t="shared" si="147"/>
        <v>19055</v>
      </c>
      <c r="AB289" s="170">
        <f t="shared" si="148"/>
        <v>363093025</v>
      </c>
      <c r="AD289" s="686">
        <f t="shared" si="149"/>
        <v>17.062262842033885</v>
      </c>
      <c r="AE289" s="687">
        <f t="shared" si="150"/>
        <v>-9.9878523292791321</v>
      </c>
      <c r="AG289" s="686">
        <f t="shared" si="151"/>
        <v>-4.5592915172700863</v>
      </c>
      <c r="AH289" s="687">
        <f t="shared" si="152"/>
        <v>-73.386591184916526</v>
      </c>
      <c r="AJ289" s="170">
        <f t="shared" si="153"/>
        <v>0</v>
      </c>
      <c r="AK289" s="170">
        <f t="shared" si="165"/>
        <v>0</v>
      </c>
      <c r="AM289" s="170" t="str">
        <f t="shared" si="157"/>
        <v>0.132959831698396+0.498238242762964i</v>
      </c>
      <c r="AN289" s="170" t="str">
        <f t="shared" si="158"/>
        <v>0.521565665416486i</v>
      </c>
      <c r="AO289" s="170" t="str">
        <f t="shared" si="159"/>
        <v>0.955274236399564-0.254924433325617i</v>
      </c>
      <c r="AP289" s="170" t="str">
        <f t="shared" si="160"/>
        <v>0.144506694716934-0.0830397071271607i</v>
      </c>
      <c r="AQ289" s="170" t="str">
        <f t="shared" si="161"/>
        <v>0.855493305283066+0.0830397071271607i</v>
      </c>
      <c r="AR289" s="170" t="str">
        <f t="shared" si="162"/>
        <v>0.964618672129405-0.0936321202379396i</v>
      </c>
    </row>
    <row r="290" spans="7:44">
      <c r="G290" s="688">
        <v>19165.75</v>
      </c>
      <c r="H290" s="676">
        <f t="shared" si="154"/>
        <v>19.165749999999999</v>
      </c>
      <c r="I290" s="677">
        <f t="shared" si="134"/>
        <v>154.51987358416838</v>
      </c>
      <c r="J290" s="678">
        <f t="shared" si="135"/>
        <v>1.5643246221699063</v>
      </c>
      <c r="K290" s="678">
        <f t="shared" si="136"/>
        <v>1.0003508734886035</v>
      </c>
      <c r="L290" s="679">
        <f t="shared" si="137"/>
        <v>2.6486635339645983E-2</v>
      </c>
      <c r="M290" s="678">
        <f t="shared" si="138"/>
        <v>1.005123308920812</v>
      </c>
      <c r="N290" s="679">
        <f t="shared" si="139"/>
        <v>-0.10101020291568506</v>
      </c>
      <c r="O290" s="677">
        <f t="shared" si="140"/>
        <v>794784.92717956414</v>
      </c>
      <c r="P290" s="680">
        <f t="shared" si="141"/>
        <v>1.5707950685928778</v>
      </c>
      <c r="Q290" s="689">
        <f t="shared" si="163"/>
        <v>31.807120724034739</v>
      </c>
      <c r="R290" s="690">
        <f t="shared" si="164"/>
        <v>1.5393516442545812</v>
      </c>
      <c r="S290" s="677">
        <f t="shared" si="142"/>
        <v>1.0103870967628301</v>
      </c>
      <c r="T290" s="680">
        <f t="shared" si="143"/>
        <v>0.14351290350394838</v>
      </c>
      <c r="U290" s="681">
        <f t="shared" si="155"/>
        <v>0.95775027510832134</v>
      </c>
      <c r="V290" s="682">
        <f t="shared" si="156"/>
        <v>-0.35954015504983006</v>
      </c>
      <c r="W290" s="683">
        <f t="shared" si="144"/>
        <v>-26.569959905289274</v>
      </c>
      <c r="X290" s="684">
        <f t="shared" si="145"/>
        <v>-124.52347731168891</v>
      </c>
      <c r="Y290" s="687">
        <f t="shared" si="146"/>
        <v>55.476522688311093</v>
      </c>
      <c r="AA290" s="170">
        <f t="shared" si="147"/>
        <v>19165.75</v>
      </c>
      <c r="AB290" s="170">
        <f t="shared" si="148"/>
        <v>367325973.0625</v>
      </c>
      <c r="AD290" s="686">
        <f t="shared" si="149"/>
        <v>17.061188973847173</v>
      </c>
      <c r="AE290" s="687">
        <f t="shared" si="150"/>
        <v>-10.024259195922202</v>
      </c>
      <c r="AG290" s="686">
        <f t="shared" si="151"/>
        <v>-4.6049632476122788</v>
      </c>
      <c r="AH290" s="687">
        <f t="shared" si="152"/>
        <v>-73.29895116901956</v>
      </c>
      <c r="AJ290" s="170">
        <f t="shared" si="153"/>
        <v>0</v>
      </c>
      <c r="AK290" s="170">
        <f t="shared" si="165"/>
        <v>0</v>
      </c>
      <c r="AM290" s="170" t="str">
        <f t="shared" si="157"/>
        <v>0.134474174426277+0.500864298253455i</v>
      </c>
      <c r="AN290" s="170" t="str">
        <f t="shared" si="158"/>
        <v>0.52459706911341i</v>
      </c>
      <c r="AO290" s="170" t="str">
        <f t="shared" si="159"/>
        <v>0.954760001042201-0.256338020823379i</v>
      </c>
      <c r="AP290" s="170" t="str">
        <f t="shared" si="160"/>
        <v>0.144254304262287-0.0834773830422425i</v>
      </c>
      <c r="AQ290" s="170" t="str">
        <f t="shared" si="161"/>
        <v>0.855745695737713+0.0834773830422425i</v>
      </c>
      <c r="AR290" s="170" t="str">
        <f t="shared" si="162"/>
        <v>0.964244410827533-0.0940613554119032i</v>
      </c>
    </row>
    <row r="291" spans="7:44">
      <c r="G291" s="688">
        <v>19276.5</v>
      </c>
      <c r="H291" s="676">
        <f t="shared" si="154"/>
        <v>19.276499999999999</v>
      </c>
      <c r="I291" s="677">
        <f t="shared" si="134"/>
        <v>155.41273513782647</v>
      </c>
      <c r="J291" s="678">
        <f t="shared" si="135"/>
        <v>1.5643618032684816</v>
      </c>
      <c r="K291" s="678">
        <f t="shared" si="136"/>
        <v>1.0003549395543527</v>
      </c>
      <c r="L291" s="679">
        <f t="shared" si="137"/>
        <v>2.6639617154465202E-2</v>
      </c>
      <c r="M291" s="678">
        <f t="shared" si="138"/>
        <v>1.0051825373737826</v>
      </c>
      <c r="N291" s="679">
        <f t="shared" si="139"/>
        <v>-0.10158989780984844</v>
      </c>
      <c r="O291" s="677">
        <f t="shared" si="140"/>
        <v>799377.62147459551</v>
      </c>
      <c r="P291" s="680">
        <f t="shared" si="141"/>
        <v>1.5707950758216731</v>
      </c>
      <c r="Q291" s="689">
        <f t="shared" si="163"/>
        <v>31.990738202508094</v>
      </c>
      <c r="R291" s="690">
        <f t="shared" si="164"/>
        <v>1.5395321865305382</v>
      </c>
      <c r="S291" s="677">
        <f t="shared" si="142"/>
        <v>1.0105068621260065</v>
      </c>
      <c r="T291" s="680">
        <f t="shared" si="143"/>
        <v>0.14433076137706397</v>
      </c>
      <c r="U291" s="681">
        <f t="shared" si="155"/>
        <v>0.95729391723604584</v>
      </c>
      <c r="V291" s="682">
        <f t="shared" si="156"/>
        <v>-0.36153279049934217</v>
      </c>
      <c r="W291" s="683">
        <f t="shared" si="144"/>
        <v>-26.62467639679474</v>
      </c>
      <c r="X291" s="684">
        <f t="shared" si="145"/>
        <v>-124.70074199990665</v>
      </c>
      <c r="Y291" s="687">
        <f t="shared" si="146"/>
        <v>55.299258000093346</v>
      </c>
      <c r="AA291" s="170">
        <f t="shared" si="147"/>
        <v>19276.5</v>
      </c>
      <c r="AB291" s="170">
        <f t="shared" si="148"/>
        <v>371583452.25</v>
      </c>
      <c r="AD291" s="686">
        <f t="shared" si="149"/>
        <v>17.060110275249194</v>
      </c>
      <c r="AE291" s="687">
        <f t="shared" si="150"/>
        <v>-10.060775104078427</v>
      </c>
      <c r="AG291" s="686">
        <f t="shared" si="151"/>
        <v>-4.6503215988130391</v>
      </c>
      <c r="AH291" s="687">
        <f t="shared" si="152"/>
        <v>-73.211360746089738</v>
      </c>
      <c r="AJ291" s="170">
        <f t="shared" si="153"/>
        <v>0</v>
      </c>
      <c r="AK291" s="170">
        <f t="shared" si="165"/>
        <v>0</v>
      </c>
      <c r="AM291" s="170" t="str">
        <f t="shared" si="157"/>
        <v>0.135996470818336+0.503485751100893i</v>
      </c>
      <c r="AN291" s="170" t="str">
        <f t="shared" si="158"/>
        <v>0.527628472810333i</v>
      </c>
      <c r="AO291" s="170" t="str">
        <f t="shared" si="159"/>
        <v>0.954242951331175-0.257750439611364i</v>
      </c>
      <c r="AP291" s="170" t="str">
        <f t="shared" si="160"/>
        <v>0.144000588196944-0.0839142918501488i</v>
      </c>
      <c r="AQ291" s="170" t="str">
        <f t="shared" si="161"/>
        <v>0.855999411803056+0.0839142918501488i</v>
      </c>
      <c r="AR291" s="170" t="str">
        <f t="shared" si="162"/>
        <v>0.963868698601791-0.0944888024038769i</v>
      </c>
    </row>
    <row r="292" spans="7:44">
      <c r="G292" s="688">
        <v>19387.25</v>
      </c>
      <c r="H292" s="676">
        <f t="shared" si="154"/>
        <v>19.387250000000002</v>
      </c>
      <c r="I292" s="677">
        <f t="shared" si="134"/>
        <v>156.30559690387793</v>
      </c>
      <c r="J292" s="678">
        <f t="shared" si="135"/>
        <v>1.5643985595892107</v>
      </c>
      <c r="K292" s="678">
        <f t="shared" si="136"/>
        <v>1.0003590290316537</v>
      </c>
      <c r="L292" s="679">
        <f t="shared" si="137"/>
        <v>2.6792597722082416E-2</v>
      </c>
      <c r="M292" s="678">
        <f t="shared" si="138"/>
        <v>1.0052421035746246</v>
      </c>
      <c r="N292" s="679">
        <f t="shared" si="139"/>
        <v>-0.10216952419846301</v>
      </c>
      <c r="O292" s="677">
        <f t="shared" si="140"/>
        <v>803970.31576962699</v>
      </c>
      <c r="P292" s="680">
        <f t="shared" si="141"/>
        <v>1.5707950829678792</v>
      </c>
      <c r="Q292" s="689">
        <f t="shared" si="163"/>
        <v>32.174356711834072</v>
      </c>
      <c r="R292" s="690">
        <f t="shared" si="164"/>
        <v>1.5397106681088299</v>
      </c>
      <c r="S292" s="677">
        <f t="shared" si="142"/>
        <v>1.0106273032481699</v>
      </c>
      <c r="T292" s="680">
        <f t="shared" si="143"/>
        <v>0.14514842486120111</v>
      </c>
      <c r="U292" s="681">
        <f t="shared" si="155"/>
        <v>0.95683554849318087</v>
      </c>
      <c r="V292" s="682">
        <f t="shared" si="156"/>
        <v>-0.36352405605524152</v>
      </c>
      <c r="W292" s="683">
        <f t="shared" si="144"/>
        <v>-26.679128190094904</v>
      </c>
      <c r="X292" s="684">
        <f t="shared" si="145"/>
        <v>-124.87800693428377</v>
      </c>
      <c r="Y292" s="687">
        <f t="shared" si="146"/>
        <v>55.121993065716225</v>
      </c>
      <c r="AA292" s="170">
        <f t="shared" si="147"/>
        <v>19387.25</v>
      </c>
      <c r="AB292" s="170">
        <f t="shared" si="148"/>
        <v>375865462.5625</v>
      </c>
      <c r="AD292" s="686">
        <f t="shared" si="149"/>
        <v>17.05902673077458</v>
      </c>
      <c r="AE292" s="687">
        <f t="shared" si="150"/>
        <v>-10.097397939113801</v>
      </c>
      <c r="AG292" s="686">
        <f t="shared" si="151"/>
        <v>-4.6953699498230002</v>
      </c>
      <c r="AH292" s="687">
        <f t="shared" si="152"/>
        <v>-73.123820620685166</v>
      </c>
      <c r="AJ292" s="170">
        <f t="shared" si="153"/>
        <v>0</v>
      </c>
      <c r="AK292" s="170">
        <f t="shared" si="165"/>
        <v>0</v>
      </c>
      <c r="AM292" s="170" t="str">
        <f t="shared" si="157"/>
        <v>0.137526706885582+0.506102577215698i</v>
      </c>
      <c r="AN292" s="170" t="str">
        <f t="shared" si="158"/>
        <v>0.530659876507257i</v>
      </c>
      <c r="AO292" s="170" t="str">
        <f t="shared" si="159"/>
        <v>0.953723090102096-0.259161683356894i</v>
      </c>
      <c r="AP292" s="170" t="str">
        <f t="shared" si="160"/>
        <v>0.143745548852403-0.0843504295359497i</v>
      </c>
      <c r="AQ292" s="170" t="str">
        <f t="shared" si="161"/>
        <v>0.856254451147597+0.0843504295359497i</v>
      </c>
      <c r="AR292" s="170" t="str">
        <f t="shared" si="162"/>
        <v>0.963491545917915-0.0949144563786019i</v>
      </c>
    </row>
    <row r="293" spans="7:44">
      <c r="G293" s="688">
        <v>19498</v>
      </c>
      <c r="H293" s="676">
        <f t="shared" si="154"/>
        <v>19.498000000000001</v>
      </c>
      <c r="I293" s="677">
        <f t="shared" si="134"/>
        <v>157.1984588787036</v>
      </c>
      <c r="J293" s="678">
        <f t="shared" si="135"/>
        <v>1.5644348983700032</v>
      </c>
      <c r="K293" s="678">
        <f t="shared" si="136"/>
        <v>1.0003631419202195</v>
      </c>
      <c r="L293" s="679">
        <f t="shared" si="137"/>
        <v>2.6945577035352542E-2</v>
      </c>
      <c r="M293" s="678">
        <f t="shared" si="138"/>
        <v>1.005302007463301</v>
      </c>
      <c r="N293" s="679">
        <f t="shared" si="139"/>
        <v>-0.10274908170427044</v>
      </c>
      <c r="O293" s="677">
        <f t="shared" si="140"/>
        <v>808563.01006465848</v>
      </c>
      <c r="P293" s="680">
        <f t="shared" si="141"/>
        <v>1.5707950900329033</v>
      </c>
      <c r="Q293" s="689">
        <f t="shared" si="163"/>
        <v>32.357976234463635</v>
      </c>
      <c r="R293" s="690">
        <f t="shared" si="164"/>
        <v>1.5398871240590739</v>
      </c>
      <c r="S293" s="677">
        <f t="shared" si="142"/>
        <v>1.0107484198877488</v>
      </c>
      <c r="T293" s="680">
        <f t="shared" si="143"/>
        <v>0.14596589293271017</v>
      </c>
      <c r="U293" s="681">
        <f t="shared" si="155"/>
        <v>0.9563751781055555</v>
      </c>
      <c r="V293" s="682">
        <f t="shared" si="156"/>
        <v>-0.36551394649455488</v>
      </c>
      <c r="W293" s="683">
        <f t="shared" si="144"/>
        <v>-26.733318511095021</v>
      </c>
      <c r="X293" s="684">
        <f t="shared" si="145"/>
        <v>-125.05527014115046</v>
      </c>
      <c r="Y293" s="687">
        <f t="shared" si="146"/>
        <v>54.944729858849541</v>
      </c>
      <c r="AA293" s="170">
        <f t="shared" si="147"/>
        <v>19498</v>
      </c>
      <c r="AB293" s="170">
        <f t="shared" si="148"/>
        <v>380172004</v>
      </c>
      <c r="AD293" s="686">
        <f t="shared" si="149"/>
        <v>17.057938325531943</v>
      </c>
      <c r="AE293" s="687">
        <f t="shared" si="150"/>
        <v>-10.134125633117046</v>
      </c>
      <c r="AG293" s="686">
        <f t="shared" si="151"/>
        <v>-4.7401116229765101</v>
      </c>
      <c r="AH293" s="687">
        <f t="shared" si="152"/>
        <v>-73.036331485555863</v>
      </c>
      <c r="AJ293" s="170">
        <f t="shared" si="153"/>
        <v>0</v>
      </c>
      <c r="AK293" s="170">
        <f t="shared" si="165"/>
        <v>0</v>
      </c>
      <c r="AM293" s="170" t="str">
        <f t="shared" si="157"/>
        <v>0.13906486856606+0.508714752550802i</v>
      </c>
      <c r="AN293" s="170" t="str">
        <f t="shared" si="158"/>
        <v>0.53369128020418i</v>
      </c>
      <c r="AO293" s="170" t="str">
        <f t="shared" si="159"/>
        <v>0.953200420205812-0.260571745734456i</v>
      </c>
      <c r="AP293" s="170" t="str">
        <f t="shared" si="160"/>
        <v>0.143489188572323-0.0847857920918003i</v>
      </c>
      <c r="AQ293" s="170" t="str">
        <f t="shared" si="161"/>
        <v>0.856510811427677+0.0847857920918003i</v>
      </c>
      <c r="AR293" s="170" t="str">
        <f t="shared" si="162"/>
        <v>0.963112963252235-0.0953383125743729i</v>
      </c>
    </row>
    <row r="294" spans="7:44">
      <c r="G294" s="688">
        <v>19611.75</v>
      </c>
      <c r="H294" s="676">
        <f t="shared" si="154"/>
        <v>19.611750000000001</v>
      </c>
      <c r="I294" s="677">
        <f t="shared" si="134"/>
        <v>158.11550694456989</v>
      </c>
      <c r="J294" s="678">
        <f t="shared" si="135"/>
        <v>1.5644717942681767</v>
      </c>
      <c r="K294" s="678">
        <f t="shared" si="136"/>
        <v>1.0003673905896575</v>
      </c>
      <c r="L294" s="679">
        <f t="shared" si="137"/>
        <v>2.7102698944506943E-2</v>
      </c>
      <c r="M294" s="678">
        <f t="shared" si="138"/>
        <v>1.0053638854999465</v>
      </c>
      <c r="N294" s="679">
        <f t="shared" si="139"/>
        <v>-0.10334426618181743</v>
      </c>
      <c r="O294" s="677">
        <f t="shared" si="140"/>
        <v>813280.11142862984</v>
      </c>
      <c r="P294" s="680">
        <f t="shared" si="141"/>
        <v>1.5707950972062397</v>
      </c>
      <c r="Q294" s="689">
        <f t="shared" si="163"/>
        <v>32.546570686187252</v>
      </c>
      <c r="R294" s="690">
        <f t="shared" si="164"/>
        <v>1.5400662871785071</v>
      </c>
      <c r="S294" s="677">
        <f t="shared" si="142"/>
        <v>1.0108735202970895</v>
      </c>
      <c r="T294" s="680">
        <f t="shared" si="143"/>
        <v>0.14680530011090936</v>
      </c>
      <c r="U294" s="681">
        <f t="shared" si="155"/>
        <v>0.95590026318632293</v>
      </c>
      <c r="V294" s="682">
        <f t="shared" si="156"/>
        <v>-0.36755630221719787</v>
      </c>
      <c r="W294" s="683">
        <f t="shared" si="144"/>
        <v>-26.788707878170701</v>
      </c>
      <c r="X294" s="684">
        <f t="shared" si="145"/>
        <v>-125.23733122912637</v>
      </c>
      <c r="Y294" s="687">
        <f t="shared" si="146"/>
        <v>54.762668770873631</v>
      </c>
      <c r="AA294" s="170">
        <f t="shared" si="147"/>
        <v>19611.75</v>
      </c>
      <c r="AB294" s="170">
        <f t="shared" si="148"/>
        <v>384620738.0625</v>
      </c>
      <c r="AD294" s="686">
        <f t="shared" si="149"/>
        <v>17.056815362419652</v>
      </c>
      <c r="AE294" s="687">
        <f t="shared" si="150"/>
        <v>-10.171955242178049</v>
      </c>
      <c r="AG294" s="686">
        <f t="shared" si="151"/>
        <v>-4.7857494401334968</v>
      </c>
      <c r="AH294" s="687">
        <f t="shared" si="152"/>
        <v>-72.946526237859658</v>
      </c>
      <c r="AJ294" s="170">
        <f t="shared" si="153"/>
        <v>0</v>
      </c>
      <c r="AK294" s="170">
        <f t="shared" si="165"/>
        <v>0</v>
      </c>
      <c r="AM294" s="170" t="str">
        <f t="shared" si="157"/>
        <v>0.140652931732953+0.511392819915212i</v>
      </c>
      <c r="AN294" s="170" t="str">
        <f t="shared" si="158"/>
        <v>0.536804798673932i</v>
      </c>
      <c r="AO294" s="170" t="str">
        <f t="shared" si="159"/>
        <v>0.952660671399557-0.262018767493152i</v>
      </c>
      <c r="AP294" s="170" t="str">
        <f t="shared" si="160"/>
        <v>0.143224511377841-0.0852321366525353i</v>
      </c>
      <c r="AQ294" s="170" t="str">
        <f t="shared" si="161"/>
        <v>0.856775488622159+0.0852321366525353i</v>
      </c>
      <c r="AR294" s="170" t="str">
        <f t="shared" si="162"/>
        <v>0.962722647930993-0.0957717737921089i</v>
      </c>
    </row>
    <row r="295" spans="7:44">
      <c r="G295" s="688">
        <v>19725.5</v>
      </c>
      <c r="H295" s="676">
        <f t="shared" si="154"/>
        <v>19.7255</v>
      </c>
      <c r="I295" s="677">
        <f t="shared" si="134"/>
        <v>159.03255522319765</v>
      </c>
      <c r="J295" s="678">
        <f t="shared" si="135"/>
        <v>1.5645082646520154</v>
      </c>
      <c r="K295" s="678">
        <f t="shared" si="136"/>
        <v>1.0003716639552496</v>
      </c>
      <c r="L295" s="679">
        <f t="shared" si="137"/>
        <v>2.7259819515160391E-2</v>
      </c>
      <c r="M295" s="678">
        <f t="shared" si="138"/>
        <v>1.0054261196373706</v>
      </c>
      <c r="N295" s="679">
        <f t="shared" si="139"/>
        <v>-0.10393937718837856</v>
      </c>
      <c r="O295" s="677">
        <f t="shared" si="140"/>
        <v>817997.21279260132</v>
      </c>
      <c r="P295" s="680">
        <f t="shared" si="141"/>
        <v>1.5707951042968435</v>
      </c>
      <c r="Q295" s="689">
        <f t="shared" si="163"/>
        <v>32.735166170599207</v>
      </c>
      <c r="R295" s="690">
        <f t="shared" si="164"/>
        <v>1.5402433858964362</v>
      </c>
      <c r="S295" s="677">
        <f t="shared" si="142"/>
        <v>1.010999332795808</v>
      </c>
      <c r="T295" s="680">
        <f t="shared" si="143"/>
        <v>0.14764449896241758</v>
      </c>
      <c r="U295" s="681">
        <f t="shared" si="155"/>
        <v>0.95542325649347493</v>
      </c>
      <c r="V295" s="682">
        <f t="shared" si="156"/>
        <v>-0.36959719627073778</v>
      </c>
      <c r="W295" s="683">
        <f t="shared" si="144"/>
        <v>-26.843828133144839</v>
      </c>
      <c r="X295" s="684">
        <f t="shared" si="145"/>
        <v>-125.41938639708218</v>
      </c>
      <c r="Y295" s="687">
        <f t="shared" si="146"/>
        <v>54.580613602917822</v>
      </c>
      <c r="AA295" s="170">
        <f t="shared" si="147"/>
        <v>19725.5</v>
      </c>
      <c r="AB295" s="170">
        <f t="shared" si="148"/>
        <v>389095350.25</v>
      </c>
      <c r="AD295" s="686">
        <f t="shared" si="149"/>
        <v>17.055687241571377</v>
      </c>
      <c r="AE295" s="687">
        <f t="shared" si="150"/>
        <v>-10.209891191752206</v>
      </c>
      <c r="AG295" s="686">
        <f t="shared" si="151"/>
        <v>-4.8310706663067187</v>
      </c>
      <c r="AH295" s="687">
        <f t="shared" si="152"/>
        <v>-72.856776224571703</v>
      </c>
      <c r="AJ295" s="170">
        <f t="shared" si="153"/>
        <v>0</v>
      </c>
      <c r="AK295" s="170">
        <f t="shared" si="165"/>
        <v>0</v>
      </c>
      <c r="AM295" s="170" t="str">
        <f t="shared" si="157"/>
        <v>0.142249325401244+0.51406592984303i</v>
      </c>
      <c r="AN295" s="170" t="str">
        <f t="shared" si="158"/>
        <v>0.539918317143684i</v>
      </c>
      <c r="AO295" s="170" t="str">
        <f t="shared" si="159"/>
        <v>0.952117965848204-0.263464529512134i</v>
      </c>
      <c r="AP295" s="170" t="str">
        <f t="shared" si="160"/>
        <v>0.142958445766459-0.0856776549738383i</v>
      </c>
      <c r="AQ295" s="170" t="str">
        <f t="shared" si="161"/>
        <v>0.857041554233541+0.0856776549738383i</v>
      </c>
      <c r="AR295" s="170" t="str">
        <f t="shared" si="162"/>
        <v>0.962330846542169-0.0962033285707571i</v>
      </c>
    </row>
    <row r="296" spans="7:44">
      <c r="G296" s="688">
        <v>19839.25</v>
      </c>
      <c r="H296" s="676">
        <f t="shared" si="154"/>
        <v>19.83925</v>
      </c>
      <c r="I296" s="677">
        <f t="shared" si="134"/>
        <v>159.94960371092731</v>
      </c>
      <c r="J296" s="678">
        <f t="shared" si="135"/>
        <v>1.5645443168403004</v>
      </c>
      <c r="K296" s="678">
        <f t="shared" si="136"/>
        <v>1.0003759620166794</v>
      </c>
      <c r="L296" s="679">
        <f t="shared" si="137"/>
        <v>2.7416938739572457E-2</v>
      </c>
      <c r="M296" s="678">
        <f t="shared" si="138"/>
        <v>1.0054887098094518</v>
      </c>
      <c r="N296" s="679">
        <f t="shared" si="139"/>
        <v>-0.10453441431610989</v>
      </c>
      <c r="O296" s="677">
        <f t="shared" si="140"/>
        <v>822714.3141565728</v>
      </c>
      <c r="P296" s="680">
        <f t="shared" si="141"/>
        <v>1.5707951113061385</v>
      </c>
      <c r="Q296" s="689">
        <f t="shared" si="163"/>
        <v>32.923762669953021</v>
      </c>
      <c r="R296" s="690">
        <f t="shared" si="164"/>
        <v>1.5404184556780587</v>
      </c>
      <c r="S296" s="677">
        <f t="shared" si="142"/>
        <v>1.0111258571180926</v>
      </c>
      <c r="T296" s="680">
        <f t="shared" si="143"/>
        <v>0.14848348838320202</v>
      </c>
      <c r="U296" s="681">
        <f t="shared" si="155"/>
        <v>0.95494416807557014</v>
      </c>
      <c r="V296" s="682">
        <f t="shared" si="156"/>
        <v>-0.37163662312194273</v>
      </c>
      <c r="W296" s="683">
        <f t="shared" si="144"/>
        <v>-26.898682590411571</v>
      </c>
      <c r="X296" s="684">
        <f t="shared" si="145"/>
        <v>-125.60143362921707</v>
      </c>
      <c r="Y296" s="687">
        <f t="shared" si="146"/>
        <v>54.39856637078293</v>
      </c>
      <c r="AA296" s="170">
        <f t="shared" si="147"/>
        <v>19839.25</v>
      </c>
      <c r="AB296" s="170">
        <f t="shared" si="148"/>
        <v>393595840.5625</v>
      </c>
      <c r="AD296" s="686">
        <f t="shared" si="149"/>
        <v>17.054553948621944</v>
      </c>
      <c r="AE296" s="687">
        <f t="shared" si="150"/>
        <v>-10.247931386658522</v>
      </c>
      <c r="AG296" s="686">
        <f t="shared" si="151"/>
        <v>-4.8760787230646763</v>
      </c>
      <c r="AH296" s="687">
        <f t="shared" si="152"/>
        <v>-72.767082159133864</v>
      </c>
      <c r="AJ296" s="170">
        <f t="shared" si="153"/>
        <v>0</v>
      </c>
      <c r="AK296" s="170">
        <f t="shared" si="165"/>
        <v>0</v>
      </c>
      <c r="AM296" s="170" t="str">
        <f t="shared" si="157"/>
        <v>0.143854034095508+0.516734056421157i</v>
      </c>
      <c r="AN296" s="170" t="str">
        <f t="shared" si="158"/>
        <v>0.543031835613436i</v>
      </c>
      <c r="AO296" s="170" t="str">
        <f t="shared" si="159"/>
        <v>0.95157230669069-0.264909024961683i</v>
      </c>
      <c r="AP296" s="170" t="str">
        <f t="shared" si="160"/>
        <v>0.142690994317415-0.0861223427368595i</v>
      </c>
      <c r="AQ296" s="170" t="str">
        <f t="shared" si="161"/>
        <v>0.857309005682585+0.0861223427368595i</v>
      </c>
      <c r="AR296" s="170" t="str">
        <f t="shared" si="162"/>
        <v>0.961937570467667-0.0966329719927742i</v>
      </c>
    </row>
    <row r="297" spans="7:44">
      <c r="G297" s="688">
        <v>19953</v>
      </c>
      <c r="H297" s="676">
        <f t="shared" si="154"/>
        <v>19.952999999999999</v>
      </c>
      <c r="I297" s="677">
        <f t="shared" si="134"/>
        <v>160.86665240418279</v>
      </c>
      <c r="J297" s="678">
        <f t="shared" si="135"/>
        <v>1.5645799579849291</v>
      </c>
      <c r="K297" s="678">
        <f t="shared" si="136"/>
        <v>1.0003802847736285</v>
      </c>
      <c r="L297" s="679">
        <f t="shared" si="137"/>
        <v>2.757405661000311E-2</v>
      </c>
      <c r="M297" s="678">
        <f t="shared" si="138"/>
        <v>1.005551655949706</v>
      </c>
      <c r="N297" s="679">
        <f t="shared" si="139"/>
        <v>-0.10512937715747805</v>
      </c>
      <c r="O297" s="677">
        <f t="shared" si="140"/>
        <v>827431.4155205444</v>
      </c>
      <c r="P297" s="680">
        <f t="shared" si="141"/>
        <v>1.5707951182355149</v>
      </c>
      <c r="Q297" s="689">
        <f t="shared" si="163"/>
        <v>33.112360166906413</v>
      </c>
      <c r="R297" s="690">
        <f t="shared" si="164"/>
        <v>1.5405915311810829</v>
      </c>
      <c r="S297" s="677">
        <f t="shared" si="142"/>
        <v>1.0112530929967607</v>
      </c>
      <c r="T297" s="680">
        <f t="shared" si="143"/>
        <v>0.14932226727096026</v>
      </c>
      <c r="U297" s="681">
        <f t="shared" si="155"/>
        <v>0.95446300799786921</v>
      </c>
      <c r="V297" s="682">
        <f t="shared" si="156"/>
        <v>-0.37367457728013698</v>
      </c>
      <c r="W297" s="683">
        <f t="shared" si="144"/>
        <v>-26.953274506046117</v>
      </c>
      <c r="X297" s="684">
        <f t="shared" si="145"/>
        <v>-125.78347094898757</v>
      </c>
      <c r="Y297" s="687">
        <f t="shared" si="146"/>
        <v>54.216529051012429</v>
      </c>
      <c r="AA297" s="170">
        <f t="shared" si="147"/>
        <v>19953</v>
      </c>
      <c r="AB297" s="170">
        <f t="shared" si="148"/>
        <v>398122209</v>
      </c>
      <c r="AD297" s="686">
        <f t="shared" si="149"/>
        <v>17.053415469765273</v>
      </c>
      <c r="AE297" s="687">
        <f t="shared" si="150"/>
        <v>-10.286073778078956</v>
      </c>
      <c r="AG297" s="686">
        <f t="shared" si="151"/>
        <v>-4.9207769745180387</v>
      </c>
      <c r="AH297" s="687">
        <f t="shared" si="152"/>
        <v>-72.677444743005765</v>
      </c>
      <c r="AJ297" s="170">
        <f t="shared" si="153"/>
        <v>0</v>
      </c>
      <c r="AK297" s="170">
        <f t="shared" si="165"/>
        <v>0</v>
      </c>
      <c r="AM297" s="170" t="str">
        <f t="shared" si="157"/>
        <v>0.145467042259716+0.519397173784804i</v>
      </c>
      <c r="AN297" s="170" t="str">
        <f t="shared" si="158"/>
        <v>0.546145354083188i</v>
      </c>
      <c r="AO297" s="170" t="str">
        <f t="shared" si="159"/>
        <v>0.951023697082829-0.266352247020229i</v>
      </c>
      <c r="AP297" s="170" t="str">
        <f t="shared" si="160"/>
        <v>0.142422159623381-0.0865661956308007i</v>
      </c>
      <c r="AQ297" s="170" t="str">
        <f t="shared" si="161"/>
        <v>0.857577840376619+0.0865661956308007i</v>
      </c>
      <c r="AR297" s="170" t="str">
        <f t="shared" si="162"/>
        <v>0.961542831098514-0.097060699222024i</v>
      </c>
    </row>
    <row r="298" spans="7:44">
      <c r="G298" s="688">
        <v>20069</v>
      </c>
      <c r="H298" s="676">
        <f t="shared" si="154"/>
        <v>20.068999999999999</v>
      </c>
      <c r="I298" s="677">
        <f t="shared" si="134"/>
        <v>161.80184073018142</v>
      </c>
      <c r="J298" s="678">
        <f t="shared" si="135"/>
        <v>1.5646158880445129</v>
      </c>
      <c r="K298" s="678">
        <f t="shared" si="136"/>
        <v>1.0003847184684027</v>
      </c>
      <c r="L298" s="679">
        <f t="shared" si="137"/>
        <v>2.7734280903999591E-2</v>
      </c>
      <c r="M298" s="678">
        <f t="shared" si="138"/>
        <v>1.0056162137086551</v>
      </c>
      <c r="N298" s="679">
        <f t="shared" si="139"/>
        <v>-0.10573603156746599</v>
      </c>
      <c r="O298" s="677">
        <f t="shared" si="140"/>
        <v>832241.8221862209</v>
      </c>
      <c r="P298" s="680">
        <f t="shared" si="141"/>
        <v>1.5707951252210592</v>
      </c>
      <c r="Q298" s="689">
        <f t="shared" si="163"/>
        <v>33.304689173624574</v>
      </c>
      <c r="R298" s="690">
        <f t="shared" si="164"/>
        <v>1.5407660114267479</v>
      </c>
      <c r="S298" s="677">
        <f t="shared" si="142"/>
        <v>1.0113835781583684</v>
      </c>
      <c r="T298" s="680">
        <f t="shared" si="143"/>
        <v>0.15017741942777055</v>
      </c>
      <c r="U298" s="681">
        <f t="shared" si="155"/>
        <v>0.95397020738725935</v>
      </c>
      <c r="V298" s="682">
        <f t="shared" si="156"/>
        <v>-0.37575132029552011</v>
      </c>
      <c r="W298" s="683">
        <f t="shared" si="144"/>
        <v>-27.008679195147334</v>
      </c>
      <c r="X298" s="684">
        <f t="shared" si="145"/>
        <v>-125.969096789364</v>
      </c>
      <c r="Y298" s="687">
        <f t="shared" si="146"/>
        <v>54.030903210635998</v>
      </c>
      <c r="AA298" s="170">
        <f t="shared" si="147"/>
        <v>20069</v>
      </c>
      <c r="AB298" s="170">
        <f t="shared" si="148"/>
        <v>402764761</v>
      </c>
      <c r="AD298" s="686">
        <f t="shared" si="149"/>
        <v>17.052249117008508</v>
      </c>
      <c r="AE298" s="687">
        <f t="shared" si="150"/>
        <v>-10.325073806107467</v>
      </c>
      <c r="AG298" s="686">
        <f t="shared" si="151"/>
        <v>-4.9660437382070617</v>
      </c>
      <c r="AH298" s="687">
        <f t="shared" si="152"/>
        <v>-72.586093335252315</v>
      </c>
      <c r="AJ298" s="170">
        <f t="shared" si="153"/>
        <v>0</v>
      </c>
      <c r="AK298" s="170">
        <f t="shared" si="165"/>
        <v>0</v>
      </c>
      <c r="AM298" s="170" t="str">
        <f t="shared" si="157"/>
        <v>0.147120487211415+0.522107782613424i</v>
      </c>
      <c r="AN298" s="170" t="str">
        <f t="shared" si="158"/>
        <v>0.549320458632562i</v>
      </c>
      <c r="AO298" s="170" t="str">
        <f t="shared" si="159"/>
        <v>0.95046120057702-0.26782269784316i</v>
      </c>
      <c r="AP298" s="170" t="str">
        <f t="shared" si="160"/>
        <v>0.142146585464764-0.087017963768904i</v>
      </c>
      <c r="AQ298" s="170" t="str">
        <f t="shared" si="161"/>
        <v>0.857853414535236+0.087017963768904i</v>
      </c>
      <c r="AR298" s="170" t="str">
        <f t="shared" si="162"/>
        <v>0.961138788517924-0.0974949086394359i</v>
      </c>
    </row>
    <row r="299" spans="7:44">
      <c r="G299" s="688">
        <v>20185</v>
      </c>
      <c r="H299" s="676">
        <f t="shared" si="154"/>
        <v>20.184999999999999</v>
      </c>
      <c r="I299" s="677">
        <f t="shared" si="134"/>
        <v>162.73702926266054</v>
      </c>
      <c r="J299" s="678">
        <f t="shared" si="135"/>
        <v>1.5646514051510503</v>
      </c>
      <c r="K299" s="678">
        <f t="shared" si="136"/>
        <v>1.0003891778446499</v>
      </c>
      <c r="L299" s="679">
        <f t="shared" si="137"/>
        <v>2.7894503773664352E-2</v>
      </c>
      <c r="M299" s="678">
        <f t="shared" si="138"/>
        <v>1.0056811415165154</v>
      </c>
      <c r="N299" s="679">
        <f t="shared" si="139"/>
        <v>-0.10634260786820386</v>
      </c>
      <c r="O299" s="677">
        <f t="shared" si="140"/>
        <v>837052.22885189741</v>
      </c>
      <c r="P299" s="680">
        <f t="shared" si="141"/>
        <v>1.5707951321263138</v>
      </c>
      <c r="Q299" s="689">
        <f t="shared" si="163"/>
        <v>33.497019182606188</v>
      </c>
      <c r="R299" s="690">
        <f t="shared" si="164"/>
        <v>1.5409384880493484</v>
      </c>
      <c r="S299" s="677">
        <f t="shared" si="142"/>
        <v>1.0115148027386953</v>
      </c>
      <c r="T299" s="680">
        <f t="shared" si="143"/>
        <v>0.1510323503305723</v>
      </c>
      <c r="U299" s="681">
        <f t="shared" si="155"/>
        <v>0.95347527354318873</v>
      </c>
      <c r="V299" s="682">
        <f t="shared" si="156"/>
        <v>-0.37782652038355935</v>
      </c>
      <c r="W299" s="683">
        <f t="shared" si="144"/>
        <v>-27.06381751340156</v>
      </c>
      <c r="X299" s="684">
        <f t="shared" si="145"/>
        <v>-126.15470828995082</v>
      </c>
      <c r="Y299" s="687">
        <f t="shared" si="146"/>
        <v>53.845291710049182</v>
      </c>
      <c r="AA299" s="170">
        <f t="shared" si="147"/>
        <v>20185</v>
      </c>
      <c r="AB299" s="170">
        <f t="shared" si="148"/>
        <v>407434225</v>
      </c>
      <c r="AD299" s="686">
        <f t="shared" si="149"/>
        <v>17.0510773438576</v>
      </c>
      <c r="AE299" s="687">
        <f t="shared" si="150"/>
        <v>-10.364175951760265</v>
      </c>
      <c r="AG299" s="686">
        <f t="shared" si="151"/>
        <v>-5.010995208673231</v>
      </c>
      <c r="AH299" s="687">
        <f t="shared" si="152"/>
        <v>-72.494802276534941</v>
      </c>
      <c r="AJ299" s="170">
        <f t="shared" si="153"/>
        <v>0</v>
      </c>
      <c r="AK299" s="170">
        <f t="shared" si="165"/>
        <v>0</v>
      </c>
      <c r="AM299" s="170" t="str">
        <f t="shared" si="157"/>
        <v>0.148782530280656+0.524813127927072i</v>
      </c>
      <c r="AN299" s="170" t="str">
        <f t="shared" si="158"/>
        <v>0.552495563181935i</v>
      </c>
      <c r="AO299" s="170" t="str">
        <f t="shared" si="159"/>
        <v>0.949895642427544-0.269291810098505i</v>
      </c>
      <c r="AP299" s="170" t="str">
        <f t="shared" si="160"/>
        <v>0.141869578286557-0.087468854654512i</v>
      </c>
      <c r="AQ299" s="170" t="str">
        <f t="shared" si="161"/>
        <v>0.858130421713443+0.087468854654512i</v>
      </c>
      <c r="AR299" s="170" t="str">
        <f t="shared" si="162"/>
        <v>0.960733248134267-0.0979271154086588i</v>
      </c>
    </row>
    <row r="300" spans="7:44">
      <c r="G300" s="688">
        <v>20301</v>
      </c>
      <c r="H300" s="676">
        <f t="shared" si="154"/>
        <v>20.300999999999998</v>
      </c>
      <c r="I300" s="677">
        <f t="shared" si="134"/>
        <v>163.67221799808075</v>
      </c>
      <c r="J300" s="678">
        <f t="shared" si="135"/>
        <v>1.5646865163830321</v>
      </c>
      <c r="K300" s="678">
        <f t="shared" si="136"/>
        <v>1.0003936629020262</v>
      </c>
      <c r="L300" s="679">
        <f t="shared" si="137"/>
        <v>2.8054725210790214E-2</v>
      </c>
      <c r="M300" s="678">
        <f t="shared" si="138"/>
        <v>1.0057464393016196</v>
      </c>
      <c r="N300" s="679">
        <f t="shared" si="139"/>
        <v>-0.10694910562850146</v>
      </c>
      <c r="O300" s="677">
        <f t="shared" si="140"/>
        <v>841862.63551757403</v>
      </c>
      <c r="P300" s="680">
        <f t="shared" si="141"/>
        <v>1.5707951389526551</v>
      </c>
      <c r="Q300" s="689">
        <f t="shared" si="163"/>
        <v>33.689350176685707</v>
      </c>
      <c r="R300" s="690">
        <f t="shared" si="164"/>
        <v>1.5411089953543173</v>
      </c>
      <c r="S300" s="677">
        <f t="shared" si="142"/>
        <v>1.0116467664500031</v>
      </c>
      <c r="T300" s="680">
        <f t="shared" si="143"/>
        <v>0.15188705881595915</v>
      </c>
      <c r="U300" s="681">
        <f t="shared" si="155"/>
        <v>0.95297821719042186</v>
      </c>
      <c r="V300" s="682">
        <f t="shared" si="156"/>
        <v>-0.37990017185821939</v>
      </c>
      <c r="W300" s="683">
        <f t="shared" si="144"/>
        <v>-27.118692735025437</v>
      </c>
      <c r="X300" s="684">
        <f t="shared" si="145"/>
        <v>-126.3403034741588</v>
      </c>
      <c r="Y300" s="687">
        <f t="shared" si="146"/>
        <v>53.659696525841198</v>
      </c>
      <c r="AA300" s="170">
        <f t="shared" si="147"/>
        <v>20301</v>
      </c>
      <c r="AB300" s="170">
        <f t="shared" si="148"/>
        <v>412130601</v>
      </c>
      <c r="AD300" s="686">
        <f t="shared" si="149"/>
        <v>17.049900137352207</v>
      </c>
      <c r="AE300" s="687">
        <f t="shared" si="150"/>
        <v>-10.403378182901411</v>
      </c>
      <c r="AG300" s="686">
        <f t="shared" si="151"/>
        <v>-5.0556347773248227</v>
      </c>
      <c r="AH300" s="687">
        <f t="shared" si="152"/>
        <v>-72.403572273972031</v>
      </c>
      <c r="AJ300" s="170">
        <f t="shared" si="153"/>
        <v>0</v>
      </c>
      <c r="AK300" s="170">
        <f t="shared" si="165"/>
        <v>0</v>
      </c>
      <c r="AM300" s="170" t="str">
        <f t="shared" si="157"/>
        <v>0.150453154711916+0.527513182452404i</v>
      </c>
      <c r="AN300" s="170" t="str">
        <f t="shared" si="158"/>
        <v>0.555670667731309i</v>
      </c>
      <c r="AO300" s="170" t="str">
        <f t="shared" si="159"/>
        <v>0.949327026035284-0.27075957657831i</v>
      </c>
      <c r="AP300" s="170" t="str">
        <f t="shared" si="160"/>
        <v>0.141591140881347-0.0879188637420673i</v>
      </c>
      <c r="AQ300" s="170" t="str">
        <f t="shared" si="161"/>
        <v>0.858408859118653+0.0879188637420673i</v>
      </c>
      <c r="AR300" s="170" t="str">
        <f t="shared" si="162"/>
        <v>0.960326222052991-0.0983573146615682i</v>
      </c>
    </row>
    <row r="301" spans="7:44">
      <c r="G301" s="688">
        <v>20417</v>
      </c>
      <c r="H301" s="676">
        <f t="shared" si="154"/>
        <v>20.417000000000002</v>
      </c>
      <c r="I301" s="677">
        <f t="shared" si="134"/>
        <v>164.60740693298311</v>
      </c>
      <c r="J301" s="678">
        <f t="shared" si="135"/>
        <v>1.5647212286580925</v>
      </c>
      <c r="K301" s="678">
        <f t="shared" si="136"/>
        <v>1.0003981736401866</v>
      </c>
      <c r="L301" s="679">
        <f t="shared" si="137"/>
        <v>2.8214945207170442E-2</v>
      </c>
      <c r="M301" s="678">
        <f t="shared" si="138"/>
        <v>1.0058121069919097</v>
      </c>
      <c r="N301" s="679">
        <f t="shared" si="139"/>
        <v>-0.10755552441751141</v>
      </c>
      <c r="O301" s="677">
        <f t="shared" si="140"/>
        <v>846673.04218325065</v>
      </c>
      <c r="P301" s="680">
        <f t="shared" si="141"/>
        <v>1.5707951457014282</v>
      </c>
      <c r="Q301" s="689">
        <f t="shared" si="163"/>
        <v>33.88168213908726</v>
      </c>
      <c r="R301" s="690">
        <f t="shared" si="164"/>
        <v>1.5412775668686021</v>
      </c>
      <c r="S301" s="677">
        <f t="shared" si="142"/>
        <v>1.0117794690030826</v>
      </c>
      <c r="T301" s="680">
        <f t="shared" si="143"/>
        <v>0.15274154372242987</v>
      </c>
      <c r="U301" s="681">
        <f t="shared" si="155"/>
        <v>0.95247904906954706</v>
      </c>
      <c r="V301" s="682">
        <f t="shared" si="156"/>
        <v>-0.38197226907962384</v>
      </c>
      <c r="W301" s="683">
        <f t="shared" si="144"/>
        <v>-27.173308076732269</v>
      </c>
      <c r="X301" s="684">
        <f t="shared" si="145"/>
        <v>-126.52588040355786</v>
      </c>
      <c r="Y301" s="687">
        <f t="shared" si="146"/>
        <v>53.474119596442137</v>
      </c>
      <c r="AA301" s="170">
        <f t="shared" si="147"/>
        <v>20417</v>
      </c>
      <c r="AB301" s="170">
        <f t="shared" si="148"/>
        <v>416853889</v>
      </c>
      <c r="AD301" s="686">
        <f t="shared" si="149"/>
        <v>17.048717485061562</v>
      </c>
      <c r="AE301" s="687">
        <f t="shared" si="150"/>
        <v>-10.442678512106303</v>
      </c>
      <c r="AG301" s="686">
        <f t="shared" si="151"/>
        <v>-5.0999657789000628</v>
      </c>
      <c r="AH301" s="687">
        <f t="shared" si="152"/>
        <v>-72.312404022840354</v>
      </c>
      <c r="AJ301" s="170">
        <f t="shared" si="153"/>
        <v>0</v>
      </c>
      <c r="AK301" s="170">
        <f t="shared" si="165"/>
        <v>0</v>
      </c>
      <c r="AM301" s="170" t="str">
        <f t="shared" si="157"/>
        <v>0.152132343663161+0.530207918969413i</v>
      </c>
      <c r="AN301" s="170" t="str">
        <f t="shared" si="158"/>
        <v>0.558845772280682i</v>
      </c>
      <c r="AO301" s="170" t="str">
        <f t="shared" si="159"/>
        <v>0.94875535481928-0.272225990083633i</v>
      </c>
      <c r="AP301" s="170" t="str">
        <f t="shared" si="160"/>
        <v>0.14131127605614-0.0883679864949022i</v>
      </c>
      <c r="AQ301" s="170" t="str">
        <f t="shared" si="161"/>
        <v>0.85868872394386+0.0883679864949022i</v>
      </c>
      <c r="AR301" s="170" t="str">
        <f t="shared" si="162"/>
        <v>0.959917722386516-0.0987855016174811i</v>
      </c>
    </row>
    <row r="302" spans="7:44">
      <c r="G302" s="688">
        <v>20536</v>
      </c>
      <c r="H302" s="676">
        <f t="shared" si="154"/>
        <v>20.536000000000001</v>
      </c>
      <c r="I302" s="677">
        <f t="shared" si="134"/>
        <v>165.56678199236038</v>
      </c>
      <c r="J302" s="678">
        <f t="shared" si="135"/>
        <v>1.5647564311826927</v>
      </c>
      <c r="K302" s="678">
        <f t="shared" si="136"/>
        <v>1.0004028277206138</v>
      </c>
      <c r="L302" s="679">
        <f t="shared" si="137"/>
        <v>2.8379307318427367E-2</v>
      </c>
      <c r="M302" s="678">
        <f t="shared" si="138"/>
        <v>1.0058798572872638</v>
      </c>
      <c r="N302" s="679">
        <f t="shared" si="139"/>
        <v>-0.10817754393862439</v>
      </c>
      <c r="O302" s="677">
        <f t="shared" si="140"/>
        <v>851607.85591786716</v>
      </c>
      <c r="P302" s="680">
        <f t="shared" si="141"/>
        <v>1.5707951525455128</v>
      </c>
      <c r="Q302" s="689">
        <f t="shared" si="163"/>
        <v>34.078989192991671</v>
      </c>
      <c r="R302" s="690">
        <f t="shared" si="164"/>
        <v>1.541448520798814</v>
      </c>
      <c r="S302" s="677">
        <f t="shared" si="142"/>
        <v>1.0119163709649022</v>
      </c>
      <c r="T302" s="680">
        <f t="shared" si="143"/>
        <v>0.15361789383414157</v>
      </c>
      <c r="U302" s="681">
        <f t="shared" si="155"/>
        <v>0.95196478830507625</v>
      </c>
      <c r="V302" s="682">
        <f t="shared" si="156"/>
        <v>-0.38409633409256994</v>
      </c>
      <c r="W302" s="683">
        <f t="shared" si="144"/>
        <v>-27.229069147916416</v>
      </c>
      <c r="X302" s="684">
        <f t="shared" si="145"/>
        <v>-126.71623577478574</v>
      </c>
      <c r="Y302" s="687">
        <f t="shared" si="146"/>
        <v>53.283764225214256</v>
      </c>
      <c r="AA302" s="170">
        <f t="shared" si="147"/>
        <v>20536</v>
      </c>
      <c r="AB302" s="170">
        <f t="shared" si="148"/>
        <v>421727296</v>
      </c>
      <c r="AD302" s="686">
        <f t="shared" si="149"/>
        <v>17.047498575582402</v>
      </c>
      <c r="AE302" s="687">
        <f t="shared" si="150"/>
        <v>-10.483095128374218</v>
      </c>
      <c r="AG302" s="686">
        <f t="shared" si="151"/>
        <v>-5.145126068026209</v>
      </c>
      <c r="AH302" s="687">
        <f t="shared" si="152"/>
        <v>-72.21894285621579</v>
      </c>
      <c r="AJ302" s="170">
        <f t="shared" si="153"/>
        <v>0</v>
      </c>
      <c r="AK302" s="170">
        <f t="shared" si="165"/>
        <v>0</v>
      </c>
      <c r="AM302" s="170" t="str">
        <f t="shared" si="157"/>
        <v>0.153863841800372+0.532966792386894i</v>
      </c>
      <c r="AN302" s="170" t="str">
        <f t="shared" si="158"/>
        <v>0.562102991602884i</v>
      </c>
      <c r="AO302" s="170" t="str">
        <f t="shared" si="159"/>
        <v>0.948165728253988-0.273728914627578i</v>
      </c>
      <c r="AP302" s="170" t="str">
        <f t="shared" si="160"/>
        <v>0.141022693033271-0.088827798731149i</v>
      </c>
      <c r="AQ302" s="170" t="str">
        <f t="shared" si="161"/>
        <v>0.858977306966729+0.088827798731149i</v>
      </c>
      <c r="AR302" s="170" t="str">
        <f t="shared" si="162"/>
        <v>0.959497139531997-0.0992226664222721i</v>
      </c>
    </row>
    <row r="303" spans="7:44">
      <c r="G303" s="688">
        <v>20655</v>
      </c>
      <c r="H303" s="676">
        <f t="shared" si="154"/>
        <v>20.655000000000001</v>
      </c>
      <c r="I303" s="677">
        <f t="shared" si="134"/>
        <v>166.52615725454686</v>
      </c>
      <c r="J303" s="678">
        <f t="shared" si="135"/>
        <v>1.5647912280962073</v>
      </c>
      <c r="K303" s="678">
        <f t="shared" si="136"/>
        <v>1.0004075088265749</v>
      </c>
      <c r="L303" s="679">
        <f t="shared" si="137"/>
        <v>2.8543667895958344E-2</v>
      </c>
      <c r="M303" s="678">
        <f t="shared" si="138"/>
        <v>1.0059479967133573</v>
      </c>
      <c r="N303" s="679">
        <f t="shared" si="139"/>
        <v>-0.10879947943345505</v>
      </c>
      <c r="O303" s="677">
        <f t="shared" si="140"/>
        <v>856542.66965248389</v>
      </c>
      <c r="P303" s="680">
        <f t="shared" si="141"/>
        <v>1.5707951593107357</v>
      </c>
      <c r="Q303" s="689">
        <f t="shared" si="163"/>
        <v>34.276297231396605</v>
      </c>
      <c r="R303" s="690">
        <f t="shared" si="164"/>
        <v>1.5416175065758984</v>
      </c>
      <c r="S303" s="677">
        <f t="shared" si="142"/>
        <v>1.0120540498572901</v>
      </c>
      <c r="T303" s="680">
        <f t="shared" si="143"/>
        <v>0.15449400618283665</v>
      </c>
      <c r="U303" s="681">
        <f t="shared" si="155"/>
        <v>0.95144832807827873</v>
      </c>
      <c r="V303" s="682">
        <f t="shared" si="156"/>
        <v>-0.38621875154525603</v>
      </c>
      <c r="W303" s="683">
        <f t="shared" si="144"/>
        <v>-27.284563401233189</v>
      </c>
      <c r="X303" s="684">
        <f t="shared" si="145"/>
        <v>-126.90656792101738</v>
      </c>
      <c r="Y303" s="687">
        <f t="shared" si="146"/>
        <v>53.093432078982616</v>
      </c>
      <c r="AA303" s="170">
        <f t="shared" si="147"/>
        <v>20655</v>
      </c>
      <c r="AB303" s="170">
        <f t="shared" si="148"/>
        <v>426629025</v>
      </c>
      <c r="AD303" s="686">
        <f t="shared" si="149"/>
        <v>17.046273910131521</v>
      </c>
      <c r="AE303" s="687">
        <f t="shared" si="150"/>
        <v>-10.523610884174081</v>
      </c>
      <c r="AG303" s="686">
        <f t="shared" si="151"/>
        <v>-5.1899685554820287</v>
      </c>
      <c r="AH303" s="687">
        <f t="shared" si="152"/>
        <v>-72.125548121562048</v>
      </c>
      <c r="AJ303" s="170">
        <f t="shared" si="153"/>
        <v>0</v>
      </c>
      <c r="AK303" s="170">
        <f t="shared" si="165"/>
        <v>0</v>
      </c>
      <c r="AM303" s="170" t="str">
        <f t="shared" si="157"/>
        <v>0.155604316992359+0.535720011310069i</v>
      </c>
      <c r="AN303" s="170" t="str">
        <f t="shared" si="158"/>
        <v>0.565360210925087i</v>
      </c>
      <c r="AO303" s="170" t="str">
        <f t="shared" si="159"/>
        <v>0.94757289416155-0.275230399991798i</v>
      </c>
      <c r="AP303" s="170" t="str">
        <f t="shared" si="160"/>
        <v>0.140732613834607-0.0892866685516782i</v>
      </c>
      <c r="AQ303" s="170" t="str">
        <f t="shared" si="161"/>
        <v>0.859267386165393+0.0892866685516782i</v>
      </c>
      <c r="AR303" s="170" t="str">
        <f t="shared" si="162"/>
        <v>0.959075031729872-0.0996577035891045i</v>
      </c>
    </row>
    <row r="304" spans="7:44">
      <c r="G304" s="688">
        <v>20774</v>
      </c>
      <c r="H304" s="676">
        <f t="shared" si="154"/>
        <v>20.774000000000001</v>
      </c>
      <c r="I304" s="677">
        <f t="shared" si="134"/>
        <v>167.48553271605743</v>
      </c>
      <c r="J304" s="678">
        <f t="shared" si="135"/>
        <v>1.5648256263687053</v>
      </c>
      <c r="K304" s="678">
        <f t="shared" si="136"/>
        <v>1.000412216957691</v>
      </c>
      <c r="L304" s="679">
        <f t="shared" si="137"/>
        <v>2.8708026930904757E-2</v>
      </c>
      <c r="M304" s="678">
        <f t="shared" si="138"/>
        <v>1.0060165251911206</v>
      </c>
      <c r="N304" s="679">
        <f t="shared" si="139"/>
        <v>-0.10942133043799232</v>
      </c>
      <c r="O304" s="677">
        <f t="shared" si="140"/>
        <v>861477.48338710039</v>
      </c>
      <c r="P304" s="680">
        <f t="shared" si="141"/>
        <v>1.5707951659984518</v>
      </c>
      <c r="Q304" s="689">
        <f t="shared" si="163"/>
        <v>34.473606237397846</v>
      </c>
      <c r="R304" s="690">
        <f t="shared" si="164"/>
        <v>1.5417845579841769</v>
      </c>
      <c r="S304" s="677">
        <f t="shared" si="142"/>
        <v>1.0121925053632108</v>
      </c>
      <c r="T304" s="680">
        <f t="shared" si="143"/>
        <v>0.15536987952085263</v>
      </c>
      <c r="U304" s="681">
        <f t="shared" si="155"/>
        <v>0.95092968003296718</v>
      </c>
      <c r="V304" s="682">
        <f t="shared" si="156"/>
        <v>-0.38833951550038709</v>
      </c>
      <c r="W304" s="683">
        <f t="shared" si="144"/>
        <v>-27.339794129333761</v>
      </c>
      <c r="X304" s="684">
        <f t="shared" si="145"/>
        <v>-127.09687486824086</v>
      </c>
      <c r="Y304" s="687">
        <f t="shared" si="146"/>
        <v>52.90312513175914</v>
      </c>
      <c r="AA304" s="170">
        <f t="shared" si="147"/>
        <v>20774</v>
      </c>
      <c r="AB304" s="170">
        <f t="shared" si="148"/>
        <v>431559076</v>
      </c>
      <c r="AD304" s="686">
        <f t="shared" si="149"/>
        <v>17.045043476915225</v>
      </c>
      <c r="AE304" s="687">
        <f t="shared" si="150"/>
        <v>-10.564223772398678</v>
      </c>
      <c r="AG304" s="686">
        <f t="shared" si="151"/>
        <v>-5.2344966639239043</v>
      </c>
      <c r="AH304" s="687">
        <f t="shared" si="152"/>
        <v>-72.032220532338272</v>
      </c>
      <c r="AJ304" s="170">
        <f t="shared" si="153"/>
        <v>0</v>
      </c>
      <c r="AK304" s="170">
        <f t="shared" si="165"/>
        <v>0</v>
      </c>
      <c r="AM304" s="170" t="str">
        <f t="shared" si="157"/>
        <v>0.157353750773605+0.538467546528747i</v>
      </c>
      <c r="AN304" s="170" t="str">
        <f t="shared" si="158"/>
        <v>0.568617430247289i</v>
      </c>
      <c r="AO304" s="170" t="str">
        <f t="shared" si="159"/>
        <v>0.946976856292587-0.276730438434103i</v>
      </c>
      <c r="AP304" s="170" t="str">
        <f t="shared" si="160"/>
        <v>0.140441041537732-0.0897445910881245i</v>
      </c>
      <c r="AQ304" s="170" t="str">
        <f t="shared" si="161"/>
        <v>0.859558958462268+0.0897445910881245i</v>
      </c>
      <c r="AR304" s="170" t="str">
        <f t="shared" si="162"/>
        <v>0.958651412074944-0.100090608242431i</v>
      </c>
    </row>
    <row r="305" spans="7:44">
      <c r="G305" s="688">
        <v>20893</v>
      </c>
      <c r="H305" s="676">
        <f t="shared" si="154"/>
        <v>20.893000000000001</v>
      </c>
      <c r="I305" s="677">
        <f t="shared" si="134"/>
        <v>168.44490837348638</v>
      </c>
      <c r="J305" s="678">
        <f t="shared" si="135"/>
        <v>1.5648596328114679</v>
      </c>
      <c r="K305" s="678">
        <f t="shared" si="136"/>
        <v>1.0004169521135802</v>
      </c>
      <c r="L305" s="679">
        <f t="shared" si="137"/>
        <v>2.8872384414408495E-2</v>
      </c>
      <c r="M305" s="678">
        <f t="shared" si="138"/>
        <v>1.0060854426410544</v>
      </c>
      <c r="N305" s="679">
        <f t="shared" si="139"/>
        <v>-0.11004309648861256</v>
      </c>
      <c r="O305" s="677">
        <f t="shared" si="140"/>
        <v>866412.29712171713</v>
      </c>
      <c r="P305" s="680">
        <f t="shared" si="141"/>
        <v>1.5707951726099856</v>
      </c>
      <c r="Q305" s="689">
        <f t="shared" si="163"/>
        <v>34.670916194475865</v>
      </c>
      <c r="R305" s="690">
        <f t="shared" si="164"/>
        <v>1.5419497080393518</v>
      </c>
      <c r="S305" s="677">
        <f t="shared" si="142"/>
        <v>1.0123317371640148</v>
      </c>
      <c r="T305" s="680">
        <f t="shared" si="143"/>
        <v>0.15624551260267439</v>
      </c>
      <c r="U305" s="681">
        <f t="shared" si="155"/>
        <v>0.95040885582797052</v>
      </c>
      <c r="V305" s="682">
        <f t="shared" si="156"/>
        <v>-0.39045862007188659</v>
      </c>
      <c r="W305" s="683">
        <f t="shared" si="144"/>
        <v>-27.394764566803062</v>
      </c>
      <c r="X305" s="684">
        <f t="shared" si="145"/>
        <v>-127.2871546804631</v>
      </c>
      <c r="Y305" s="687">
        <f t="shared" si="146"/>
        <v>52.712845319536896</v>
      </c>
      <c r="AA305" s="170">
        <f t="shared" si="147"/>
        <v>20893</v>
      </c>
      <c r="AB305" s="170">
        <f t="shared" si="148"/>
        <v>436517449</v>
      </c>
      <c r="AD305" s="686">
        <f t="shared" si="149"/>
        <v>17.043807264653822</v>
      </c>
      <c r="AE305" s="687">
        <f t="shared" si="150"/>
        <v>-10.604931830100723</v>
      </c>
      <c r="AG305" s="686">
        <f t="shared" si="151"/>
        <v>-5.2787137587665125</v>
      </c>
      <c r="AH305" s="687">
        <f t="shared" si="152"/>
        <v>-71.938960789993359</v>
      </c>
      <c r="AJ305" s="170">
        <f t="shared" si="153"/>
        <v>0</v>
      </c>
      <c r="AK305" s="170">
        <f t="shared" si="165"/>
        <v>0</v>
      </c>
      <c r="AM305" s="170" t="str">
        <f t="shared" si="157"/>
        <v>0.159112124583548+0.541209368893043i</v>
      </c>
      <c r="AN305" s="170" t="str">
        <f t="shared" si="158"/>
        <v>0.571874649569491i</v>
      </c>
      <c r="AO305" s="170" t="str">
        <f t="shared" si="159"/>
        <v>0.94637761841772-0.278229022222489i</v>
      </c>
      <c r="AP305" s="170" t="str">
        <f t="shared" si="160"/>
        <v>0.140147979236075-0.0902015614821738i</v>
      </c>
      <c r="AQ305" s="170" t="str">
        <f t="shared" si="161"/>
        <v>0.859852020763925+0.0902015614821738i</v>
      </c>
      <c r="AR305" s="170" t="str">
        <f t="shared" si="162"/>
        <v>0.958226293666534-0.100521375602754i</v>
      </c>
    </row>
    <row r="306" spans="7:44">
      <c r="G306" s="688">
        <v>21014.75</v>
      </c>
      <c r="H306" s="676">
        <f t="shared" si="154"/>
        <v>21.014749999999999</v>
      </c>
      <c r="I306" s="677">
        <f t="shared" si="134"/>
        <v>169.4264546760713</v>
      </c>
      <c r="J306" s="678">
        <f t="shared" si="135"/>
        <v>1.5648940265423954</v>
      </c>
      <c r="K306" s="678">
        <f t="shared" si="136"/>
        <v>1.0004218246637129</v>
      </c>
      <c r="L306" s="679">
        <f t="shared" si="137"/>
        <v>2.9040538460178459E-2</v>
      </c>
      <c r="M306" s="678">
        <f t="shared" si="138"/>
        <v>1.0061563551970849</v>
      </c>
      <c r="N306" s="679">
        <f t="shared" si="139"/>
        <v>-0.1106791426778809</v>
      </c>
      <c r="O306" s="677">
        <f t="shared" si="140"/>
        <v>871461.15066952875</v>
      </c>
      <c r="P306" s="680">
        <f t="shared" si="141"/>
        <v>1.5707951792968133</v>
      </c>
      <c r="Q306" s="689">
        <f t="shared" si="163"/>
        <v>34.872786802898538</v>
      </c>
      <c r="R306" s="690">
        <f t="shared" si="164"/>
        <v>1.5421167404671925</v>
      </c>
      <c r="S306" s="677">
        <f t="shared" si="142"/>
        <v>1.0124749895839731</v>
      </c>
      <c r="T306" s="680">
        <f t="shared" si="143"/>
        <v>0.1571411309575291</v>
      </c>
      <c r="U306" s="681">
        <f t="shared" si="155"/>
        <v>0.94987375576872557</v>
      </c>
      <c r="V306" s="682">
        <f t="shared" si="156"/>
        <v>-0.39262497211510378</v>
      </c>
      <c r="W306" s="683">
        <f t="shared" si="144"/>
        <v>-27.450739260540868</v>
      </c>
      <c r="X306" s="684">
        <f t="shared" si="145"/>
        <v>-127.48180165217261</v>
      </c>
      <c r="Y306" s="687">
        <f t="shared" si="146"/>
        <v>52.518198347827393</v>
      </c>
      <c r="AA306" s="170">
        <f t="shared" si="147"/>
        <v>21014.75</v>
      </c>
      <c r="AB306" s="170">
        <f t="shared" si="148"/>
        <v>441619717.5625</v>
      </c>
      <c r="AD306" s="686">
        <f t="shared" si="149"/>
        <v>17.042536492307871</v>
      </c>
      <c r="AE306" s="687">
        <f t="shared" si="150"/>
        <v>-10.646677111905953</v>
      </c>
      <c r="AG306" s="686">
        <f t="shared" si="151"/>
        <v>-5.3236342507791692</v>
      </c>
      <c r="AH306" s="687">
        <f t="shared" si="152"/>
        <v>-71.84361682158216</v>
      </c>
      <c r="AJ306" s="170">
        <f t="shared" si="153"/>
        <v>0</v>
      </c>
      <c r="AK306" s="170">
        <f t="shared" si="165"/>
        <v>0</v>
      </c>
      <c r="AM306" s="170" t="str">
        <f t="shared" si="157"/>
        <v>0.160920365937824+0.544008609952163i</v>
      </c>
      <c r="AN306" s="170" t="str">
        <f t="shared" si="158"/>
        <v>0.575207140766786i</v>
      </c>
      <c r="AO306" s="170" t="str">
        <f t="shared" si="159"/>
        <v>0.945761224777159-0.279760723629591i</v>
      </c>
      <c r="AP306" s="170" t="str">
        <f t="shared" si="160"/>
        <v>0.139846605677029-0.0906681016586938i</v>
      </c>
      <c r="AQ306" s="170" t="str">
        <f t="shared" si="161"/>
        <v>0.860153394322971+0.0906681016586938i</v>
      </c>
      <c r="AR306" s="170" t="str">
        <f t="shared" si="162"/>
        <v>0.957789813652165-0.100959880836404i</v>
      </c>
    </row>
    <row r="307" spans="7:44">
      <c r="G307" s="688">
        <v>21136.5</v>
      </c>
      <c r="H307" s="676">
        <f t="shared" si="154"/>
        <v>21.136500000000002</v>
      </c>
      <c r="I307" s="677">
        <f t="shared" si="134"/>
        <v>170.40800117676679</v>
      </c>
      <c r="J307" s="678">
        <f t="shared" si="135"/>
        <v>1.5649280240590298</v>
      </c>
      <c r="K307" s="678">
        <f t="shared" si="136"/>
        <v>1.00042672550128</v>
      </c>
      <c r="L307" s="679">
        <f t="shared" si="137"/>
        <v>2.9208690863214721E-2</v>
      </c>
      <c r="M307" s="678">
        <f t="shared" si="138"/>
        <v>1.0062276747409851</v>
      </c>
      <c r="N307" s="679">
        <f t="shared" si="139"/>
        <v>-0.11131509896085902</v>
      </c>
      <c r="O307" s="677">
        <f t="shared" si="140"/>
        <v>876510.00421734049</v>
      </c>
      <c r="P307" s="680">
        <f t="shared" si="141"/>
        <v>1.5707951859066065</v>
      </c>
      <c r="Q307" s="689">
        <f t="shared" si="163"/>
        <v>35.074658373066612</v>
      </c>
      <c r="R307" s="690">
        <f t="shared" si="164"/>
        <v>1.542281850195282</v>
      </c>
      <c r="S307" s="677">
        <f t="shared" si="142"/>
        <v>1.0126190539125983</v>
      </c>
      <c r="T307" s="680">
        <f t="shared" si="143"/>
        <v>0.15803649519290869</v>
      </c>
      <c r="U307" s="681">
        <f t="shared" si="155"/>
        <v>0.94933640254405038</v>
      </c>
      <c r="V307" s="682">
        <f t="shared" si="156"/>
        <v>-0.39478957489360594</v>
      </c>
      <c r="W307" s="683">
        <f t="shared" si="144"/>
        <v>-27.506448163816586</v>
      </c>
      <c r="X307" s="684">
        <f t="shared" si="145"/>
        <v>-127.6764162380544</v>
      </c>
      <c r="Y307" s="687">
        <f t="shared" si="146"/>
        <v>52.323583761945599</v>
      </c>
      <c r="AA307" s="170">
        <f t="shared" si="147"/>
        <v>21136.5</v>
      </c>
      <c r="AB307" s="170">
        <f t="shared" si="148"/>
        <v>446751632.25</v>
      </c>
      <c r="AD307" s="686">
        <f t="shared" si="149"/>
        <v>17.041259648421804</v>
      </c>
      <c r="AE307" s="687">
        <f t="shared" si="150"/>
        <v>-10.688517991905153</v>
      </c>
      <c r="AG307" s="686">
        <f t="shared" si="151"/>
        <v>-5.3682361375356251</v>
      </c>
      <c r="AH307" s="687">
        <f t="shared" si="152"/>
        <v>-71.748345320120436</v>
      </c>
      <c r="AJ307" s="170">
        <f t="shared" si="153"/>
        <v>0</v>
      </c>
      <c r="AK307" s="170">
        <f t="shared" si="165"/>
        <v>0</v>
      </c>
      <c r="AM307" s="170" t="str">
        <f t="shared" si="157"/>
        <v>0.162737925680322+0.546801809530574i</v>
      </c>
      <c r="AN307" s="170" t="str">
        <f t="shared" si="158"/>
        <v>0.578539631964081i</v>
      </c>
      <c r="AO307" s="170" t="str">
        <f t="shared" si="159"/>
        <v>0.945141489571319-0.281290886032896i</v>
      </c>
      <c r="AP307" s="170" t="str">
        <f t="shared" si="160"/>
        <v>0.13954367905328-0.0911336349217623i</v>
      </c>
      <c r="AQ307" s="170" t="str">
        <f t="shared" si="161"/>
        <v>0.86045632094672+0.0911336349217623i</v>
      </c>
      <c r="AR307" s="170" t="str">
        <f t="shared" si="162"/>
        <v>0.957351792565181-0.10139613903857i</v>
      </c>
    </row>
    <row r="308" spans="7:44">
      <c r="G308" s="688">
        <v>21258.25</v>
      </c>
      <c r="H308" s="676">
        <f t="shared" si="154"/>
        <v>21.25825</v>
      </c>
      <c r="I308" s="677">
        <f t="shared" si="134"/>
        <v>171.3895478721692</v>
      </c>
      <c r="J308" s="678">
        <f t="shared" si="135"/>
        <v>1.5649616321686413</v>
      </c>
      <c r="K308" s="678">
        <f t="shared" si="136"/>
        <v>1.000431654625866</v>
      </c>
      <c r="L308" s="679">
        <f t="shared" si="137"/>
        <v>2.9376841614032399E-2</v>
      </c>
      <c r="M308" s="678">
        <f t="shared" si="138"/>
        <v>1.0062994011862214</v>
      </c>
      <c r="N308" s="679">
        <f t="shared" si="139"/>
        <v>-0.11195096484230485</v>
      </c>
      <c r="O308" s="677">
        <f t="shared" si="140"/>
        <v>881558.85776515224</v>
      </c>
      <c r="P308" s="680">
        <f t="shared" si="141"/>
        <v>1.5707951924406884</v>
      </c>
      <c r="Q308" s="689">
        <f t="shared" si="163"/>
        <v>35.276530888469182</v>
      </c>
      <c r="R308" s="690">
        <f t="shared" si="164"/>
        <v>1.5424450702229076</v>
      </c>
      <c r="S308" s="677">
        <f t="shared" si="142"/>
        <v>1.0127639298034117</v>
      </c>
      <c r="T308" s="680">
        <f t="shared" si="143"/>
        <v>0.15893160398197934</v>
      </c>
      <c r="U308" s="681">
        <f t="shared" si="155"/>
        <v>0.94879680868450911</v>
      </c>
      <c r="V308" s="682">
        <f t="shared" si="156"/>
        <v>-0.3969524222702715</v>
      </c>
      <c r="W308" s="683">
        <f t="shared" si="144"/>
        <v>-27.561894560492838</v>
      </c>
      <c r="X308" s="684">
        <f t="shared" si="145"/>
        <v>-127.87099648200738</v>
      </c>
      <c r="Y308" s="687">
        <f t="shared" si="146"/>
        <v>52.129003517992615</v>
      </c>
      <c r="AA308" s="170">
        <f t="shared" si="147"/>
        <v>21258.25</v>
      </c>
      <c r="AB308" s="170">
        <f t="shared" si="148"/>
        <v>451913193.0625</v>
      </c>
      <c r="AD308" s="686">
        <f t="shared" si="149"/>
        <v>17.039976722480318</v>
      </c>
      <c r="AE308" s="687">
        <f t="shared" si="150"/>
        <v>-10.730452503432238</v>
      </c>
      <c r="AG308" s="686">
        <f t="shared" si="151"/>
        <v>-5.4125228455397698</v>
      </c>
      <c r="AH308" s="687">
        <f t="shared" si="152"/>
        <v>-71.653146999435322</v>
      </c>
      <c r="AJ308" s="170">
        <f t="shared" si="153"/>
        <v>0</v>
      </c>
      <c r="AK308" s="170">
        <f t="shared" si="165"/>
        <v>0</v>
      </c>
      <c r="AM308" s="170" t="str">
        <f t="shared" si="157"/>
        <v>0.164564783626155+0.549588936608431i</v>
      </c>
      <c r="AN308" s="170" t="str">
        <f t="shared" si="158"/>
        <v>0.581872123161376i</v>
      </c>
      <c r="AO308" s="170" t="str">
        <f t="shared" si="159"/>
        <v>0.944518416903104-0.28281950118534i</v>
      </c>
      <c r="AP308" s="170" t="str">
        <f t="shared" si="160"/>
        <v>0.139239202728974-0.0915981561014052i</v>
      </c>
      <c r="AQ308" s="170" t="str">
        <f t="shared" si="161"/>
        <v>0.860760797271026+0.0915981561014052i</v>
      </c>
      <c r="AR308" s="170" t="str">
        <f t="shared" si="162"/>
        <v>0.956912244443621-0.101830145401353i</v>
      </c>
    </row>
    <row r="309" spans="7:44">
      <c r="G309" s="688">
        <v>21380</v>
      </c>
      <c r="H309" s="676">
        <f t="shared" si="154"/>
        <v>21.38</v>
      </c>
      <c r="I309" s="677">
        <f t="shared" si="134"/>
        <v>172.37109475895224</v>
      </c>
      <c r="J309" s="678">
        <f t="shared" si="135"/>
        <v>1.5649948575234502</v>
      </c>
      <c r="K309" s="678">
        <f t="shared" si="136"/>
        <v>1.0004366120370527</v>
      </c>
      <c r="L309" s="679">
        <f t="shared" si="137"/>
        <v>2.9544990703147166E-2</v>
      </c>
      <c r="M309" s="678">
        <f t="shared" si="138"/>
        <v>1.0063715344457915</v>
      </c>
      <c r="N309" s="679">
        <f t="shared" si="139"/>
        <v>-0.11258673982740953</v>
      </c>
      <c r="O309" s="677">
        <f t="shared" si="140"/>
        <v>886607.71131296409</v>
      </c>
      <c r="P309" s="680">
        <f t="shared" si="141"/>
        <v>1.570795198900353</v>
      </c>
      <c r="Q309" s="689">
        <f t="shared" si="163"/>
        <v>35.47840433297106</v>
      </c>
      <c r="R309" s="690">
        <f t="shared" si="164"/>
        <v>1.5426064327986961</v>
      </c>
      <c r="S309" s="677">
        <f t="shared" si="142"/>
        <v>1.012909616908181</v>
      </c>
      <c r="T309" s="680">
        <f t="shared" si="143"/>
        <v>0.1598264560003014</v>
      </c>
      <c r="U309" s="681">
        <f t="shared" si="155"/>
        <v>0.94825498673434816</v>
      </c>
      <c r="V309" s="682">
        <f t="shared" si="156"/>
        <v>-0.39911350816414132</v>
      </c>
      <c r="W309" s="683">
        <f t="shared" si="144"/>
        <v>-27.617081676430718</v>
      </c>
      <c r="X309" s="684">
        <f t="shared" si="145"/>
        <v>-128.0655404654344</v>
      </c>
      <c r="Y309" s="687">
        <f t="shared" si="146"/>
        <v>51.934459534565605</v>
      </c>
      <c r="AA309" s="170">
        <f t="shared" si="147"/>
        <v>21380</v>
      </c>
      <c r="AB309" s="170">
        <f t="shared" si="148"/>
        <v>457104400</v>
      </c>
      <c r="AD309" s="686">
        <f t="shared" si="149"/>
        <v>17.038687704462035</v>
      </c>
      <c r="AE309" s="687">
        <f t="shared" si="150"/>
        <v>-10.772478722966349</v>
      </c>
      <c r="AG309" s="686">
        <f t="shared" si="151"/>
        <v>-5.4564977440993658</v>
      </c>
      <c r="AH309" s="687">
        <f t="shared" si="152"/>
        <v>-71.558022561277255</v>
      </c>
      <c r="AJ309" s="170">
        <f t="shared" si="153"/>
        <v>0</v>
      </c>
      <c r="AK309" s="170">
        <f t="shared" si="165"/>
        <v>0</v>
      </c>
      <c r="AM309" s="170" t="str">
        <f t="shared" si="157"/>
        <v>0.166400919487175+0.552369960233332i</v>
      </c>
      <c r="AN309" s="170" t="str">
        <f t="shared" si="158"/>
        <v>0.585204614358671i</v>
      </c>
      <c r="AO309" s="170" t="str">
        <f t="shared" si="159"/>
        <v>0.94389201089721-0.284346560851258i</v>
      </c>
      <c r="AP309" s="170" t="str">
        <f t="shared" si="160"/>
        <v>0.138933180085471-0.0920616600388887i</v>
      </c>
      <c r="AQ309" s="170" t="str">
        <f t="shared" si="161"/>
        <v>0.861066819914529+0.0920616600388887i</v>
      </c>
      <c r="AR309" s="170" t="str">
        <f t="shared" si="162"/>
        <v>0.956471183326952-0.10226189522107i</v>
      </c>
    </row>
    <row r="310" spans="7:44">
      <c r="G310" s="688">
        <v>21504.5</v>
      </c>
      <c r="H310" s="676">
        <f t="shared" si="154"/>
        <v>21.5045</v>
      </c>
      <c r="I310" s="677">
        <f t="shared" si="134"/>
        <v>173.374812303824</v>
      </c>
      <c r="J310" s="678">
        <f t="shared" si="135"/>
        <v>1.5650284443010205</v>
      </c>
      <c r="K310" s="678">
        <f t="shared" si="136"/>
        <v>1.0004417106743733</v>
      </c>
      <c r="L310" s="679">
        <f t="shared" si="137"/>
        <v>2.9716936092660708E-2</v>
      </c>
      <c r="M310" s="678">
        <f t="shared" si="138"/>
        <v>1.0064457176089046</v>
      </c>
      <c r="N310" s="679">
        <f t="shared" si="139"/>
        <v>-0.11323678071884793</v>
      </c>
      <c r="O310" s="677">
        <f t="shared" si="140"/>
        <v>891770.60467397072</v>
      </c>
      <c r="P310" s="680">
        <f t="shared" si="141"/>
        <v>1.5707952054302825</v>
      </c>
      <c r="Q310" s="689">
        <f t="shared" si="163"/>
        <v>35.684838491652542</v>
      </c>
      <c r="R310" s="690">
        <f t="shared" si="164"/>
        <v>1.5427695520929252</v>
      </c>
      <c r="S310" s="677">
        <f t="shared" si="142"/>
        <v>1.0130594332276641</v>
      </c>
      <c r="T310" s="680">
        <f t="shared" si="143"/>
        <v>0.16074125336855399</v>
      </c>
      <c r="U310" s="681">
        <f t="shared" si="155"/>
        <v>0.94769863544104149</v>
      </c>
      <c r="V310" s="682">
        <f t="shared" si="156"/>
        <v>-0.40132157919662526</v>
      </c>
      <c r="W310" s="683">
        <f t="shared" si="144"/>
        <v>-27.673250488770048</v>
      </c>
      <c r="X310" s="684">
        <f t="shared" si="145"/>
        <v>-128.26443920708621</v>
      </c>
      <c r="Y310" s="687">
        <f t="shared" si="146"/>
        <v>51.735560792913788</v>
      </c>
      <c r="AA310" s="170">
        <f t="shared" si="147"/>
        <v>21504.5</v>
      </c>
      <c r="AB310" s="170">
        <f t="shared" si="148"/>
        <v>462443520.25</v>
      </c>
      <c r="AD310" s="686">
        <f t="shared" si="149"/>
        <v>17.037363261070478</v>
      </c>
      <c r="AE310" s="687">
        <f t="shared" si="150"/>
        <v>-10.815547078347034</v>
      </c>
      <c r="AG310" s="686">
        <f t="shared" si="151"/>
        <v>-5.501146914143872</v>
      </c>
      <c r="AH310" s="687">
        <f t="shared" si="152"/>
        <v>-71.460826645206467</v>
      </c>
      <c r="AJ310" s="170">
        <f t="shared" si="153"/>
        <v>0</v>
      </c>
      <c r="AK310" s="170">
        <f t="shared" si="165"/>
        <v>0</v>
      </c>
      <c r="AM310" s="170" t="str">
        <f t="shared" si="157"/>
        <v>0.168288102022229+0.555207455607554i</v>
      </c>
      <c r="AN310" s="170" t="str">
        <f t="shared" si="158"/>
        <v>0.588612377431059i</v>
      </c>
      <c r="AO310" s="170" t="str">
        <f t="shared" si="159"/>
        <v>0.943248013286269-0.285906495471104i</v>
      </c>
      <c r="AP310" s="170" t="str">
        <f t="shared" si="160"/>
        <v>0.138618649662962-0.0925345759345923i</v>
      </c>
      <c r="AQ310" s="170" t="str">
        <f t="shared" si="161"/>
        <v>0.861381350337038+0.0925345759345923i</v>
      </c>
      <c r="AR310" s="170" t="str">
        <f t="shared" si="162"/>
        <v>0.956018609830091-0.102701058725722i</v>
      </c>
    </row>
    <row r="311" spans="7:44">
      <c r="G311" s="688">
        <v>21629</v>
      </c>
      <c r="H311" s="676">
        <f t="shared" si="154"/>
        <v>21.629000000000001</v>
      </c>
      <c r="I311" s="677">
        <f t="shared" si="134"/>
        <v>174.3785300420235</v>
      </c>
      <c r="J311" s="678">
        <f t="shared" si="135"/>
        <v>1.5650616444296019</v>
      </c>
      <c r="K311" s="678">
        <f t="shared" si="136"/>
        <v>1.0004468388896679</v>
      </c>
      <c r="L311" s="679">
        <f t="shared" si="137"/>
        <v>2.9888879724499478E-2</v>
      </c>
      <c r="M311" s="678">
        <f t="shared" si="138"/>
        <v>1.0065203259860436</v>
      </c>
      <c r="N311" s="679">
        <f t="shared" si="139"/>
        <v>-0.1138867255162517</v>
      </c>
      <c r="O311" s="677">
        <f t="shared" si="140"/>
        <v>896933.49803497747</v>
      </c>
      <c r="P311" s="680">
        <f t="shared" si="141"/>
        <v>1.5707952118850375</v>
      </c>
      <c r="Q311" s="689">
        <f t="shared" si="163"/>
        <v>35.891273588910401</v>
      </c>
      <c r="R311" s="690">
        <f t="shared" si="164"/>
        <v>1.5429307949716502</v>
      </c>
      <c r="S311" s="677">
        <f t="shared" si="142"/>
        <v>1.0132100970790889</v>
      </c>
      <c r="T311" s="680">
        <f t="shared" si="143"/>
        <v>0.16165577944208995</v>
      </c>
      <c r="U311" s="681">
        <f t="shared" si="155"/>
        <v>0.94713998083908335</v>
      </c>
      <c r="V311" s="682">
        <f t="shared" si="156"/>
        <v>-0.40352779559206653</v>
      </c>
      <c r="W311" s="683">
        <f t="shared" si="144"/>
        <v>-27.729154817878236</v>
      </c>
      <c r="X311" s="684">
        <f t="shared" si="145"/>
        <v>-128.46329608977203</v>
      </c>
      <c r="Y311" s="687">
        <f t="shared" si="146"/>
        <v>51.53670391022797</v>
      </c>
      <c r="AA311" s="170">
        <f t="shared" si="147"/>
        <v>21629</v>
      </c>
      <c r="AB311" s="170">
        <f t="shared" si="148"/>
        <v>467813641</v>
      </c>
      <c r="AD311" s="686">
        <f t="shared" si="149"/>
        <v>17.036032427605448</v>
      </c>
      <c r="AE311" s="687">
        <f t="shared" si="150"/>
        <v>-10.858707396067366</v>
      </c>
      <c r="AG311" s="686">
        <f t="shared" si="151"/>
        <v>-5.5454769783574349</v>
      </c>
      <c r="AH311" s="687">
        <f t="shared" si="152"/>
        <v>-71.363709433580368</v>
      </c>
      <c r="AJ311" s="170">
        <f t="shared" si="153"/>
        <v>0</v>
      </c>
      <c r="AK311" s="170">
        <f t="shared" si="165"/>
        <v>0</v>
      </c>
      <c r="AM311" s="170" t="str">
        <f t="shared" si="157"/>
        <v>0.17018494309275+0.558038503447583i</v>
      </c>
      <c r="AN311" s="170" t="str">
        <f t="shared" si="158"/>
        <v>0.592020140503447i</v>
      </c>
      <c r="AO311" s="170" t="str">
        <f t="shared" si="159"/>
        <v>0.942600538848279-0.287464786160867i</v>
      </c>
      <c r="AP311" s="170" t="str">
        <f t="shared" si="160"/>
        <v>0.138302509484542-0.0930064172412638i</v>
      </c>
      <c r="AQ311" s="170" t="str">
        <f t="shared" si="161"/>
        <v>0.861697490515458+0.0930064172412638i</v>
      </c>
      <c r="AR311" s="170" t="str">
        <f t="shared" si="162"/>
        <v>0.955564483911459-0.103137852981838i</v>
      </c>
    </row>
    <row r="312" spans="7:44">
      <c r="G312" s="688">
        <v>21753.5</v>
      </c>
      <c r="H312" s="676">
        <f t="shared" si="154"/>
        <v>21.753499999999999</v>
      </c>
      <c r="I312" s="677">
        <f t="shared" si="134"/>
        <v>175.38224797023145</v>
      </c>
      <c r="J312" s="678">
        <f t="shared" si="135"/>
        <v>1.565094464547532</v>
      </c>
      <c r="K312" s="678">
        <f t="shared" si="136"/>
        <v>1.0004519966824821</v>
      </c>
      <c r="L312" s="679">
        <f t="shared" si="137"/>
        <v>3.0060821588523679E-2</v>
      </c>
      <c r="M312" s="678">
        <f t="shared" si="138"/>
        <v>1.0065953594826589</v>
      </c>
      <c r="N312" s="679">
        <f t="shared" si="139"/>
        <v>-0.11453657369193941</v>
      </c>
      <c r="O312" s="677">
        <f t="shared" si="140"/>
        <v>902096.39139598433</v>
      </c>
      <c r="P312" s="680">
        <f t="shared" si="141"/>
        <v>1.5707952182659084</v>
      </c>
      <c r="Q312" s="689">
        <f t="shared" si="163"/>
        <v>36.097709608642084</v>
      </c>
      <c r="R312" s="690">
        <f t="shared" si="164"/>
        <v>1.5430901936190169</v>
      </c>
      <c r="S312" s="677">
        <f t="shared" si="142"/>
        <v>1.013361608084429</v>
      </c>
      <c r="T312" s="680">
        <f t="shared" si="143"/>
        <v>0.1625700328125157</v>
      </c>
      <c r="U312" s="681">
        <f t="shared" si="155"/>
        <v>0.94657903638187169</v>
      </c>
      <c r="V312" s="682">
        <f t="shared" si="156"/>
        <v>-0.40573215103028859</v>
      </c>
      <c r="W312" s="683">
        <f t="shared" si="144"/>
        <v>-27.784797933510355</v>
      </c>
      <c r="X312" s="684">
        <f t="shared" si="145"/>
        <v>-128.66210917743132</v>
      </c>
      <c r="Y312" s="687">
        <f t="shared" si="146"/>
        <v>51.337890822568681</v>
      </c>
      <c r="AA312" s="170">
        <f t="shared" si="147"/>
        <v>21753.5</v>
      </c>
      <c r="AB312" s="170">
        <f t="shared" si="148"/>
        <v>473214762.25</v>
      </c>
      <c r="AD312" s="686">
        <f t="shared" si="149"/>
        <v>17.034695194852322</v>
      </c>
      <c r="AE312" s="687">
        <f t="shared" si="150"/>
        <v>-10.901957751490567</v>
      </c>
      <c r="AG312" s="686">
        <f t="shared" si="151"/>
        <v>-5.5894913623464246</v>
      </c>
      <c r="AH312" s="687">
        <f t="shared" si="152"/>
        <v>-71.266671639214167</v>
      </c>
      <c r="AJ312" s="170">
        <f t="shared" si="153"/>
        <v>0</v>
      </c>
      <c r="AK312" s="170">
        <f t="shared" si="165"/>
        <v>0</v>
      </c>
      <c r="AM312" s="170" t="str">
        <f t="shared" si="157"/>
        <v>0.17209142067103+0.560863070876918i</v>
      </c>
      <c r="AN312" s="170" t="str">
        <f t="shared" si="158"/>
        <v>0.595427903575835i</v>
      </c>
      <c r="AO312" s="170" t="str">
        <f t="shared" si="159"/>
        <v>0.941949592064231-0.2890214241515i</v>
      </c>
      <c r="AP312" s="170" t="str">
        <f t="shared" si="160"/>
        <v>0.137984763221495-0.0934771784794863i</v>
      </c>
      <c r="AQ312" s="170" t="str">
        <f t="shared" si="161"/>
        <v>0.862015236778505+0.0934771784794863i</v>
      </c>
      <c r="AR312" s="170" t="str">
        <f t="shared" si="162"/>
        <v>0.955108820582412-0.10357227329597i</v>
      </c>
    </row>
    <row r="313" spans="7:44">
      <c r="G313" s="688">
        <v>21878</v>
      </c>
      <c r="H313" s="676">
        <f t="shared" si="154"/>
        <v>21.878</v>
      </c>
      <c r="I313" s="677">
        <f t="shared" si="134"/>
        <v>176.38596608520413</v>
      </c>
      <c r="J313" s="678">
        <f t="shared" si="135"/>
        <v>1.5651269111420512</v>
      </c>
      <c r="K313" s="678">
        <f t="shared" si="136"/>
        <v>1.0004571840523582</v>
      </c>
      <c r="L313" s="679">
        <f t="shared" si="137"/>
        <v>3.0232761674594159E-2</v>
      </c>
      <c r="M313" s="678">
        <f t="shared" si="138"/>
        <v>1.0066708180036896</v>
      </c>
      <c r="N313" s="679">
        <f t="shared" si="139"/>
        <v>-0.11518632471871294</v>
      </c>
      <c r="O313" s="677">
        <f t="shared" si="140"/>
        <v>907259.2847569912</v>
      </c>
      <c r="P313" s="680">
        <f t="shared" si="141"/>
        <v>1.5707952245741568</v>
      </c>
      <c r="Q313" s="689">
        <f t="shared" si="163"/>
        <v>36.304146535111215</v>
      </c>
      <c r="R313" s="690">
        <f t="shared" si="164"/>
        <v>1.5432477794875146</v>
      </c>
      <c r="S313" s="677">
        <f t="shared" si="142"/>
        <v>1.0135139658637591</v>
      </c>
      <c r="T313" s="680">
        <f t="shared" si="143"/>
        <v>0.16348401207410101</v>
      </c>
      <c r="U313" s="681">
        <f t="shared" si="155"/>
        <v>0.94601581553470049</v>
      </c>
      <c r="V313" s="682">
        <f t="shared" si="156"/>
        <v>-0.40793463925252244</v>
      </c>
      <c r="W313" s="683">
        <f t="shared" si="144"/>
        <v>-27.840183047601052</v>
      </c>
      <c r="X313" s="684">
        <f t="shared" si="145"/>
        <v>-128.86087657096422</v>
      </c>
      <c r="Y313" s="687">
        <f t="shared" si="146"/>
        <v>51.139123429035777</v>
      </c>
      <c r="AA313" s="170">
        <f t="shared" si="147"/>
        <v>21878</v>
      </c>
      <c r="AB313" s="170">
        <f t="shared" si="148"/>
        <v>478646884</v>
      </c>
      <c r="AD313" s="686">
        <f t="shared" si="149"/>
        <v>17.033351554070485</v>
      </c>
      <c r="AE313" s="687">
        <f t="shared" si="150"/>
        <v>-10.945296262051597</v>
      </c>
      <c r="AG313" s="686">
        <f t="shared" si="151"/>
        <v>-5.6331934346792156</v>
      </c>
      <c r="AH313" s="687">
        <f t="shared" si="152"/>
        <v>-71.169713962775063</v>
      </c>
      <c r="AJ313" s="170">
        <f t="shared" si="153"/>
        <v>0</v>
      </c>
      <c r="AK313" s="170">
        <f t="shared" si="165"/>
        <v>0</v>
      </c>
      <c r="AM313" s="170" t="str">
        <f t="shared" si="157"/>
        <v>0.174007512617454+0.563681125094316i</v>
      </c>
      <c r="AN313" s="170" t="str">
        <f t="shared" si="158"/>
        <v>0.598835666648223i</v>
      </c>
      <c r="AO313" s="170" t="str">
        <f t="shared" si="159"/>
        <v>0.941295177438791-0.290576400686688i</v>
      </c>
      <c r="AP313" s="170" t="str">
        <f t="shared" si="160"/>
        <v>0.137665414563758-0.093946854182386i</v>
      </c>
      <c r="AQ313" s="170" t="str">
        <f t="shared" si="161"/>
        <v>0.862334585436242+0.093946854182386i</v>
      </c>
      <c r="AR313" s="170" t="str">
        <f t="shared" si="162"/>
        <v>0.954651634852024-0.104004315087338i</v>
      </c>
    </row>
    <row r="314" spans="7:44">
      <c r="G314" s="688">
        <v>22005.25</v>
      </c>
      <c r="H314" s="676">
        <f t="shared" si="154"/>
        <v>22.00525</v>
      </c>
      <c r="I314" s="677">
        <f t="shared" si="134"/>
        <v>177.41185487032649</v>
      </c>
      <c r="J314" s="678">
        <f t="shared" si="135"/>
        <v>1.5651596950375648</v>
      </c>
      <c r="K314" s="678">
        <f t="shared" si="136"/>
        <v>1.0004625165664547</v>
      </c>
      <c r="L314" s="679">
        <f t="shared" si="137"/>
        <v>3.0408497786202134E-2</v>
      </c>
      <c r="M314" s="678">
        <f t="shared" si="138"/>
        <v>1.0067483823899441</v>
      </c>
      <c r="N314" s="679">
        <f t="shared" si="139"/>
        <v>-0.11585032673609713</v>
      </c>
      <c r="O314" s="677">
        <f t="shared" si="140"/>
        <v>912536.21793119295</v>
      </c>
      <c r="P314" s="680">
        <f t="shared" si="141"/>
        <v>1.5707952309479809</v>
      </c>
      <c r="Q314" s="689">
        <f t="shared" si="163"/>
        <v>36.515144234362069</v>
      </c>
      <c r="R314" s="690">
        <f t="shared" si="164"/>
        <v>1.5434070048827719</v>
      </c>
      <c r="S314" s="677">
        <f t="shared" si="142"/>
        <v>1.0136705636144085</v>
      </c>
      <c r="T314" s="680">
        <f t="shared" si="143"/>
        <v>0.1644178949144566</v>
      </c>
      <c r="U314" s="681">
        <f t="shared" si="155"/>
        <v>0.9454378157273835</v>
      </c>
      <c r="V314" s="682">
        <f t="shared" si="156"/>
        <v>-0.41018384082489134</v>
      </c>
      <c r="W314" s="683">
        <f t="shared" si="144"/>
        <v>-27.896528199379489</v>
      </c>
      <c r="X314" s="684">
        <f t="shared" si="145"/>
        <v>-129.06398525046302</v>
      </c>
      <c r="Y314" s="687">
        <f t="shared" si="146"/>
        <v>50.93601474953698</v>
      </c>
      <c r="AA314" s="170">
        <f t="shared" si="147"/>
        <v>22005.25</v>
      </c>
      <c r="AB314" s="170">
        <f t="shared" si="148"/>
        <v>484231027.5625</v>
      </c>
      <c r="AD314" s="686">
        <f t="shared" si="149"/>
        <v>17.031971603951526</v>
      </c>
      <c r="AE314" s="687">
        <f t="shared" si="150"/>
        <v>-10.989681229468051</v>
      </c>
      <c r="AG314" s="686">
        <f t="shared" si="151"/>
        <v>-5.6775415265973344</v>
      </c>
      <c r="AH314" s="687">
        <f t="shared" si="152"/>
        <v>-71.070698159821035</v>
      </c>
      <c r="AJ314" s="170">
        <f t="shared" si="153"/>
        <v>0</v>
      </c>
      <c r="AK314" s="170">
        <f t="shared" si="165"/>
        <v>0</v>
      </c>
      <c r="AM314" s="170" t="str">
        <f t="shared" si="157"/>
        <v>0.175975839977978+0.566554660822768i</v>
      </c>
      <c r="AN314" s="170" t="str">
        <f t="shared" si="158"/>
        <v>0.602318701595704i</v>
      </c>
      <c r="AO314" s="170" t="str">
        <f t="shared" si="159"/>
        <v>0.940622729000133-0.292163998082362i</v>
      </c>
      <c r="AP314" s="170" t="str">
        <f t="shared" si="160"/>
        <v>0.13733736000367-0.0944257768037947i</v>
      </c>
      <c r="AQ314" s="170" t="str">
        <f t="shared" si="161"/>
        <v>0.86266263999633+0.0944257768037947i</v>
      </c>
      <c r="AR314" s="170" t="str">
        <f t="shared" si="162"/>
        <v>0.95418279304874-0.104443437410046i</v>
      </c>
    </row>
    <row r="315" spans="7:44">
      <c r="G315" s="688">
        <v>22132.5</v>
      </c>
      <c r="H315" s="676">
        <f t="shared" si="154"/>
        <v>22.1325</v>
      </c>
      <c r="I315" s="677">
        <f t="shared" si="134"/>
        <v>178.43774384393566</v>
      </c>
      <c r="J315" s="678">
        <f t="shared" si="135"/>
        <v>1.5651921019653685</v>
      </c>
      <c r="K315" s="678">
        <f t="shared" si="136"/>
        <v>1.000467879977686</v>
      </c>
      <c r="L315" s="679">
        <f t="shared" si="137"/>
        <v>3.0584232019028806E-2</v>
      </c>
      <c r="M315" s="678">
        <f t="shared" si="138"/>
        <v>1.0068263905817258</v>
      </c>
      <c r="N315" s="679">
        <f t="shared" si="139"/>
        <v>-0.11651422615334904</v>
      </c>
      <c r="O315" s="677">
        <f t="shared" si="140"/>
        <v>917813.15110539482</v>
      </c>
      <c r="P315" s="680">
        <f t="shared" si="141"/>
        <v>1.5707952372485126</v>
      </c>
      <c r="Q315" s="689">
        <f t="shared" si="163"/>
        <v>36.726142848734099</v>
      </c>
      <c r="R315" s="690">
        <f t="shared" si="164"/>
        <v>1.543564400722155</v>
      </c>
      <c r="S315" s="677">
        <f t="shared" si="142"/>
        <v>1.0138280451512673</v>
      </c>
      <c r="T315" s="680">
        <f t="shared" si="143"/>
        <v>0.16535148844209904</v>
      </c>
      <c r="U315" s="681">
        <f t="shared" si="155"/>
        <v>0.94485746633493028</v>
      </c>
      <c r="V315" s="682">
        <f t="shared" si="156"/>
        <v>-0.41243107875795043</v>
      </c>
      <c r="W315" s="683">
        <f t="shared" si="144"/>
        <v>-27.952610431811852</v>
      </c>
      <c r="X315" s="684">
        <f t="shared" si="145"/>
        <v>-129.26704229738289</v>
      </c>
      <c r="Y315" s="687">
        <f t="shared" si="146"/>
        <v>50.732957702617114</v>
      </c>
      <c r="AA315" s="170">
        <f t="shared" si="147"/>
        <v>22132.5</v>
      </c>
      <c r="AB315" s="170">
        <f t="shared" si="148"/>
        <v>489847556.25</v>
      </c>
      <c r="AD315" s="686">
        <f t="shared" si="149"/>
        <v>17.030584942578866</v>
      </c>
      <c r="AE315" s="687">
        <f t="shared" si="150"/>
        <v>-11.034154442117819</v>
      </c>
      <c r="AG315" s="686">
        <f t="shared" si="151"/>
        <v>-5.7215702965903867</v>
      </c>
      <c r="AH315" s="687">
        <f t="shared" si="152"/>
        <v>-70.971767495544938</v>
      </c>
      <c r="AJ315" s="170">
        <f t="shared" si="153"/>
        <v>0</v>
      </c>
      <c r="AK315" s="170">
        <f t="shared" si="165"/>
        <v>0</v>
      </c>
      <c r="AM315" s="170" t="str">
        <f t="shared" si="157"/>
        <v>0.177954164004229+0.569421323381917i</v>
      </c>
      <c r="AN315" s="170" t="str">
        <f t="shared" si="158"/>
        <v>0.605801736543185i</v>
      </c>
      <c r="AO315" s="170" t="str">
        <f t="shared" si="159"/>
        <v>0.939946667421488-0.293749841358442i</v>
      </c>
      <c r="AP315" s="170" t="str">
        <f t="shared" si="160"/>
        <v>0.137007639332628-0.0949035538969862i</v>
      </c>
      <c r="AQ315" s="170" t="str">
        <f t="shared" si="161"/>
        <v>0.862992360667372+0.0949035538969862i</v>
      </c>
      <c r="AR315" s="170" t="str">
        <f t="shared" si="162"/>
        <v>0.953712392540515-0.104880065656315i</v>
      </c>
    </row>
    <row r="316" spans="7:44">
      <c r="G316" s="688">
        <v>22259.75</v>
      </c>
      <c r="H316" s="676">
        <f t="shared" si="154"/>
        <v>22.25975</v>
      </c>
      <c r="I316" s="677">
        <f t="shared" si="134"/>
        <v>179.46363300279933</v>
      </c>
      <c r="J316" s="678">
        <f t="shared" si="135"/>
        <v>1.5652241383901084</v>
      </c>
      <c r="K316" s="678">
        <f t="shared" si="136"/>
        <v>1.0004732742855555</v>
      </c>
      <c r="L316" s="679">
        <f t="shared" si="137"/>
        <v>3.0759964362250244E-2</v>
      </c>
      <c r="M316" s="678">
        <f t="shared" si="138"/>
        <v>1.0069048424758855</v>
      </c>
      <c r="N316" s="679">
        <f t="shared" si="139"/>
        <v>-0.11717802240913945</v>
      </c>
      <c r="O316" s="677">
        <f t="shared" si="140"/>
        <v>923090.08427959669</v>
      </c>
      <c r="P316" s="680">
        <f t="shared" si="141"/>
        <v>1.5707952434770092</v>
      </c>
      <c r="Q316" s="689">
        <f t="shared" si="163"/>
        <v>36.937142362544783</v>
      </c>
      <c r="R316" s="690">
        <f t="shared" si="164"/>
        <v>1.5437199983512302</v>
      </c>
      <c r="S316" s="677">
        <f t="shared" si="142"/>
        <v>1.0139864100625549</v>
      </c>
      <c r="T316" s="680">
        <f t="shared" si="143"/>
        <v>0.16628479116477371</v>
      </c>
      <c r="U316" s="681">
        <f t="shared" si="155"/>
        <v>0.94427478176831481</v>
      </c>
      <c r="V316" s="682">
        <f t="shared" si="156"/>
        <v>-0.41467634656773916</v>
      </c>
      <c r="W316" s="683">
        <f t="shared" si="144"/>
        <v>-28.008432995597424</v>
      </c>
      <c r="X316" s="684">
        <f t="shared" si="145"/>
        <v>-129.47004579767912</v>
      </c>
      <c r="Y316" s="687">
        <f t="shared" si="146"/>
        <v>50.52995420232088</v>
      </c>
      <c r="AA316" s="170">
        <f t="shared" si="147"/>
        <v>22259.75</v>
      </c>
      <c r="AB316" s="170">
        <f t="shared" si="148"/>
        <v>495496470.0625</v>
      </c>
      <c r="AD316" s="686">
        <f t="shared" si="149"/>
        <v>17.029191562058873</v>
      </c>
      <c r="AE316" s="687">
        <f t="shared" si="150"/>
        <v>-11.078714018604384</v>
      </c>
      <c r="AG316" s="686">
        <f t="shared" si="151"/>
        <v>-5.7652831649870437</v>
      </c>
      <c r="AH316" s="687">
        <f t="shared" si="152"/>
        <v>-70.872922680305635</v>
      </c>
      <c r="AJ316" s="170">
        <f t="shared" si="153"/>
        <v>0</v>
      </c>
      <c r="AK316" s="170">
        <f t="shared" si="165"/>
        <v>0</v>
      </c>
      <c r="AM316" s="170" t="str">
        <f t="shared" si="157"/>
        <v>0.179942460696128+0.57228107799479i</v>
      </c>
      <c r="AN316" s="170" t="str">
        <f t="shared" si="158"/>
        <v>0.609284771490665i</v>
      </c>
      <c r="AO316" s="170" t="str">
        <f t="shared" si="159"/>
        <v>0.939266997589087-0.29533392120713i</v>
      </c>
      <c r="AP316" s="170" t="str">
        <f t="shared" si="160"/>
        <v>0.136676256550645-0.0953801796657983i</v>
      </c>
      <c r="AQ316" s="170" t="str">
        <f t="shared" si="161"/>
        <v>0.863323743449355+0.0953801796657983i</v>
      </c>
      <c r="AR316" s="170" t="str">
        <f t="shared" si="162"/>
        <v>0.953240449339535-0.105314195297635i</v>
      </c>
    </row>
    <row r="317" spans="7:44">
      <c r="G317" s="688">
        <v>22387</v>
      </c>
      <c r="H317" s="676">
        <f t="shared" si="154"/>
        <v>22.387</v>
      </c>
      <c r="I317" s="677">
        <f t="shared" si="134"/>
        <v>180.48952234375852</v>
      </c>
      <c r="J317" s="678">
        <f t="shared" si="135"/>
        <v>1.5652558106294561</v>
      </c>
      <c r="K317" s="678">
        <f t="shared" si="136"/>
        <v>1.0004786994895631</v>
      </c>
      <c r="L317" s="679">
        <f t="shared" si="137"/>
        <v>3.0935694805043223E-2</v>
      </c>
      <c r="M317" s="678">
        <f t="shared" si="138"/>
        <v>1.0069837379687192</v>
      </c>
      <c r="N317" s="679">
        <f t="shared" si="139"/>
        <v>-0.11784171494267723</v>
      </c>
      <c r="O317" s="677">
        <f t="shared" si="140"/>
        <v>928367.01745379867</v>
      </c>
      <c r="P317" s="680">
        <f t="shared" si="141"/>
        <v>1.5707952496346991</v>
      </c>
      <c r="Q317" s="689">
        <f t="shared" si="163"/>
        <v>37.148142760467834</v>
      </c>
      <c r="R317" s="690">
        <f t="shared" si="164"/>
        <v>1.543873828403749</v>
      </c>
      <c r="S317" s="677">
        <f t="shared" si="142"/>
        <v>1.0141456579344383</v>
      </c>
      <c r="T317" s="680">
        <f t="shared" si="143"/>
        <v>0.16721780159318175</v>
      </c>
      <c r="U317" s="681">
        <f t="shared" si="155"/>
        <v>0.94368977644815033</v>
      </c>
      <c r="V317" s="682">
        <f t="shared" si="156"/>
        <v>-0.41691963783724306</v>
      </c>
      <c r="W317" s="683">
        <f t="shared" si="144"/>
        <v>-28.063999083903759</v>
      </c>
      <c r="X317" s="684">
        <f t="shared" si="145"/>
        <v>-129.67299387370403</v>
      </c>
      <c r="Y317" s="687">
        <f t="shared" si="146"/>
        <v>50.32700612629597</v>
      </c>
      <c r="AA317" s="170">
        <f t="shared" si="147"/>
        <v>22387</v>
      </c>
      <c r="AB317" s="170">
        <f t="shared" si="148"/>
        <v>501177769</v>
      </c>
      <c r="AD317" s="686">
        <f t="shared" si="149"/>
        <v>17.027791454952407</v>
      </c>
      <c r="AE317" s="687">
        <f t="shared" si="150"/>
        <v>-11.123358118482908</v>
      </c>
      <c r="AG317" s="686">
        <f t="shared" si="151"/>
        <v>-5.808683495340059</v>
      </c>
      <c r="AH317" s="687">
        <f t="shared" si="152"/>
        <v>-70.774164412236075</v>
      </c>
      <c r="AJ317" s="170">
        <f t="shared" si="153"/>
        <v>0</v>
      </c>
      <c r="AK317" s="170">
        <f t="shared" si="165"/>
        <v>0</v>
      </c>
      <c r="AM317" s="170" t="str">
        <f t="shared" si="157"/>
        <v>0.181940705932616+0.575133889968217i</v>
      </c>
      <c r="AN317" s="170" t="str">
        <f t="shared" si="158"/>
        <v>0.612767806438146i</v>
      </c>
      <c r="AO317" s="170" t="str">
        <f t="shared" si="159"/>
        <v>0.938583724414824-0.296916228334821i</v>
      </c>
      <c r="AP317" s="170" t="str">
        <f t="shared" si="160"/>
        <v>0.136343215677897-0.0958556483280362i</v>
      </c>
      <c r="AQ317" s="170" t="str">
        <f t="shared" si="161"/>
        <v>0.863656784322103+0.0958556483280362i</v>
      </c>
      <c r="AR317" s="170" t="str">
        <f t="shared" si="162"/>
        <v>0.952766979451331-0.105745821926863i</v>
      </c>
    </row>
    <row r="318" spans="7:44">
      <c r="G318" s="688">
        <v>22517.5</v>
      </c>
      <c r="H318" s="676">
        <f t="shared" si="154"/>
        <v>22.517499999999998</v>
      </c>
      <c r="I318" s="677">
        <f t="shared" si="134"/>
        <v>181.54161336655318</v>
      </c>
      <c r="J318" s="678">
        <f t="shared" si="135"/>
        <v>1.565287919997334</v>
      </c>
      <c r="K318" s="678">
        <f t="shared" si="136"/>
        <v>1.000484295344106</v>
      </c>
      <c r="L318" s="679">
        <f t="shared" si="137"/>
        <v>3.1115911466488785E-2</v>
      </c>
      <c r="M318" s="678">
        <f t="shared" si="138"/>
        <v>1.0070651091027325</v>
      </c>
      <c r="N318" s="679">
        <f t="shared" si="139"/>
        <v>-0.1185222500494985</v>
      </c>
      <c r="O318" s="677">
        <f t="shared" si="140"/>
        <v>933778.72495268553</v>
      </c>
      <c r="P318" s="680">
        <f t="shared" si="141"/>
        <v>1.5707952558773728</v>
      </c>
      <c r="Q318" s="689">
        <f t="shared" si="163"/>
        <v>37.364533069171642</v>
      </c>
      <c r="R318" s="690">
        <f t="shared" si="164"/>
        <v>1.5440297828075931</v>
      </c>
      <c r="S318" s="677">
        <f t="shared" si="142"/>
        <v>1.0143098896802931</v>
      </c>
      <c r="T318" s="680">
        <f t="shared" si="143"/>
        <v>0.16817433622016187</v>
      </c>
      <c r="U318" s="681">
        <f t="shared" si="155"/>
        <v>0.94308743462627576</v>
      </c>
      <c r="V318" s="682">
        <f t="shared" si="156"/>
        <v>-0.41921816382460897</v>
      </c>
      <c r="W318" s="683">
        <f t="shared" si="144"/>
        <v>-28.120721246092899</v>
      </c>
      <c r="X318" s="684">
        <f t="shared" si="145"/>
        <v>-129.88106580434001</v>
      </c>
      <c r="Y318" s="687">
        <f t="shared" si="146"/>
        <v>50.118934195659989</v>
      </c>
      <c r="AA318" s="170">
        <f t="shared" si="147"/>
        <v>22517.5</v>
      </c>
      <c r="AB318" s="170">
        <f t="shared" si="148"/>
        <v>507037806.25</v>
      </c>
      <c r="AD318" s="686">
        <f t="shared" si="149"/>
        <v>17.026348594918264</v>
      </c>
      <c r="AE318" s="687">
        <f t="shared" si="150"/>
        <v>-11.169228344161507</v>
      </c>
      <c r="AG318" s="686">
        <f t="shared" si="151"/>
        <v>-5.8528711333892431</v>
      </c>
      <c r="AH318" s="687">
        <f t="shared" si="152"/>
        <v>-70.67297444053807</v>
      </c>
      <c r="AJ318" s="170">
        <f t="shared" si="153"/>
        <v>0</v>
      </c>
      <c r="AK318" s="170">
        <f t="shared" si="165"/>
        <v>0</v>
      </c>
      <c r="AM318" s="170" t="str">
        <f t="shared" si="157"/>
        <v>0.18400029443071+0.578052316413343i</v>
      </c>
      <c r="AN318" s="170" t="str">
        <f t="shared" si="158"/>
        <v>0.616339799056192i</v>
      </c>
      <c r="AO318" s="170" t="str">
        <f t="shared" si="159"/>
        <v>0.937879262865259-0.298537097089092i</v>
      </c>
      <c r="AP318" s="170" t="str">
        <f t="shared" si="160"/>
        <v>0.135999950928215-0.0963420527355572i</v>
      </c>
      <c r="AQ318" s="170" t="str">
        <f t="shared" si="161"/>
        <v>0.864000049071785+0.0963420527355572i</v>
      </c>
      <c r="AR318" s="170" t="str">
        <f t="shared" si="162"/>
        <v>0.95227984809613-0.106185868210134i</v>
      </c>
    </row>
    <row r="319" spans="7:44">
      <c r="G319" s="688">
        <v>22648</v>
      </c>
      <c r="H319" s="676">
        <f t="shared" si="154"/>
        <v>22.648</v>
      </c>
      <c r="I319" s="677">
        <f t="shared" si="134"/>
        <v>182.59370457436239</v>
      </c>
      <c r="J319" s="678">
        <f t="shared" si="135"/>
        <v>1.5653196593417134</v>
      </c>
      <c r="K319" s="678">
        <f t="shared" si="136"/>
        <v>1.0004899236920588</v>
      </c>
      <c r="L319" s="679">
        <f t="shared" si="137"/>
        <v>3.1296126106136551E-2</v>
      </c>
      <c r="M319" s="678">
        <f t="shared" si="138"/>
        <v>1.0071469465613372</v>
      </c>
      <c r="N319" s="679">
        <f t="shared" si="139"/>
        <v>-0.11920267487529819</v>
      </c>
      <c r="O319" s="677">
        <f t="shared" si="140"/>
        <v>939190.43245157239</v>
      </c>
      <c r="P319" s="680">
        <f t="shared" si="141"/>
        <v>1.5707952620481047</v>
      </c>
      <c r="Q319" s="689">
        <f t="shared" si="163"/>
        <v>37.580924276181854</v>
      </c>
      <c r="R319" s="690">
        <f t="shared" si="164"/>
        <v>1.5441839412422023</v>
      </c>
      <c r="S319" s="677">
        <f t="shared" si="142"/>
        <v>1.0144750491766188</v>
      </c>
      <c r="T319" s="680">
        <f t="shared" si="143"/>
        <v>0.16913056026855727</v>
      </c>
      <c r="U319" s="681">
        <f t="shared" si="155"/>
        <v>0.94248268273977365</v>
      </c>
      <c r="V319" s="682">
        <f t="shared" si="156"/>
        <v>-0.42151459756515475</v>
      </c>
      <c r="W319" s="683">
        <f t="shared" si="144"/>
        <v>-28.177180287056601</v>
      </c>
      <c r="X319" s="684">
        <f t="shared" si="145"/>
        <v>-130.08907555697522</v>
      </c>
      <c r="Y319" s="687">
        <f t="shared" si="146"/>
        <v>49.910924443024783</v>
      </c>
      <c r="AA319" s="170">
        <f t="shared" si="147"/>
        <v>22648</v>
      </c>
      <c r="AB319" s="170">
        <f t="shared" si="148"/>
        <v>512931904</v>
      </c>
      <c r="AD319" s="686">
        <f t="shared" si="149"/>
        <v>17.024898645869481</v>
      </c>
      <c r="AE319" s="687">
        <f t="shared" si="150"/>
        <v>-11.215183672333444</v>
      </c>
      <c r="AG319" s="686">
        <f t="shared" si="151"/>
        <v>-5.8967370526874552</v>
      </c>
      <c r="AH319" s="687">
        <f t="shared" si="152"/>
        <v>-70.57187694217123</v>
      </c>
      <c r="AJ319" s="170">
        <f t="shared" si="153"/>
        <v>0</v>
      </c>
      <c r="AK319" s="170">
        <f t="shared" si="165"/>
        <v>0</v>
      </c>
      <c r="AM319" s="170" t="str">
        <f t="shared" si="157"/>
        <v>0.186070294365088+0.580963367420929i</v>
      </c>
      <c r="AN319" s="170" t="str">
        <f t="shared" si="158"/>
        <v>0.619911791674237i</v>
      </c>
      <c r="AO319" s="170" t="str">
        <f t="shared" si="159"/>
        <v>0.937171022109263-0.300156081662127i</v>
      </c>
      <c r="AP319" s="170" t="str">
        <f t="shared" si="160"/>
        <v>0.135654950939152-0.0968272279034882i</v>
      </c>
      <c r="AQ319" s="170" t="str">
        <f t="shared" si="161"/>
        <v>0.864345049060848+0.0968272279034882i</v>
      </c>
      <c r="AR319" s="170" t="str">
        <f t="shared" si="162"/>
        <v>0.951791145144895-0.106623272994509i</v>
      </c>
    </row>
    <row r="320" spans="7:44">
      <c r="G320" s="688">
        <v>22778.5</v>
      </c>
      <c r="H320" s="676">
        <f t="shared" si="154"/>
        <v>22.778500000000001</v>
      </c>
      <c r="I320" s="677">
        <f t="shared" si="134"/>
        <v>183.64579596400637</v>
      </c>
      <c r="J320" s="678">
        <f t="shared" si="135"/>
        <v>1.565351035022031</v>
      </c>
      <c r="K320" s="678">
        <f t="shared" si="136"/>
        <v>1.0004955845328731</v>
      </c>
      <c r="L320" s="679">
        <f t="shared" si="137"/>
        <v>3.1476338712314963E-2</v>
      </c>
      <c r="M320" s="678">
        <f t="shared" si="138"/>
        <v>1.0072292502308662</v>
      </c>
      <c r="N320" s="679">
        <f t="shared" si="139"/>
        <v>-0.11988298881699107</v>
      </c>
      <c r="O320" s="677">
        <f t="shared" si="140"/>
        <v>944602.13995045936</v>
      </c>
      <c r="P320" s="680">
        <f t="shared" si="141"/>
        <v>1.5707952681481312</v>
      </c>
      <c r="Q320" s="689">
        <f t="shared" si="163"/>
        <v>37.797316366069957</v>
      </c>
      <c r="R320" s="690">
        <f t="shared" si="164"/>
        <v>1.5443363345463075</v>
      </c>
      <c r="S320" s="677">
        <f t="shared" si="142"/>
        <v>1.0146411359703682</v>
      </c>
      <c r="T320" s="680">
        <f t="shared" si="143"/>
        <v>0.17008647214178674</v>
      </c>
      <c r="U320" s="681">
        <f t="shared" si="155"/>
        <v>0.94187553636873411</v>
      </c>
      <c r="V320" s="682">
        <f t="shared" si="156"/>
        <v>-0.42380893235666589</v>
      </c>
      <c r="W320" s="683">
        <f t="shared" si="144"/>
        <v>-28.233379470898271</v>
      </c>
      <c r="X320" s="684">
        <f t="shared" si="145"/>
        <v>-130.29702121974879</v>
      </c>
      <c r="Y320" s="687">
        <f t="shared" si="146"/>
        <v>49.702978780251215</v>
      </c>
      <c r="AA320" s="170">
        <f t="shared" si="147"/>
        <v>22778.5</v>
      </c>
      <c r="AB320" s="170">
        <f t="shared" si="148"/>
        <v>518860062.25</v>
      </c>
      <c r="AD320" s="686">
        <f t="shared" si="149"/>
        <v>17.023441601179098</v>
      </c>
      <c r="AE320" s="687">
        <f t="shared" si="150"/>
        <v>-11.261222244663031</v>
      </c>
      <c r="AG320" s="686">
        <f t="shared" si="151"/>
        <v>-5.9402847034404758</v>
      </c>
      <c r="AH320" s="687">
        <f t="shared" si="152"/>
        <v>-70.470872631627586</v>
      </c>
      <c r="AJ320" s="170">
        <f t="shared" si="153"/>
        <v>0</v>
      </c>
      <c r="AK320" s="170">
        <f t="shared" si="165"/>
        <v>0</v>
      </c>
      <c r="AM320" s="170" t="str">
        <f t="shared" si="157"/>
        <v>0.188150679324377+0.583867005848532i</v>
      </c>
      <c r="AN320" s="170" t="str">
        <f t="shared" si="158"/>
        <v>0.623483784292282i</v>
      </c>
      <c r="AO320" s="170" t="str">
        <f t="shared" si="159"/>
        <v>0.936459007528609-0.301773172076877i</v>
      </c>
      <c r="AP320" s="170" t="str">
        <f t="shared" si="160"/>
        <v>0.135308220112604-0.097311167641422i</v>
      </c>
      <c r="AQ320" s="170" t="str">
        <f t="shared" si="161"/>
        <v>0.864691779887396+0.097311167641422i</v>
      </c>
      <c r="AR320" s="170" t="str">
        <f t="shared" si="162"/>
        <v>0.951300887832497-0.107058031921336i</v>
      </c>
    </row>
    <row r="321" spans="7:44">
      <c r="G321" s="688">
        <v>22909</v>
      </c>
      <c r="H321" s="676">
        <f t="shared" si="154"/>
        <v>22.908999999999999</v>
      </c>
      <c r="I321" s="677">
        <f t="shared" si="134"/>
        <v>184.69788753237776</v>
      </c>
      <c r="J321" s="678">
        <f t="shared" si="135"/>
        <v>1.5653820532528251</v>
      </c>
      <c r="K321" s="678">
        <f t="shared" si="136"/>
        <v>1.0005012778659974</v>
      </c>
      <c r="L321" s="679">
        <f t="shared" si="137"/>
        <v>3.165654927335327E-2</v>
      </c>
      <c r="M321" s="678">
        <f t="shared" si="138"/>
        <v>1.0073120199970429</v>
      </c>
      <c r="N321" s="679">
        <f t="shared" si="139"/>
        <v>-0.12056319127209905</v>
      </c>
      <c r="O321" s="677">
        <f t="shared" si="140"/>
        <v>950013.84744934633</v>
      </c>
      <c r="P321" s="680">
        <f t="shared" si="141"/>
        <v>1.5707952741786608</v>
      </c>
      <c r="Q321" s="689">
        <f t="shared" si="163"/>
        <v>38.013709323758661</v>
      </c>
      <c r="R321" s="690">
        <f t="shared" si="164"/>
        <v>1.5444869928567735</v>
      </c>
      <c r="S321" s="677">
        <f t="shared" si="142"/>
        <v>1.0148081496062478</v>
      </c>
      <c r="T321" s="680">
        <f t="shared" si="143"/>
        <v>0.17104207024659332</v>
      </c>
      <c r="U321" s="681">
        <f t="shared" si="155"/>
        <v>0.94126601110021402</v>
      </c>
      <c r="V321" s="682">
        <f t="shared" si="156"/>
        <v>-0.42610116157080774</v>
      </c>
      <c r="W321" s="683">
        <f t="shared" si="144"/>
        <v>-28.28932200370356</v>
      </c>
      <c r="X321" s="684">
        <f t="shared" si="145"/>
        <v>-130.50490091716841</v>
      </c>
      <c r="Y321" s="687">
        <f t="shared" si="146"/>
        <v>49.495099082831587</v>
      </c>
      <c r="AA321" s="170">
        <f t="shared" si="147"/>
        <v>22909</v>
      </c>
      <c r="AB321" s="170">
        <f t="shared" si="148"/>
        <v>524822281</v>
      </c>
      <c r="AD321" s="686">
        <f t="shared" si="149"/>
        <v>17.02197745466227</v>
      </c>
      <c r="AE321" s="687">
        <f t="shared" si="150"/>
        <v>-11.307342243217471</v>
      </c>
      <c r="AG321" s="686">
        <f t="shared" si="151"/>
        <v>-5.983517478572459</v>
      </c>
      <c r="AH321" s="687">
        <f t="shared" si="152"/>
        <v>-70.369962210898777</v>
      </c>
      <c r="AJ321" s="170">
        <f t="shared" si="153"/>
        <v>0</v>
      </c>
      <c r="AK321" s="170">
        <f t="shared" si="165"/>
        <v>0</v>
      </c>
      <c r="AM321" s="170" t="str">
        <f t="shared" si="157"/>
        <v>0.190241422764701+0.586763194648287i</v>
      </c>
      <c r="AN321" s="170" t="str">
        <f t="shared" si="158"/>
        <v>0.627055776910327i</v>
      </c>
      <c r="AO321" s="170" t="str">
        <f t="shared" si="159"/>
        <v>0.935743224533274-0.303388358372315i</v>
      </c>
      <c r="AP321" s="170" t="str">
        <f t="shared" si="160"/>
        <v>0.13495976287255-0.0977938657747145i</v>
      </c>
      <c r="AQ321" s="170" t="str">
        <f t="shared" si="161"/>
        <v>0.86504023712745+0.0977938657747145i</v>
      </c>
      <c r="AR321" s="170" t="str">
        <f t="shared" si="162"/>
        <v>0.950809093381879-0.107490140764245i</v>
      </c>
    </row>
    <row r="322" spans="7:44">
      <c r="G322" s="688">
        <v>23042.25</v>
      </c>
      <c r="H322" s="676">
        <f t="shared" si="154"/>
        <v>23.042249999999999</v>
      </c>
      <c r="I322" s="677">
        <f t="shared" si="134"/>
        <v>185.77214979398761</v>
      </c>
      <c r="J322" s="678">
        <f t="shared" si="135"/>
        <v>1.5654133626072657</v>
      </c>
      <c r="K322" s="678">
        <f t="shared" si="136"/>
        <v>1.0005071246995785</v>
      </c>
      <c r="L322" s="679">
        <f t="shared" si="137"/>
        <v>3.1840555252584397E-2</v>
      </c>
      <c r="M322" s="678">
        <f t="shared" si="138"/>
        <v>1.0073970147673907</v>
      </c>
      <c r="N322" s="679">
        <f t="shared" si="139"/>
        <v>-0.12125761183469339</v>
      </c>
      <c r="O322" s="677">
        <f t="shared" si="140"/>
        <v>955539.59476142831</v>
      </c>
      <c r="P322" s="680">
        <f t="shared" si="141"/>
        <v>1.5707952802657883</v>
      </c>
      <c r="Q322" s="689">
        <f t="shared" si="163"/>
        <v>38.234663166416624</v>
      </c>
      <c r="R322" s="690">
        <f t="shared" si="164"/>
        <v>1.5446390663408776</v>
      </c>
      <c r="S322" s="677">
        <f t="shared" si="142"/>
        <v>1.0149796385557877</v>
      </c>
      <c r="T322" s="680">
        <f t="shared" si="143"/>
        <v>0.17201748006812401</v>
      </c>
      <c r="U322" s="681">
        <f t="shared" si="155"/>
        <v>0.94064120301127319</v>
      </c>
      <c r="V322" s="682">
        <f t="shared" si="156"/>
        <v>-0.42843951505497591</v>
      </c>
      <c r="W322" s="683">
        <f t="shared" si="144"/>
        <v>-28.346181853751283</v>
      </c>
      <c r="X322" s="684">
        <f t="shared" si="145"/>
        <v>-130.71709124438183</v>
      </c>
      <c r="Y322" s="687">
        <f t="shared" si="146"/>
        <v>49.282908755618166</v>
      </c>
      <c r="AA322" s="170">
        <f t="shared" si="147"/>
        <v>23042.25</v>
      </c>
      <c r="AB322" s="170">
        <f t="shared" si="148"/>
        <v>530945285.0625</v>
      </c>
      <c r="AD322" s="686">
        <f t="shared" si="149"/>
        <v>17.020475120617618</v>
      </c>
      <c r="AE322" s="687">
        <f t="shared" si="150"/>
        <v>-11.354516289292391</v>
      </c>
      <c r="AG322" s="686">
        <f t="shared" si="151"/>
        <v>-6.0273398577436632</v>
      </c>
      <c r="AH322" s="687">
        <f t="shared" si="152"/>
        <v>-70.267022920425973</v>
      </c>
      <c r="AJ322" s="170">
        <f t="shared" si="153"/>
        <v>0</v>
      </c>
      <c r="AK322" s="170">
        <f t="shared" si="165"/>
        <v>0</v>
      </c>
      <c r="AM322" s="170" t="str">
        <f t="shared" si="157"/>
        <v>0.19238688450194+0.589712689091491i</v>
      </c>
      <c r="AN322" s="170" t="str">
        <f t="shared" si="158"/>
        <v>0.630703041403465i</v>
      </c>
      <c r="AO322" s="170" t="str">
        <f t="shared" si="159"/>
        <v>0.935008475271087-0.305035606097337i</v>
      </c>
      <c r="AP322" s="170" t="str">
        <f t="shared" si="160"/>
        <v>0.134602185916343-0.0982854481819152i</v>
      </c>
      <c r="AQ322" s="170" t="str">
        <f t="shared" si="161"/>
        <v>0.865397814083657+0.0982854481819152i</v>
      </c>
      <c r="AR322" s="170" t="str">
        <f t="shared" si="162"/>
        <v>0.950305367261802-0.107928616655804i</v>
      </c>
    </row>
    <row r="323" spans="7:44">
      <c r="G323" s="688">
        <v>23175.5</v>
      </c>
      <c r="H323" s="676">
        <f t="shared" si="154"/>
        <v>23.1755</v>
      </c>
      <c r="I323" s="677">
        <f t="shared" si="134"/>
        <v>186.84641223561135</v>
      </c>
      <c r="J323" s="678">
        <f t="shared" si="135"/>
        <v>1.5654443119391579</v>
      </c>
      <c r="K323" s="678">
        <f t="shared" si="136"/>
        <v>1.0005130054081333</v>
      </c>
      <c r="L323" s="679">
        <f t="shared" si="137"/>
        <v>3.2024559074984096E-2</v>
      </c>
      <c r="M323" s="678">
        <f t="shared" si="138"/>
        <v>1.0074824952425421</v>
      </c>
      <c r="N323" s="679">
        <f t="shared" si="139"/>
        <v>-0.12195191489496336</v>
      </c>
      <c r="O323" s="677">
        <f t="shared" si="140"/>
        <v>961065.34207351028</v>
      </c>
      <c r="P323" s="680">
        <f t="shared" si="141"/>
        <v>1.5707952862829186</v>
      </c>
      <c r="Q323" s="689">
        <f t="shared" si="163"/>
        <v>38.455617883141564</v>
      </c>
      <c r="R323" s="690">
        <f t="shared" si="164"/>
        <v>1.5447893922890301</v>
      </c>
      <c r="S323" s="677">
        <f t="shared" si="142"/>
        <v>1.0151520928548421</v>
      </c>
      <c r="T323" s="680">
        <f t="shared" si="143"/>
        <v>0.17299255941136335</v>
      </c>
      <c r="U323" s="681">
        <f t="shared" si="155"/>
        <v>0.94001394757094414</v>
      </c>
      <c r="V323" s="682">
        <f t="shared" si="156"/>
        <v>-0.43077565955425945</v>
      </c>
      <c r="W323" s="683">
        <f t="shared" si="144"/>
        <v>-28.402780698525383</v>
      </c>
      <c r="X323" s="684">
        <f t="shared" si="145"/>
        <v>-130.92920895691447</v>
      </c>
      <c r="Y323" s="687">
        <f t="shared" si="146"/>
        <v>49.070791043085535</v>
      </c>
      <c r="AA323" s="170">
        <f t="shared" si="147"/>
        <v>23175.5</v>
      </c>
      <c r="AB323" s="170">
        <f t="shared" si="148"/>
        <v>537103800.25</v>
      </c>
      <c r="AD323" s="686">
        <f t="shared" si="149"/>
        <v>17.018965370599808</v>
      </c>
      <c r="AE323" s="687">
        <f t="shared" si="150"/>
        <v>-11.401771522780116</v>
      </c>
      <c r="AG323" s="686">
        <f t="shared" si="151"/>
        <v>-6.0708409232327876</v>
      </c>
      <c r="AH323" s="687">
        <f t="shared" si="152"/>
        <v>-70.164182958881696</v>
      </c>
      <c r="AJ323" s="170">
        <f t="shared" si="153"/>
        <v>0</v>
      </c>
      <c r="AK323" s="170">
        <f t="shared" si="165"/>
        <v>0</v>
      </c>
      <c r="AM323" s="170" t="str">
        <f t="shared" si="157"/>
        <v>0.194543089531657+0.592654338867769i</v>
      </c>
      <c r="AN323" s="170" t="str">
        <f t="shared" si="158"/>
        <v>0.634350305896603i</v>
      </c>
      <c r="AO323" s="170" t="str">
        <f t="shared" si="159"/>
        <v>0.934269808588016-0.306680847669311i</v>
      </c>
      <c r="AP323" s="170" t="str">
        <f t="shared" si="160"/>
        <v>0.13424281841139-0.0987757231446282i</v>
      </c>
      <c r="AQ323" s="170" t="str">
        <f t="shared" si="161"/>
        <v>0.86575718158861+0.0987757231446282i</v>
      </c>
      <c r="AR323" s="170" t="str">
        <f t="shared" si="162"/>
        <v>0.94980007478578-0.108364321110959i</v>
      </c>
    </row>
    <row r="324" spans="7:44">
      <c r="G324" s="688">
        <v>23308.75</v>
      </c>
      <c r="H324" s="676">
        <f t="shared" si="154"/>
        <v>23.30875</v>
      </c>
      <c r="I324" s="677">
        <f t="shared" si="134"/>
        <v>187.92067485416175</v>
      </c>
      <c r="J324" s="678">
        <f t="shared" si="135"/>
        <v>1.5654749074227297</v>
      </c>
      <c r="K324" s="678">
        <f t="shared" si="136"/>
        <v>1.0005189199910651</v>
      </c>
      <c r="L324" s="679">
        <f t="shared" si="137"/>
        <v>3.220856072813072E-2</v>
      </c>
      <c r="M324" s="678">
        <f t="shared" si="138"/>
        <v>1.0075684612988778</v>
      </c>
      <c r="N324" s="679">
        <f t="shared" si="139"/>
        <v>-0.12264609981351378</v>
      </c>
      <c r="O324" s="677">
        <f t="shared" si="140"/>
        <v>966591.08938559226</v>
      </c>
      <c r="P324" s="680">
        <f t="shared" si="141"/>
        <v>1.5707952922312522</v>
      </c>
      <c r="Q324" s="689">
        <f t="shared" si="163"/>
        <v>38.676573458953179</v>
      </c>
      <c r="R324" s="690">
        <f t="shared" si="164"/>
        <v>1.5449380006448967</v>
      </c>
      <c r="S324" s="677">
        <f t="shared" si="142"/>
        <v>1.0153255120115134</v>
      </c>
      <c r="T324" s="680">
        <f t="shared" si="143"/>
        <v>0.17396730659101092</v>
      </c>
      <c r="U324" s="681">
        <f t="shared" si="155"/>
        <v>0.93938426138908604</v>
      </c>
      <c r="V324" s="682">
        <f t="shared" si="156"/>
        <v>-0.43310958825046253</v>
      </c>
      <c r="W324" s="683">
        <f t="shared" si="144"/>
        <v>-28.459121772308983</v>
      </c>
      <c r="X324" s="684">
        <f t="shared" si="145"/>
        <v>-131.14125216980929</v>
      </c>
      <c r="Y324" s="687">
        <f t="shared" si="146"/>
        <v>48.858747830190708</v>
      </c>
      <c r="AA324" s="170">
        <f t="shared" si="147"/>
        <v>23308.75</v>
      </c>
      <c r="AB324" s="170">
        <f t="shared" si="148"/>
        <v>543297826.5625</v>
      </c>
      <c r="AD324" s="686">
        <f t="shared" si="149"/>
        <v>17.017448199363482</v>
      </c>
      <c r="AE324" s="687">
        <f t="shared" si="150"/>
        <v>-11.449106131543175</v>
      </c>
      <c r="AG324" s="686">
        <f t="shared" si="151"/>
        <v>-6.1140241104472075</v>
      </c>
      <c r="AH324" s="687">
        <f t="shared" si="152"/>
        <v>-70.061443034754049</v>
      </c>
      <c r="AJ324" s="170">
        <f t="shared" si="153"/>
        <v>0</v>
      </c>
      <c r="AK324" s="170">
        <f t="shared" si="165"/>
        <v>0</v>
      </c>
      <c r="AM324" s="170" t="str">
        <f t="shared" si="157"/>
        <v>0.196710009170884+0.595588104845756i</v>
      </c>
      <c r="AN324" s="170" t="str">
        <f t="shared" si="158"/>
        <v>0.637997570389742i</v>
      </c>
      <c r="AO324" s="170" t="str">
        <f t="shared" si="159"/>
        <v>0.933527230333998-0.308324072536385i</v>
      </c>
      <c r="AP324" s="170" t="str">
        <f t="shared" si="160"/>
        <v>0.133881665138186-0.0992646841409593i</v>
      </c>
      <c r="AQ324" s="170" t="str">
        <f t="shared" si="161"/>
        <v>0.866118334861814+0.0992646841409593i</v>
      </c>
      <c r="AR324" s="170" t="str">
        <f t="shared" si="162"/>
        <v>0.949293234242835-0.108797250053942i</v>
      </c>
    </row>
    <row r="325" spans="7:44">
      <c r="G325" s="688">
        <v>23442</v>
      </c>
      <c r="H325" s="676">
        <f t="shared" si="154"/>
        <v>23.442</v>
      </c>
      <c r="I325" s="677">
        <f t="shared" si="134"/>
        <v>188.99493764662188</v>
      </c>
      <c r="J325" s="678">
        <f t="shared" si="135"/>
        <v>1.5655051550918322</v>
      </c>
      <c r="K325" s="678">
        <f t="shared" si="136"/>
        <v>1.000524868447773</v>
      </c>
      <c r="L325" s="679">
        <f t="shared" si="137"/>
        <v>3.2392560199603494E-2</v>
      </c>
      <c r="M325" s="678">
        <f t="shared" si="138"/>
        <v>1.0076549128121188</v>
      </c>
      <c r="N325" s="679">
        <f t="shared" si="139"/>
        <v>-0.12334016595162241</v>
      </c>
      <c r="O325" s="677">
        <f t="shared" si="140"/>
        <v>972116.83669767436</v>
      </c>
      <c r="P325" s="680">
        <f t="shared" si="141"/>
        <v>1.5707952981119624</v>
      </c>
      <c r="Q325" s="689">
        <f t="shared" si="163"/>
        <v>38.897529879211461</v>
      </c>
      <c r="R325" s="690">
        <f t="shared" si="164"/>
        <v>1.5450849206720738</v>
      </c>
      <c r="S325" s="677">
        <f t="shared" si="142"/>
        <v>1.0154998955314893</v>
      </c>
      <c r="T325" s="680">
        <f t="shared" si="143"/>
        <v>0.17494171992543908</v>
      </c>
      <c r="U325" s="681">
        <f t="shared" si="155"/>
        <v>0.93875216107910953</v>
      </c>
      <c r="V325" s="682">
        <f t="shared" si="156"/>
        <v>-0.435441294405427</v>
      </c>
      <c r="W325" s="683">
        <f t="shared" si="144"/>
        <v>-28.515208251891909</v>
      </c>
      <c r="X325" s="684">
        <f t="shared" si="145"/>
        <v>-131.35321903386458</v>
      </c>
      <c r="Y325" s="687">
        <f t="shared" si="146"/>
        <v>48.646780966135424</v>
      </c>
      <c r="AA325" s="170">
        <f t="shared" si="147"/>
        <v>23442</v>
      </c>
      <c r="AB325" s="170">
        <f t="shared" si="148"/>
        <v>549527364</v>
      </c>
      <c r="AD325" s="686">
        <f t="shared" si="149"/>
        <v>17.015923602086328</v>
      </c>
      <c r="AE325" s="687">
        <f t="shared" si="150"/>
        <v>-11.496518342618025</v>
      </c>
      <c r="AG325" s="686">
        <f t="shared" si="151"/>
        <v>-6.1568927980004409</v>
      </c>
      <c r="AH325" s="687">
        <f t="shared" si="152"/>
        <v>-69.958803843940842</v>
      </c>
      <c r="AJ325" s="170">
        <f t="shared" si="153"/>
        <v>0</v>
      </c>
      <c r="AK325" s="170">
        <f t="shared" si="165"/>
        <v>0</v>
      </c>
      <c r="AM325" s="170" t="str">
        <f t="shared" si="157"/>
        <v>0.19888761459412+0.598513947998959i</v>
      </c>
      <c r="AN325" s="170" t="str">
        <f t="shared" si="158"/>
        <v>0.64164483488288i</v>
      </c>
      <c r="AO325" s="170" t="str">
        <f t="shared" si="159"/>
        <v>0.932780746389404-0.309965270164488i</v>
      </c>
      <c r="AP325" s="170" t="str">
        <f t="shared" si="160"/>
        <v>0.13351873090098-0.0997523246664932i</v>
      </c>
      <c r="AQ325" s="170" t="str">
        <f t="shared" si="161"/>
        <v>0.86648126909902+0.0997523246664932i</v>
      </c>
      <c r="AR325" s="170" t="str">
        <f t="shared" si="162"/>
        <v>0.948784863904107-0.109227399550401i</v>
      </c>
    </row>
    <row r="326" spans="7:44">
      <c r="G326" s="688">
        <v>23578.5</v>
      </c>
      <c r="H326" s="676">
        <f t="shared" si="154"/>
        <v>23.578499999999998</v>
      </c>
      <c r="I326" s="677">
        <f t="shared" si="134"/>
        <v>190.09540214784738</v>
      </c>
      <c r="J326" s="678">
        <f t="shared" si="135"/>
        <v>1.565535786029939</v>
      </c>
      <c r="K326" s="678">
        <f t="shared" si="136"/>
        <v>1.0005309971112952</v>
      </c>
      <c r="L326" s="679">
        <f t="shared" si="137"/>
        <v>3.258104518794068E-2</v>
      </c>
      <c r="M326" s="678">
        <f t="shared" si="138"/>
        <v>1.0077439761301688</v>
      </c>
      <c r="N326" s="679">
        <f t="shared" si="139"/>
        <v>-0.12405103670377274</v>
      </c>
      <c r="O326" s="677">
        <f t="shared" si="140"/>
        <v>977777.35833444144</v>
      </c>
      <c r="P326" s="680">
        <f t="shared" si="141"/>
        <v>1.5707953040671851</v>
      </c>
      <c r="Q326" s="689">
        <f t="shared" si="163"/>
        <v>39.123876341088263</v>
      </c>
      <c r="R326" s="690">
        <f t="shared" si="164"/>
        <v>1.5452337034102273</v>
      </c>
      <c r="S326" s="677">
        <f t="shared" si="142"/>
        <v>1.0156795317205367</v>
      </c>
      <c r="T326" s="680">
        <f t="shared" si="143"/>
        <v>0.17593955152643859</v>
      </c>
      <c r="U326" s="681">
        <f t="shared" si="155"/>
        <v>0.9381021578893638</v>
      </c>
      <c r="V326" s="682">
        <f t="shared" si="156"/>
        <v>-0.43782755996802714</v>
      </c>
      <c r="W326" s="683">
        <f t="shared" si="144"/>
        <v>-28.572401971699328</v>
      </c>
      <c r="X326" s="684">
        <f t="shared" si="145"/>
        <v>-131.57027476031786</v>
      </c>
      <c r="Y326" s="687">
        <f t="shared" si="146"/>
        <v>48.429725239682142</v>
      </c>
      <c r="AA326" s="170">
        <f t="shared" si="147"/>
        <v>23578.5</v>
      </c>
      <c r="AB326" s="170">
        <f t="shared" si="148"/>
        <v>555945662.25</v>
      </c>
      <c r="AD326" s="686">
        <f t="shared" si="149"/>
        <v>17.014354114965887</v>
      </c>
      <c r="AE326" s="687">
        <f t="shared" si="150"/>
        <v>-11.545165600324205</v>
      </c>
      <c r="AG326" s="686">
        <f t="shared" si="151"/>
        <v>-6.2004844373439933</v>
      </c>
      <c r="AH326" s="687">
        <f t="shared" si="152"/>
        <v>-69.853766421306702</v>
      </c>
      <c r="AJ326" s="170">
        <f t="shared" si="153"/>
        <v>0</v>
      </c>
      <c r="AK326" s="170">
        <f t="shared" si="165"/>
        <v>0</v>
      </c>
      <c r="AM326" s="170" t="str">
        <f t="shared" si="157"/>
        <v>0.201129381969324+0.601502897455437i</v>
      </c>
      <c r="AN326" s="170" t="str">
        <f t="shared" si="158"/>
        <v>0.645381057046582i</v>
      </c>
      <c r="AO326" s="170" t="str">
        <f t="shared" si="159"/>
        <v>0.932012011954702-0.311644384001198i</v>
      </c>
      <c r="AP326" s="170" t="str">
        <f t="shared" si="160"/>
        <v>0.133145103005113-0.100250482909239i</v>
      </c>
      <c r="AQ326" s="170" t="str">
        <f t="shared" si="161"/>
        <v>0.866854896994887+0.100250482909239i</v>
      </c>
      <c r="AR326" s="170" t="str">
        <f t="shared" si="162"/>
        <v>0.948262527148851-0.109665154573117i</v>
      </c>
    </row>
    <row r="327" spans="7:44">
      <c r="G327" s="688">
        <v>23715</v>
      </c>
      <c r="H327" s="676">
        <f t="shared" si="154"/>
        <v>23.715</v>
      </c>
      <c r="I327" s="677">
        <f t="shared" si="134"/>
        <v>191.19586682537761</v>
      </c>
      <c r="J327" s="678">
        <f t="shared" si="135"/>
        <v>1.5655660643635332</v>
      </c>
      <c r="K327" s="678">
        <f t="shared" si="136"/>
        <v>1.0005371613198368</v>
      </c>
      <c r="L327" s="679">
        <f t="shared" si="137"/>
        <v>3.2769527860499928E-2</v>
      </c>
      <c r="M327" s="678">
        <f t="shared" si="138"/>
        <v>1.0078335486086083</v>
      </c>
      <c r="N327" s="679">
        <f t="shared" si="139"/>
        <v>-0.12476178145596546</v>
      </c>
      <c r="O327" s="677">
        <f t="shared" si="140"/>
        <v>983437.87997120852</v>
      </c>
      <c r="P327" s="680">
        <f t="shared" si="141"/>
        <v>1.5707953099538532</v>
      </c>
      <c r="Q327" s="689">
        <f t="shared" si="163"/>
        <v>39.350223659059729</v>
      </c>
      <c r="R327" s="690">
        <f t="shared" si="164"/>
        <v>1.54538077451845</v>
      </c>
      <c r="S327" s="677">
        <f t="shared" si="142"/>
        <v>1.015860178830855</v>
      </c>
      <c r="T327" s="680">
        <f t="shared" si="143"/>
        <v>0.17693702923800708</v>
      </c>
      <c r="U327" s="681">
        <f t="shared" si="155"/>
        <v>0.93744965667279034</v>
      </c>
      <c r="V327" s="682">
        <f t="shared" si="156"/>
        <v>-0.44021147919353104</v>
      </c>
      <c r="W327" s="683">
        <f t="shared" si="144"/>
        <v>-28.629335095898352</v>
      </c>
      <c r="X327" s="684">
        <f t="shared" si="145"/>
        <v>-131.78724655109858</v>
      </c>
      <c r="Y327" s="687">
        <f t="shared" si="146"/>
        <v>48.212753448901424</v>
      </c>
      <c r="AA327" s="170">
        <f t="shared" si="147"/>
        <v>23715</v>
      </c>
      <c r="AB327" s="170">
        <f t="shared" si="148"/>
        <v>562401225</v>
      </c>
      <c r="AD327" s="686">
        <f t="shared" si="149"/>
        <v>17.012776826201467</v>
      </c>
      <c r="AE327" s="687">
        <f t="shared" si="150"/>
        <v>-11.59389064690288</v>
      </c>
      <c r="AG327" s="686">
        <f t="shared" si="151"/>
        <v>-6.2437530486549857</v>
      </c>
      <c r="AH327" s="687">
        <f t="shared" si="152"/>
        <v>-69.748836144553678</v>
      </c>
      <c r="AJ327" s="170">
        <f t="shared" si="153"/>
        <v>0</v>
      </c>
      <c r="AK327" s="170">
        <f t="shared" si="165"/>
        <v>0</v>
      </c>
      <c r="AM327" s="170" t="str">
        <f t="shared" si="157"/>
        <v>0.203382301050956+0.604483450328569i</v>
      </c>
      <c r="AN327" s="170" t="str">
        <f t="shared" si="158"/>
        <v>0.649117279210285i</v>
      </c>
      <c r="AO327" s="170" t="str">
        <f t="shared" si="159"/>
        <v>0.931239191574106-0.313321348182859i</v>
      </c>
      <c r="AP327" s="170" t="str">
        <f t="shared" si="160"/>
        <v>0.132769616491507-0.100747241721428i</v>
      </c>
      <c r="AQ327" s="170" t="str">
        <f t="shared" si="161"/>
        <v>0.867230383508493+0.100747241721428i</v>
      </c>
      <c r="AR327" s="170" t="str">
        <f t="shared" si="162"/>
        <v>0.947738623815049-0.110099985007379i</v>
      </c>
    </row>
    <row r="328" spans="7:44">
      <c r="G328" s="688">
        <v>23851.5</v>
      </c>
      <c r="H328" s="676">
        <f t="shared" si="154"/>
        <v>23.851500000000001</v>
      </c>
      <c r="I328" s="677">
        <f t="shared" si="134"/>
        <v>192.29633167618567</v>
      </c>
      <c r="J328" s="678">
        <f t="shared" si="135"/>
        <v>1.5655959961461665</v>
      </c>
      <c r="K328" s="678">
        <f t="shared" si="136"/>
        <v>1.0005433610727403</v>
      </c>
      <c r="L328" s="679">
        <f t="shared" si="137"/>
        <v>3.2958008203932208E-2</v>
      </c>
      <c r="M328" s="678">
        <f t="shared" si="138"/>
        <v>1.0079236301116927</v>
      </c>
      <c r="N328" s="679">
        <f t="shared" si="139"/>
        <v>-0.12547239952381206</v>
      </c>
      <c r="O328" s="677">
        <f t="shared" si="140"/>
        <v>989098.40160797548</v>
      </c>
      <c r="P328" s="680">
        <f t="shared" si="141"/>
        <v>1.5707953157731436</v>
      </c>
      <c r="Q328" s="689">
        <f t="shared" si="163"/>
        <v>39.576571818437273</v>
      </c>
      <c r="R328" s="690">
        <f t="shared" si="164"/>
        <v>1.5455261633580235</v>
      </c>
      <c r="S328" s="677">
        <f t="shared" si="142"/>
        <v>1.016041836323234</v>
      </c>
      <c r="T328" s="680">
        <f t="shared" si="143"/>
        <v>0.17793415126453108</v>
      </c>
      <c r="U328" s="681">
        <f t="shared" si="155"/>
        <v>0.93679467529337723</v>
      </c>
      <c r="V328" s="682">
        <f t="shared" si="156"/>
        <v>-0.44259304509933223</v>
      </c>
      <c r="W328" s="683">
        <f t="shared" si="144"/>
        <v>-28.686010860241193</v>
      </c>
      <c r="X328" s="684">
        <f t="shared" si="145"/>
        <v>-132.00413252943704</v>
      </c>
      <c r="Y328" s="687">
        <f t="shared" si="146"/>
        <v>47.995867470562956</v>
      </c>
      <c r="AA328" s="170">
        <f t="shared" si="147"/>
        <v>23851.5</v>
      </c>
      <c r="AB328" s="170">
        <f t="shared" si="148"/>
        <v>568894052.25</v>
      </c>
      <c r="AD328" s="686">
        <f t="shared" si="149"/>
        <v>17.011191731905765</v>
      </c>
      <c r="AE328" s="687">
        <f t="shared" si="150"/>
        <v>-11.64269169726292</v>
      </c>
      <c r="AG328" s="686">
        <f t="shared" si="151"/>
        <v>-6.2867020867683738</v>
      </c>
      <c r="AH328" s="687">
        <f t="shared" si="152"/>
        <v>-69.64401372215093</v>
      </c>
      <c r="AJ328" s="170">
        <f t="shared" si="153"/>
        <v>0</v>
      </c>
      <c r="AK328" s="170">
        <f t="shared" si="165"/>
        <v>0</v>
      </c>
      <c r="AM328" s="170" t="str">
        <f t="shared" si="157"/>
        <v>0.205646340389753+0.607455565011802i</v>
      </c>
      <c r="AN328" s="170" t="str">
        <f t="shared" si="158"/>
        <v>0.652853501373987i</v>
      </c>
      <c r="AO328" s="170" t="str">
        <f t="shared" si="159"/>
        <v>0.930462291667823-0.314996151444317i</v>
      </c>
      <c r="AP328" s="170" t="str">
        <f t="shared" si="160"/>
        <v>0.132392276601708-0.101242594168634i</v>
      </c>
      <c r="AQ328" s="170" t="str">
        <f t="shared" si="161"/>
        <v>0.867607723398292+0.101242594168634i</v>
      </c>
      <c r="AR328" s="170" t="str">
        <f t="shared" si="162"/>
        <v>0.947213173477323-0.110531887081329i</v>
      </c>
    </row>
    <row r="329" spans="7:44">
      <c r="G329" s="688">
        <v>23988</v>
      </c>
      <c r="H329" s="676">
        <f t="shared" si="154"/>
        <v>23.988</v>
      </c>
      <c r="I329" s="677">
        <f t="shared" si="134"/>
        <v>193.39679669731365</v>
      </c>
      <c r="J329" s="678">
        <f t="shared" si="135"/>
        <v>1.5656255872936102</v>
      </c>
      <c r="K329" s="678">
        <f t="shared" si="136"/>
        <v>1.0005495963693454</v>
      </c>
      <c r="L329" s="679">
        <f t="shared" si="137"/>
        <v>3.3146486204889483E-2</v>
      </c>
      <c r="M329" s="678">
        <f t="shared" si="138"/>
        <v>1.0080142205029545</v>
      </c>
      <c r="N329" s="679">
        <f t="shared" si="139"/>
        <v>-0.12618289022367959</v>
      </c>
      <c r="O329" s="677">
        <f t="shared" si="140"/>
        <v>994758.92324474279</v>
      </c>
      <c r="P329" s="680">
        <f t="shared" si="141"/>
        <v>1.5707953215262063</v>
      </c>
      <c r="Q329" s="689">
        <f t="shared" si="163"/>
        <v>39.802920804866368</v>
      </c>
      <c r="R329" s="690">
        <f t="shared" si="164"/>
        <v>1.5456698986226374</v>
      </c>
      <c r="S329" s="677">
        <f t="shared" si="142"/>
        <v>1.0162245036558344</v>
      </c>
      <c r="T329" s="680">
        <f t="shared" si="143"/>
        <v>0.17893091581450649</v>
      </c>
      <c r="U329" s="681">
        <f t="shared" si="155"/>
        <v>0.93613723161462148</v>
      </c>
      <c r="V329" s="682">
        <f t="shared" si="156"/>
        <v>-0.44497225079056396</v>
      </c>
      <c r="W329" s="683">
        <f t="shared" si="144"/>
        <v>-28.742432442761551</v>
      </c>
      <c r="X329" s="684">
        <f t="shared" si="145"/>
        <v>-132.22093085422364</v>
      </c>
      <c r="Y329" s="687">
        <f t="shared" si="146"/>
        <v>47.779069145776361</v>
      </c>
      <c r="AA329" s="170">
        <f t="shared" si="147"/>
        <v>23988</v>
      </c>
      <c r="AB329" s="170">
        <f t="shared" si="148"/>
        <v>575424144</v>
      </c>
      <c r="AD329" s="686">
        <f t="shared" si="149"/>
        <v>17.009598828602094</v>
      </c>
      <c r="AE329" s="687">
        <f t="shared" si="150"/>
        <v>-11.691567004797253</v>
      </c>
      <c r="AG329" s="686">
        <f t="shared" si="151"/>
        <v>-6.3293349494678726</v>
      </c>
      <c r="AH329" s="687">
        <f t="shared" si="152"/>
        <v>-69.539299849689456</v>
      </c>
      <c r="AJ329" s="170">
        <f t="shared" si="153"/>
        <v>0</v>
      </c>
      <c r="AK329" s="170">
        <f t="shared" si="165"/>
        <v>0</v>
      </c>
      <c r="AM329" s="170" t="str">
        <f t="shared" si="157"/>
        <v>0.20792146838122+0.61041920001638i</v>
      </c>
      <c r="AN329" s="170" t="str">
        <f t="shared" si="158"/>
        <v>0.65658972353769i</v>
      </c>
      <c r="AO329" s="170" t="str">
        <f t="shared" si="159"/>
        <v>0.929681318689327-0.316668782540403i</v>
      </c>
      <c r="AP329" s="170" t="str">
        <f t="shared" si="160"/>
        <v>0.13201308860313-0.101736533336063i</v>
      </c>
      <c r="AQ329" s="170" t="str">
        <f t="shared" si="161"/>
        <v>0.86798691139687+0.101736533336063i</v>
      </c>
      <c r="AR329" s="170" t="str">
        <f t="shared" si="162"/>
        <v>0.946686195685279-0.110960857175978i</v>
      </c>
    </row>
    <row r="330" spans="7:44">
      <c r="G330" s="688">
        <v>24127.75</v>
      </c>
      <c r="H330" s="676">
        <f t="shared" si="154"/>
        <v>24.127749999999999</v>
      </c>
      <c r="I330" s="677">
        <f t="shared" si="134"/>
        <v>194.52346343999631</v>
      </c>
      <c r="J330" s="678">
        <f t="shared" si="135"/>
        <v>1.5656555361316484</v>
      </c>
      <c r="K330" s="678">
        <f t="shared" si="136"/>
        <v>1.0005560169478938</v>
      </c>
      <c r="L330" s="679">
        <f t="shared" si="137"/>
        <v>3.333944933656207E-2</v>
      </c>
      <c r="M330" s="678">
        <f t="shared" si="138"/>
        <v>1.0081074948720317</v>
      </c>
      <c r="N330" s="679">
        <f t="shared" si="139"/>
        <v>-0.12691016470277933</v>
      </c>
      <c r="O330" s="677">
        <f t="shared" si="140"/>
        <v>1000554.2192061947</v>
      </c>
      <c r="P330" s="680">
        <f t="shared" si="141"/>
        <v>1.5707953273488089</v>
      </c>
      <c r="Q330" s="689">
        <f t="shared" si="163"/>
        <v>40.034659895052293</v>
      </c>
      <c r="R330" s="690">
        <f t="shared" si="164"/>
        <v>1.5458153723367138</v>
      </c>
      <c r="S330" s="677">
        <f t="shared" si="142"/>
        <v>1.0164125658342658</v>
      </c>
      <c r="T330" s="680">
        <f t="shared" si="143"/>
        <v>0.17995104064248291</v>
      </c>
      <c r="U330" s="681">
        <f t="shared" si="155"/>
        <v>0.93546160223016672</v>
      </c>
      <c r="V330" s="682">
        <f t="shared" si="156"/>
        <v>-0.44740565195170101</v>
      </c>
      <c r="W330" s="683">
        <f t="shared" si="144"/>
        <v>-28.799937323828392</v>
      </c>
      <c r="X330" s="684">
        <f t="shared" si="145"/>
        <v>-132.44279834903037</v>
      </c>
      <c r="Y330" s="687">
        <f t="shared" si="146"/>
        <v>47.557201650969631</v>
      </c>
      <c r="AA330" s="170">
        <f t="shared" si="147"/>
        <v>24127.75</v>
      </c>
      <c r="AB330" s="170">
        <f t="shared" si="148"/>
        <v>582148320.0625</v>
      </c>
      <c r="AD330" s="686">
        <f t="shared" si="149"/>
        <v>17.007959905702297</v>
      </c>
      <c r="AE330" s="687">
        <f t="shared" si="150"/>
        <v>-11.741681155837956</v>
      </c>
      <c r="AG330" s="686">
        <f t="shared" si="151"/>
        <v>-6.3726588127833885</v>
      </c>
      <c r="AH330" s="687">
        <f t="shared" si="152"/>
        <v>-69.432205960346153</v>
      </c>
      <c r="AJ330" s="170">
        <f t="shared" si="153"/>
        <v>0</v>
      </c>
      <c r="AK330" s="170">
        <f t="shared" si="165"/>
        <v>0</v>
      </c>
      <c r="AM330" s="170" t="str">
        <f t="shared" si="157"/>
        <v>0.210262220741153+0.613444569632256i</v>
      </c>
      <c r="AN330" s="170" t="str">
        <f t="shared" si="158"/>
        <v>0.660414903371956i</v>
      </c>
      <c r="AO330" s="170" t="str">
        <f t="shared" si="159"/>
        <v>0.928877538196249-0.318378976106676i</v>
      </c>
      <c r="AP330" s="170" t="str">
        <f t="shared" si="160"/>
        <v>0.131622963209808-0.102240761605376i</v>
      </c>
      <c r="AQ330" s="170" t="str">
        <f t="shared" si="161"/>
        <v>0.868377036790192+0.102240761605376i</v>
      </c>
      <c r="AR330" s="170" t="str">
        <f t="shared" si="162"/>
        <v>0.946145108750161-0.111396999701168i</v>
      </c>
    </row>
    <row r="331" spans="7:44">
      <c r="G331" s="688">
        <v>24267.5</v>
      </c>
      <c r="H331" s="676">
        <f t="shared" si="154"/>
        <v>24.267499999999998</v>
      </c>
      <c r="I331" s="677">
        <f t="shared" si="134"/>
        <v>195.65013035514397</v>
      </c>
      <c r="J331" s="678">
        <f t="shared" si="135"/>
        <v>1.5656851400441574</v>
      </c>
      <c r="K331" s="678">
        <f t="shared" si="136"/>
        <v>1.0005624747814363</v>
      </c>
      <c r="L331" s="679">
        <f t="shared" si="137"/>
        <v>3.3532409984572888E-2</v>
      </c>
      <c r="M331" s="678">
        <f t="shared" si="138"/>
        <v>1.0082013023587331</v>
      </c>
      <c r="N331" s="679">
        <f t="shared" si="139"/>
        <v>-0.12763730422878697</v>
      </c>
      <c r="O331" s="677">
        <f t="shared" si="140"/>
        <v>1006349.5151676469</v>
      </c>
      <c r="P331" s="680">
        <f t="shared" si="141"/>
        <v>1.5707953331043498</v>
      </c>
      <c r="Q331" s="689">
        <f t="shared" si="163"/>
        <v>40.266399822723812</v>
      </c>
      <c r="R331" s="690">
        <f t="shared" si="164"/>
        <v>1.5459591716022454</v>
      </c>
      <c r="S331" s="677">
        <f t="shared" si="142"/>
        <v>1.0166016853551905</v>
      </c>
      <c r="T331" s="680">
        <f t="shared" si="143"/>
        <v>0.18097078698146493</v>
      </c>
      <c r="U331" s="681">
        <f t="shared" si="155"/>
        <v>0.93478342978624873</v>
      </c>
      <c r="V331" s="682">
        <f t="shared" si="156"/>
        <v>-0.44983656482411305</v>
      </c>
      <c r="W331" s="683">
        <f t="shared" si="144"/>
        <v>-28.8571823370145</v>
      </c>
      <c r="X331" s="684">
        <f t="shared" si="145"/>
        <v>-132.66457017184888</v>
      </c>
      <c r="Y331" s="687">
        <f t="shared" si="146"/>
        <v>47.335429828151121</v>
      </c>
      <c r="AA331" s="170">
        <f t="shared" si="147"/>
        <v>24267.5</v>
      </c>
      <c r="AB331" s="170">
        <f t="shared" si="148"/>
        <v>588911556.25</v>
      </c>
      <c r="AD331" s="686">
        <f t="shared" si="149"/>
        <v>17.00631279139958</v>
      </c>
      <c r="AE331" s="687">
        <f t="shared" si="150"/>
        <v>-11.791869556049059</v>
      </c>
      <c r="AG331" s="686">
        <f t="shared" si="151"/>
        <v>-6.4156582956073116</v>
      </c>
      <c r="AH331" s="687">
        <f t="shared" si="152"/>
        <v>-69.325227286728733</v>
      </c>
      <c r="AJ331" s="170">
        <f t="shared" si="153"/>
        <v>0</v>
      </c>
      <c r="AK331" s="170">
        <f t="shared" si="165"/>
        <v>0</v>
      </c>
      <c r="AM331" s="170" t="str">
        <f t="shared" si="157"/>
        <v>0.212614528530786+0.616460963337666i</v>
      </c>
      <c r="AN331" s="170" t="str">
        <f t="shared" si="158"/>
        <v>0.664240083206223i</v>
      </c>
      <c r="AO331" s="170" t="str">
        <f t="shared" si="159"/>
        <v>0.928069502162634-0.320086869049691i</v>
      </c>
      <c r="AP331" s="170" t="str">
        <f t="shared" si="160"/>
        <v>0.131230911911536-0.102743493889611i</v>
      </c>
      <c r="AQ331" s="170" t="str">
        <f t="shared" si="161"/>
        <v>0.868769088088464+0.102743493889611i</v>
      </c>
      <c r="AR331" s="170" t="str">
        <f t="shared" si="162"/>
        <v>0.945602462144048-0.11183006177748i</v>
      </c>
    </row>
    <row r="332" spans="7:44">
      <c r="G332" s="688">
        <v>24407.25</v>
      </c>
      <c r="H332" s="676">
        <f t="shared" si="154"/>
        <v>24.407250000000001</v>
      </c>
      <c r="I332" s="677">
        <f t="shared" si="134"/>
        <v>196.77679743979434</v>
      </c>
      <c r="J332" s="678">
        <f t="shared" si="135"/>
        <v>1.5657144049558112</v>
      </c>
      <c r="K332" s="678">
        <f t="shared" si="136"/>
        <v>1.0005689698692519</v>
      </c>
      <c r="L332" s="679">
        <f t="shared" si="137"/>
        <v>3.372536813460085E-2</v>
      </c>
      <c r="M332" s="678">
        <f t="shared" si="138"/>
        <v>1.0082956428142618</v>
      </c>
      <c r="N332" s="679">
        <f t="shared" si="139"/>
        <v>-0.12836430807055299</v>
      </c>
      <c r="O332" s="677">
        <f t="shared" si="140"/>
        <v>1012144.811129099</v>
      </c>
      <c r="P332" s="680">
        <f t="shared" si="141"/>
        <v>1.570795338793981</v>
      </c>
      <c r="Q332" s="689">
        <f t="shared" si="163"/>
        <v>40.49814057350406</v>
      </c>
      <c r="R332" s="690">
        <f t="shared" si="164"/>
        <v>1.5461013251581059</v>
      </c>
      <c r="S332" s="677">
        <f t="shared" si="142"/>
        <v>1.0167918616286227</v>
      </c>
      <c r="T332" s="680">
        <f t="shared" si="143"/>
        <v>0.18199015292240653</v>
      </c>
      <c r="U332" s="681">
        <f t="shared" si="155"/>
        <v>0.93410273344421324</v>
      </c>
      <c r="V332" s="682">
        <f t="shared" si="156"/>
        <v>-0.45226498229368334</v>
      </c>
      <c r="W332" s="683">
        <f t="shared" si="144"/>
        <v>-28.914170713268604</v>
      </c>
      <c r="X332" s="684">
        <f t="shared" si="145"/>
        <v>-132.88624445752731</v>
      </c>
      <c r="Y332" s="687">
        <f t="shared" si="146"/>
        <v>47.113755542472688</v>
      </c>
      <c r="AA332" s="170">
        <f t="shared" si="147"/>
        <v>24407.25</v>
      </c>
      <c r="AB332" s="170">
        <f t="shared" si="148"/>
        <v>595713852.5625</v>
      </c>
      <c r="AD332" s="686">
        <f t="shared" si="149"/>
        <v>17.004657483219578</v>
      </c>
      <c r="AE332" s="687">
        <f t="shared" si="150"/>
        <v>-11.842130449500097</v>
      </c>
      <c r="AG332" s="686">
        <f t="shared" si="151"/>
        <v>-6.4583368667265386</v>
      </c>
      <c r="AH332" s="687">
        <f t="shared" si="152"/>
        <v>-69.218364534833754</v>
      </c>
      <c r="AJ332" s="170">
        <f t="shared" si="153"/>
        <v>0</v>
      </c>
      <c r="AK332" s="170">
        <f t="shared" si="165"/>
        <v>0</v>
      </c>
      <c r="AM332" s="170" t="str">
        <f t="shared" si="157"/>
        <v>0.214978357331192+0.619468336996788i</v>
      </c>
      <c r="AN332" s="170" t="str">
        <f t="shared" si="158"/>
        <v>0.66806526304049i</v>
      </c>
      <c r="AO332" s="170" t="str">
        <f t="shared" si="159"/>
        <v>0.927257217621931-0.321792449367574i</v>
      </c>
      <c r="AP332" s="170" t="str">
        <f t="shared" si="160"/>
        <v>0.130836940444801-0.103244722832798i</v>
      </c>
      <c r="AQ332" s="170" t="str">
        <f t="shared" si="161"/>
        <v>0.869163059555199+0.103244722832798i</v>
      </c>
      <c r="AR332" s="170" t="str">
        <f t="shared" si="162"/>
        <v>0.945058276756372-0.112260040014226i</v>
      </c>
    </row>
    <row r="333" spans="7:44">
      <c r="G333" s="688">
        <v>24547</v>
      </c>
      <c r="H333" s="676">
        <f t="shared" si="154"/>
        <v>24.547000000000001</v>
      </c>
      <c r="I333" s="677">
        <f t="shared" ref="I333:I396" si="166">SQRT(1+(G333/pole1)^2)</f>
        <v>197.90346469105236</v>
      </c>
      <c r="J333" s="678">
        <f t="shared" ref="J333:J396" si="167">ATAN(G333/pole1)</f>
        <v>1.5657433366563696</v>
      </c>
      <c r="K333" s="678">
        <f t="shared" ref="K333:K396" si="168">SQRT(1+(G333/Zero1)^2)</f>
        <v>1.0005755022106153</v>
      </c>
      <c r="L333" s="679">
        <f t="shared" ref="L333:L396" si="169">ATAN(G333/Zero1)</f>
        <v>3.3918323772325995E-2</v>
      </c>
      <c r="M333" s="678">
        <f t="shared" ref="M333:M396" si="170">SQRT(1+(G333/z_RHP)^2)</f>
        <v>1.0083905160890312</v>
      </c>
      <c r="N333" s="679">
        <f t="shared" ref="N333:N396" si="171">-ATAN(G333/z_RHP)</f>
        <v>-0.12909117549777435</v>
      </c>
      <c r="O333" s="677">
        <f t="shared" ref="O333:O396" si="172">SQRT(1+(G333/Pole2)^2)</f>
        <v>1017940.1070905512</v>
      </c>
      <c r="P333" s="680">
        <f t="shared" ref="P333:P396" si="173">ATAN(G333/Pole2)</f>
        <v>1.5707953444188285</v>
      </c>
      <c r="Q333" s="689">
        <f t="shared" si="163"/>
        <v>40.729882133343288</v>
      </c>
      <c r="R333" s="690">
        <f t="shared" si="164"/>
        <v>1.5462418610893744</v>
      </c>
      <c r="S333" s="677">
        <f t="shared" ref="S333:S396" si="174">SQRT(1+(G333/pole4)^2)</f>
        <v>1.0169830940617233</v>
      </c>
      <c r="T333" s="680">
        <f t="shared" ref="T333:T396" si="175">ATAN(G333/pole4)</f>
        <v>0.18300913656084783</v>
      </c>
      <c r="U333" s="681">
        <f t="shared" si="155"/>
        <v>0.93341953236006692</v>
      </c>
      <c r="V333" s="682">
        <f t="shared" si="156"/>
        <v>-0.45469089734214585</v>
      </c>
      <c r="W333" s="683">
        <f t="shared" ref="W333:W396" si="176">20*LOG10(((K333*Q333*M333*U333)/(I333*O333*S333))*Adc)</f>
        <v>-28.970905625732822</v>
      </c>
      <c r="X333" s="684">
        <f t="shared" ref="X333:X396" si="177">((L333+R333+N333+V333)-(J333+P333+T333))*radconv</f>
        <v>-133.10781937644515</v>
      </c>
      <c r="Y333" s="687">
        <f t="shared" ref="Y333:Y396" si="178">IF(X333&gt;0,X333,X333+180)</f>
        <v>46.89218062355485</v>
      </c>
      <c r="AA333" s="170">
        <f t="shared" ref="AA333:AA396" si="179">IF(W333&lt;0,G333,1000000000)</f>
        <v>24547</v>
      </c>
      <c r="AB333" s="170">
        <f t="shared" ref="AB333:AB396" si="180">G333^2</f>
        <v>602555209</v>
      </c>
      <c r="AD333" s="686">
        <f t="shared" ref="AD333:AD396" si="181">20*LOG10((Q333/(O333*S333))*Aea)</f>
        <v>17.002993979086014</v>
      </c>
      <c r="AE333" s="687">
        <f t="shared" ref="AE333:AE396" si="182">(R333-(P333+T333))*radconv</f>
        <v>-11.892462117981564</v>
      </c>
      <c r="AG333" s="686">
        <f t="shared" ref="AG333:AG396" si="183">20*LOG10((K333*M333/(I333*U333))*Acs*Am)</f>
        <v>-6.5006979377489937</v>
      </c>
      <c r="AH333" s="687">
        <f t="shared" ref="AH333:AH396" si="184">(L333+N333-(J333+V333))*radconv</f>
        <v>-69.111618397484136</v>
      </c>
      <c r="AJ333" s="170">
        <f t="shared" ref="AJ333:AJ396" si="185">SUM((W334&lt;0)*(W333&gt;0))*G333</f>
        <v>0</v>
      </c>
      <c r="AK333" s="170">
        <f t="shared" si="165"/>
        <v>0</v>
      </c>
      <c r="AM333" s="170" t="str">
        <f t="shared" si="157"/>
        <v>0.217353672554867+0.622466646605781i</v>
      </c>
      <c r="AN333" s="170" t="str">
        <f t="shared" si="158"/>
        <v>0.671890442874757i</v>
      </c>
      <c r="AO333" s="170" t="str">
        <f t="shared" si="159"/>
        <v>0.926440691643848-0.323495705080869i</v>
      </c>
      <c r="AP333" s="170" t="str">
        <f t="shared" si="160"/>
        <v>0.130441054574189-0.103744441100963i</v>
      </c>
      <c r="AQ333" s="170" t="str">
        <f t="shared" si="161"/>
        <v>0.869558945425811+0.103744441100963i</v>
      </c>
      <c r="AR333" s="170" t="str">
        <f t="shared" si="162"/>
        <v>0.944512573443334-0.112686931185243i</v>
      </c>
    </row>
    <row r="334" spans="7:44">
      <c r="G334" s="688">
        <v>24690</v>
      </c>
      <c r="H334" s="676">
        <f t="shared" ref="H334:H397" si="186">G334/1000</f>
        <v>24.69</v>
      </c>
      <c r="I334" s="677">
        <f t="shared" si="166"/>
        <v>199.0563336758066</v>
      </c>
      <c r="J334" s="678">
        <f t="shared" si="167"/>
        <v>1.5657726021645486</v>
      </c>
      <c r="K334" s="678">
        <f t="shared" si="168"/>
        <v>1.0005822250292968</v>
      </c>
      <c r="L334" s="679">
        <f t="shared" si="169"/>
        <v>3.4115764134905559E-2</v>
      </c>
      <c r="M334" s="678">
        <f t="shared" si="170"/>
        <v>1.0084881471121967</v>
      </c>
      <c r="N334" s="679">
        <f t="shared" si="171"/>
        <v>-0.12983480484762788</v>
      </c>
      <c r="O334" s="677">
        <f t="shared" si="172"/>
        <v>1023870.1773766885</v>
      </c>
      <c r="P334" s="680">
        <f t="shared" si="173"/>
        <v>1.5707953501085725</v>
      </c>
      <c r="Q334" s="689">
        <f t="shared" si="163"/>
        <v>40.967013854961337</v>
      </c>
      <c r="R334" s="690">
        <f t="shared" si="164"/>
        <v>1.5463840194385692</v>
      </c>
      <c r="S334" s="677">
        <f t="shared" si="174"/>
        <v>1.0171798664273375</v>
      </c>
      <c r="T334" s="680">
        <f t="shared" si="175"/>
        <v>0.1840514197693304</v>
      </c>
      <c r="U334" s="681">
        <f t="shared" ref="U334:U397" si="187">IMABS(IMPRODUCT(AO334, AR334))</f>
        <v>0.93271787006072904</v>
      </c>
      <c r="V334" s="682">
        <f t="shared" ref="V334:V397" si="188">IMARGUMENT(IMPRODUCT(AO334, AR334))</f>
        <v>-0.45717063140718001</v>
      </c>
      <c r="W334" s="683">
        <f t="shared" si="176"/>
        <v>-29.028700831567061</v>
      </c>
      <c r="X334" s="684">
        <f t="shared" si="177"/>
        <v>-133.33444246830703</v>
      </c>
      <c r="Y334" s="687">
        <f t="shared" si="178"/>
        <v>46.665557531692968</v>
      </c>
      <c r="AA334" s="170">
        <f t="shared" si="179"/>
        <v>24690</v>
      </c>
      <c r="AB334" s="170">
        <f t="shared" si="180"/>
        <v>609596100</v>
      </c>
      <c r="AD334" s="686">
        <f t="shared" si="181"/>
        <v>17.001283302973548</v>
      </c>
      <c r="AE334" s="687">
        <f t="shared" si="182"/>
        <v>-11.94403579951082</v>
      </c>
      <c r="AG334" s="686">
        <f t="shared" si="183"/>
        <v>-6.5437189887054004</v>
      </c>
      <c r="AH334" s="687">
        <f t="shared" si="184"/>
        <v>-69.002511215009491</v>
      </c>
      <c r="AJ334" s="170">
        <f t="shared" si="185"/>
        <v>0</v>
      </c>
      <c r="AK334" s="170">
        <f t="shared" si="165"/>
        <v>0</v>
      </c>
      <c r="AM334" s="170" t="str">
        <f t="shared" ref="AM334:AM397" si="189">IMSUB(1,IMEXP(COMPLEX(0,-2*Pi*G334*Tsw)))</f>
        <v>0.219796081628751+0.625525255891519i</v>
      </c>
      <c r="AN334" s="170" t="str">
        <f t="shared" ref="AN334:AN397" si="190">COMPLEX(0, 2*Pi*G334*Tsw)</f>
        <v>0.675804580379588i</v>
      </c>
      <c r="AO334" s="170" t="str">
        <f t="shared" ref="AO334:AO397" si="191">IMDIV(AM334, AN334)</f>
        <v>0.92560079356102-0.325236152595023i</v>
      </c>
      <c r="AP334" s="170" t="str">
        <f t="shared" ref="AP334:AP397" si="192">IMDIV(IMEXP(COMPLEX(0,-2*Pi*G334*Tsw)),6)</f>
        <v>0.130033986395208-0.104254209315253i</v>
      </c>
      <c r="AQ334" s="170" t="str">
        <f t="shared" ref="AQ334:AQ397" si="193">IMSUB(1, AP334)</f>
        <v>0.869966013604792+0.104254209315253i</v>
      </c>
      <c r="AR334" s="170" t="str">
        <f t="shared" ref="AR334:AR397" si="194">IMDIV(0.833, AQ334)</f>
        <v>0.943952629789223-0.113120551275277i</v>
      </c>
    </row>
    <row r="335" spans="7:44">
      <c r="G335" s="688">
        <v>24833</v>
      </c>
      <c r="H335" s="676">
        <f t="shared" si="186"/>
        <v>24.832999999999998</v>
      </c>
      <c r="I335" s="677">
        <f t="shared" si="166"/>
        <v>200.20920282908324</v>
      </c>
      <c r="J335" s="678">
        <f t="shared" si="167"/>
        <v>1.565801530632285</v>
      </c>
      <c r="K335" s="678">
        <f t="shared" si="168"/>
        <v>1.0005889868528466</v>
      </c>
      <c r="L335" s="679">
        <f t="shared" si="169"/>
        <v>3.4313201836639648E-2</v>
      </c>
      <c r="M335" s="678">
        <f t="shared" si="170"/>
        <v>1.0085863357056406</v>
      </c>
      <c r="N335" s="679">
        <f t="shared" si="171"/>
        <v>-0.13057828981991459</v>
      </c>
      <c r="O335" s="677">
        <f t="shared" si="172"/>
        <v>1029800.2476628255</v>
      </c>
      <c r="P335" s="680">
        <f t="shared" si="173"/>
        <v>1.5707953557327881</v>
      </c>
      <c r="Q335" s="689">
        <f t="shared" si="163"/>
        <v>41.204146394952382</v>
      </c>
      <c r="R335" s="690">
        <f t="shared" si="164"/>
        <v>1.5465245415295019</v>
      </c>
      <c r="S335" s="677">
        <f t="shared" si="174"/>
        <v>1.017377743382514</v>
      </c>
      <c r="T335" s="680">
        <f t="shared" si="175"/>
        <v>0.185093298667308</v>
      </c>
      <c r="U335" s="681">
        <f t="shared" si="187"/>
        <v>0.93201362572389002</v>
      </c>
      <c r="V335" s="682">
        <f t="shared" si="188"/>
        <v>-0.45964773074481008</v>
      </c>
      <c r="W335" s="683">
        <f t="shared" si="176"/>
        <v>-29.08623718996602</v>
      </c>
      <c r="X335" s="684">
        <f t="shared" si="177"/>
        <v>-133.56095775229593</v>
      </c>
      <c r="Y335" s="687">
        <f t="shared" si="178"/>
        <v>46.439042247704066</v>
      </c>
      <c r="AA335" s="170">
        <f t="shared" si="179"/>
        <v>24833</v>
      </c>
      <c r="AB335" s="170">
        <f t="shared" si="180"/>
        <v>616677889</v>
      </c>
      <c r="AD335" s="686">
        <f t="shared" si="181"/>
        <v>16.999564042093944</v>
      </c>
      <c r="AE335" s="687">
        <f t="shared" si="182"/>
        <v>-11.995680062692701</v>
      </c>
      <c r="AG335" s="686">
        <f t="shared" si="183"/>
        <v>-6.5864146499371881</v>
      </c>
      <c r="AH335" s="687">
        <f t="shared" si="184"/>
        <v>-68.893527560530458</v>
      </c>
      <c r="AJ335" s="170">
        <f t="shared" si="185"/>
        <v>0</v>
      </c>
      <c r="AK335" s="170">
        <f t="shared" si="165"/>
        <v>0</v>
      </c>
      <c r="AM335" s="170" t="str">
        <f t="shared" si="189"/>
        <v>0.222250443779978+0.628574281847069i</v>
      </c>
      <c r="AN335" s="170" t="str">
        <f t="shared" si="190"/>
        <v>0.679718717884419i</v>
      </c>
      <c r="AO335" s="170" t="str">
        <f t="shared" si="191"/>
        <v>0.924756469563566-0.326974140820659i</v>
      </c>
      <c r="AP335" s="170" t="str">
        <f t="shared" si="192"/>
        <v>0.12962492603667-0.104762380307845i</v>
      </c>
      <c r="AQ335" s="170" t="str">
        <f t="shared" si="193"/>
        <v>0.87037507396333+0.104762380307845i</v>
      </c>
      <c r="AR335" s="170" t="str">
        <f t="shared" si="194"/>
        <v>0.943391140857886-0.113550932734741i</v>
      </c>
    </row>
    <row r="336" spans="7:44">
      <c r="G336" s="688">
        <v>24976</v>
      </c>
      <c r="H336" s="676">
        <f t="shared" si="186"/>
        <v>24.975999999999999</v>
      </c>
      <c r="I336" s="677">
        <f t="shared" si="166"/>
        <v>201.36207214798759</v>
      </c>
      <c r="J336" s="678">
        <f t="shared" si="167"/>
        <v>1.5658301278485585</v>
      </c>
      <c r="K336" s="678">
        <f t="shared" si="168"/>
        <v>1.0005957876804741</v>
      </c>
      <c r="L336" s="679">
        <f t="shared" si="169"/>
        <v>3.4510636862189456E-2</v>
      </c>
      <c r="M336" s="678">
        <f t="shared" si="170"/>
        <v>1.008685081706536</v>
      </c>
      <c r="N336" s="679">
        <f t="shared" si="171"/>
        <v>-0.13132162963496538</v>
      </c>
      <c r="O336" s="677">
        <f t="shared" si="172"/>
        <v>1035730.3179489628</v>
      </c>
      <c r="P336" s="680">
        <f t="shared" si="173"/>
        <v>1.5707953612926007</v>
      </c>
      <c r="Q336" s="689">
        <f t="shared" si="163"/>
        <v>41.441279739267891</v>
      </c>
      <c r="R336" s="690">
        <f t="shared" si="164"/>
        <v>1.5466634554453356</v>
      </c>
      <c r="S336" s="677">
        <f t="shared" si="174"/>
        <v>1.0175767242828604</v>
      </c>
      <c r="T336" s="680">
        <f t="shared" si="175"/>
        <v>0.18613477122936536</v>
      </c>
      <c r="U336" s="681">
        <f t="shared" si="187"/>
        <v>0.93130681984819019</v>
      </c>
      <c r="V336" s="682">
        <f t="shared" si="188"/>
        <v>-0.46212218814625694</v>
      </c>
      <c r="W336" s="683">
        <f t="shared" si="176"/>
        <v>-29.143517921180813</v>
      </c>
      <c r="X336" s="684">
        <f t="shared" si="177"/>
        <v>-133.7873633782406</v>
      </c>
      <c r="Y336" s="687">
        <f t="shared" si="178"/>
        <v>46.212636621759401</v>
      </c>
      <c r="AA336" s="170">
        <f t="shared" si="179"/>
        <v>24976</v>
      </c>
      <c r="AB336" s="170">
        <f t="shared" si="180"/>
        <v>623800576</v>
      </c>
      <c r="AD336" s="686">
        <f t="shared" si="181"/>
        <v>16.997836195439444</v>
      </c>
      <c r="AE336" s="687">
        <f t="shared" si="182"/>
        <v>-12.047393182497249</v>
      </c>
      <c r="AG336" s="686">
        <f t="shared" si="183"/>
        <v>-6.6287883990655496</v>
      </c>
      <c r="AH336" s="687">
        <f t="shared" si="184"/>
        <v>-68.784668134970929</v>
      </c>
      <c r="AJ336" s="170">
        <f t="shared" si="185"/>
        <v>0</v>
      </c>
      <c r="AK336" s="170">
        <f t="shared" si="165"/>
        <v>0</v>
      </c>
      <c r="AM336" s="170" t="str">
        <f t="shared" si="189"/>
        <v>0.224716721406607+0.631613677759974i</v>
      </c>
      <c r="AN336" s="170" t="str">
        <f t="shared" si="190"/>
        <v>0.68363285538925i</v>
      </c>
      <c r="AO336" s="170" t="str">
        <f t="shared" si="191"/>
        <v>0.923907727343419-0.328709656996601i</v>
      </c>
      <c r="AP336" s="170" t="str">
        <f t="shared" si="192"/>
        <v>0.129213879765566-0.105268946293329i</v>
      </c>
      <c r="AQ336" s="170" t="str">
        <f t="shared" si="193"/>
        <v>0.870786120234434+0.105268946293329i</v>
      </c>
      <c r="AR336" s="170" t="str">
        <f t="shared" si="194"/>
        <v>0.942828128877406-0.113978072636155i</v>
      </c>
    </row>
    <row r="337" spans="7:44">
      <c r="G337" s="688">
        <v>25119</v>
      </c>
      <c r="H337" s="676">
        <f t="shared" si="186"/>
        <v>25.119</v>
      </c>
      <c r="I337" s="677">
        <f t="shared" si="166"/>
        <v>202.51494162969118</v>
      </c>
      <c r="J337" s="678">
        <f t="shared" si="167"/>
        <v>1.5658583994705291</v>
      </c>
      <c r="K337" s="678">
        <f t="shared" si="168"/>
        <v>1.000602627511384</v>
      </c>
      <c r="L337" s="679">
        <f t="shared" si="169"/>
        <v>3.4708069196217446E-2</v>
      </c>
      <c r="M337" s="678">
        <f t="shared" si="170"/>
        <v>1.0087843849511957</v>
      </c>
      <c r="N337" s="679">
        <f t="shared" si="171"/>
        <v>-0.13206482351405713</v>
      </c>
      <c r="O337" s="677">
        <f t="shared" si="172"/>
        <v>1041660.3882351001</v>
      </c>
      <c r="P337" s="680">
        <f t="shared" si="173"/>
        <v>1.5707953667891104</v>
      </c>
      <c r="Q337" s="689">
        <f t="shared" si="163"/>
        <v>41.678413874179029</v>
      </c>
      <c r="R337" s="690">
        <f t="shared" si="164"/>
        <v>1.5468007886303548</v>
      </c>
      <c r="S337" s="677">
        <f t="shared" si="174"/>
        <v>1.0177768084808954</v>
      </c>
      <c r="T337" s="680">
        <f t="shared" si="175"/>
        <v>0.18717583543519256</v>
      </c>
      <c r="U337" s="681">
        <f t="shared" si="187"/>
        <v>0.93059747292118988</v>
      </c>
      <c r="V337" s="682">
        <f t="shared" si="188"/>
        <v>-0.46459399650709027</v>
      </c>
      <c r="W337" s="683">
        <f t="shared" si="176"/>
        <v>-29.200546187697221</v>
      </c>
      <c r="X337" s="684">
        <f t="shared" si="177"/>
        <v>-134.01365753134584</v>
      </c>
      <c r="Y337" s="687">
        <f t="shared" si="178"/>
        <v>45.986342468654158</v>
      </c>
      <c r="AA337" s="170">
        <f t="shared" si="179"/>
        <v>25119</v>
      </c>
      <c r="AB337" s="170">
        <f t="shared" si="180"/>
        <v>630964161</v>
      </c>
      <c r="AD337" s="686">
        <f t="shared" si="181"/>
        <v>16.996099762387949</v>
      </c>
      <c r="AE337" s="687">
        <f t="shared" si="182"/>
        <v>-12.099173470790584</v>
      </c>
      <c r="AG337" s="686">
        <f t="shared" si="183"/>
        <v>-6.6708436565258902</v>
      </c>
      <c r="AH337" s="687">
        <f t="shared" si="184"/>
        <v>-68.675933625777404</v>
      </c>
      <c r="AJ337" s="170">
        <f t="shared" si="185"/>
        <v>0</v>
      </c>
      <c r="AK337" s="170">
        <f t="shared" si="165"/>
        <v>0</v>
      </c>
      <c r="AM337" s="170" t="str">
        <f t="shared" si="189"/>
        <v>0.22719487672415+0.634643397065311i</v>
      </c>
      <c r="AN337" s="170" t="str">
        <f t="shared" si="190"/>
        <v>0.687546992894081i</v>
      </c>
      <c r="AO337" s="170" t="str">
        <f t="shared" si="191"/>
        <v>0.923054574631934-0.330442688386756i</v>
      </c>
      <c r="AP337" s="170" t="str">
        <f t="shared" si="192"/>
        <v>0.128800853879308-0.105773899510885i</v>
      </c>
      <c r="AQ337" s="170" t="str">
        <f t="shared" si="193"/>
        <v>0.871199146120692+0.105773899510885i</v>
      </c>
      <c r="AR337" s="170" t="str">
        <f t="shared" si="194"/>
        <v>0.942263616033255-0.114401968228349i</v>
      </c>
    </row>
    <row r="338" spans="7:44">
      <c r="G338" s="688">
        <v>25265.25</v>
      </c>
      <c r="H338" s="676">
        <f t="shared" si="186"/>
        <v>25.265250000000002</v>
      </c>
      <c r="I338" s="677">
        <f t="shared" si="166"/>
        <v>203.6940128560347</v>
      </c>
      <c r="J338" s="678">
        <f t="shared" si="167"/>
        <v>1.5658869826127411</v>
      </c>
      <c r="K338" s="678">
        <f t="shared" si="168"/>
        <v>1.0006096631351757</v>
      </c>
      <c r="L338" s="679">
        <f t="shared" si="169"/>
        <v>3.4909985828789458E-2</v>
      </c>
      <c r="M338" s="678">
        <f t="shared" si="170"/>
        <v>1.0088865213009131</v>
      </c>
      <c r="N338" s="679">
        <f t="shared" si="171"/>
        <v>-0.13282475640381233</v>
      </c>
      <c r="O338" s="677">
        <f t="shared" si="172"/>
        <v>1047725.2328459222</v>
      </c>
      <c r="P338" s="680">
        <f t="shared" si="173"/>
        <v>1.5707953723461836</v>
      </c>
      <c r="Q338" s="689">
        <f t="shared" si="163"/>
        <v>41.920938225016712</v>
      </c>
      <c r="R338" s="690">
        <f t="shared" si="164"/>
        <v>1.5469396359479406</v>
      </c>
      <c r="S338" s="677">
        <f t="shared" si="174"/>
        <v>1.0179825805640956</v>
      </c>
      <c r="T338" s="680">
        <f t="shared" si="175"/>
        <v>0.18824013570805739</v>
      </c>
      <c r="U338" s="681">
        <f t="shared" si="187"/>
        <v>0.92986939747767028</v>
      </c>
      <c r="V338" s="682">
        <f t="shared" si="188"/>
        <v>-0.46711923500272068</v>
      </c>
      <c r="W338" s="683">
        <f t="shared" si="176"/>
        <v>-29.258612651268582</v>
      </c>
      <c r="X338" s="684">
        <f t="shared" si="177"/>
        <v>-134.24497757639622</v>
      </c>
      <c r="Y338" s="687">
        <f t="shared" si="178"/>
        <v>45.755022423603776</v>
      </c>
      <c r="AA338" s="170">
        <f t="shared" si="179"/>
        <v>25265.25</v>
      </c>
      <c r="AB338" s="170">
        <f t="shared" si="180"/>
        <v>638332857.5625</v>
      </c>
      <c r="AD338" s="686">
        <f t="shared" si="181"/>
        <v>16.994314983359878</v>
      </c>
      <c r="AE338" s="687">
        <f t="shared" si="182"/>
        <v>-12.152198337723407</v>
      </c>
      <c r="AG338" s="686">
        <f t="shared" si="183"/>
        <v>-6.7135287898506757</v>
      </c>
      <c r="AH338" s="687">
        <f t="shared" si="184"/>
        <v>-68.564857787437134</v>
      </c>
      <c r="AJ338" s="170">
        <f t="shared" si="185"/>
        <v>0</v>
      </c>
      <c r="AK338" s="170">
        <f t="shared" si="165"/>
        <v>0</v>
      </c>
      <c r="AM338" s="170" t="str">
        <f t="shared" si="189"/>
        <v>0.229741599864077+0.637731916262663i</v>
      </c>
      <c r="AN338" s="170" t="str">
        <f t="shared" si="190"/>
        <v>0.691550088069477i</v>
      </c>
      <c r="AO338" s="170" t="str">
        <f t="shared" si="191"/>
        <v>0.922177478196768-0.33221252347089i</v>
      </c>
      <c r="AP338" s="170" t="str">
        <f t="shared" si="192"/>
        <v>0.128376400022654-0.106288652710444i</v>
      </c>
      <c r="AQ338" s="170" t="str">
        <f t="shared" si="193"/>
        <v>0.871623599977346+0.106288652710444i</v>
      </c>
      <c r="AR338" s="170" t="str">
        <f t="shared" si="194"/>
        <v>0.941684744009757-0.114832139379174i</v>
      </c>
    </row>
    <row r="339" spans="7:44">
      <c r="G339" s="688">
        <v>25411.5</v>
      </c>
      <c r="H339" s="676">
        <f t="shared" si="186"/>
        <v>25.4115</v>
      </c>
      <c r="I339" s="677">
        <f t="shared" si="166"/>
        <v>204.8730842468799</v>
      </c>
      <c r="J339" s="678">
        <f t="shared" si="167"/>
        <v>1.5659152367555336</v>
      </c>
      <c r="K339" s="678">
        <f t="shared" si="168"/>
        <v>1.0006167395535754</v>
      </c>
      <c r="L339" s="679">
        <f t="shared" si="169"/>
        <v>3.5111899613661693E-2</v>
      </c>
      <c r="M339" s="678">
        <f t="shared" si="170"/>
        <v>1.0089892401624245</v>
      </c>
      <c r="N339" s="679">
        <f t="shared" si="171"/>
        <v>-0.13358453500426848</v>
      </c>
      <c r="O339" s="677">
        <f t="shared" si="172"/>
        <v>1053790.0774567446</v>
      </c>
      <c r="P339" s="680">
        <f t="shared" si="173"/>
        <v>1.570795377839292</v>
      </c>
      <c r="Q339" s="689">
        <f t="shared" si="163"/>
        <v>42.163463374733183</v>
      </c>
      <c r="R339" s="690">
        <f t="shared" si="164"/>
        <v>1.5470768859626229</v>
      </c>
      <c r="S339" s="677">
        <f t="shared" si="174"/>
        <v>1.0181895052850287</v>
      </c>
      <c r="T339" s="680">
        <f t="shared" si="175"/>
        <v>0.18930400459414726</v>
      </c>
      <c r="U339" s="681">
        <f t="shared" si="187"/>
        <v>0.92913870747280025</v>
      </c>
      <c r="V339" s="682">
        <f t="shared" si="188"/>
        <v>-0.46964168798074074</v>
      </c>
      <c r="W339" s="683">
        <f t="shared" si="176"/>
        <v>-29.316421555674857</v>
      </c>
      <c r="X339" s="684">
        <f t="shared" si="177"/>
        <v>-134.47617729420952</v>
      </c>
      <c r="Y339" s="687">
        <f t="shared" si="178"/>
        <v>45.523822705790479</v>
      </c>
      <c r="AA339" s="170">
        <f t="shared" si="179"/>
        <v>25411.5</v>
      </c>
      <c r="AB339" s="170">
        <f t="shared" si="180"/>
        <v>645744332.25</v>
      </c>
      <c r="AD339" s="686">
        <f t="shared" si="181"/>
        <v>16.992521223077873</v>
      </c>
      <c r="AE339" s="687">
        <f t="shared" si="182"/>
        <v>-12.205290003064823</v>
      </c>
      <c r="AG339" s="686">
        <f t="shared" si="183"/>
        <v>-6.7558878492018382</v>
      </c>
      <c r="AH339" s="687">
        <f t="shared" si="184"/>
        <v>-68.453914020257173</v>
      </c>
      <c r="AJ339" s="170">
        <f t="shared" si="185"/>
        <v>0</v>
      </c>
      <c r="AK339" s="170">
        <f t="shared" si="165"/>
        <v>0</v>
      </c>
      <c r="AM339" s="170" t="str">
        <f t="shared" si="189"/>
        <v>0.23230066620198+0.640810215965754i</v>
      </c>
      <c r="AN339" s="170" t="str">
        <f t="shared" si="190"/>
        <v>0.695553183244872i</v>
      </c>
      <c r="AO339" s="170" t="str">
        <f t="shared" si="191"/>
        <v>0.921295784998448-0.33397973267588i</v>
      </c>
      <c r="AP339" s="170" t="str">
        <f t="shared" si="192"/>
        <v>0.127949888966337-0.106801702660959i</v>
      </c>
      <c r="AQ339" s="170" t="str">
        <f t="shared" si="193"/>
        <v>0.872050111033663+0.106801702660959i</v>
      </c>
      <c r="AR339" s="170" t="str">
        <f t="shared" si="194"/>
        <v>0.941104348921481-0.115258911815639i</v>
      </c>
    </row>
    <row r="340" spans="7:44">
      <c r="G340" s="688">
        <v>25557.75</v>
      </c>
      <c r="H340" s="676">
        <f t="shared" si="186"/>
        <v>25.557749999999999</v>
      </c>
      <c r="I340" s="677">
        <f t="shared" si="166"/>
        <v>206.05215579940284</v>
      </c>
      <c r="J340" s="678">
        <f t="shared" si="167"/>
        <v>1.565943167546662</v>
      </c>
      <c r="K340" s="678">
        <f t="shared" si="168"/>
        <v>1.000623856765718</v>
      </c>
      <c r="L340" s="679">
        <f t="shared" si="169"/>
        <v>3.5313810534431014E-2</v>
      </c>
      <c r="M340" s="678">
        <f t="shared" si="170"/>
        <v>1.0090925413578422</v>
      </c>
      <c r="N340" s="679">
        <f t="shared" si="171"/>
        <v>-0.13434415848549203</v>
      </c>
      <c r="O340" s="677">
        <f t="shared" si="172"/>
        <v>1059854.9220675668</v>
      </c>
      <c r="P340" s="680">
        <f t="shared" si="173"/>
        <v>1.5707953832695336</v>
      </c>
      <c r="Q340" s="689">
        <f t="shared" si="163"/>
        <v>42.405989309621781</v>
      </c>
      <c r="R340" s="690">
        <f t="shared" si="164"/>
        <v>1.5472125660747991</v>
      </c>
      <c r="S340" s="677">
        <f t="shared" si="174"/>
        <v>1.0183975819410935</v>
      </c>
      <c r="T340" s="680">
        <f t="shared" si="175"/>
        <v>0.19036743994894545</v>
      </c>
      <c r="U340" s="681">
        <f t="shared" si="187"/>
        <v>0.92840542477863031</v>
      </c>
      <c r="V340" s="682">
        <f t="shared" si="188"/>
        <v>-0.47216134817855065</v>
      </c>
      <c r="W340" s="683">
        <f t="shared" si="176"/>
        <v>-29.373976104958174</v>
      </c>
      <c r="X340" s="684">
        <f t="shared" si="177"/>
        <v>-134.70725485291405</v>
      </c>
      <c r="Y340" s="687">
        <f t="shared" si="178"/>
        <v>45.292745147085952</v>
      </c>
      <c r="AA340" s="170">
        <f t="shared" si="179"/>
        <v>25557.75</v>
      </c>
      <c r="AB340" s="170">
        <f t="shared" si="180"/>
        <v>653198585.0625</v>
      </c>
      <c r="AD340" s="686">
        <f t="shared" si="181"/>
        <v>16.990718482053854</v>
      </c>
      <c r="AE340" s="687">
        <f t="shared" si="182"/>
        <v>-12.258446774078871</v>
      </c>
      <c r="AG340" s="686">
        <f t="shared" si="183"/>
        <v>-6.7979243162741811</v>
      </c>
      <c r="AH340" s="687">
        <f t="shared" si="184"/>
        <v>-68.343103017334528</v>
      </c>
      <c r="AJ340" s="170">
        <f t="shared" si="185"/>
        <v>0</v>
      </c>
      <c r="AK340" s="170">
        <f t="shared" si="165"/>
        <v>0</v>
      </c>
      <c r="AM340" s="170" t="str">
        <f t="shared" si="189"/>
        <v>0.234872034729464+0.643878246845604i</v>
      </c>
      <c r="AN340" s="170" t="str">
        <f t="shared" si="190"/>
        <v>0.699556278420268i</v>
      </c>
      <c r="AO340" s="170" t="str">
        <f t="shared" si="191"/>
        <v>0.920409503434955-0.335744302459625i</v>
      </c>
      <c r="AP340" s="170" t="str">
        <f t="shared" si="192"/>
        <v>0.127521327545089-0.107313041140934i</v>
      </c>
      <c r="AQ340" s="170" t="str">
        <f t="shared" si="193"/>
        <v>0.872478672454911+0.107313041140934i</v>
      </c>
      <c r="AR340" s="170" t="str">
        <f t="shared" si="194"/>
        <v>0.940522454353043-0.115682283159966i</v>
      </c>
    </row>
    <row r="341" spans="7:44">
      <c r="G341" s="688">
        <v>25704</v>
      </c>
      <c r="H341" s="676">
        <f t="shared" si="186"/>
        <v>25.704000000000001</v>
      </c>
      <c r="I341" s="677">
        <f t="shared" si="166"/>
        <v>207.23122751084392</v>
      </c>
      <c r="J341" s="678">
        <f t="shared" si="167"/>
        <v>1.5659707805053489</v>
      </c>
      <c r="K341" s="678">
        <f t="shared" si="168"/>
        <v>1.0006310147707322</v>
      </c>
      <c r="L341" s="679">
        <f t="shared" si="169"/>
        <v>3.5515718574695695E-2</v>
      </c>
      <c r="M341" s="678">
        <f t="shared" si="170"/>
        <v>1.0091964247083438</v>
      </c>
      <c r="N341" s="679">
        <f t="shared" si="171"/>
        <v>-0.13510362601860437</v>
      </c>
      <c r="O341" s="677">
        <f t="shared" si="172"/>
        <v>1065919.7666783892</v>
      </c>
      <c r="P341" s="680">
        <f t="shared" si="173"/>
        <v>1.5707953886379815</v>
      </c>
      <c r="Q341" s="689">
        <f t="shared" si="163"/>
        <v>42.648516016287587</v>
      </c>
      <c r="R341" s="690">
        <f t="shared" si="164"/>
        <v>1.5473467030618357</v>
      </c>
      <c r="S341" s="677">
        <f t="shared" si="174"/>
        <v>1.0186068098263523</v>
      </c>
      <c r="T341" s="680">
        <f t="shared" si="175"/>
        <v>0.19143043963360487</v>
      </c>
      <c r="U341" s="681">
        <f t="shared" si="187"/>
        <v>0.9276695712494426</v>
      </c>
      <c r="V341" s="682">
        <f t="shared" si="188"/>
        <v>-0.47467820844675351</v>
      </c>
      <c r="W341" s="683">
        <f t="shared" si="176"/>
        <v>-29.431279445557848</v>
      </c>
      <c r="X341" s="684">
        <f t="shared" si="177"/>
        <v>-134.93820845584074</v>
      </c>
      <c r="Y341" s="687">
        <f t="shared" si="178"/>
        <v>45.061791544159263</v>
      </c>
      <c r="AA341" s="170">
        <f t="shared" si="179"/>
        <v>25704</v>
      </c>
      <c r="AB341" s="170">
        <f t="shared" si="180"/>
        <v>660695616</v>
      </c>
      <c r="AD341" s="686">
        <f t="shared" si="181"/>
        <v>16.988906761173098</v>
      </c>
      <c r="AE341" s="687">
        <f t="shared" si="182"/>
        <v>-12.311666994050009</v>
      </c>
      <c r="AG341" s="686">
        <f t="shared" si="183"/>
        <v>-6.8396416156820061</v>
      </c>
      <c r="AH341" s="687">
        <f t="shared" si="184"/>
        <v>-68.232425457976134</v>
      </c>
      <c r="AJ341" s="170">
        <f t="shared" si="185"/>
        <v>0</v>
      </c>
      <c r="AK341" s="170">
        <f t="shared" si="165"/>
        <v>0</v>
      </c>
      <c r="AM341" s="170" t="str">
        <f t="shared" si="189"/>
        <v>0.23745566424099+0.646935959737786i</v>
      </c>
      <c r="AN341" s="170" t="str">
        <f t="shared" si="190"/>
        <v>0.703559373595663i</v>
      </c>
      <c r="AO341" s="170" t="str">
        <f t="shared" si="191"/>
        <v>0.919518641947028-0.337506219308019i</v>
      </c>
      <c r="AP341" s="170" t="str">
        <f t="shared" si="192"/>
        <v>0.127090722626502-0.107822659956298i</v>
      </c>
      <c r="AQ341" s="170" t="str">
        <f t="shared" si="193"/>
        <v>0.872909277373498+0.107822659956298i</v>
      </c>
      <c r="AR341" s="170" t="str">
        <f t="shared" si="194"/>
        <v>0.939939083835868-0.1161022512225i</v>
      </c>
    </row>
    <row r="342" spans="7:44">
      <c r="G342" s="688">
        <v>25853.75</v>
      </c>
      <c r="H342" s="676">
        <f t="shared" si="186"/>
        <v>25.853750000000002</v>
      </c>
      <c r="I342" s="677">
        <f t="shared" si="166"/>
        <v>208.43851648492321</v>
      </c>
      <c r="J342" s="678">
        <f t="shared" si="167"/>
        <v>1.5659987305874916</v>
      </c>
      <c r="K342" s="678">
        <f t="shared" si="168"/>
        <v>1.0006383863464294</v>
      </c>
      <c r="L342" s="679">
        <f t="shared" si="169"/>
        <v>3.5722455600387233E-2</v>
      </c>
      <c r="M342" s="678">
        <f t="shared" si="170"/>
        <v>1.0093033971880345</v>
      </c>
      <c r="N342" s="679">
        <f t="shared" si="171"/>
        <v>-0.13588110638759301</v>
      </c>
      <c r="O342" s="677">
        <f t="shared" si="172"/>
        <v>1072129.7528696414</v>
      </c>
      <c r="P342" s="680">
        <f t="shared" si="173"/>
        <v>1.5707953940719708</v>
      </c>
      <c r="Q342" s="689">
        <f t="shared" si="163"/>
        <v>42.896847566921629</v>
      </c>
      <c r="R342" s="690">
        <f t="shared" si="164"/>
        <v>1.5474824785351133</v>
      </c>
      <c r="S342" s="677">
        <f t="shared" si="174"/>
        <v>1.0188222370189066</v>
      </c>
      <c r="T342" s="680">
        <f t="shared" si="175"/>
        <v>0.19251842496467936</v>
      </c>
      <c r="U342" s="681">
        <f t="shared" si="187"/>
        <v>0.92691346649829542</v>
      </c>
      <c r="V342" s="682">
        <f t="shared" si="188"/>
        <v>-0.47725239267818798</v>
      </c>
      <c r="W342" s="683">
        <f t="shared" si="176"/>
        <v>-29.489697076950776</v>
      </c>
      <c r="X342" s="684">
        <f t="shared" si="177"/>
        <v>-135.17455887216821</v>
      </c>
      <c r="Y342" s="687">
        <f t="shared" si="178"/>
        <v>44.825441127831795</v>
      </c>
      <c r="AA342" s="170">
        <f t="shared" si="179"/>
        <v>25853.75</v>
      </c>
      <c r="AB342" s="170">
        <f t="shared" si="180"/>
        <v>668416389.0625</v>
      </c>
      <c r="AD342" s="686">
        <f t="shared" si="181"/>
        <v>16.987042379392673</v>
      </c>
      <c r="AE342" s="687">
        <f t="shared" si="182"/>
        <v>-12.366224911519522</v>
      </c>
      <c r="AG342" s="686">
        <f t="shared" si="183"/>
        <v>-6.8820300796721314</v>
      </c>
      <c r="AH342" s="687">
        <f t="shared" si="184"/>
        <v>-68.119238172196418</v>
      </c>
      <c r="AJ342" s="170">
        <f t="shared" si="185"/>
        <v>0</v>
      </c>
      <c r="AK342" s="170">
        <f t="shared" si="165"/>
        <v>0</v>
      </c>
      <c r="AM342" s="170" t="str">
        <f t="shared" si="189"/>
        <v>0.240113785591823+0.650056106157315i</v>
      </c>
      <c r="AN342" s="170" t="str">
        <f t="shared" si="190"/>
        <v>0.707658269339359i</v>
      </c>
      <c r="AO342" s="170" t="str">
        <f t="shared" si="191"/>
        <v>0.918601723914257-0.339307538673975i</v>
      </c>
      <c r="AP342" s="170" t="str">
        <f t="shared" si="192"/>
        <v>0.126647702401363-0.108342684359553i</v>
      </c>
      <c r="AQ342" s="170" t="str">
        <f t="shared" si="193"/>
        <v>0.873352297598637+0.108342684359553i</v>
      </c>
      <c r="AR342" s="170" t="str">
        <f t="shared" si="194"/>
        <v>0.939340247480493-0.116528741286685i</v>
      </c>
    </row>
    <row r="343" spans="7:44">
      <c r="G343" s="688">
        <v>26003.5</v>
      </c>
      <c r="H343" s="676">
        <f t="shared" si="186"/>
        <v>26.003499999999999</v>
      </c>
      <c r="I343" s="677">
        <f t="shared" si="166"/>
        <v>209.64580561996075</v>
      </c>
      <c r="J343" s="678">
        <f t="shared" si="167"/>
        <v>1.5660263587568906</v>
      </c>
      <c r="K343" s="678">
        <f t="shared" si="168"/>
        <v>1.0006458006889778</v>
      </c>
      <c r="L343" s="679">
        <f t="shared" si="169"/>
        <v>3.5929189571254766E-2</v>
      </c>
      <c r="M343" s="678">
        <f t="shared" si="170"/>
        <v>1.0094109796376014</v>
      </c>
      <c r="N343" s="679">
        <f t="shared" si="171"/>
        <v>-0.13665842149953319</v>
      </c>
      <c r="O343" s="677">
        <f t="shared" si="172"/>
        <v>1078339.7390608939</v>
      </c>
      <c r="P343" s="680">
        <f t="shared" si="173"/>
        <v>1.570795399443373</v>
      </c>
      <c r="Q343" s="689">
        <f t="shared" ref="Q343:Q406" si="195">SQRT(1+(G343/Zero2)^2)</f>
        <v>43.14517989925487</v>
      </c>
      <c r="R343" s="690">
        <f t="shared" ref="R343:R406" si="196">ATAN(G343/Zero2)</f>
        <v>1.5476166910348597</v>
      </c>
      <c r="S343" s="677">
        <f t="shared" si="174"/>
        <v>1.0190388696929191</v>
      </c>
      <c r="T343" s="680">
        <f t="shared" si="175"/>
        <v>0.19360594900325923</v>
      </c>
      <c r="U343" s="681">
        <f t="shared" si="187"/>
        <v>0.92615471270214011</v>
      </c>
      <c r="V343" s="682">
        <f t="shared" si="188"/>
        <v>-0.47982362655453475</v>
      </c>
      <c r="W343" s="683">
        <f t="shared" si="176"/>
        <v>-29.547857829337609</v>
      </c>
      <c r="X343" s="684">
        <f t="shared" si="177"/>
        <v>-135.4107756259443</v>
      </c>
      <c r="Y343" s="687">
        <f t="shared" si="178"/>
        <v>44.589224374055703</v>
      </c>
      <c r="AA343" s="170">
        <f t="shared" si="179"/>
        <v>26003.5</v>
      </c>
      <c r="AB343" s="170">
        <f t="shared" si="180"/>
        <v>676182012.25</v>
      </c>
      <c r="AD343" s="686">
        <f t="shared" si="181"/>
        <v>16.985168585837872</v>
      </c>
      <c r="AE343" s="687">
        <f t="shared" si="182"/>
        <v>-12.420845947076899</v>
      </c>
      <c r="AG343" s="686">
        <f t="shared" si="183"/>
        <v>-6.9240910058559226</v>
      </c>
      <c r="AH343" s="687">
        <f t="shared" si="184"/>
        <v>-68.006192191566953</v>
      </c>
      <c r="AJ343" s="170">
        <f t="shared" si="185"/>
        <v>0</v>
      </c>
      <c r="AK343" s="170">
        <f t="shared" ref="AK343:AK406" si="197">IF(AJ343&gt;0,Y343,0)</f>
        <v>0</v>
      </c>
      <c r="AM343" s="170" t="str">
        <f t="shared" si="189"/>
        <v>0.242784673732277+0.653165331034391i</v>
      </c>
      <c r="AN343" s="170" t="str">
        <f t="shared" si="190"/>
        <v>0.711757165083054i</v>
      </c>
      <c r="AO343" s="170" t="str">
        <f t="shared" si="191"/>
        <v>0.917680022171851-0.341106048021233i</v>
      </c>
      <c r="AP343" s="170" t="str">
        <f t="shared" si="192"/>
        <v>0.126202554377954-0.108860888505732i</v>
      </c>
      <c r="AQ343" s="170" t="str">
        <f t="shared" si="193"/>
        <v>0.873797445622046+0.108860888505732i</v>
      </c>
      <c r="AR343" s="170" t="str">
        <f t="shared" si="194"/>
        <v>0.938739913442363-0.116951659180441i</v>
      </c>
    </row>
    <row r="344" spans="7:44">
      <c r="G344" s="688">
        <v>26153.25</v>
      </c>
      <c r="H344" s="676">
        <f t="shared" si="186"/>
        <v>26.15325</v>
      </c>
      <c r="I344" s="677">
        <f t="shared" si="166"/>
        <v>210.85309491319168</v>
      </c>
      <c r="J344" s="678">
        <f t="shared" si="167"/>
        <v>1.5660536705430659</v>
      </c>
      <c r="K344" s="678">
        <f t="shared" si="168"/>
        <v>1.000653257797427</v>
      </c>
      <c r="L344" s="679">
        <f t="shared" si="169"/>
        <v>3.6135920469695229E-2</v>
      </c>
      <c r="M344" s="678">
        <f t="shared" si="170"/>
        <v>1.0095191718620344</v>
      </c>
      <c r="N344" s="679">
        <f t="shared" si="171"/>
        <v>-0.13743557046807237</v>
      </c>
      <c r="O344" s="677">
        <f t="shared" si="172"/>
        <v>1084549.7252521461</v>
      </c>
      <c r="P344" s="680">
        <f t="shared" si="173"/>
        <v>1.5707954047532633</v>
      </c>
      <c r="Q344" s="689">
        <f t="shared" si="195"/>
        <v>43.393512999866793</v>
      </c>
      <c r="R344" s="690">
        <f t="shared" si="196"/>
        <v>1.5477493673900287</v>
      </c>
      <c r="S344" s="677">
        <f t="shared" si="174"/>
        <v>1.0192567070797514</v>
      </c>
      <c r="T344" s="680">
        <f t="shared" si="175"/>
        <v>0.1946930094718492</v>
      </c>
      <c r="U344" s="681">
        <f t="shared" si="187"/>
        <v>0.92539333325511908</v>
      </c>
      <c r="V344" s="682">
        <f t="shared" si="188"/>
        <v>-0.48239190276795751</v>
      </c>
      <c r="W344" s="683">
        <f t="shared" si="176"/>
        <v>-29.605764901271296</v>
      </c>
      <c r="X344" s="684">
        <f t="shared" si="177"/>
        <v>-135.64685689788809</v>
      </c>
      <c r="Y344" s="687">
        <f t="shared" si="178"/>
        <v>44.353143102111915</v>
      </c>
      <c r="AA344" s="170">
        <f t="shared" si="179"/>
        <v>26153.25</v>
      </c>
      <c r="AB344" s="170">
        <f t="shared" si="180"/>
        <v>683992485.5625</v>
      </c>
      <c r="AD344" s="686">
        <f t="shared" si="181"/>
        <v>16.983285382604553</v>
      </c>
      <c r="AE344" s="687">
        <f t="shared" si="182"/>
        <v>-12.47552843310703</v>
      </c>
      <c r="AG344" s="686">
        <f t="shared" si="183"/>
        <v>-6.9658278929427997</v>
      </c>
      <c r="AH344" s="687">
        <f t="shared" si="184"/>
        <v>-67.893288201838445</v>
      </c>
      <c r="AJ344" s="170">
        <f t="shared" si="185"/>
        <v>0</v>
      </c>
      <c r="AK344" s="170">
        <f t="shared" si="197"/>
        <v>0</v>
      </c>
      <c r="AM344" s="170" t="str">
        <f t="shared" si="189"/>
        <v>0.245468283788967+0.656263582131168i</v>
      </c>
      <c r="AN344" s="170" t="str">
        <f t="shared" si="190"/>
        <v>0.71585606082675i</v>
      </c>
      <c r="AO344" s="170" t="str">
        <f t="shared" si="191"/>
        <v>0.916753545919891-0.342901732934234i</v>
      </c>
      <c r="AP344" s="170" t="str">
        <f t="shared" si="192"/>
        <v>0.125755286035172-0.109377263688528i</v>
      </c>
      <c r="AQ344" s="170" t="str">
        <f t="shared" si="193"/>
        <v>0.874244713964828+0.109377263688528i</v>
      </c>
      <c r="AR344" s="170" t="str">
        <f t="shared" si="194"/>
        <v>0.938138106799232-0.117371003158006i</v>
      </c>
    </row>
    <row r="345" spans="7:44">
      <c r="G345" s="688">
        <v>26303</v>
      </c>
      <c r="H345" s="676">
        <f t="shared" si="186"/>
        <v>26.303000000000001</v>
      </c>
      <c r="I345" s="677">
        <f t="shared" si="166"/>
        <v>212.0603843619142</v>
      </c>
      <c r="J345" s="678">
        <f t="shared" si="167"/>
        <v>1.5660806713496187</v>
      </c>
      <c r="K345" s="678">
        <f t="shared" si="168"/>
        <v>1.0006607576708209</v>
      </c>
      <c r="L345" s="679">
        <f t="shared" si="169"/>
        <v>3.6342648278107119E-2</v>
      </c>
      <c r="M345" s="678">
        <f t="shared" si="170"/>
        <v>1.0096279736653027</v>
      </c>
      <c r="N345" s="679">
        <f t="shared" si="171"/>
        <v>-0.13821255240803942</v>
      </c>
      <c r="O345" s="677">
        <f t="shared" si="172"/>
        <v>1090759.7114433986</v>
      </c>
      <c r="P345" s="680">
        <f t="shared" si="173"/>
        <v>1.5707954100026926</v>
      </c>
      <c r="Q345" s="689">
        <f t="shared" si="195"/>
        <v>43.641846855642321</v>
      </c>
      <c r="R345" s="690">
        <f t="shared" si="196"/>
        <v>1.5478805338191375</v>
      </c>
      <c r="S345" s="677">
        <f t="shared" si="174"/>
        <v>1.0194757484071491</v>
      </c>
      <c r="T345" s="680">
        <f t="shared" si="175"/>
        <v>0.19577960409927772</v>
      </c>
      <c r="U345" s="681">
        <f t="shared" si="187"/>
        <v>0.92462935152573678</v>
      </c>
      <c r="V345" s="682">
        <f t="shared" si="188"/>
        <v>-0.48495721413385773</v>
      </c>
      <c r="W345" s="683">
        <f t="shared" si="176"/>
        <v>-29.663421433597531</v>
      </c>
      <c r="X345" s="684">
        <f t="shared" si="177"/>
        <v>-135.88280090396935</v>
      </c>
      <c r="Y345" s="687">
        <f t="shared" si="178"/>
        <v>44.117199096030646</v>
      </c>
      <c r="AA345" s="170">
        <f t="shared" si="179"/>
        <v>26303</v>
      </c>
      <c r="AB345" s="170">
        <f t="shared" si="180"/>
        <v>691847809</v>
      </c>
      <c r="AD345" s="686">
        <f t="shared" si="181"/>
        <v>16.981392772152297</v>
      </c>
      <c r="AE345" s="687">
        <f t="shared" si="182"/>
        <v>-12.530270737331238</v>
      </c>
      <c r="AG345" s="686">
        <f t="shared" si="183"/>
        <v>-7.0072441823932055</v>
      </c>
      <c r="AH345" s="687">
        <f t="shared" si="184"/>
        <v>-67.780526874553502</v>
      </c>
      <c r="AJ345" s="170">
        <f t="shared" si="185"/>
        <v>0</v>
      </c>
      <c r="AK345" s="170">
        <f t="shared" si="197"/>
        <v>0</v>
      </c>
      <c r="AM345" s="170" t="str">
        <f t="shared" si="189"/>
        <v>0.248164570674767+0.659350807394169i</v>
      </c>
      <c r="AN345" s="170" t="str">
        <f t="shared" si="190"/>
        <v>0.719954956570446i</v>
      </c>
      <c r="AO345" s="170" t="str">
        <f t="shared" si="191"/>
        <v>0.91582230440503-0.344694579028827i</v>
      </c>
      <c r="AP345" s="170" t="str">
        <f t="shared" si="192"/>
        <v>0.125305904887539-0.109891801232361i</v>
      </c>
      <c r="AQ345" s="170" t="str">
        <f t="shared" si="193"/>
        <v>0.874694095112461+0.109891801232361i</v>
      </c>
      <c r="AR345" s="170" t="str">
        <f t="shared" si="194"/>
        <v>0.93753485256337-0.117786771674797i</v>
      </c>
    </row>
    <row r="346" spans="7:44">
      <c r="G346" s="688">
        <v>26456</v>
      </c>
      <c r="H346" s="676">
        <f t="shared" si="186"/>
        <v>26.456</v>
      </c>
      <c r="I346" s="677">
        <f t="shared" si="166"/>
        <v>213.29387557588149</v>
      </c>
      <c r="J346" s="678">
        <f t="shared" si="167"/>
        <v>1.5661079424669326</v>
      </c>
      <c r="K346" s="678">
        <f t="shared" si="168"/>
        <v>1.0006684644789492</v>
      </c>
      <c r="L346" s="679">
        <f t="shared" si="169"/>
        <v>3.6553859457009785E-2</v>
      </c>
      <c r="M346" s="678">
        <f t="shared" si="170"/>
        <v>1.0097397661382785</v>
      </c>
      <c r="N346" s="679">
        <f t="shared" si="171"/>
        <v>-0.13900622363626094</v>
      </c>
      <c r="O346" s="677">
        <f t="shared" si="172"/>
        <v>1097104.4719593357</v>
      </c>
      <c r="P346" s="680">
        <f t="shared" si="173"/>
        <v>1.5707954153046735</v>
      </c>
      <c r="Q346" s="689">
        <f t="shared" si="195"/>
        <v>43.895571027467874</v>
      </c>
      <c r="R346" s="690">
        <f t="shared" si="196"/>
        <v>1.5480130141496147</v>
      </c>
      <c r="S346" s="677">
        <f t="shared" si="174"/>
        <v>1.0197007861633827</v>
      </c>
      <c r="T346" s="680">
        <f t="shared" si="175"/>
        <v>0.1968892974419886</v>
      </c>
      <c r="U346" s="681">
        <f t="shared" si="187"/>
        <v>0.92384612589496817</v>
      </c>
      <c r="V346" s="682">
        <f t="shared" si="188"/>
        <v>-0.48757513062743757</v>
      </c>
      <c r="W346" s="683">
        <f t="shared" si="176"/>
        <v>-29.722073729896955</v>
      </c>
      <c r="X346" s="684">
        <f t="shared" si="177"/>
        <v>-136.12372197799749</v>
      </c>
      <c r="Y346" s="687">
        <f t="shared" si="178"/>
        <v>43.876278022002509</v>
      </c>
      <c r="AA346" s="170">
        <f t="shared" si="179"/>
        <v>26456</v>
      </c>
      <c r="AB346" s="170">
        <f t="shared" si="180"/>
        <v>699919936</v>
      </c>
      <c r="AD346" s="686">
        <f t="shared" si="181"/>
        <v>16.979449373930255</v>
      </c>
      <c r="AE346" s="687">
        <f t="shared" si="182"/>
        <v>-12.586261222462609</v>
      </c>
      <c r="AG346" s="686">
        <f t="shared" si="183"/>
        <v>-7.0492317344083153</v>
      </c>
      <c r="AH346" s="687">
        <f t="shared" si="184"/>
        <v>-67.665466330707858</v>
      </c>
      <c r="AJ346" s="170">
        <f t="shared" si="185"/>
        <v>0</v>
      </c>
      <c r="AK346" s="170">
        <f t="shared" si="197"/>
        <v>0</v>
      </c>
      <c r="AM346" s="170" t="str">
        <f t="shared" si="189"/>
        <v>0.250932420012418+0.662493592883393i</v>
      </c>
      <c r="AN346" s="170" t="str">
        <f t="shared" si="190"/>
        <v>0.724142809984705i</v>
      </c>
      <c r="AO346" s="170" t="str">
        <f t="shared" si="191"/>
        <v>0.914865940459156-0.34652338813903i</v>
      </c>
      <c r="AP346" s="170" t="str">
        <f t="shared" si="192"/>
        <v>0.124844596664597-0.110415598813899i</v>
      </c>
      <c r="AQ346" s="170" t="str">
        <f t="shared" si="193"/>
        <v>0.875155403335403+0.110415598813899i</v>
      </c>
      <c r="AR346" s="170" t="str">
        <f t="shared" si="194"/>
        <v>0.936917036888572-0.118207869451214i</v>
      </c>
    </row>
    <row r="347" spans="7:44">
      <c r="G347" s="688">
        <v>26609</v>
      </c>
      <c r="H347" s="676">
        <f t="shared" si="186"/>
        <v>26.609000000000002</v>
      </c>
      <c r="I347" s="677">
        <f t="shared" si="166"/>
        <v>214.52736694665415</v>
      </c>
      <c r="J347" s="678">
        <f t="shared" si="167"/>
        <v>1.5661348999768385</v>
      </c>
      <c r="K347" s="678">
        <f t="shared" si="168"/>
        <v>1.0006762159263711</v>
      </c>
      <c r="L347" s="679">
        <f t="shared" si="169"/>
        <v>3.6765067373162347E-2</v>
      </c>
      <c r="M347" s="678">
        <f t="shared" si="170"/>
        <v>1.0098521945194308</v>
      </c>
      <c r="N347" s="679">
        <f t="shared" si="171"/>
        <v>-0.13979971864297303</v>
      </c>
      <c r="O347" s="677">
        <f t="shared" si="172"/>
        <v>1103449.2324752731</v>
      </c>
      <c r="P347" s="680">
        <f t="shared" si="173"/>
        <v>1.5707954205456822</v>
      </c>
      <c r="Q347" s="689">
        <f t="shared" si="195"/>
        <v>44.149295960851191</v>
      </c>
      <c r="R347" s="690">
        <f t="shared" si="196"/>
        <v>1.5481439717598746</v>
      </c>
      <c r="S347" s="677">
        <f t="shared" si="174"/>
        <v>1.019927079043849</v>
      </c>
      <c r="T347" s="680">
        <f t="shared" si="175"/>
        <v>0.19799849973115391</v>
      </c>
      <c r="U347" s="681">
        <f t="shared" si="187"/>
        <v>0.92306023303111606</v>
      </c>
      <c r="V347" s="682">
        <f t="shared" si="188"/>
        <v>-0.49018993741537192</v>
      </c>
      <c r="W347" s="683">
        <f t="shared" si="176"/>
        <v>-29.780470943606062</v>
      </c>
      <c r="X347" s="684">
        <f t="shared" si="177"/>
        <v>-136.3644961074813</v>
      </c>
      <c r="Y347" s="687">
        <f t="shared" si="178"/>
        <v>43.635503892518699</v>
      </c>
      <c r="AA347" s="170">
        <f t="shared" si="179"/>
        <v>26609</v>
      </c>
      <c r="AB347" s="170">
        <f t="shared" si="180"/>
        <v>708038881</v>
      </c>
      <c r="AD347" s="686">
        <f t="shared" si="181"/>
        <v>16.977496162038118</v>
      </c>
      <c r="AE347" s="687">
        <f t="shared" si="182"/>
        <v>-12.642310814246738</v>
      </c>
      <c r="AG347" s="686">
        <f t="shared" si="183"/>
        <v>-7.0908917076538982</v>
      </c>
      <c r="AH347" s="687">
        <f t="shared" si="184"/>
        <v>-67.550556081683553</v>
      </c>
      <c r="AJ347" s="170">
        <f t="shared" si="185"/>
        <v>0</v>
      </c>
      <c r="AK347" s="170">
        <f t="shared" si="197"/>
        <v>0</v>
      </c>
      <c r="AM347" s="170" t="str">
        <f t="shared" si="189"/>
        <v>0.253713406565143+0.665624759499973i</v>
      </c>
      <c r="AN347" s="170" t="str">
        <f t="shared" si="190"/>
        <v>0.728330663398965i</v>
      </c>
      <c r="AO347" s="170" t="str">
        <f t="shared" si="191"/>
        <v>0.913904621828831-0.348349203617374i</v>
      </c>
      <c r="AP347" s="170" t="str">
        <f t="shared" si="192"/>
        <v>0.12438109890581-0.110937459916662i</v>
      </c>
      <c r="AQ347" s="170" t="str">
        <f t="shared" si="193"/>
        <v>0.87561890109419+0.110937459916662i</v>
      </c>
      <c r="AR347" s="170" t="str">
        <f t="shared" si="194"/>
        <v>0.93629776267523-0.118625232263768i</v>
      </c>
    </row>
    <row r="348" spans="7:44">
      <c r="G348" s="688">
        <v>26762</v>
      </c>
      <c r="H348" s="676">
        <f t="shared" si="186"/>
        <v>26.762</v>
      </c>
      <c r="I348" s="677">
        <f t="shared" si="166"/>
        <v>215.76085847154295</v>
      </c>
      <c r="J348" s="678">
        <f t="shared" si="167"/>
        <v>1.5661615492579197</v>
      </c>
      <c r="K348" s="678">
        <f t="shared" si="168"/>
        <v>1.0006840120120495</v>
      </c>
      <c r="L348" s="679">
        <f t="shared" si="169"/>
        <v>3.6976272007797392E-2</v>
      </c>
      <c r="M348" s="678">
        <f t="shared" si="170"/>
        <v>1.0099652585963934</v>
      </c>
      <c r="N348" s="679">
        <f t="shared" si="171"/>
        <v>-0.14059303648797025</v>
      </c>
      <c r="O348" s="677">
        <f t="shared" si="172"/>
        <v>1109793.9929912107</v>
      </c>
      <c r="P348" s="680">
        <f t="shared" si="173"/>
        <v>1.5707954257267647</v>
      </c>
      <c r="Q348" s="689">
        <f t="shared" si="195"/>
        <v>44.403021642737336</v>
      </c>
      <c r="R348" s="690">
        <f t="shared" si="196"/>
        <v>1.5482734327485572</v>
      </c>
      <c r="S348" s="677">
        <f t="shared" si="174"/>
        <v>1.0201546262133057</v>
      </c>
      <c r="T348" s="680">
        <f t="shared" si="175"/>
        <v>0.19910720856509623</v>
      </c>
      <c r="U348" s="681">
        <f t="shared" si="187"/>
        <v>0.92227169776474993</v>
      </c>
      <c r="V348" s="682">
        <f t="shared" si="188"/>
        <v>-0.4928016272314843</v>
      </c>
      <c r="W348" s="683">
        <f t="shared" si="176"/>
        <v>-29.83861624634935</v>
      </c>
      <c r="X348" s="684">
        <f t="shared" si="177"/>
        <v>-136.60512149858718</v>
      </c>
      <c r="Y348" s="687">
        <f t="shared" si="178"/>
        <v>43.394878501412819</v>
      </c>
      <c r="AA348" s="170">
        <f t="shared" si="179"/>
        <v>26762</v>
      </c>
      <c r="AB348" s="170">
        <f t="shared" si="180"/>
        <v>716204644</v>
      </c>
      <c r="AD348" s="686">
        <f t="shared" si="181"/>
        <v>16.975533140207464</v>
      </c>
      <c r="AE348" s="687">
        <f t="shared" si="182"/>
        <v>-12.698417879795668</v>
      </c>
      <c r="AG348" s="686">
        <f t="shared" si="183"/>
        <v>-7.1322275956722176</v>
      </c>
      <c r="AH348" s="687">
        <f t="shared" si="184"/>
        <v>-67.435796799177467</v>
      </c>
      <c r="AJ348" s="170">
        <f t="shared" si="185"/>
        <v>0</v>
      </c>
      <c r="AK348" s="170">
        <f t="shared" si="197"/>
        <v>0</v>
      </c>
      <c r="AM348" s="170" t="str">
        <f t="shared" si="189"/>
        <v>0.256507481559748+0.668744252329223i</v>
      </c>
      <c r="AN348" s="170" t="str">
        <f t="shared" si="190"/>
        <v>0.732518516813225i</v>
      </c>
      <c r="AO348" s="170" t="str">
        <f t="shared" si="191"/>
        <v>0.912938358525805-0.350172010225308i</v>
      </c>
      <c r="AP348" s="170" t="str">
        <f t="shared" si="192"/>
        <v>0.123915419740042-0.111457375388204i</v>
      </c>
      <c r="AQ348" s="170" t="str">
        <f t="shared" si="193"/>
        <v>0.876084580259958+0.111457375388204i</v>
      </c>
      <c r="AR348" s="170" t="str">
        <f t="shared" si="194"/>
        <v>0.935677056376878-0.119038859106255i</v>
      </c>
    </row>
    <row r="349" spans="7:44">
      <c r="G349" s="688">
        <v>26915</v>
      </c>
      <c r="H349" s="676">
        <f t="shared" si="186"/>
        <v>26.914999999999999</v>
      </c>
      <c r="I349" s="677">
        <f t="shared" si="166"/>
        <v>216.99435014791965</v>
      </c>
      <c r="J349" s="678">
        <f t="shared" si="167"/>
        <v>1.5661878955664637</v>
      </c>
      <c r="K349" s="678">
        <f t="shared" si="168"/>
        <v>1.0006918527349407</v>
      </c>
      <c r="L349" s="679">
        <f t="shared" si="169"/>
        <v>3.7187473342149259E-2</v>
      </c>
      <c r="M349" s="678">
        <f t="shared" si="170"/>
        <v>1.010078958155695</v>
      </c>
      <c r="N349" s="679">
        <f t="shared" si="171"/>
        <v>-0.14138617623235911</v>
      </c>
      <c r="O349" s="677">
        <f t="shared" si="172"/>
        <v>1116138.753507148</v>
      </c>
      <c r="P349" s="680">
        <f t="shared" si="173"/>
        <v>1.5707954308489429</v>
      </c>
      <c r="Q349" s="689">
        <f t="shared" si="195"/>
        <v>44.656748060368031</v>
      </c>
      <c r="R349" s="690">
        <f t="shared" si="196"/>
        <v>1.5484014226213678</v>
      </c>
      <c r="S349" s="677">
        <f t="shared" si="174"/>
        <v>1.0203834268326264</v>
      </c>
      <c r="T349" s="680">
        <f t="shared" si="175"/>
        <v>0.200215421549127</v>
      </c>
      <c r="U349" s="681">
        <f t="shared" si="187"/>
        <v>0.92148054489198206</v>
      </c>
      <c r="V349" s="682">
        <f t="shared" si="188"/>
        <v>-0.49541019294239158</v>
      </c>
      <c r="W349" s="683">
        <f t="shared" si="176"/>
        <v>-29.896512752443538</v>
      </c>
      <c r="X349" s="684">
        <f t="shared" si="177"/>
        <v>-136.84559639252979</v>
      </c>
      <c r="Y349" s="687">
        <f t="shared" si="178"/>
        <v>43.154403607470215</v>
      </c>
      <c r="AA349" s="170">
        <f t="shared" si="179"/>
        <v>26915</v>
      </c>
      <c r="AB349" s="170">
        <f t="shared" si="180"/>
        <v>724417225</v>
      </c>
      <c r="AD349" s="686">
        <f t="shared" si="181"/>
        <v>16.973560312521755</v>
      </c>
      <c r="AE349" s="687">
        <f t="shared" si="182"/>
        <v>-12.754580820593137</v>
      </c>
      <c r="AG349" s="686">
        <f t="shared" si="183"/>
        <v>-7.1732428350779358</v>
      </c>
      <c r="AH349" s="687">
        <f t="shared" si="184"/>
        <v>-67.321189140345979</v>
      </c>
      <c r="AJ349" s="170">
        <f t="shared" si="185"/>
        <v>0</v>
      </c>
      <c r="AK349" s="170">
        <f t="shared" si="197"/>
        <v>0</v>
      </c>
      <c r="AM349" s="170" t="str">
        <f t="shared" si="189"/>
        <v>0.259314595993492+0.671852016661196i</v>
      </c>
      <c r="AN349" s="170" t="str">
        <f t="shared" si="190"/>
        <v>0.736706370227485i</v>
      </c>
      <c r="AO349" s="170" t="str">
        <f t="shared" si="191"/>
        <v>0.911967160612086-0.351991792759195i</v>
      </c>
      <c r="AP349" s="170" t="str">
        <f t="shared" si="192"/>
        <v>0.123447567334418-0.111975336110199i</v>
      </c>
      <c r="AQ349" s="170" t="str">
        <f t="shared" si="193"/>
        <v>0.876552432665582+0.111975336110199i</v>
      </c>
      <c r="AR349" s="170" t="str">
        <f t="shared" si="194"/>
        <v>0.935054944368335-0.1194487491852i</v>
      </c>
    </row>
    <row r="350" spans="7:44">
      <c r="G350" s="688">
        <v>27071.75</v>
      </c>
      <c r="H350" s="676">
        <f t="shared" si="186"/>
        <v>27.071750000000002</v>
      </c>
      <c r="I350" s="677">
        <f t="shared" si="166"/>
        <v>218.25807461784063</v>
      </c>
      <c r="J350" s="678">
        <f t="shared" si="167"/>
        <v>1.566214578786282</v>
      </c>
      <c r="K350" s="678">
        <f t="shared" si="168"/>
        <v>1.0006999319230101</v>
      </c>
      <c r="L350" s="679">
        <f t="shared" si="169"/>
        <v>3.7403847737567296E-2</v>
      </c>
      <c r="M350" s="678">
        <f t="shared" si="170"/>
        <v>1.0101961032810847</v>
      </c>
      <c r="N350" s="679">
        <f t="shared" si="171"/>
        <v>-0.14219856999418279</v>
      </c>
      <c r="O350" s="677">
        <f t="shared" si="172"/>
        <v>1122639.0228592604</v>
      </c>
      <c r="P350" s="680">
        <f t="shared" si="173"/>
        <v>1.5707954360366212</v>
      </c>
      <c r="Q350" s="689">
        <f t="shared" si="195"/>
        <v>44.916694012723518</v>
      </c>
      <c r="R350" s="690">
        <f t="shared" si="196"/>
        <v>1.5485310499191165</v>
      </c>
      <c r="S350" s="677">
        <f t="shared" si="174"/>
        <v>1.0206191343379307</v>
      </c>
      <c r="T350" s="680">
        <f t="shared" si="175"/>
        <v>0.20135027989111609</v>
      </c>
      <c r="U350" s="681">
        <f t="shared" si="187"/>
        <v>0.92066731227657805</v>
      </c>
      <c r="V350" s="682">
        <f t="shared" si="188"/>
        <v>-0.49807944686805544</v>
      </c>
      <c r="W350" s="683">
        <f t="shared" si="176"/>
        <v>-29.955573469472213</v>
      </c>
      <c r="X350" s="684">
        <f t="shared" si="177"/>
        <v>-137.09180740078543</v>
      </c>
      <c r="Y350" s="687">
        <f t="shared" si="178"/>
        <v>42.908192599214573</v>
      </c>
      <c r="AA350" s="170">
        <f t="shared" si="179"/>
        <v>27071.75</v>
      </c>
      <c r="AB350" s="170">
        <f t="shared" si="180"/>
        <v>732879648.0625</v>
      </c>
      <c r="AD350" s="686">
        <f t="shared" si="181"/>
        <v>16.971528966535296</v>
      </c>
      <c r="AE350" s="687">
        <f t="shared" si="182"/>
        <v>-12.812176614161521</v>
      </c>
      <c r="AG350" s="686">
        <f t="shared" si="183"/>
        <v>-7.2149343510639348</v>
      </c>
      <c r="AH350" s="687">
        <f t="shared" si="184"/>
        <v>-67.203930385905238</v>
      </c>
      <c r="AJ350" s="170">
        <f t="shared" si="185"/>
        <v>0</v>
      </c>
      <c r="AK350" s="170">
        <f t="shared" si="197"/>
        <v>0</v>
      </c>
      <c r="AM350" s="170" t="str">
        <f t="shared" si="189"/>
        <v>0.262203983523691+0.675023731487782i</v>
      </c>
      <c r="AN350" s="170" t="str">
        <f t="shared" si="190"/>
        <v>0.740996867107781i</v>
      </c>
      <c r="AO350" s="170" t="str">
        <f t="shared" si="191"/>
        <v>0.910967051888489-0.353853025785536i</v>
      </c>
      <c r="AP350" s="170" t="str">
        <f t="shared" si="192"/>
        <v>0.122966002746052-0.112503955247964i</v>
      </c>
      <c r="AQ350" s="170" t="str">
        <f t="shared" si="193"/>
        <v>0.877033997253948+0.112503955247964i</v>
      </c>
      <c r="AR350" s="170" t="str">
        <f t="shared" si="194"/>
        <v>0.934416154194667-0.11986480971507i</v>
      </c>
    </row>
    <row r="351" spans="7:44">
      <c r="G351" s="688">
        <v>27228.5</v>
      </c>
      <c r="H351" s="676">
        <f t="shared" si="186"/>
        <v>27.2285</v>
      </c>
      <c r="I351" s="677">
        <f t="shared" si="166"/>
        <v>219.52179924137093</v>
      </c>
      <c r="J351" s="678">
        <f t="shared" si="167"/>
        <v>1.5662409547906893</v>
      </c>
      <c r="K351" s="678">
        <f t="shared" si="168"/>
        <v>1.00070805796097</v>
      </c>
      <c r="L351" s="679">
        <f t="shared" si="169"/>
        <v>3.7620218629070272E-2</v>
      </c>
      <c r="M351" s="678">
        <f t="shared" si="170"/>
        <v>1.0103139149644933</v>
      </c>
      <c r="N351" s="679">
        <f t="shared" si="171"/>
        <v>-0.14301077482711524</v>
      </c>
      <c r="O351" s="677">
        <f t="shared" si="172"/>
        <v>1129139.2922113729</v>
      </c>
      <c r="P351" s="680">
        <f t="shared" si="173"/>
        <v>1.5707954411645701</v>
      </c>
      <c r="Q351" s="689">
        <f t="shared" si="195"/>
        <v>45.176640711139207</v>
      </c>
      <c r="R351" s="690">
        <f t="shared" si="196"/>
        <v>1.5486591854662888</v>
      </c>
      <c r="S351" s="677">
        <f t="shared" si="174"/>
        <v>1.0208561556941627</v>
      </c>
      <c r="T351" s="680">
        <f t="shared" si="175"/>
        <v>0.20248461271291399</v>
      </c>
      <c r="U351" s="681">
        <f t="shared" si="187"/>
        <v>0.91985138474134187</v>
      </c>
      <c r="V351" s="682">
        <f t="shared" si="188"/>
        <v>-0.50074540693673086</v>
      </c>
      <c r="W351" s="683">
        <f t="shared" si="176"/>
        <v>-30.014379483517509</v>
      </c>
      <c r="X351" s="684">
        <f t="shared" si="177"/>
        <v>-137.33785681622308</v>
      </c>
      <c r="Y351" s="687">
        <f t="shared" si="178"/>
        <v>42.662143183776919</v>
      </c>
      <c r="AA351" s="170">
        <f t="shared" si="179"/>
        <v>27228.5</v>
      </c>
      <c r="AB351" s="170">
        <f t="shared" si="180"/>
        <v>741391212.25</v>
      </c>
      <c r="AD351" s="686">
        <f t="shared" si="181"/>
        <v>16.969487337889724</v>
      </c>
      <c r="AE351" s="687">
        <f t="shared" si="182"/>
        <v>-12.869827765230854</v>
      </c>
      <c r="AG351" s="686">
        <f t="shared" si="183"/>
        <v>-7.2562964327555424</v>
      </c>
      <c r="AH351" s="687">
        <f t="shared" si="184"/>
        <v>-67.086832129353439</v>
      </c>
      <c r="AJ351" s="170">
        <f t="shared" si="185"/>
        <v>0</v>
      </c>
      <c r="AK351" s="170">
        <f t="shared" si="197"/>
        <v>0</v>
      </c>
      <c r="AM351" s="170" t="str">
        <f t="shared" si="189"/>
        <v>0.2651069526503+0.678183020251224i</v>
      </c>
      <c r="AN351" s="170" t="str">
        <f t="shared" si="190"/>
        <v>0.745287363988076i</v>
      </c>
      <c r="AO351" s="170" t="str">
        <f t="shared" si="191"/>
        <v>0.909961785239759-0.355711052488127i</v>
      </c>
      <c r="AP351" s="170" t="str">
        <f t="shared" si="192"/>
        <v>0.122482174558283-0.113030503375204i</v>
      </c>
      <c r="AQ351" s="170" t="str">
        <f t="shared" si="193"/>
        <v>0.877517825441717+0.113030503375204i</v>
      </c>
      <c r="AR351" s="170" t="str">
        <f t="shared" si="194"/>
        <v>0.933775944343569-0.120276947053106i</v>
      </c>
    </row>
    <row r="352" spans="7:44">
      <c r="G352" s="688">
        <v>27385.25</v>
      </c>
      <c r="H352" s="676">
        <f t="shared" si="186"/>
        <v>27.385249999999999</v>
      </c>
      <c r="I352" s="677">
        <f t="shared" si="166"/>
        <v>220.78552401587288</v>
      </c>
      <c r="J352" s="678">
        <f t="shared" si="167"/>
        <v>1.5662670288549363</v>
      </c>
      <c r="K352" s="678">
        <f t="shared" si="168"/>
        <v>1.0007162308476794</v>
      </c>
      <c r="L352" s="679">
        <f t="shared" si="169"/>
        <v>3.7836585996484387E-2</v>
      </c>
      <c r="M352" s="678">
        <f t="shared" si="170"/>
        <v>1.0104323929727685</v>
      </c>
      <c r="N352" s="679">
        <f t="shared" si="171"/>
        <v>-0.1438227897258442</v>
      </c>
      <c r="O352" s="677">
        <f t="shared" si="172"/>
        <v>1135639.5615634853</v>
      </c>
      <c r="P352" s="680">
        <f t="shared" si="173"/>
        <v>1.5707954462338156</v>
      </c>
      <c r="Q352" s="689">
        <f t="shared" si="195"/>
        <v>45.436588142810287</v>
      </c>
      <c r="R352" s="690">
        <f t="shared" si="196"/>
        <v>1.5487858548620199</v>
      </c>
      <c r="S352" s="677">
        <f t="shared" si="174"/>
        <v>1.0210944899863899</v>
      </c>
      <c r="T352" s="680">
        <f t="shared" si="175"/>
        <v>0.20361841746238313</v>
      </c>
      <c r="U352" s="681">
        <f t="shared" si="187"/>
        <v>0.91903278882762918</v>
      </c>
      <c r="V352" s="682">
        <f t="shared" si="188"/>
        <v>-0.50340806590853993</v>
      </c>
      <c r="W352" s="683">
        <f t="shared" si="176"/>
        <v>-30.072933964890346</v>
      </c>
      <c r="X352" s="684">
        <f t="shared" si="177"/>
        <v>-137.58374285694313</v>
      </c>
      <c r="Y352" s="687">
        <f t="shared" si="178"/>
        <v>42.416257143056868</v>
      </c>
      <c r="AA352" s="170">
        <f t="shared" si="179"/>
        <v>27385.25</v>
      </c>
      <c r="AB352" s="170">
        <f t="shared" si="180"/>
        <v>749951917.5625</v>
      </c>
      <c r="AD352" s="686">
        <f t="shared" si="181"/>
        <v>16.967435432059681</v>
      </c>
      <c r="AE352" s="687">
        <f t="shared" si="182"/>
        <v>-12.927532660910762</v>
      </c>
      <c r="AG352" s="686">
        <f t="shared" si="183"/>
        <v>-7.2973325980990431</v>
      </c>
      <c r="AH352" s="687">
        <f t="shared" si="184"/>
        <v>-66.96989503131033</v>
      </c>
      <c r="AJ352" s="170">
        <f t="shared" si="185"/>
        <v>0</v>
      </c>
      <c r="AK352" s="170">
        <f t="shared" si="197"/>
        <v>0</v>
      </c>
      <c r="AM352" s="170" t="str">
        <f t="shared" si="189"/>
        <v>0.268023449934491+0.681329824794274i</v>
      </c>
      <c r="AN352" s="170" t="str">
        <f t="shared" si="190"/>
        <v>0.749577860868372i</v>
      </c>
      <c r="AO352" s="170" t="str">
        <f t="shared" si="191"/>
        <v>0.908951371649325-0.357565856632946i</v>
      </c>
      <c r="AP352" s="170" t="str">
        <f t="shared" si="192"/>
        <v>0.121996091677585-0.113554970799046i</v>
      </c>
      <c r="AQ352" s="170" t="str">
        <f t="shared" si="193"/>
        <v>0.878003908322415+0.113554970799046i</v>
      </c>
      <c r="AR352" s="170" t="str">
        <f t="shared" si="194"/>
        <v>0.933134342908351-0.120685161029641i</v>
      </c>
    </row>
    <row r="353" spans="7:44">
      <c r="G353" s="688">
        <v>27542</v>
      </c>
      <c r="H353" s="676">
        <f t="shared" si="186"/>
        <v>27.542000000000002</v>
      </c>
      <c r="I353" s="677">
        <f t="shared" si="166"/>
        <v>222.04924893876887</v>
      </c>
      <c r="J353" s="678">
        <f t="shared" si="167"/>
        <v>1.5662928061341859</v>
      </c>
      <c r="K353" s="678">
        <f t="shared" si="168"/>
        <v>1.0007244505819899</v>
      </c>
      <c r="L353" s="679">
        <f t="shared" si="169"/>
        <v>3.8052949819637839E-2</v>
      </c>
      <c r="M353" s="678">
        <f t="shared" si="170"/>
        <v>1.0105515370715485</v>
      </c>
      <c r="N353" s="679">
        <f t="shared" si="171"/>
        <v>-0.14463461368652938</v>
      </c>
      <c r="O353" s="677">
        <f t="shared" si="172"/>
        <v>1142139.8309155977</v>
      </c>
      <c r="P353" s="680">
        <f t="shared" si="173"/>
        <v>1.5707954512453597</v>
      </c>
      <c r="Q353" s="689">
        <f t="shared" si="195"/>
        <v>45.696536295223261</v>
      </c>
      <c r="R353" s="690">
        <f t="shared" si="196"/>
        <v>1.548911083123145</v>
      </c>
      <c r="S353" s="677">
        <f t="shared" si="174"/>
        <v>1.0213341362954684</v>
      </c>
      <c r="T353" s="680">
        <f t="shared" si="175"/>
        <v>0.20475169159519246</v>
      </c>
      <c r="U353" s="681">
        <f t="shared" si="187"/>
        <v>0.91821155103179597</v>
      </c>
      <c r="V353" s="682">
        <f t="shared" si="188"/>
        <v>-0.50606741668805832</v>
      </c>
      <c r="W353" s="683">
        <f t="shared" si="176"/>
        <v>-30.131240026367681</v>
      </c>
      <c r="X353" s="684">
        <f t="shared" si="177"/>
        <v>-137.82946377633576</v>
      </c>
      <c r="Y353" s="687">
        <f t="shared" si="178"/>
        <v>42.170536223664243</v>
      </c>
      <c r="AA353" s="170">
        <f t="shared" si="179"/>
        <v>27542</v>
      </c>
      <c r="AB353" s="170">
        <f t="shared" si="180"/>
        <v>758561764</v>
      </c>
      <c r="AD353" s="686">
        <f t="shared" si="181"/>
        <v>16.965373254864545</v>
      </c>
      <c r="AE353" s="687">
        <f t="shared" si="182"/>
        <v>-12.985289722120182</v>
      </c>
      <c r="AG353" s="686">
        <f t="shared" si="183"/>
        <v>-7.3380463078006759</v>
      </c>
      <c r="AH353" s="687">
        <f t="shared" si="184"/>
        <v>-66.853119737322857</v>
      </c>
      <c r="AJ353" s="170">
        <f t="shared" si="185"/>
        <v>0</v>
      </c>
      <c r="AK353" s="170">
        <f t="shared" si="197"/>
        <v>0</v>
      </c>
      <c r="AM353" s="170" t="str">
        <f t="shared" si="189"/>
        <v>0.270953421688405+0.6844640871895i</v>
      </c>
      <c r="AN353" s="170" t="str">
        <f t="shared" si="190"/>
        <v>0.753868357748668i</v>
      </c>
      <c r="AO353" s="170" t="str">
        <f t="shared" si="191"/>
        <v>0.907935822155429-0.35941742202521i</v>
      </c>
      <c r="AP353" s="170" t="str">
        <f t="shared" si="192"/>
        <v>0.121507763051933-0.114077347864917i</v>
      </c>
      <c r="AQ353" s="170" t="str">
        <f t="shared" si="193"/>
        <v>0.878492236948067+0.114077347864917i</v>
      </c>
      <c r="AR353" s="170" t="str">
        <f t="shared" si="194"/>
        <v>0.932491377887801-0.121089451701815i</v>
      </c>
    </row>
    <row r="354" spans="7:44">
      <c r="G354" s="688">
        <v>27702.5</v>
      </c>
      <c r="H354" s="676">
        <f t="shared" si="186"/>
        <v>27.702500000000001</v>
      </c>
      <c r="I354" s="677">
        <f t="shared" si="166"/>
        <v>223.34320666645337</v>
      </c>
      <c r="J354" s="678">
        <f t="shared" si="167"/>
        <v>1.5663188978362912</v>
      </c>
      <c r="K354" s="678">
        <f t="shared" si="168"/>
        <v>1.0007329155015978</v>
      </c>
      <c r="L354" s="679">
        <f t="shared" si="169"/>
        <v>3.8274486117281965E-2</v>
      </c>
      <c r="M354" s="678">
        <f t="shared" si="170"/>
        <v>1.0106742214454629</v>
      </c>
      <c r="N354" s="679">
        <f t="shared" si="171"/>
        <v>-0.14546566038164957</v>
      </c>
      <c r="O354" s="677">
        <f t="shared" si="172"/>
        <v>1148795.6091038852</v>
      </c>
      <c r="P354" s="680">
        <f t="shared" si="173"/>
        <v>1.570795456318032</v>
      </c>
      <c r="Q354" s="689">
        <f t="shared" si="195"/>
        <v>45.962704036997074</v>
      </c>
      <c r="R354" s="690">
        <f t="shared" si="196"/>
        <v>1.549037839547323</v>
      </c>
      <c r="S354" s="677">
        <f t="shared" si="174"/>
        <v>1.0215808742796928</v>
      </c>
      <c r="T354" s="680">
        <f t="shared" si="175"/>
        <v>0.20591152509043231</v>
      </c>
      <c r="U354" s="681">
        <f t="shared" si="187"/>
        <v>0.91736795658082249</v>
      </c>
      <c r="V354" s="682">
        <f t="shared" si="188"/>
        <v>-0.5087869531861583</v>
      </c>
      <c r="W354" s="683">
        <f t="shared" si="176"/>
        <v>-30.190686756157767</v>
      </c>
      <c r="X354" s="684">
        <f t="shared" si="177"/>
        <v>-138.08089030467792</v>
      </c>
      <c r="Y354" s="687">
        <f t="shared" si="178"/>
        <v>41.919109695322078</v>
      </c>
      <c r="AA354" s="170">
        <f t="shared" si="179"/>
        <v>27702.5</v>
      </c>
      <c r="AB354" s="170">
        <f t="shared" si="180"/>
        <v>767428506.25</v>
      </c>
      <c r="AD354" s="686">
        <f t="shared" si="181"/>
        <v>16.963251106822465</v>
      </c>
      <c r="AE354" s="687">
        <f t="shared" si="182"/>
        <v>-13.044480968914097</v>
      </c>
      <c r="AG354" s="686">
        <f t="shared" si="183"/>
        <v>-7.3794034661035415</v>
      </c>
      <c r="AH354" s="687">
        <f t="shared" si="184"/>
        <v>-66.733719091369167</v>
      </c>
      <c r="AJ354" s="170">
        <f t="shared" si="185"/>
        <v>0</v>
      </c>
      <c r="AK354" s="170">
        <f t="shared" si="197"/>
        <v>0</v>
      </c>
      <c r="AM354" s="170" t="str">
        <f t="shared" si="189"/>
        <v>0.27396739398556+0.687660275865838i</v>
      </c>
      <c r="AN354" s="170" t="str">
        <f t="shared" si="190"/>
        <v>0.758261498094999i</v>
      </c>
      <c r="AO354" s="170" t="str">
        <f t="shared" si="191"/>
        <v>0.906890667129303-0.361309910464735i</v>
      </c>
      <c r="AP354" s="170" t="str">
        <f t="shared" si="192"/>
        <v>0.12100543433574-0.11461004597764i</v>
      </c>
      <c r="AQ354" s="170" t="str">
        <f t="shared" si="193"/>
        <v>0.87899456566426+0.11461004597764i</v>
      </c>
      <c r="AR354" s="170" t="str">
        <f t="shared" si="194"/>
        <v>0.931831647162526-0.121499349480062i</v>
      </c>
    </row>
    <row r="355" spans="7:44">
      <c r="G355" s="688">
        <v>27863</v>
      </c>
      <c r="H355" s="676">
        <f t="shared" si="186"/>
        <v>27.863</v>
      </c>
      <c r="I355" s="677">
        <f t="shared" si="166"/>
        <v>224.63716454443318</v>
      </c>
      <c r="J355" s="678">
        <f t="shared" si="167"/>
        <v>1.5663446889508994</v>
      </c>
      <c r="K355" s="678">
        <f t="shared" si="168"/>
        <v>1.000741429534675</v>
      </c>
      <c r="L355" s="679">
        <f t="shared" si="169"/>
        <v>3.8496018656258506E-2</v>
      </c>
      <c r="M355" s="678">
        <f t="shared" si="170"/>
        <v>1.0107976036602946</v>
      </c>
      <c r="N355" s="679">
        <f t="shared" si="171"/>
        <v>-0.14629650476834352</v>
      </c>
      <c r="O355" s="677">
        <f t="shared" si="172"/>
        <v>1155451.387292173</v>
      </c>
      <c r="P355" s="680">
        <f t="shared" si="173"/>
        <v>1.5707954613322637</v>
      </c>
      <c r="Q355" s="689">
        <f t="shared" si="195"/>
        <v>46.228872508758535</v>
      </c>
      <c r="R355" s="690">
        <f t="shared" si="196"/>
        <v>1.5491631363418026</v>
      </c>
      <c r="S355" s="677">
        <f t="shared" si="174"/>
        <v>1.0218289858437952</v>
      </c>
      <c r="T355" s="680">
        <f t="shared" si="175"/>
        <v>0.2070707969032905</v>
      </c>
      <c r="U355" s="681">
        <f t="shared" si="187"/>
        <v>0.9165216484010229</v>
      </c>
      <c r="V355" s="682">
        <f t="shared" si="188"/>
        <v>-0.51150300671787852</v>
      </c>
      <c r="W355" s="683">
        <f t="shared" si="176"/>
        <v>-30.249879463643499</v>
      </c>
      <c r="X355" s="684">
        <f t="shared" si="177"/>
        <v>-138.33214012053108</v>
      </c>
      <c r="Y355" s="687">
        <f t="shared" si="178"/>
        <v>41.667859879468921</v>
      </c>
      <c r="AA355" s="170">
        <f t="shared" si="179"/>
        <v>27863</v>
      </c>
      <c r="AB355" s="170">
        <f t="shared" si="180"/>
        <v>776346769</v>
      </c>
      <c r="AD355" s="686">
        <f t="shared" si="181"/>
        <v>16.961118203497417</v>
      </c>
      <c r="AE355" s="687">
        <f t="shared" si="182"/>
        <v>-13.10372366095117</v>
      </c>
      <c r="AG355" s="686">
        <f t="shared" si="183"/>
        <v>-7.4204297206952718</v>
      </c>
      <c r="AH355" s="687">
        <f t="shared" si="184"/>
        <v>-66.614489406231272</v>
      </c>
      <c r="AJ355" s="170">
        <f t="shared" si="185"/>
        <v>0</v>
      </c>
      <c r="AK355" s="170">
        <f t="shared" si="197"/>
        <v>0</v>
      </c>
      <c r="AM355" s="170" t="str">
        <f t="shared" si="189"/>
        <v>0.276995378458672+0.690843192938803i</v>
      </c>
      <c r="AN355" s="170" t="str">
        <f t="shared" si="190"/>
        <v>0.762654638441331i</v>
      </c>
      <c r="AO355" s="170" t="str">
        <f t="shared" si="191"/>
        <v>0.905840151120969-0.363198969096653i</v>
      </c>
      <c r="AP355" s="170" t="str">
        <f t="shared" si="192"/>
        <v>0.120500770256888-0.115140532156467i</v>
      </c>
      <c r="AQ355" s="170" t="str">
        <f t="shared" si="193"/>
        <v>0.879499229743112+0.115140532156467i</v>
      </c>
      <c r="AR355" s="170" t="str">
        <f t="shared" si="194"/>
        <v>0.931170545927637-0.12190513483207i</v>
      </c>
    </row>
    <row r="356" spans="7:44">
      <c r="G356" s="688">
        <v>28023.5</v>
      </c>
      <c r="H356" s="676">
        <f t="shared" si="186"/>
        <v>28.023499999999999</v>
      </c>
      <c r="I356" s="677">
        <f t="shared" si="166"/>
        <v>225.93112257012589</v>
      </c>
      <c r="J356" s="678">
        <f t="shared" si="167"/>
        <v>1.5663701846425711</v>
      </c>
      <c r="K356" s="678">
        <f t="shared" si="168"/>
        <v>1.0007499926799679</v>
      </c>
      <c r="L356" s="679">
        <f t="shared" si="169"/>
        <v>3.8717547414919506E-2</v>
      </c>
      <c r="M356" s="678">
        <f t="shared" si="170"/>
        <v>1.0109216834605308</v>
      </c>
      <c r="N356" s="679">
        <f t="shared" si="171"/>
        <v>-0.14712714577382924</v>
      </c>
      <c r="O356" s="677">
        <f t="shared" si="172"/>
        <v>1162107.1654804603</v>
      </c>
      <c r="P356" s="680">
        <f t="shared" si="173"/>
        <v>1.5707954662890589</v>
      </c>
      <c r="Q356" s="689">
        <f t="shared" si="195"/>
        <v>46.495041697970855</v>
      </c>
      <c r="R356" s="690">
        <f t="shared" si="196"/>
        <v>1.5492869985703495</v>
      </c>
      <c r="S356" s="677">
        <f t="shared" si="174"/>
        <v>1.0220784699874574</v>
      </c>
      <c r="T356" s="680">
        <f t="shared" si="175"/>
        <v>0.20822950432803822</v>
      </c>
      <c r="U356" s="681">
        <f t="shared" si="187"/>
        <v>0.91567265477834425</v>
      </c>
      <c r="V356" s="682">
        <f t="shared" si="188"/>
        <v>-0.51421557013378028</v>
      </c>
      <c r="W356" s="683">
        <f t="shared" si="176"/>
        <v>-30.308821311408192</v>
      </c>
      <c r="X356" s="684">
        <f t="shared" si="177"/>
        <v>-138.58321145892722</v>
      </c>
      <c r="Y356" s="687">
        <f t="shared" si="178"/>
        <v>41.416788541072776</v>
      </c>
      <c r="AA356" s="170">
        <f t="shared" si="179"/>
        <v>28023.5</v>
      </c>
      <c r="AB356" s="170">
        <f t="shared" si="180"/>
        <v>785316552.25</v>
      </c>
      <c r="AD356" s="686">
        <f t="shared" si="181"/>
        <v>16.958974552196846</v>
      </c>
      <c r="AE356" s="687">
        <f t="shared" si="182"/>
        <v>-13.16301620721406</v>
      </c>
      <c r="AG356" s="686">
        <f t="shared" si="183"/>
        <v>-7.4611286084234081</v>
      </c>
      <c r="AH356" s="687">
        <f t="shared" si="184"/>
        <v>-66.495431327223812</v>
      </c>
      <c r="AJ356" s="170">
        <f t="shared" si="185"/>
        <v>0</v>
      </c>
      <c r="AK356" s="170">
        <f t="shared" si="197"/>
        <v>0</v>
      </c>
      <c r="AM356" s="170" t="str">
        <f t="shared" si="189"/>
        <v>0.280037316668695+0.694012776979205i</v>
      </c>
      <c r="AN356" s="170" t="str">
        <f t="shared" si="190"/>
        <v>0.767047778787662i</v>
      </c>
      <c r="AO356" s="170" t="str">
        <f t="shared" si="191"/>
        <v>0.904784286157649-0.365084580664976i</v>
      </c>
      <c r="AP356" s="170" t="str">
        <f t="shared" si="192"/>
        <v>0.119993780555217-0.115668796163201i</v>
      </c>
      <c r="AQ356" s="170" t="str">
        <f t="shared" si="193"/>
        <v>0.880006219444783+0.115668796163201i</v>
      </c>
      <c r="AR356" s="170" t="str">
        <f t="shared" si="194"/>
        <v>0.930508103919554-0.122306808545495i</v>
      </c>
    </row>
    <row r="357" spans="7:44">
      <c r="G357" s="688">
        <v>28184</v>
      </c>
      <c r="H357" s="676">
        <f t="shared" si="186"/>
        <v>28.184000000000001</v>
      </c>
      <c r="I357" s="677">
        <f t="shared" si="166"/>
        <v>227.22508074100804</v>
      </c>
      <c r="J357" s="678">
        <f t="shared" si="167"/>
        <v>1.5663953899582279</v>
      </c>
      <c r="K357" s="678">
        <f t="shared" si="168"/>
        <v>1.0007586049362156</v>
      </c>
      <c r="L357" s="679">
        <f t="shared" si="169"/>
        <v>3.8939072371619254E-2</v>
      </c>
      <c r="M357" s="678">
        <f t="shared" si="170"/>
        <v>1.0110464605893399</v>
      </c>
      <c r="N357" s="679">
        <f t="shared" si="171"/>
        <v>-0.14795758232697237</v>
      </c>
      <c r="O357" s="677">
        <f t="shared" si="172"/>
        <v>1168762.943668748</v>
      </c>
      <c r="P357" s="680">
        <f t="shared" si="173"/>
        <v>1.570795471189399</v>
      </c>
      <c r="Q357" s="689">
        <f t="shared" si="195"/>
        <v>46.761211592382622</v>
      </c>
      <c r="R357" s="690">
        <f t="shared" si="196"/>
        <v>1.5494094507262461</v>
      </c>
      <c r="S357" s="677">
        <f t="shared" si="174"/>
        <v>1.0223293257058073</v>
      </c>
      <c r="T357" s="680">
        <f t="shared" si="175"/>
        <v>0.20938764466764251</v>
      </c>
      <c r="U357" s="681">
        <f t="shared" si="187"/>
        <v>0.91482100394174404</v>
      </c>
      <c r="V357" s="682">
        <f t="shared" si="188"/>
        <v>-0.51692463644095965</v>
      </c>
      <c r="W357" s="683">
        <f t="shared" si="176"/>
        <v>-30.367515404417702</v>
      </c>
      <c r="X357" s="684">
        <f t="shared" si="177"/>
        <v>-138.83410259040437</v>
      </c>
      <c r="Y357" s="687">
        <f t="shared" si="178"/>
        <v>41.16589740959563</v>
      </c>
      <c r="AA357" s="170">
        <f t="shared" si="179"/>
        <v>28184</v>
      </c>
      <c r="AB357" s="170">
        <f t="shared" si="180"/>
        <v>794337856</v>
      </c>
      <c r="AD357" s="686">
        <f t="shared" si="181"/>
        <v>16.956820160565723</v>
      </c>
      <c r="AE357" s="687">
        <f t="shared" si="182"/>
        <v>-13.222357049868695</v>
      </c>
      <c r="AG357" s="686">
        <f t="shared" si="183"/>
        <v>-7.5015036087106104</v>
      </c>
      <c r="AH357" s="687">
        <f t="shared" si="184"/>
        <v>-66.376545484046702</v>
      </c>
      <c r="AJ357" s="170">
        <f t="shared" si="185"/>
        <v>0</v>
      </c>
      <c r="AK357" s="170">
        <f t="shared" si="197"/>
        <v>0</v>
      </c>
      <c r="AM357" s="170" t="str">
        <f t="shared" si="189"/>
        <v>0.283093149907286+0.697168966815178i</v>
      </c>
      <c r="AN357" s="170" t="str">
        <f t="shared" si="190"/>
        <v>0.771440919133994i</v>
      </c>
      <c r="AO357" s="170" t="str">
        <f t="shared" si="191"/>
        <v>0.903723084326156-0.366966727957705i</v>
      </c>
      <c r="AP357" s="170" t="str">
        <f t="shared" si="192"/>
        <v>0.119484475015452-0.11619482780253i</v>
      </c>
      <c r="AQ357" s="170" t="str">
        <f t="shared" si="193"/>
        <v>0.880515524984548+0.11619482780253i</v>
      </c>
      <c r="AR357" s="170" t="str">
        <f t="shared" si="194"/>
        <v>0.929844350762637-0.122704371648548i</v>
      </c>
    </row>
    <row r="358" spans="7:44">
      <c r="G358" s="688">
        <v>28348</v>
      </c>
      <c r="H358" s="676">
        <f t="shared" si="186"/>
        <v>28.347999999999999</v>
      </c>
      <c r="I358" s="677">
        <f t="shared" si="166"/>
        <v>228.54725621567192</v>
      </c>
      <c r="J358" s="678">
        <f t="shared" si="167"/>
        <v>1.56642085011071</v>
      </c>
      <c r="K358" s="678">
        <f t="shared" si="168"/>
        <v>1.0007674557264201</v>
      </c>
      <c r="L358" s="679">
        <f t="shared" si="169"/>
        <v>3.9165424140867072E-2</v>
      </c>
      <c r="M358" s="678">
        <f t="shared" si="170"/>
        <v>1.0111746787503173</v>
      </c>
      <c r="N358" s="679">
        <f t="shared" si="171"/>
        <v>-0.14880591578705399</v>
      </c>
      <c r="O358" s="677">
        <f t="shared" si="172"/>
        <v>1175563.8634374654</v>
      </c>
      <c r="P358" s="680">
        <f t="shared" si="173"/>
        <v>1.5707954761392826</v>
      </c>
      <c r="Q358" s="689">
        <f t="shared" si="195"/>
        <v>47.033186530687367</v>
      </c>
      <c r="R358" s="690">
        <f t="shared" si="196"/>
        <v>1.5495331415509299</v>
      </c>
      <c r="S358" s="677">
        <f t="shared" si="174"/>
        <v>1.0225870675132054</v>
      </c>
      <c r="T358" s="680">
        <f t="shared" si="175"/>
        <v>0.21057045183754902</v>
      </c>
      <c r="U358" s="681">
        <f t="shared" si="187"/>
        <v>0.91394806582555366</v>
      </c>
      <c r="V358" s="682">
        <f t="shared" si="188"/>
        <v>-0.51968915951611594</v>
      </c>
      <c r="W358" s="683">
        <f t="shared" si="176"/>
        <v>-30.427236684825523</v>
      </c>
      <c r="X358" s="684">
        <f t="shared" si="177"/>
        <v>-139.0902769605743</v>
      </c>
      <c r="Y358" s="687">
        <f t="shared" si="178"/>
        <v>40.9097230394257</v>
      </c>
      <c r="AA358" s="170">
        <f t="shared" si="179"/>
        <v>28348</v>
      </c>
      <c r="AB358" s="170">
        <f t="shared" si="180"/>
        <v>803609104</v>
      </c>
      <c r="AD358" s="686">
        <f t="shared" si="181"/>
        <v>16.954607702525664</v>
      </c>
      <c r="AE358" s="687">
        <f t="shared" si="182"/>
        <v>-13.283040230140058</v>
      </c>
      <c r="AG358" s="686">
        <f t="shared" si="183"/>
        <v>-7.5424280632884555</v>
      </c>
      <c r="AH358" s="687">
        <f t="shared" si="184"/>
        <v>-66.255245664437282</v>
      </c>
      <c r="AJ358" s="170">
        <f t="shared" si="185"/>
        <v>0</v>
      </c>
      <c r="AK358" s="170">
        <f t="shared" si="197"/>
        <v>0</v>
      </c>
      <c r="AM358" s="170" t="str">
        <f t="shared" si="189"/>
        <v>0.286229912732529+0.700380084327207i</v>
      </c>
      <c r="AN358" s="170" t="str">
        <f t="shared" si="190"/>
        <v>0.775929860048625i</v>
      </c>
      <c r="AO358" s="170" t="str">
        <f t="shared" si="191"/>
        <v>0.902633240952109-0.368886322682042i</v>
      </c>
      <c r="AP358" s="170" t="str">
        <f t="shared" si="192"/>
        <v>0.118961681211245-0.116730014054534i</v>
      </c>
      <c r="AQ358" s="170" t="str">
        <f t="shared" si="193"/>
        <v>0.881038318788755+0.116730014054534i</v>
      </c>
      <c r="AR358" s="170" t="str">
        <f t="shared" si="194"/>
        <v>0.929164799592735-0.12310635962412i</v>
      </c>
    </row>
    <row r="359" spans="7:44">
      <c r="G359" s="688">
        <v>28512</v>
      </c>
      <c r="H359" s="676">
        <f t="shared" si="186"/>
        <v>28.512</v>
      </c>
      <c r="I359" s="677">
        <f t="shared" si="166"/>
        <v>229.86943183678028</v>
      </c>
      <c r="J359" s="678">
        <f t="shared" si="167"/>
        <v>1.5664460173770021</v>
      </c>
      <c r="K359" s="678">
        <f t="shared" si="168"/>
        <v>1.0007763577901603</v>
      </c>
      <c r="L359" s="679">
        <f t="shared" si="169"/>
        <v>3.9391771894842206E-2</v>
      </c>
      <c r="M359" s="678">
        <f t="shared" si="170"/>
        <v>1.0113036244382003</v>
      </c>
      <c r="N359" s="679">
        <f t="shared" si="171"/>
        <v>-0.14965403352482948</v>
      </c>
      <c r="O359" s="677">
        <f t="shared" si="172"/>
        <v>1182364.783206183</v>
      </c>
      <c r="P359" s="680">
        <f t="shared" si="173"/>
        <v>1.5707954810322231</v>
      </c>
      <c r="Q359" s="689">
        <f t="shared" si="195"/>
        <v>47.305162180298318</v>
      </c>
      <c r="R359" s="690">
        <f t="shared" si="196"/>
        <v>1.5496554100848097</v>
      </c>
      <c r="S359" s="677">
        <f t="shared" si="174"/>
        <v>1.02284623923129</v>
      </c>
      <c r="T359" s="680">
        <f t="shared" si="175"/>
        <v>0.2117526612545523</v>
      </c>
      <c r="U359" s="681">
        <f t="shared" si="187"/>
        <v>0.91307241274084638</v>
      </c>
      <c r="V359" s="682">
        <f t="shared" si="188"/>
        <v>-0.52245001703328642</v>
      </c>
      <c r="W359" s="683">
        <f t="shared" si="176"/>
        <v>-30.486705663220643</v>
      </c>
      <c r="X359" s="684">
        <f t="shared" si="177"/>
        <v>-139.34625963795895</v>
      </c>
      <c r="Y359" s="687">
        <f t="shared" si="178"/>
        <v>40.653740362041049</v>
      </c>
      <c r="AA359" s="170">
        <f t="shared" si="179"/>
        <v>28512</v>
      </c>
      <c r="AB359" s="170">
        <f t="shared" si="180"/>
        <v>812934144</v>
      </c>
      <c r="AD359" s="686">
        <f t="shared" si="181"/>
        <v>16.952384047797693</v>
      </c>
      <c r="AE359" s="687">
        <f t="shared" si="182"/>
        <v>-13.343770649690642</v>
      </c>
      <c r="AG359" s="686">
        <f t="shared" si="183"/>
        <v>-7.5830215174738989</v>
      </c>
      <c r="AH359" s="687">
        <f t="shared" si="184"/>
        <v>-66.134126954768149</v>
      </c>
      <c r="AJ359" s="170">
        <f t="shared" si="185"/>
        <v>0</v>
      </c>
      <c r="AK359" s="170">
        <f t="shared" si="197"/>
        <v>0</v>
      </c>
      <c r="AM359" s="170" t="str">
        <f t="shared" si="189"/>
        <v>0.289381058422384+0.703577088790638i</v>
      </c>
      <c r="AN359" s="170" t="str">
        <f t="shared" si="190"/>
        <v>0.780418800963257i</v>
      </c>
      <c r="AO359" s="170" t="str">
        <f t="shared" si="191"/>
        <v>0.901537851115613-0.370802264201229i</v>
      </c>
      <c r="AP359" s="170" t="str">
        <f t="shared" si="192"/>
        <v>0.118436490262936-0.117262848131773i</v>
      </c>
      <c r="AQ359" s="170" t="str">
        <f t="shared" si="193"/>
        <v>0.881563509737064+0.117262848131773i</v>
      </c>
      <c r="AR359" s="170" t="str">
        <f t="shared" si="194"/>
        <v>0.928483941635625-0.123504058684645i</v>
      </c>
    </row>
    <row r="360" spans="7:44">
      <c r="G360" s="688">
        <v>28676</v>
      </c>
      <c r="H360" s="676">
        <f t="shared" si="186"/>
        <v>28.675999999999998</v>
      </c>
      <c r="I360" s="677">
        <f t="shared" si="166"/>
        <v>231.19160760182061</v>
      </c>
      <c r="J360" s="678">
        <f t="shared" si="167"/>
        <v>1.5664708967820855</v>
      </c>
      <c r="K360" s="678">
        <f t="shared" si="168"/>
        <v>1.0007853111260681</v>
      </c>
      <c r="L360" s="679">
        <f t="shared" si="169"/>
        <v>3.9618115610459033E-2</v>
      </c>
      <c r="M360" s="678">
        <f t="shared" si="170"/>
        <v>1.0114332973747355</v>
      </c>
      <c r="N360" s="679">
        <f t="shared" si="171"/>
        <v>-0.15050193440293083</v>
      </c>
      <c r="O360" s="677">
        <f t="shared" si="172"/>
        <v>1189165.7029749006</v>
      </c>
      <c r="P360" s="680">
        <f t="shared" si="173"/>
        <v>1.5707954858691977</v>
      </c>
      <c r="Q360" s="689">
        <f t="shared" si="195"/>
        <v>47.577138529016885</v>
      </c>
      <c r="R360" s="690">
        <f t="shared" si="196"/>
        <v>1.549776280715921</v>
      </c>
      <c r="S360" s="677">
        <f t="shared" si="174"/>
        <v>1.0231068397733936</v>
      </c>
      <c r="T360" s="680">
        <f t="shared" si="175"/>
        <v>0.21293427006962151</v>
      </c>
      <c r="U360" s="681">
        <f t="shared" si="187"/>
        <v>0.91219407460758117</v>
      </c>
      <c r="V360" s="682">
        <f t="shared" si="188"/>
        <v>-0.52520720203455262</v>
      </c>
      <c r="W360" s="683">
        <f t="shared" si="176"/>
        <v>-30.545925474218354</v>
      </c>
      <c r="X360" s="684">
        <f t="shared" si="177"/>
        <v>-139.6020488874525</v>
      </c>
      <c r="Y360" s="687">
        <f t="shared" si="178"/>
        <v>40.397951112547503</v>
      </c>
      <c r="AA360" s="170">
        <f t="shared" si="179"/>
        <v>28676</v>
      </c>
      <c r="AB360" s="170">
        <f t="shared" si="180"/>
        <v>822312976</v>
      </c>
      <c r="AD360" s="686">
        <f t="shared" si="181"/>
        <v>16.950149205569598</v>
      </c>
      <c r="AE360" s="687">
        <f t="shared" si="182"/>
        <v>-13.404546748007471</v>
      </c>
      <c r="AG360" s="686">
        <f t="shared" si="183"/>
        <v>-7.623287505793904</v>
      </c>
      <c r="AH360" s="687">
        <f t="shared" si="184"/>
        <v>-66.013189977765208</v>
      </c>
      <c r="AJ360" s="170">
        <f t="shared" si="185"/>
        <v>0</v>
      </c>
      <c r="AK360" s="170">
        <f t="shared" si="197"/>
        <v>0</v>
      </c>
      <c r="AM360" s="170" t="str">
        <f t="shared" si="189"/>
        <v>0.292546523479512+0.706759915784048i</v>
      </c>
      <c r="AN360" s="170" t="str">
        <f t="shared" si="190"/>
        <v>0.784907741877888i</v>
      </c>
      <c r="AO360" s="170" t="str">
        <f t="shared" si="191"/>
        <v>0.900436927903308-0.372714534296217i</v>
      </c>
      <c r="AP360" s="170" t="str">
        <f t="shared" si="192"/>
        <v>0.117908912753415-0.117793319297341i</v>
      </c>
      <c r="AQ360" s="170" t="str">
        <f t="shared" si="193"/>
        <v>0.882091087246585+0.117793319297341i</v>
      </c>
      <c r="AR360" s="170" t="str">
        <f t="shared" si="194"/>
        <v>0.927801808120999-0.123897470690684i</v>
      </c>
    </row>
    <row r="361" spans="7:44">
      <c r="G361" s="688">
        <v>28840</v>
      </c>
      <c r="H361" s="676">
        <f t="shared" si="186"/>
        <v>28.84</v>
      </c>
      <c r="I361" s="677">
        <f t="shared" si="166"/>
        <v>232.5137835083375</v>
      </c>
      <c r="J361" s="678">
        <f t="shared" si="167"/>
        <v>1.5664954932366473</v>
      </c>
      <c r="K361" s="678">
        <f t="shared" si="168"/>
        <v>1.0007943157327672</v>
      </c>
      <c r="L361" s="679">
        <f t="shared" si="169"/>
        <v>3.9844455264634406E-2</v>
      </c>
      <c r="M361" s="678">
        <f t="shared" si="170"/>
        <v>1.011563697280244</v>
      </c>
      <c r="N361" s="679">
        <f t="shared" si="171"/>
        <v>-0.15134961728581892</v>
      </c>
      <c r="O361" s="677">
        <f t="shared" si="172"/>
        <v>1195966.6227436182</v>
      </c>
      <c r="P361" s="680">
        <f t="shared" si="173"/>
        <v>1.5707954906511608</v>
      </c>
      <c r="Q361" s="689">
        <f t="shared" si="195"/>
        <v>47.849115564921796</v>
      </c>
      <c r="R361" s="690">
        <f t="shared" si="196"/>
        <v>1.5498957772779733</v>
      </c>
      <c r="S361" s="677">
        <f t="shared" si="174"/>
        <v>1.0233688680479671</v>
      </c>
      <c r="T361" s="680">
        <f t="shared" si="175"/>
        <v>0.21411527544332828</v>
      </c>
      <c r="U361" s="681">
        <f t="shared" si="187"/>
        <v>0.91131308127564004</v>
      </c>
      <c r="V361" s="682">
        <f t="shared" si="188"/>
        <v>-0.52796070772993231</v>
      </c>
      <c r="W361" s="683">
        <f t="shared" si="176"/>
        <v>-30.604899195213658</v>
      </c>
      <c r="X361" s="684">
        <f t="shared" si="177"/>
        <v>-139.85764300943671</v>
      </c>
      <c r="Y361" s="687">
        <f t="shared" si="178"/>
        <v>40.142356990563286</v>
      </c>
      <c r="AA361" s="170">
        <f t="shared" si="179"/>
        <v>28840</v>
      </c>
      <c r="AB361" s="170">
        <f t="shared" si="180"/>
        <v>831745600</v>
      </c>
      <c r="AD361" s="686">
        <f t="shared" si="181"/>
        <v>16.947903185357561</v>
      </c>
      <c r="AE361" s="687">
        <f t="shared" si="182"/>
        <v>-13.46536699688701</v>
      </c>
      <c r="AG361" s="686">
        <f t="shared" si="183"/>
        <v>-7.6632295056298432</v>
      </c>
      <c r="AH361" s="687">
        <f t="shared" si="184"/>
        <v>-65.892435340088369</v>
      </c>
      <c r="AJ361" s="170">
        <f t="shared" si="185"/>
        <v>0</v>
      </c>
      <c r="AK361" s="170">
        <f t="shared" si="197"/>
        <v>0</v>
      </c>
      <c r="AM361" s="170" t="str">
        <f t="shared" si="189"/>
        <v>0.29572624411803+0.709928501171705i</v>
      </c>
      <c r="AN361" s="170" t="str">
        <f t="shared" si="190"/>
        <v>0.78939668279252i</v>
      </c>
      <c r="AO361" s="170" t="str">
        <f t="shared" si="191"/>
        <v>0.899330484466069-0.374623114796844i</v>
      </c>
      <c r="AP361" s="170" t="str">
        <f t="shared" si="192"/>
        <v>0.117378959313662-0.118321416861951i</v>
      </c>
      <c r="AQ361" s="170" t="str">
        <f t="shared" si="193"/>
        <v>0.882621040686338+0.118321416861951i</v>
      </c>
      <c r="AR361" s="170" t="str">
        <f t="shared" si="194"/>
        <v>0.927118430147953-0.124286597755058i</v>
      </c>
    </row>
    <row r="362" spans="7:44">
      <c r="G362" s="688">
        <v>29008</v>
      </c>
      <c r="H362" s="676">
        <f t="shared" si="186"/>
        <v>29.007999999999999</v>
      </c>
      <c r="I362" s="677">
        <f t="shared" si="166"/>
        <v>233.86820775188269</v>
      </c>
      <c r="J362" s="678">
        <f t="shared" si="167"/>
        <v>1.566520401234617</v>
      </c>
      <c r="K362" s="678">
        <f t="shared" si="168"/>
        <v>1.0008035931243751</v>
      </c>
      <c r="L362" s="679">
        <f t="shared" si="169"/>
        <v>4.0076311162814605E-2</v>
      </c>
      <c r="M362" s="678">
        <f t="shared" si="170"/>
        <v>1.0116980311590333</v>
      </c>
      <c r="N362" s="679">
        <f t="shared" si="171"/>
        <v>-0.15221774814042205</v>
      </c>
      <c r="O362" s="677">
        <f t="shared" si="172"/>
        <v>1202933.4186042557</v>
      </c>
      <c r="P362" s="680">
        <f t="shared" si="173"/>
        <v>1.570795495493692</v>
      </c>
      <c r="Q362" s="689">
        <f t="shared" si="195"/>
        <v>48.127726887421922</v>
      </c>
      <c r="R362" s="690">
        <f t="shared" si="196"/>
        <v>1.5500167879889832</v>
      </c>
      <c r="S362" s="677">
        <f t="shared" si="174"/>
        <v>1.0236387665011992</v>
      </c>
      <c r="T362" s="680">
        <f t="shared" si="175"/>
        <v>0.21532445717021576</v>
      </c>
      <c r="U362" s="681">
        <f t="shared" si="187"/>
        <v>0.91040787829830638</v>
      </c>
      <c r="V362" s="682">
        <f t="shared" si="188"/>
        <v>-0.53077755017001393</v>
      </c>
      <c r="W362" s="683">
        <f t="shared" si="176"/>
        <v>-30.665059291206759</v>
      </c>
      <c r="X362" s="684">
        <f t="shared" si="177"/>
        <v>-140.11926706993322</v>
      </c>
      <c r="Y362" s="687">
        <f t="shared" si="178"/>
        <v>39.880732930066785</v>
      </c>
      <c r="AA362" s="170">
        <f t="shared" si="179"/>
        <v>29008</v>
      </c>
      <c r="AB362" s="170">
        <f t="shared" si="180"/>
        <v>841464064</v>
      </c>
      <c r="AD362" s="686">
        <f t="shared" si="181"/>
        <v>16.945590804188562</v>
      </c>
      <c r="AE362" s="687">
        <f t="shared" si="182"/>
        <v>-13.527714881013111</v>
      </c>
      <c r="AG362" s="686">
        <f t="shared" si="183"/>
        <v>-7.7038133387009449</v>
      </c>
      <c r="AH362" s="687">
        <f t="shared" si="184"/>
        <v>-65.768925149349926</v>
      </c>
      <c r="AJ362" s="170">
        <f t="shared" si="185"/>
        <v>0</v>
      </c>
      <c r="AK362" s="170">
        <f t="shared" si="197"/>
        <v>0</v>
      </c>
      <c r="AM362" s="170" t="str">
        <f t="shared" si="189"/>
        <v>0.298998233307426+0.713159535513541i</v>
      </c>
      <c r="AN362" s="170" t="str">
        <f t="shared" si="190"/>
        <v>0.793995110070923i</v>
      </c>
      <c r="AO362" s="170" t="str">
        <f t="shared" si="191"/>
        <v>0.898191344591327-0.376574401422596i</v>
      </c>
      <c r="AP362" s="170" t="str">
        <f t="shared" si="192"/>
        <v>0.116833627782096-0.11885992258559i</v>
      </c>
      <c r="AQ362" s="170" t="str">
        <f t="shared" si="193"/>
        <v>0.883166372217904+0.11885992258559i</v>
      </c>
      <c r="AR362" s="170" t="str">
        <f t="shared" si="194"/>
        <v>0.926417126430727-0.124680775212252i</v>
      </c>
    </row>
    <row r="363" spans="7:44">
      <c r="G363" s="688">
        <v>29176</v>
      </c>
      <c r="H363" s="676">
        <f t="shared" si="186"/>
        <v>29.175999999999998</v>
      </c>
      <c r="I363" s="677">
        <f t="shared" si="166"/>
        <v>235.22263213885074</v>
      </c>
      <c r="J363" s="678">
        <f t="shared" si="167"/>
        <v>1.5665450223894561</v>
      </c>
      <c r="K363" s="678">
        <f t="shared" si="168"/>
        <v>1.0008129243153405</v>
      </c>
      <c r="L363" s="679">
        <f t="shared" si="169"/>
        <v>4.0308162749989614E-2</v>
      </c>
      <c r="M363" s="678">
        <f t="shared" si="170"/>
        <v>1.0118331273024486</v>
      </c>
      <c r="N363" s="679">
        <f t="shared" si="171"/>
        <v>-0.15308564782985784</v>
      </c>
      <c r="O363" s="677">
        <f t="shared" si="172"/>
        <v>1209900.2144648933</v>
      </c>
      <c r="P363" s="680">
        <f t="shared" si="173"/>
        <v>1.5707955002804552</v>
      </c>
      <c r="Q363" s="689">
        <f t="shared" si="195"/>
        <v>48.40633890657206</v>
      </c>
      <c r="R363" s="690">
        <f t="shared" si="196"/>
        <v>1.5501364057007576</v>
      </c>
      <c r="S363" s="677">
        <f t="shared" si="174"/>
        <v>1.0239101608472887</v>
      </c>
      <c r="T363" s="680">
        <f t="shared" si="175"/>
        <v>0.21653299965969197</v>
      </c>
      <c r="U363" s="681">
        <f t="shared" si="187"/>
        <v>0.90949995219855428</v>
      </c>
      <c r="V363" s="682">
        <f t="shared" si="188"/>
        <v>-0.53359051775000643</v>
      </c>
      <c r="W363" s="683">
        <f t="shared" si="176"/>
        <v>-30.724967505439533</v>
      </c>
      <c r="X363" s="684">
        <f t="shared" si="177"/>
        <v>-140.38068286878936</v>
      </c>
      <c r="Y363" s="687">
        <f t="shared" si="178"/>
        <v>39.619317131210636</v>
      </c>
      <c r="AA363" s="170">
        <f t="shared" si="179"/>
        <v>29176</v>
      </c>
      <c r="AB363" s="170">
        <f t="shared" si="180"/>
        <v>851238976</v>
      </c>
      <c r="AD363" s="686">
        <f t="shared" si="181"/>
        <v>16.943266714351726</v>
      </c>
      <c r="AE363" s="687">
        <f t="shared" si="182"/>
        <v>-13.590105949315262</v>
      </c>
      <c r="AG363" s="686">
        <f t="shared" si="183"/>
        <v>-7.744064395072078</v>
      </c>
      <c r="AH363" s="687">
        <f t="shared" si="184"/>
        <v>-65.645607539054183</v>
      </c>
      <c r="AJ363" s="170">
        <f t="shared" si="185"/>
        <v>0</v>
      </c>
      <c r="AK363" s="170">
        <f t="shared" si="197"/>
        <v>0</v>
      </c>
      <c r="AM363" s="170" t="str">
        <f t="shared" si="189"/>
        <v>0.302285045526998+0.716375489743149i</v>
      </c>
      <c r="AN363" s="170" t="str">
        <f t="shared" si="190"/>
        <v>0.798593537349326i</v>
      </c>
      <c r="AO363" s="170" t="str">
        <f t="shared" si="191"/>
        <v>0.897046440071287-0.378521777837491i</v>
      </c>
      <c r="AP363" s="170" t="str">
        <f t="shared" si="192"/>
        <v>0.1162858257455-0.119395914957191i</v>
      </c>
      <c r="AQ363" s="170" t="str">
        <f t="shared" si="193"/>
        <v>0.8837141742545+0.119395914957191i</v>
      </c>
      <c r="AR363" s="170" t="str">
        <f t="shared" si="194"/>
        <v>0.925714582445916-0.125070461445958i</v>
      </c>
    </row>
    <row r="364" spans="7:44">
      <c r="G364" s="688">
        <v>29344</v>
      </c>
      <c r="H364" s="676">
        <f t="shared" si="186"/>
        <v>29.344000000000001</v>
      </c>
      <c r="I364" s="677">
        <f t="shared" si="166"/>
        <v>236.57705666677836</v>
      </c>
      <c r="J364" s="678">
        <f t="shared" si="167"/>
        <v>1.5665693616277412</v>
      </c>
      <c r="K364" s="678">
        <f t="shared" si="168"/>
        <v>1.0008223093041584</v>
      </c>
      <c r="L364" s="679">
        <f t="shared" si="169"/>
        <v>4.0540010001353932E-2</v>
      </c>
      <c r="M364" s="678">
        <f t="shared" si="170"/>
        <v>1.0119689854052063</v>
      </c>
      <c r="N364" s="679">
        <f t="shared" si="171"/>
        <v>-0.15395331513947913</v>
      </c>
      <c r="O364" s="677">
        <f t="shared" si="172"/>
        <v>1216867.010325531</v>
      </c>
      <c r="P364" s="680">
        <f t="shared" si="173"/>
        <v>1.5707955050124081</v>
      </c>
      <c r="Q364" s="689">
        <f t="shared" si="195"/>
        <v>48.68495161041195</v>
      </c>
      <c r="R364" s="690">
        <f t="shared" si="196"/>
        <v>1.55025465432528</v>
      </c>
      <c r="S364" s="677">
        <f t="shared" si="174"/>
        <v>1.0241830498970628</v>
      </c>
      <c r="T364" s="680">
        <f t="shared" si="175"/>
        <v>0.21774089989099929</v>
      </c>
      <c r="U364" s="681">
        <f t="shared" si="187"/>
        <v>0.90858933482269566</v>
      </c>
      <c r="V364" s="682">
        <f t="shared" si="188"/>
        <v>-0.53639960371436513</v>
      </c>
      <c r="W364" s="683">
        <f t="shared" si="176"/>
        <v>-30.784626967743129</v>
      </c>
      <c r="X364" s="684">
        <f t="shared" si="177"/>
        <v>-140.64188868996257</v>
      </c>
      <c r="Y364" s="687">
        <f t="shared" si="178"/>
        <v>39.35811131003743</v>
      </c>
      <c r="AA364" s="170">
        <f t="shared" si="179"/>
        <v>29344</v>
      </c>
      <c r="AB364" s="170">
        <f t="shared" si="180"/>
        <v>861070336</v>
      </c>
      <c r="AD364" s="686">
        <f t="shared" si="181"/>
        <v>16.940930927090303</v>
      </c>
      <c r="AE364" s="687">
        <f t="shared" si="182"/>
        <v>-13.652538658715962</v>
      </c>
      <c r="AG364" s="686">
        <f t="shared" si="183"/>
        <v>-7.7839862345782596</v>
      </c>
      <c r="AH364" s="687">
        <f t="shared" si="184"/>
        <v>-65.522483110364476</v>
      </c>
      <c r="AJ364" s="170">
        <f t="shared" si="185"/>
        <v>0</v>
      </c>
      <c r="AK364" s="170">
        <f t="shared" si="197"/>
        <v>0</v>
      </c>
      <c r="AM364" s="170" t="str">
        <f t="shared" si="189"/>
        <v>0.305586611275469+0.719576295857579i</v>
      </c>
      <c r="AN364" s="170" t="str">
        <f t="shared" si="190"/>
        <v>0.803191964627729i</v>
      </c>
      <c r="AO364" s="170" t="str">
        <f t="shared" si="191"/>
        <v>0.895895785251157-0.380465224670301i</v>
      </c>
      <c r="AP364" s="170" t="str">
        <f t="shared" si="192"/>
        <v>0.115735564787422-0.11992938264293i</v>
      </c>
      <c r="AQ364" s="170" t="str">
        <f t="shared" si="193"/>
        <v>0.884264435212578+0.11992938264293i</v>
      </c>
      <c r="AR364" s="170" t="str">
        <f t="shared" si="194"/>
        <v>0.925010831184674-0.125455659533941i</v>
      </c>
    </row>
    <row r="365" spans="7:44">
      <c r="G365" s="688">
        <v>29512</v>
      </c>
      <c r="H365" s="676">
        <f t="shared" si="186"/>
        <v>29.512</v>
      </c>
      <c r="I365" s="677">
        <f t="shared" si="166"/>
        <v>237.93148133325826</v>
      </c>
      <c r="J365" s="678">
        <f t="shared" si="167"/>
        <v>1.5665934237638721</v>
      </c>
      <c r="K365" s="678">
        <f t="shared" si="168"/>
        <v>1.0008317480893152</v>
      </c>
      <c r="L365" s="679">
        <f t="shared" si="169"/>
        <v>4.0771852892104846E-2</v>
      </c>
      <c r="M365" s="678">
        <f t="shared" si="170"/>
        <v>1.0121056051604664</v>
      </c>
      <c r="N365" s="679">
        <f t="shared" si="171"/>
        <v>-0.15482074885668862</v>
      </c>
      <c r="O365" s="677">
        <f t="shared" si="172"/>
        <v>1223833.8061861687</v>
      </c>
      <c r="P365" s="680">
        <f t="shared" si="173"/>
        <v>1.5707955096904866</v>
      </c>
      <c r="Q365" s="689">
        <f t="shared" si="195"/>
        <v>48.963564987253527</v>
      </c>
      <c r="R365" s="690">
        <f t="shared" si="196"/>
        <v>1.5503715572304309</v>
      </c>
      <c r="S365" s="677">
        <f t="shared" si="174"/>
        <v>1.0244574324560702</v>
      </c>
      <c r="T365" s="680">
        <f t="shared" si="175"/>
        <v>0.21894815485408647</v>
      </c>
      <c r="U365" s="681">
        <f t="shared" si="187"/>
        <v>0.90767605793142836</v>
      </c>
      <c r="V365" s="682">
        <f t="shared" si="188"/>
        <v>-0.53920480148924388</v>
      </c>
      <c r="W365" s="683">
        <f t="shared" si="176"/>
        <v>-30.84404075055361</v>
      </c>
      <c r="X365" s="684">
        <f t="shared" si="177"/>
        <v>-140.90288285329785</v>
      </c>
      <c r="Y365" s="687">
        <f t="shared" si="178"/>
        <v>39.097117146702146</v>
      </c>
      <c r="AA365" s="170">
        <f t="shared" si="179"/>
        <v>29512</v>
      </c>
      <c r="AB365" s="170">
        <f t="shared" si="180"/>
        <v>870958144</v>
      </c>
      <c r="AD365" s="686">
        <f t="shared" si="181"/>
        <v>16.938583453970907</v>
      </c>
      <c r="AE365" s="687">
        <f t="shared" si="182"/>
        <v>-13.715011497924667</v>
      </c>
      <c r="AG365" s="686">
        <f t="shared" si="183"/>
        <v>-7.8235823595997473</v>
      </c>
      <c r="AH365" s="687">
        <f t="shared" si="184"/>
        <v>-65.39955244772365</v>
      </c>
      <c r="AJ365" s="170">
        <f t="shared" si="185"/>
        <v>0</v>
      </c>
      <c r="AK365" s="170">
        <f t="shared" si="197"/>
        <v>0</v>
      </c>
      <c r="AM365" s="170" t="str">
        <f t="shared" si="189"/>
        <v>0.308902860739595+0.722761886174198i</v>
      </c>
      <c r="AN365" s="170" t="str">
        <f t="shared" si="190"/>
        <v>0.807790391906132i</v>
      </c>
      <c r="AO365" s="170" t="str">
        <f t="shared" si="191"/>
        <v>0.894739394546036-0.382404722604686i</v>
      </c>
      <c r="AP365" s="170" t="str">
        <f t="shared" si="192"/>
        <v>0.115182856543401-0.120460314362366i</v>
      </c>
      <c r="AQ365" s="170" t="str">
        <f t="shared" si="193"/>
        <v>0.884817143456599+0.120460314362366i</v>
      </c>
      <c r="AR365" s="170" t="str">
        <f t="shared" si="194"/>
        <v>0.924305905485616-0.12583637282029i</v>
      </c>
    </row>
    <row r="366" spans="7:44">
      <c r="G366" s="688">
        <v>29684</v>
      </c>
      <c r="H366" s="676">
        <f t="shared" si="186"/>
        <v>29.684000000000001</v>
      </c>
      <c r="I366" s="677">
        <f t="shared" si="166"/>
        <v>239.31815434716637</v>
      </c>
      <c r="J366" s="678">
        <f t="shared" si="167"/>
        <v>1.5666177766436107</v>
      </c>
      <c r="K366" s="678">
        <f t="shared" si="168"/>
        <v>1.000841467338748</v>
      </c>
      <c r="L366" s="679">
        <f t="shared" si="169"/>
        <v>4.1009211308201038E-2</v>
      </c>
      <c r="M366" s="678">
        <f t="shared" si="170"/>
        <v>1.0122462665152658</v>
      </c>
      <c r="N366" s="679">
        <f t="shared" si="171"/>
        <v>-0.15570859249237681</v>
      </c>
      <c r="O366" s="677">
        <f t="shared" si="172"/>
        <v>1230966.4781387264</v>
      </c>
      <c r="P366" s="680">
        <f t="shared" si="173"/>
        <v>1.5707955144250898</v>
      </c>
      <c r="Q366" s="689">
        <f t="shared" si="195"/>
        <v>49.248812701225752</v>
      </c>
      <c r="R366" s="690">
        <f t="shared" si="196"/>
        <v>1.550489873221768</v>
      </c>
      <c r="S366" s="677">
        <f t="shared" si="174"/>
        <v>1.0247398939525385</v>
      </c>
      <c r="T366" s="680">
        <f t="shared" si="175"/>
        <v>0.22018348235467347</v>
      </c>
      <c r="U366" s="681">
        <f t="shared" si="187"/>
        <v>0.90673831417339545</v>
      </c>
      <c r="V366" s="682">
        <f t="shared" si="188"/>
        <v>-0.5420727548572879</v>
      </c>
      <c r="W366" s="683">
        <f t="shared" si="176"/>
        <v>-30.904617773247232</v>
      </c>
      <c r="X366" s="684">
        <f t="shared" si="177"/>
        <v>-141.16987016879875</v>
      </c>
      <c r="Y366" s="687">
        <f t="shared" si="178"/>
        <v>38.830129831201248</v>
      </c>
      <c r="AA366" s="170">
        <f t="shared" si="179"/>
        <v>29684</v>
      </c>
      <c r="AB366" s="170">
        <f t="shared" si="180"/>
        <v>881139856</v>
      </c>
      <c r="AD366" s="686">
        <f t="shared" si="181"/>
        <v>16.936167994520517</v>
      </c>
      <c r="AE366" s="687">
        <f t="shared" si="182"/>
        <v>-13.779011814418128</v>
      </c>
      <c r="AG366" s="686">
        <f t="shared" si="183"/>
        <v>-7.8637874082969983</v>
      </c>
      <c r="AH366" s="687">
        <f t="shared" si="184"/>
        <v>-65.273896198697088</v>
      </c>
      <c r="AJ366" s="170">
        <f t="shared" si="185"/>
        <v>0</v>
      </c>
      <c r="AK366" s="170">
        <f t="shared" si="197"/>
        <v>0</v>
      </c>
      <c r="AM366" s="170" t="str">
        <f t="shared" si="189"/>
        <v>0.312313207593887+0.726007490009704i</v>
      </c>
      <c r="AN366" s="170" t="str">
        <f t="shared" si="190"/>
        <v>0.812498305548306i</v>
      </c>
      <c r="AO366" s="170" t="str">
        <f t="shared" si="191"/>
        <v>0.893549543490759-0.384386287898934i</v>
      </c>
      <c r="AP366" s="170" t="str">
        <f t="shared" si="192"/>
        <v>0.114614465401019-0.121001248334951i</v>
      </c>
      <c r="AQ366" s="170" t="str">
        <f t="shared" si="193"/>
        <v>0.885385534598981+0.121001248334951i</v>
      </c>
      <c r="AR366" s="170" t="str">
        <f t="shared" si="194"/>
        <v>0.923583013254739-0.126221508233017i</v>
      </c>
    </row>
    <row r="367" spans="7:44">
      <c r="G367" s="688">
        <v>29856</v>
      </c>
      <c r="H367" s="676">
        <f t="shared" si="186"/>
        <v>29.856000000000002</v>
      </c>
      <c r="I367" s="677">
        <f t="shared" si="166"/>
        <v>240.70482750136989</v>
      </c>
      <c r="J367" s="678">
        <f t="shared" si="167"/>
        <v>1.5666418489350187</v>
      </c>
      <c r="K367" s="678">
        <f t="shared" si="168"/>
        <v>1.0008512429735088</v>
      </c>
      <c r="L367" s="679">
        <f t="shared" si="169"/>
        <v>4.1246565100957887E-2</v>
      </c>
      <c r="M367" s="678">
        <f t="shared" si="170"/>
        <v>1.012387725567613</v>
      </c>
      <c r="N367" s="679">
        <f t="shared" si="171"/>
        <v>-0.1565961887140877</v>
      </c>
      <c r="O367" s="677">
        <f t="shared" si="172"/>
        <v>1238099.1500912837</v>
      </c>
      <c r="P367" s="680">
        <f t="shared" si="173"/>
        <v>1.570795519105141</v>
      </c>
      <c r="Q367" s="689">
        <f t="shared" si="195"/>
        <v>49.534061096675842</v>
      </c>
      <c r="R367" s="690">
        <f t="shared" si="196"/>
        <v>1.5506068265383806</v>
      </c>
      <c r="S367" s="677">
        <f t="shared" si="174"/>
        <v>1.0250239183737162</v>
      </c>
      <c r="T367" s="680">
        <f t="shared" si="175"/>
        <v>0.22141812714339795</v>
      </c>
      <c r="U367" s="681">
        <f t="shared" si="187"/>
        <v>0.90579784983980516</v>
      </c>
      <c r="V367" s="682">
        <f t="shared" si="188"/>
        <v>-0.54493661931435944</v>
      </c>
      <c r="W367" s="683">
        <f t="shared" si="176"/>
        <v>-30.964943617138374</v>
      </c>
      <c r="X367" s="684">
        <f t="shared" si="177"/>
        <v>-141.43663217542857</v>
      </c>
      <c r="Y367" s="687">
        <f t="shared" si="178"/>
        <v>38.563367824571429</v>
      </c>
      <c r="AA367" s="170">
        <f t="shared" si="179"/>
        <v>29856</v>
      </c>
      <c r="AB367" s="170">
        <f t="shared" si="180"/>
        <v>891380736</v>
      </c>
      <c r="AD367" s="686">
        <f t="shared" si="181"/>
        <v>16.93374031165559</v>
      </c>
      <c r="AE367" s="687">
        <f t="shared" si="182"/>
        <v>-13.843051086788259</v>
      </c>
      <c r="AG367" s="686">
        <f t="shared" si="183"/>
        <v>-7.9036582983526014</v>
      </c>
      <c r="AH367" s="687">
        <f t="shared" si="184"/>
        <v>-65.148444239606306</v>
      </c>
      <c r="AJ367" s="170">
        <f t="shared" si="185"/>
        <v>0</v>
      </c>
      <c r="AK367" s="170">
        <f t="shared" si="197"/>
        <v>0</v>
      </c>
      <c r="AM367" s="170" t="str">
        <f t="shared" si="189"/>
        <v>0.315738796620144+0.729237002317595i</v>
      </c>
      <c r="AN367" s="170" t="str">
        <f t="shared" si="190"/>
        <v>0.817206219190481i</v>
      </c>
      <c r="AO367" s="170" t="str">
        <f t="shared" si="191"/>
        <v>0.892353710964134-0.386363673214471i</v>
      </c>
      <c r="AP367" s="170" t="str">
        <f t="shared" si="192"/>
        <v>0.114043533896643-0.121539500386266i</v>
      </c>
      <c r="AQ367" s="170" t="str">
        <f t="shared" si="193"/>
        <v>0.885956466103357+0.121539500386266i</v>
      </c>
      <c r="AR367" s="170" t="str">
        <f t="shared" si="194"/>
        <v>0.922858959157357-0.12660195067631i</v>
      </c>
    </row>
    <row r="368" spans="7:44">
      <c r="G368" s="688">
        <v>30028</v>
      </c>
      <c r="H368" s="676">
        <f t="shared" si="186"/>
        <v>30.027999999999999</v>
      </c>
      <c r="I368" s="677">
        <f t="shared" si="166"/>
        <v>242.09150079345801</v>
      </c>
      <c r="J368" s="678">
        <f t="shared" si="167"/>
        <v>1.5666656454596046</v>
      </c>
      <c r="K368" s="678">
        <f t="shared" si="168"/>
        <v>1.0008610749919455</v>
      </c>
      <c r="L368" s="679">
        <f t="shared" si="169"/>
        <v>4.1483914243767746E-2</v>
      </c>
      <c r="M368" s="678">
        <f t="shared" si="170"/>
        <v>1.0125299819831728</v>
      </c>
      <c r="N368" s="679">
        <f t="shared" si="171"/>
        <v>-0.15748353622726852</v>
      </c>
      <c r="O368" s="677">
        <f t="shared" si="172"/>
        <v>1245231.8220438415</v>
      </c>
      <c r="P368" s="680">
        <f t="shared" si="173"/>
        <v>1.5707955237315776</v>
      </c>
      <c r="Q368" s="689">
        <f t="shared" si="195"/>
        <v>49.81931016189808</v>
      </c>
      <c r="R368" s="690">
        <f t="shared" si="196"/>
        <v>1.5507224405837303</v>
      </c>
      <c r="S368" s="677">
        <f t="shared" si="174"/>
        <v>1.0253095044207505</v>
      </c>
      <c r="T368" s="680">
        <f t="shared" si="175"/>
        <v>0.22265208602513517</v>
      </c>
      <c r="U368" s="681">
        <f t="shared" si="187"/>
        <v>0.90485469872214053</v>
      </c>
      <c r="V368" s="682">
        <f t="shared" si="188"/>
        <v>-0.54779638839209677</v>
      </c>
      <c r="W368" s="683">
        <f t="shared" si="176"/>
        <v>-31.025021400945509</v>
      </c>
      <c r="X368" s="684">
        <f t="shared" si="177"/>
        <v>-141.70316718224851</v>
      </c>
      <c r="Y368" s="687">
        <f t="shared" si="178"/>
        <v>38.296832817751493</v>
      </c>
      <c r="AA368" s="170">
        <f t="shared" si="179"/>
        <v>30028</v>
      </c>
      <c r="AB368" s="170">
        <f t="shared" si="180"/>
        <v>901680784</v>
      </c>
      <c r="AD368" s="686">
        <f t="shared" si="181"/>
        <v>16.931300418785739</v>
      </c>
      <c r="AE368" s="687">
        <f t="shared" si="182"/>
        <v>-13.907127791102013</v>
      </c>
      <c r="AG368" s="686">
        <f t="shared" si="183"/>
        <v>-7.9431986094588574</v>
      </c>
      <c r="AH368" s="687">
        <f t="shared" si="184"/>
        <v>-65.023197144665303</v>
      </c>
      <c r="AJ368" s="170">
        <f t="shared" si="185"/>
        <v>0</v>
      </c>
      <c r="AK368" s="170">
        <f t="shared" si="197"/>
        <v>0</v>
      </c>
      <c r="AM368" s="170" t="str">
        <f t="shared" si="189"/>
        <v>0.319179551892208+0.732450351517634i</v>
      </c>
      <c r="AN368" s="170" t="str">
        <f t="shared" si="190"/>
        <v>0.821914132832655i</v>
      </c>
      <c r="AO368" s="170" t="str">
        <f t="shared" si="191"/>
        <v>0.891151912661859-0.388336858002652i</v>
      </c>
      <c r="AP368" s="170" t="str">
        <f t="shared" si="192"/>
        <v>0.113470074684632-0.122075058586272i</v>
      </c>
      <c r="AQ368" s="170" t="str">
        <f t="shared" si="193"/>
        <v>0.886529925315368+0.122075058586272i</v>
      </c>
      <c r="AR368" s="170" t="str">
        <f t="shared" si="194"/>
        <v>0.922133777923578-0.126977704587193i</v>
      </c>
    </row>
    <row r="369" spans="7:44">
      <c r="G369" s="688">
        <v>30200</v>
      </c>
      <c r="H369" s="676">
        <f t="shared" si="186"/>
        <v>30.2</v>
      </c>
      <c r="I369" s="677">
        <f t="shared" si="166"/>
        <v>243.47817422107485</v>
      </c>
      <c r="J369" s="678">
        <f t="shared" si="167"/>
        <v>1.5666891709290389</v>
      </c>
      <c r="K369" s="678">
        <f t="shared" si="168"/>
        <v>1.0008709633923967</v>
      </c>
      <c r="L369" s="679">
        <f t="shared" si="169"/>
        <v>4.1721258710026105E-2</v>
      </c>
      <c r="M369" s="678">
        <f t="shared" si="170"/>
        <v>1.0126730354259132</v>
      </c>
      <c r="N369" s="679">
        <f t="shared" si="171"/>
        <v>-0.15837063373965854</v>
      </c>
      <c r="O369" s="677">
        <f t="shared" si="172"/>
        <v>1252364.4939963995</v>
      </c>
      <c r="P369" s="680">
        <f t="shared" si="173"/>
        <v>1.5707955283053157</v>
      </c>
      <c r="Q369" s="689">
        <f t="shared" si="195"/>
        <v>50.104559885453256</v>
      </c>
      <c r="R369" s="690">
        <f t="shared" si="196"/>
        <v>1.5508367382284713</v>
      </c>
      <c r="S369" s="677">
        <f t="shared" si="174"/>
        <v>1.0255966507890972</v>
      </c>
      <c r="T369" s="680">
        <f t="shared" si="175"/>
        <v>0.22388535581666452</v>
      </c>
      <c r="U369" s="681">
        <f t="shared" si="187"/>
        <v>0.90390889450891188</v>
      </c>
      <c r="V369" s="682">
        <f t="shared" si="188"/>
        <v>-0.55065205581793153</v>
      </c>
      <c r="W369" s="683">
        <f t="shared" si="176"/>
        <v>-31.0848541859609</v>
      </c>
      <c r="X369" s="684">
        <f t="shared" si="177"/>
        <v>-141.96947353458447</v>
      </c>
      <c r="Y369" s="687">
        <f t="shared" si="178"/>
        <v>38.030526465415534</v>
      </c>
      <c r="AA369" s="170">
        <f t="shared" si="179"/>
        <v>30200</v>
      </c>
      <c r="AB369" s="170">
        <f t="shared" si="180"/>
        <v>912040000</v>
      </c>
      <c r="AD369" s="686">
        <f t="shared" si="181"/>
        <v>16.928848329638868</v>
      </c>
      <c r="AE369" s="687">
        <f t="shared" si="182"/>
        <v>-13.971240434634826</v>
      </c>
      <c r="AG369" s="686">
        <f t="shared" si="183"/>
        <v>-7.9824118636676511</v>
      </c>
      <c r="AH369" s="687">
        <f t="shared" si="184"/>
        <v>-64.898155470707877</v>
      </c>
      <c r="AJ369" s="170">
        <f t="shared" si="185"/>
        <v>0</v>
      </c>
      <c r="AK369" s="170">
        <f t="shared" si="197"/>
        <v>0</v>
      </c>
      <c r="AM369" s="170" t="str">
        <f t="shared" si="189"/>
        <v>0.322635397147769+0.735647466387834i</v>
      </c>
      <c r="AN369" s="170" t="str">
        <f t="shared" si="190"/>
        <v>0.82662204647483i</v>
      </c>
      <c r="AO369" s="170" t="str">
        <f t="shared" si="191"/>
        <v>0.889944164355449-0.390305821776304i</v>
      </c>
      <c r="AP369" s="170" t="str">
        <f t="shared" si="192"/>
        <v>0.112894100475372-0.122607911064639i</v>
      </c>
      <c r="AQ369" s="170" t="str">
        <f t="shared" si="193"/>
        <v>0.887105899524628+0.122607911064639i</v>
      </c>
      <c r="AR369" s="170" t="str">
        <f t="shared" si="194"/>
        <v>0.921407504106986-0.127348774682232i</v>
      </c>
    </row>
    <row r="370" spans="7:44">
      <c r="G370" s="688">
        <v>30375.75</v>
      </c>
      <c r="H370" s="676">
        <f t="shared" si="186"/>
        <v>30.37575</v>
      </c>
      <c r="I370" s="677">
        <f t="shared" si="166"/>
        <v>244.89508049183351</v>
      </c>
      <c r="J370" s="678">
        <f t="shared" si="167"/>
        <v>1.5667129341150068</v>
      </c>
      <c r="K370" s="678">
        <f t="shared" si="168"/>
        <v>1.0008811256205383</v>
      </c>
      <c r="L370" s="679">
        <f t="shared" si="169"/>
        <v>4.1963772979332931E-2</v>
      </c>
      <c r="M370" s="678">
        <f t="shared" si="170"/>
        <v>1.0128200306971742</v>
      </c>
      <c r="N370" s="679">
        <f t="shared" si="171"/>
        <v>-0.15927681246260761</v>
      </c>
      <c r="O370" s="677">
        <f t="shared" si="172"/>
        <v>1259652.6747851321</v>
      </c>
      <c r="P370" s="680">
        <f t="shared" si="173"/>
        <v>1.570795532925269</v>
      </c>
      <c r="Q370" s="689">
        <f t="shared" si="195"/>
        <v>50.396029384741617</v>
      </c>
      <c r="R370" s="690">
        <f t="shared" si="196"/>
        <v>1.5509521913174897</v>
      </c>
      <c r="S370" s="677">
        <f t="shared" si="174"/>
        <v>1.0258916679729275</v>
      </c>
      <c r="T370" s="680">
        <f t="shared" si="175"/>
        <v>0.22514479866859474</v>
      </c>
      <c r="U370" s="681">
        <f t="shared" si="187"/>
        <v>0.90293976401383158</v>
      </c>
      <c r="V370" s="682">
        <f t="shared" si="188"/>
        <v>-0.55356574034713812</v>
      </c>
      <c r="W370" s="683">
        <f t="shared" si="176"/>
        <v>-31.145741521933626</v>
      </c>
      <c r="X370" s="684">
        <f t="shared" si="177"/>
        <v>-142.24134811364635</v>
      </c>
      <c r="Y370" s="687">
        <f t="shared" si="178"/>
        <v>37.758651886353647</v>
      </c>
      <c r="AA370" s="170">
        <f t="shared" si="179"/>
        <v>30375.75</v>
      </c>
      <c r="AB370" s="170">
        <f t="shared" si="180"/>
        <v>922686188.0625</v>
      </c>
      <c r="AD370" s="686">
        <f t="shared" si="181"/>
        <v>16.9263301958167</v>
      </c>
      <c r="AE370" s="687">
        <f t="shared" si="182"/>
        <v>-14.036786484634577</v>
      </c>
      <c r="AG370" s="686">
        <f t="shared" si="183"/>
        <v>-8.0221458330494393</v>
      </c>
      <c r="AH370" s="687">
        <f t="shared" si="184"/>
        <v>-64.770600346676318</v>
      </c>
      <c r="AJ370" s="170">
        <f t="shared" si="185"/>
        <v>0</v>
      </c>
      <c r="AK370" s="170">
        <f t="shared" si="197"/>
        <v>0</v>
      </c>
      <c r="AM370" s="170" t="str">
        <f t="shared" si="189"/>
        <v>0.326182095234947+0.738897442963523i</v>
      </c>
      <c r="AN370" s="170" t="str">
        <f t="shared" si="190"/>
        <v>0.83143260358304i</v>
      </c>
      <c r="AO370" s="170" t="str">
        <f t="shared" si="191"/>
        <v>0.888703954811564-0.39231333222834i</v>
      </c>
      <c r="AP370" s="170" t="str">
        <f t="shared" si="192"/>
        <v>0.112302984127509-0.123149573827254i</v>
      </c>
      <c r="AQ370" s="170" t="str">
        <f t="shared" si="193"/>
        <v>0.887697015872491+0.123149573827254i</v>
      </c>
      <c r="AR370" s="170" t="str">
        <f t="shared" si="194"/>
        <v>0.920664303022741-0.127723102058397i</v>
      </c>
    </row>
    <row r="371" spans="7:44">
      <c r="G371" s="688">
        <v>30551.5</v>
      </c>
      <c r="H371" s="676">
        <f t="shared" si="186"/>
        <v>30.551500000000001</v>
      </c>
      <c r="I371" s="677">
        <f t="shared" si="166"/>
        <v>246.31198689929079</v>
      </c>
      <c r="J371" s="678">
        <f t="shared" si="167"/>
        <v>1.5667364239061696</v>
      </c>
      <c r="K371" s="678">
        <f t="shared" si="168"/>
        <v>1.0008913467124754</v>
      </c>
      <c r="L371" s="679">
        <f t="shared" si="169"/>
        <v>4.2206282309795909E-2</v>
      </c>
      <c r="M371" s="678">
        <f t="shared" si="170"/>
        <v>1.0129678574138317</v>
      </c>
      <c r="N371" s="679">
        <f t="shared" si="171"/>
        <v>-0.16018272744423098</v>
      </c>
      <c r="O371" s="677">
        <f t="shared" si="172"/>
        <v>1266940.8555738647</v>
      </c>
      <c r="P371" s="680">
        <f t="shared" si="173"/>
        <v>1.5707955374920688</v>
      </c>
      <c r="Q371" s="689">
        <f t="shared" si="195"/>
        <v>50.687499548054042</v>
      </c>
      <c r="R371" s="690">
        <f t="shared" si="196"/>
        <v>1.5510663166198615</v>
      </c>
      <c r="S371" s="677">
        <f t="shared" si="174"/>
        <v>1.0261883114851782</v>
      </c>
      <c r="T371" s="680">
        <f t="shared" si="175"/>
        <v>0.22640351537385212</v>
      </c>
      <c r="U371" s="681">
        <f t="shared" si="187"/>
        <v>0.90196793425058353</v>
      </c>
      <c r="V371" s="682">
        <f t="shared" si="188"/>
        <v>-0.55647512980361302</v>
      </c>
      <c r="W371" s="683">
        <f t="shared" si="176"/>
        <v>-31.206379343991895</v>
      </c>
      <c r="X371" s="684">
        <f t="shared" si="177"/>
        <v>-142.51298057889517</v>
      </c>
      <c r="Y371" s="687">
        <f t="shared" si="178"/>
        <v>37.487019421104833</v>
      </c>
      <c r="AA371" s="170">
        <f t="shared" si="179"/>
        <v>30551.5</v>
      </c>
      <c r="AB371" s="170">
        <f t="shared" si="180"/>
        <v>933394152.25</v>
      </c>
      <c r="AD371" s="686">
        <f t="shared" si="181"/>
        <v>16.923799358064372</v>
      </c>
      <c r="AE371" s="687">
        <f t="shared" si="182"/>
        <v>-14.102367003020172</v>
      </c>
      <c r="AG371" s="686">
        <f t="shared" si="183"/>
        <v>-8.0615455850810207</v>
      </c>
      <c r="AH371" s="687">
        <f t="shared" si="184"/>
        <v>-64.643260819526844</v>
      </c>
      <c r="AJ371" s="170">
        <f t="shared" si="185"/>
        <v>0</v>
      </c>
      <c r="AK371" s="170">
        <f t="shared" si="197"/>
        <v>0</v>
      </c>
      <c r="AM371" s="170" t="str">
        <f t="shared" si="189"/>
        <v>0.329744386421937+0.742130320406796i</v>
      </c>
      <c r="AN371" s="170" t="str">
        <f t="shared" si="190"/>
        <v>0.836243160691251i</v>
      </c>
      <c r="AO371" s="170" t="str">
        <f t="shared" si="191"/>
        <v>0.887457566520891-0.394316392554249i</v>
      </c>
      <c r="AP371" s="170" t="str">
        <f t="shared" si="192"/>
        <v>0.111709268929677-0.123688386734466i</v>
      </c>
      <c r="AQ371" s="170" t="str">
        <f t="shared" si="193"/>
        <v>0.888290731070323+0.123688386734466i</v>
      </c>
      <c r="AR371" s="170" t="str">
        <f t="shared" si="194"/>
        <v>0.919920033561898-0.128092549990797i</v>
      </c>
    </row>
    <row r="372" spans="7:44">
      <c r="G372" s="688">
        <v>30727.25</v>
      </c>
      <c r="H372" s="676">
        <f t="shared" si="186"/>
        <v>30.727250000000002</v>
      </c>
      <c r="I372" s="677">
        <f t="shared" si="166"/>
        <v>247.72889344110095</v>
      </c>
      <c r="J372" s="678">
        <f t="shared" si="167"/>
        <v>1.5667596449936156</v>
      </c>
      <c r="K372" s="678">
        <f t="shared" si="168"/>
        <v>1.0009016266664041</v>
      </c>
      <c r="L372" s="679">
        <f t="shared" si="169"/>
        <v>4.2448786673042464E-2</v>
      </c>
      <c r="M372" s="678">
        <f t="shared" si="170"/>
        <v>1.0131165152119299</v>
      </c>
      <c r="N372" s="679">
        <f t="shared" si="171"/>
        <v>-0.16108837731336911</v>
      </c>
      <c r="O372" s="677">
        <f t="shared" si="172"/>
        <v>1274229.0363625975</v>
      </c>
      <c r="P372" s="680">
        <f t="shared" si="173"/>
        <v>1.5707955420066275</v>
      </c>
      <c r="Q372" s="689">
        <f t="shared" si="195"/>
        <v>50.978970364000936</v>
      </c>
      <c r="R372" s="690">
        <f t="shared" si="196"/>
        <v>1.5511791369073353</v>
      </c>
      <c r="S372" s="677">
        <f t="shared" si="174"/>
        <v>1.0264865799158751</v>
      </c>
      <c r="T372" s="680">
        <f t="shared" si="175"/>
        <v>0.22766150257517781</v>
      </c>
      <c r="U372" s="681">
        <f t="shared" si="187"/>
        <v>0.9009934408124437</v>
      </c>
      <c r="V372" s="682">
        <f t="shared" si="188"/>
        <v>-0.55938021812235417</v>
      </c>
      <c r="W372" s="683">
        <f t="shared" si="176"/>
        <v>-31.266770740751717</v>
      </c>
      <c r="X372" s="684">
        <f t="shared" si="177"/>
        <v>-142.78436927764579</v>
      </c>
      <c r="Y372" s="687">
        <f t="shared" si="178"/>
        <v>37.215630722354206</v>
      </c>
      <c r="AA372" s="170">
        <f t="shared" si="179"/>
        <v>30727.25</v>
      </c>
      <c r="AB372" s="170">
        <f t="shared" si="180"/>
        <v>944163892.5625</v>
      </c>
      <c r="AD372" s="686">
        <f t="shared" si="181"/>
        <v>16.92125583200286</v>
      </c>
      <c r="AE372" s="687">
        <f t="shared" si="182"/>
        <v>-14.167980492762037</v>
      </c>
      <c r="AG372" s="686">
        <f t="shared" si="183"/>
        <v>-8.1006146990116719</v>
      </c>
      <c r="AH372" s="687">
        <f t="shared" si="184"/>
        <v>-64.516137428601965</v>
      </c>
      <c r="AJ372" s="170">
        <f t="shared" si="185"/>
        <v>0</v>
      </c>
      <c r="AK372" s="170">
        <f t="shared" si="197"/>
        <v>0</v>
      </c>
      <c r="AM372" s="170" t="str">
        <f t="shared" si="189"/>
        <v>0.333322188272279+0.745346023904292i</v>
      </c>
      <c r="AN372" s="170" t="str">
        <f t="shared" si="190"/>
        <v>0.841053717799461i</v>
      </c>
      <c r="AO372" s="170" t="str">
        <f t="shared" si="191"/>
        <v>0.886205016552832-0.396314981098218i</v>
      </c>
      <c r="AP372" s="170" t="str">
        <f t="shared" si="192"/>
        <v>0.111112968621287-0.124224337317382i</v>
      </c>
      <c r="AQ372" s="170" t="str">
        <f t="shared" si="193"/>
        <v>0.888887031378713+0.124224337317382i</v>
      </c>
      <c r="AR372" s="170" t="str">
        <f t="shared" si="194"/>
        <v>0.919174732002998-0.128457124393917i</v>
      </c>
    </row>
    <row r="373" spans="7:44">
      <c r="G373" s="688">
        <v>30903</v>
      </c>
      <c r="H373" s="676">
        <f t="shared" si="186"/>
        <v>30.902999999999999</v>
      </c>
      <c r="I373" s="677">
        <f t="shared" si="166"/>
        <v>249.14580011497191</v>
      </c>
      <c r="J373" s="678">
        <f t="shared" si="167"/>
        <v>1.566782601961721</v>
      </c>
      <c r="K373" s="678">
        <f t="shared" si="168"/>
        <v>1.0009119654805112</v>
      </c>
      <c r="L373" s="679">
        <f t="shared" si="169"/>
        <v>4.2691286040703491E-2</v>
      </c>
      <c r="M373" s="678">
        <f t="shared" si="170"/>
        <v>1.0132660037256811</v>
      </c>
      <c r="N373" s="679">
        <f t="shared" si="171"/>
        <v>-0.16199376070140445</v>
      </c>
      <c r="O373" s="677">
        <f t="shared" si="172"/>
        <v>1281517.2171513303</v>
      </c>
      <c r="P373" s="680">
        <f t="shared" si="173"/>
        <v>1.5707955464698362</v>
      </c>
      <c r="Q373" s="689">
        <f t="shared" si="195"/>
        <v>51.270441821451705</v>
      </c>
      <c r="R373" s="690">
        <f t="shared" si="196"/>
        <v>1.5512906744339667</v>
      </c>
      <c r="S373" s="677">
        <f t="shared" si="174"/>
        <v>1.0267864718489637</v>
      </c>
      <c r="T373" s="680">
        <f t="shared" si="175"/>
        <v>0.22891875692843899</v>
      </c>
      <c r="U373" s="681">
        <f t="shared" si="187"/>
        <v>0.90001631917117997</v>
      </c>
      <c r="V373" s="682">
        <f t="shared" si="188"/>
        <v>-0.56228099944728749</v>
      </c>
      <c r="W373" s="683">
        <f t="shared" si="176"/>
        <v>-31.32691874382903</v>
      </c>
      <c r="X373" s="684">
        <f t="shared" si="177"/>
        <v>-143.0555125936277</v>
      </c>
      <c r="Y373" s="687">
        <f t="shared" si="178"/>
        <v>36.944487406372303</v>
      </c>
      <c r="AA373" s="170">
        <f t="shared" si="179"/>
        <v>30903</v>
      </c>
      <c r="AB373" s="170">
        <f t="shared" si="180"/>
        <v>954995409</v>
      </c>
      <c r="AD373" s="686">
        <f t="shared" si="181"/>
        <v>16.918699633564543</v>
      </c>
      <c r="AE373" s="687">
        <f t="shared" si="182"/>
        <v>-14.233625487243078</v>
      </c>
      <c r="AG373" s="686">
        <f t="shared" si="183"/>
        <v>-8.1393566967028228</v>
      </c>
      <c r="AH373" s="687">
        <f t="shared" si="184"/>
        <v>-64.389230695304875</v>
      </c>
      <c r="AJ373" s="170">
        <f t="shared" si="185"/>
        <v>0</v>
      </c>
      <c r="AK373" s="170">
        <f t="shared" si="197"/>
        <v>0</v>
      </c>
      <c r="AM373" s="170" t="str">
        <f t="shared" si="189"/>
        <v>0.336915417990577+0.748544479040082i</v>
      </c>
      <c r="AN373" s="170" t="str">
        <f t="shared" si="190"/>
        <v>0.845864274907671i</v>
      </c>
      <c r="AO373" s="170" t="str">
        <f t="shared" si="191"/>
        <v>0.884946322058333-0.39830907627273i</v>
      </c>
      <c r="AP373" s="170" t="str">
        <f t="shared" si="192"/>
        <v>0.11051409700157-0.124757413173347i</v>
      </c>
      <c r="AQ373" s="170" t="str">
        <f t="shared" si="193"/>
        <v>0.88948590299843+0.124757413173347i</v>
      </c>
      <c r="AR373" s="170" t="str">
        <f t="shared" si="194"/>
        <v>0.91842843442318-0.128816831472241i</v>
      </c>
    </row>
    <row r="374" spans="7:44">
      <c r="G374" s="688">
        <v>31083</v>
      </c>
      <c r="H374" s="676">
        <f t="shared" si="186"/>
        <v>31.082999999999998</v>
      </c>
      <c r="I374" s="677">
        <f t="shared" si="166"/>
        <v>250.59697066941709</v>
      </c>
      <c r="J374" s="678">
        <f t="shared" si="167"/>
        <v>1.5668058449813118</v>
      </c>
      <c r="K374" s="678">
        <f t="shared" si="168"/>
        <v>1.0009226153191397</v>
      </c>
      <c r="L374" s="679">
        <f t="shared" si="169"/>
        <v>4.2939644338809237E-2</v>
      </c>
      <c r="M374" s="678">
        <f t="shared" si="170"/>
        <v>1.0134199678892017</v>
      </c>
      <c r="N374" s="679">
        <f t="shared" si="171"/>
        <v>-0.16292076048754356</v>
      </c>
      <c r="O374" s="677">
        <f t="shared" si="172"/>
        <v>1288981.641287728</v>
      </c>
      <c r="P374" s="680">
        <f t="shared" si="173"/>
        <v>1.5707955509886571</v>
      </c>
      <c r="Q374" s="689">
        <f t="shared" si="195"/>
        <v>51.568962317670191</v>
      </c>
      <c r="R374" s="690">
        <f t="shared" si="196"/>
        <v>1.5514036022289568</v>
      </c>
      <c r="S374" s="677">
        <f t="shared" si="174"/>
        <v>1.0270952971723608</v>
      </c>
      <c r="T374" s="680">
        <f t="shared" si="175"/>
        <v>0.23020565117750588</v>
      </c>
      <c r="U374" s="681">
        <f t="shared" si="187"/>
        <v>0.89901288132974422</v>
      </c>
      <c r="V374" s="682">
        <f t="shared" si="188"/>
        <v>-0.56524745730710624</v>
      </c>
      <c r="W374" s="683">
        <f t="shared" si="176"/>
        <v>-31.388272066311718</v>
      </c>
      <c r="X374" s="684">
        <f t="shared" si="177"/>
        <v>-143.33295671142614</v>
      </c>
      <c r="Y374" s="687">
        <f t="shared" si="178"/>
        <v>36.667043288573865</v>
      </c>
      <c r="AA374" s="170">
        <f t="shared" si="179"/>
        <v>31083</v>
      </c>
      <c r="AB374" s="170">
        <f t="shared" si="180"/>
        <v>966152889</v>
      </c>
      <c r="AD374" s="686">
        <f t="shared" si="181"/>
        <v>16.916068502157419</v>
      </c>
      <c r="AE374" s="687">
        <f t="shared" si="182"/>
        <v>-14.300889069337844</v>
      </c>
      <c r="AG374" s="686">
        <f t="shared" si="183"/>
        <v>-8.1787001000393644</v>
      </c>
      <c r="AH374" s="687">
        <f t="shared" si="184"/>
        <v>-64.259480199678066</v>
      </c>
      <c r="AJ374" s="170">
        <f t="shared" si="185"/>
        <v>0</v>
      </c>
      <c r="AK374" s="170">
        <f t="shared" si="197"/>
        <v>0</v>
      </c>
      <c r="AM374" s="170" t="str">
        <f t="shared" si="189"/>
        <v>0.340611444571668+0.751802323067798i</v>
      </c>
      <c r="AN374" s="170" t="str">
        <f t="shared" si="190"/>
        <v>0.850791161277389i</v>
      </c>
      <c r="AO374" s="170" t="str">
        <f t="shared" si="191"/>
        <v>0.883650838519564-0.400346712653043i</v>
      </c>
      <c r="AP374" s="170" t="str">
        <f t="shared" si="192"/>
        <v>0.109898092571389-0.125300387177966i</v>
      </c>
      <c r="AQ374" s="170" t="str">
        <f t="shared" si="193"/>
        <v>0.890101907428611+0.125300387177966i</v>
      </c>
      <c r="AR374" s="170" t="str">
        <f t="shared" si="194"/>
        <v>0.917663094860851-0.129180198497909i</v>
      </c>
    </row>
    <row r="375" spans="7:44">
      <c r="G375" s="688">
        <v>31263</v>
      </c>
      <c r="H375" s="676">
        <f t="shared" si="186"/>
        <v>31.263000000000002</v>
      </c>
      <c r="I375" s="677">
        <f t="shared" si="166"/>
        <v>252.04814135768535</v>
      </c>
      <c r="J375" s="678">
        <f t="shared" si="167"/>
        <v>1.5668288203568961</v>
      </c>
      <c r="K375" s="678">
        <f t="shared" si="168"/>
        <v>1.0009333268952048</v>
      </c>
      <c r="L375" s="679">
        <f t="shared" si="169"/>
        <v>4.3187997336577209E-2</v>
      </c>
      <c r="M375" s="678">
        <f t="shared" si="170"/>
        <v>1.0135748026484805</v>
      </c>
      <c r="N375" s="679">
        <f t="shared" si="171"/>
        <v>-0.1638474778508989</v>
      </c>
      <c r="O375" s="677">
        <f t="shared" si="172"/>
        <v>1296446.0654241256</v>
      </c>
      <c r="P375" s="680">
        <f t="shared" si="173"/>
        <v>1.5707955554554429</v>
      </c>
      <c r="Q375" s="689">
        <f t="shared" si="195"/>
        <v>51.867483463961456</v>
      </c>
      <c r="R375" s="690">
        <f t="shared" si="196"/>
        <v>1.5515152301228916</v>
      </c>
      <c r="S375" s="677">
        <f t="shared" si="174"/>
        <v>1.0274058224407789</v>
      </c>
      <c r="T375" s="680">
        <f t="shared" si="175"/>
        <v>0.2314917696482611</v>
      </c>
      <c r="U375" s="681">
        <f t="shared" si="187"/>
        <v>0.89800676155314918</v>
      </c>
      <c r="V375" s="682">
        <f t="shared" si="188"/>
        <v>-0.56820938558301048</v>
      </c>
      <c r="W375" s="683">
        <f t="shared" si="176"/>
        <v>-31.449376340573743</v>
      </c>
      <c r="X375" s="684">
        <f t="shared" si="177"/>
        <v>-143.61014011740426</v>
      </c>
      <c r="Y375" s="687">
        <f t="shared" si="178"/>
        <v>36.389859882595744</v>
      </c>
      <c r="AA375" s="170">
        <f t="shared" si="179"/>
        <v>31263</v>
      </c>
      <c r="AB375" s="170">
        <f t="shared" si="180"/>
        <v>977375169</v>
      </c>
      <c r="AD375" s="686">
        <f t="shared" si="181"/>
        <v>16.913424112868981</v>
      </c>
      <c r="AE375" s="687">
        <f t="shared" si="182"/>
        <v>-14.368182678472403</v>
      </c>
      <c r="AG375" s="686">
        <f t="shared" si="183"/>
        <v>-8.2177076739824599</v>
      </c>
      <c r="AH375" s="687">
        <f t="shared" si="184"/>
        <v>-64.12995801727422</v>
      </c>
      <c r="AJ375" s="170">
        <f t="shared" si="185"/>
        <v>0</v>
      </c>
      <c r="AK375" s="170">
        <f t="shared" si="197"/>
        <v>0</v>
      </c>
      <c r="AM375" s="170" t="str">
        <f t="shared" si="189"/>
        <v>0.344323477256184+0.755041917725485i</v>
      </c>
      <c r="AN375" s="170" t="str">
        <f t="shared" si="190"/>
        <v>0.855718047647106i</v>
      </c>
      <c r="AO375" s="170" t="str">
        <f t="shared" si="191"/>
        <v>0.882348946363301-0.402379590103236i</v>
      </c>
      <c r="AP375" s="170" t="str">
        <f t="shared" si="192"/>
        <v>0.109279420457303-0.125840319620914i</v>
      </c>
      <c r="AQ375" s="170" t="str">
        <f t="shared" si="193"/>
        <v>0.890720579542697+0.125840319620914i</v>
      </c>
      <c r="AR375" s="170" t="str">
        <f t="shared" si="194"/>
        <v>0.916896786468214-0.129538474038387i</v>
      </c>
    </row>
    <row r="376" spans="7:44">
      <c r="G376" s="688">
        <v>31443</v>
      </c>
      <c r="H376" s="676">
        <f t="shared" si="186"/>
        <v>31.443000000000001</v>
      </c>
      <c r="I376" s="677">
        <f t="shared" si="166"/>
        <v>253.49931217747843</v>
      </c>
      <c r="J376" s="678">
        <f t="shared" si="167"/>
        <v>1.566851532684878</v>
      </c>
      <c r="K376" s="678">
        <f t="shared" si="168"/>
        <v>1.0009441002067248</v>
      </c>
      <c r="L376" s="679">
        <f t="shared" si="169"/>
        <v>4.343634500354164E-2</v>
      </c>
      <c r="M376" s="678">
        <f t="shared" si="170"/>
        <v>1.0137305076045993</v>
      </c>
      <c r="N376" s="679">
        <f t="shared" si="171"/>
        <v>-0.16477391132950728</v>
      </c>
      <c r="O376" s="677">
        <f t="shared" si="172"/>
        <v>1303910.4895605235</v>
      </c>
      <c r="P376" s="680">
        <f t="shared" si="173"/>
        <v>1.570795559871087</v>
      </c>
      <c r="Q376" s="689">
        <f t="shared" si="195"/>
        <v>52.166005249165309</v>
      </c>
      <c r="R376" s="690">
        <f t="shared" si="196"/>
        <v>1.5516255804291528</v>
      </c>
      <c r="S376" s="677">
        <f t="shared" si="174"/>
        <v>1.0277180461133009</v>
      </c>
      <c r="T376" s="680">
        <f t="shared" si="175"/>
        <v>0.23277710879110647</v>
      </c>
      <c r="U376" s="681">
        <f t="shared" si="187"/>
        <v>0.89699799753837861</v>
      </c>
      <c r="V376" s="682">
        <f t="shared" si="188"/>
        <v>-0.57116677865747834</v>
      </c>
      <c r="W376" s="683">
        <f t="shared" si="176"/>
        <v>-31.51023464610974</v>
      </c>
      <c r="X376" s="684">
        <f t="shared" si="177"/>
        <v>-143.8870611892491</v>
      </c>
      <c r="Y376" s="687">
        <f t="shared" si="178"/>
        <v>36.112938810750904</v>
      </c>
      <c r="AA376" s="170">
        <f t="shared" si="179"/>
        <v>31443</v>
      </c>
      <c r="AB376" s="170">
        <f t="shared" si="180"/>
        <v>988662249</v>
      </c>
      <c r="AD376" s="686">
        <f t="shared" si="181"/>
        <v>16.910766483778769</v>
      </c>
      <c r="AE376" s="687">
        <f t="shared" si="182"/>
        <v>-14.435504832858371</v>
      </c>
      <c r="AG376" s="686">
        <f t="shared" si="183"/>
        <v>-8.2563830231973405</v>
      </c>
      <c r="AH376" s="687">
        <f t="shared" si="184"/>
        <v>-64.000664651289441</v>
      </c>
      <c r="AJ376" s="170">
        <f t="shared" si="185"/>
        <v>0</v>
      </c>
      <c r="AK376" s="170">
        <f t="shared" si="197"/>
        <v>0</v>
      </c>
      <c r="AM376" s="170" t="str">
        <f t="shared" si="189"/>
        <v>0.348051425937652+0.758263184374708i</v>
      </c>
      <c r="AN376" s="170" t="str">
        <f t="shared" si="190"/>
        <v>0.860644934016824i</v>
      </c>
      <c r="AO376" s="170" t="str">
        <f t="shared" si="191"/>
        <v>0.881040664279197-0.404407685656404i</v>
      </c>
      <c r="AP376" s="170" t="str">
        <f t="shared" si="192"/>
        <v>0.108658095677058-0.126377197395785i</v>
      </c>
      <c r="AQ376" s="170" t="str">
        <f t="shared" si="193"/>
        <v>0.891341904322942+0.126377197395785i</v>
      </c>
      <c r="AR376" s="170" t="str">
        <f t="shared" si="194"/>
        <v>0.916129547332897-0.129891665680573i</v>
      </c>
    </row>
    <row r="377" spans="7:44">
      <c r="G377" s="688">
        <v>31623</v>
      </c>
      <c r="H377" s="676">
        <f t="shared" si="186"/>
        <v>31.623000000000001</v>
      </c>
      <c r="I377" s="677">
        <f t="shared" si="166"/>
        <v>254.95048312655049</v>
      </c>
      <c r="J377" s="678">
        <f t="shared" si="167"/>
        <v>1.5668739864570129</v>
      </c>
      <c r="K377" s="678">
        <f t="shared" si="168"/>
        <v>1.0009549352517062</v>
      </c>
      <c r="L377" s="679">
        <f t="shared" si="169"/>
        <v>4.3684687309240709E-2</v>
      </c>
      <c r="M377" s="678">
        <f t="shared" si="170"/>
        <v>1.0138870823566437</v>
      </c>
      <c r="N377" s="679">
        <f t="shared" si="171"/>
        <v>-0.16570005946425034</v>
      </c>
      <c r="O377" s="677">
        <f t="shared" si="172"/>
        <v>1311374.9136969214</v>
      </c>
      <c r="P377" s="680">
        <f t="shared" si="173"/>
        <v>1.570795564236463</v>
      </c>
      <c r="Q377" s="689">
        <f t="shared" si="195"/>
        <v>52.464527662375581</v>
      </c>
      <c r="R377" s="690">
        <f t="shared" si="196"/>
        <v>1.5517346749533958</v>
      </c>
      <c r="S377" s="677">
        <f t="shared" si="174"/>
        <v>1.02803196664246</v>
      </c>
      <c r="T377" s="680">
        <f t="shared" si="175"/>
        <v>0.23406166507104448</v>
      </c>
      <c r="U377" s="681">
        <f t="shared" si="187"/>
        <v>0.89598662683906016</v>
      </c>
      <c r="V377" s="682">
        <f t="shared" si="188"/>
        <v>-0.57411963113758024</v>
      </c>
      <c r="W377" s="683">
        <f t="shared" si="176"/>
        <v>-31.570850005318761</v>
      </c>
      <c r="X377" s="684">
        <f t="shared" si="177"/>
        <v>-144.16371834160887</v>
      </c>
      <c r="Y377" s="687">
        <f t="shared" si="178"/>
        <v>35.83628165839113</v>
      </c>
      <c r="AA377" s="170">
        <f t="shared" si="179"/>
        <v>31623</v>
      </c>
      <c r="AB377" s="170">
        <f t="shared" si="180"/>
        <v>1000014129</v>
      </c>
      <c r="AD377" s="686">
        <f t="shared" si="181"/>
        <v>16.908095633274428</v>
      </c>
      <c r="AE377" s="687">
        <f t="shared" si="182"/>
        <v>-14.502854080633311</v>
      </c>
      <c r="AG377" s="686">
        <f t="shared" si="183"/>
        <v>-8.2947296946652607</v>
      </c>
      <c r="AH377" s="687">
        <f t="shared" si="184"/>
        <v>-63.871600586218456</v>
      </c>
      <c r="AJ377" s="170">
        <f t="shared" si="185"/>
        <v>0</v>
      </c>
      <c r="AK377" s="170">
        <f t="shared" si="197"/>
        <v>0</v>
      </c>
      <c r="AM377" s="170" t="str">
        <f t="shared" si="189"/>
        <v>0.351795200123247+0.76146604482192i</v>
      </c>
      <c r="AN377" s="170" t="str">
        <f t="shared" si="190"/>
        <v>0.865571820386541i</v>
      </c>
      <c r="AO377" s="170" t="str">
        <f t="shared" si="191"/>
        <v>0.879726011045357-0.406430976422205i</v>
      </c>
      <c r="AP377" s="170" t="str">
        <f t="shared" si="192"/>
        <v>0.108034133312792-0.12691100747032i</v>
      </c>
      <c r="AQ377" s="170" t="str">
        <f t="shared" si="193"/>
        <v>0.891965866687208+0.12691100747032i</v>
      </c>
      <c r="AR377" s="170" t="str">
        <f t="shared" si="194"/>
        <v>0.915361415311951-0.130239781313779i</v>
      </c>
    </row>
    <row r="378" spans="7:44">
      <c r="G378" s="688">
        <v>31807</v>
      </c>
      <c r="H378" s="676">
        <f t="shared" si="186"/>
        <v>31.806999999999999</v>
      </c>
      <c r="I378" s="677">
        <f t="shared" si="166"/>
        <v>256.43390245027007</v>
      </c>
      <c r="J378" s="678">
        <f t="shared" si="167"/>
        <v>1.5668966765341681</v>
      </c>
      <c r="K378" s="678">
        <f t="shared" si="168"/>
        <v>1.0009660748798637</v>
      </c>
      <c r="L378" s="679">
        <f t="shared" si="169"/>
        <v>4.3938542759832382E-2</v>
      </c>
      <c r="M378" s="678">
        <f t="shared" si="170"/>
        <v>1.0140480351319787</v>
      </c>
      <c r="N378" s="679">
        <f t="shared" si="171"/>
        <v>-0.16664649222657557</v>
      </c>
      <c r="O378" s="677">
        <f t="shared" si="172"/>
        <v>1319005.2139252392</v>
      </c>
      <c r="P378" s="680">
        <f t="shared" si="173"/>
        <v>1.5707955686477799</v>
      </c>
      <c r="Q378" s="689">
        <f t="shared" si="195"/>
        <v>52.769684544988003</v>
      </c>
      <c r="R378" s="690">
        <f t="shared" si="196"/>
        <v>1.5518449180372538</v>
      </c>
      <c r="S378" s="677">
        <f t="shared" si="174"/>
        <v>1.0283546154027789</v>
      </c>
      <c r="T378" s="680">
        <f t="shared" si="175"/>
        <v>0.23537395422901458</v>
      </c>
      <c r="U378" s="681">
        <f t="shared" si="187"/>
        <v>0.89495012596734891</v>
      </c>
      <c r="V378" s="682">
        <f t="shared" si="188"/>
        <v>-0.57713340411143699</v>
      </c>
      <c r="W378" s="683">
        <f t="shared" si="176"/>
        <v>-31.63256435662867</v>
      </c>
      <c r="X378" s="684">
        <f t="shared" si="177"/>
        <v>-144.44624903592768</v>
      </c>
      <c r="Y378" s="687">
        <f t="shared" si="178"/>
        <v>35.553750964072321</v>
      </c>
      <c r="AA378" s="170">
        <f t="shared" si="179"/>
        <v>31807</v>
      </c>
      <c r="AB378" s="170">
        <f t="shared" si="180"/>
        <v>1011685249</v>
      </c>
      <c r="AD378" s="686">
        <f t="shared" si="181"/>
        <v>16.905351784604292</v>
      </c>
      <c r="AE378" s="687">
        <f t="shared" si="182"/>
        <v>-14.571726500288735</v>
      </c>
      <c r="AG378" s="686">
        <f t="shared" si="183"/>
        <v>-8.3335924337617175</v>
      </c>
      <c r="AH378" s="687">
        <f t="shared" si="184"/>
        <v>-63.739905916862057</v>
      </c>
      <c r="AJ378" s="170">
        <f t="shared" si="185"/>
        <v>0</v>
      </c>
      <c r="AK378" s="170">
        <f t="shared" si="197"/>
        <v>0</v>
      </c>
      <c r="AM378" s="170" t="str">
        <f t="shared" si="189"/>
        <v>0.355638431592581+0.76472097470877i</v>
      </c>
      <c r="AN378" s="170" t="str">
        <f t="shared" si="190"/>
        <v>0.87060819312003i</v>
      </c>
      <c r="AO378" s="170" t="str">
        <f t="shared" si="191"/>
        <v>0.878375577845428-0.408494239317995i</v>
      </c>
      <c r="AP378" s="170" t="str">
        <f t="shared" si="192"/>
        <v>0.10739359473457-0.127453495784795i</v>
      </c>
      <c r="AQ378" s="170" t="str">
        <f t="shared" si="193"/>
        <v>0.89260640526543+0.127453495784795i</v>
      </c>
      <c r="AR378" s="170" t="str">
        <f t="shared" si="194"/>
        <v>0.914575329996109-0.130590394914177i</v>
      </c>
    </row>
    <row r="379" spans="7:44">
      <c r="G379" s="688">
        <v>31991</v>
      </c>
      <c r="H379" s="676">
        <f t="shared" si="186"/>
        <v>31.991</v>
      </c>
      <c r="I379" s="677">
        <f t="shared" si="166"/>
        <v>257.91732190449329</v>
      </c>
      <c r="J379" s="678">
        <f t="shared" si="167"/>
        <v>1.5669191056059735</v>
      </c>
      <c r="K379" s="678">
        <f t="shared" si="168"/>
        <v>1.0009772790114293</v>
      </c>
      <c r="L379" s="679">
        <f t="shared" si="169"/>
        <v>4.4192392543876538E-2</v>
      </c>
      <c r="M379" s="678">
        <f t="shared" si="170"/>
        <v>1.0142098959368329</v>
      </c>
      <c r="N379" s="679">
        <f t="shared" si="171"/>
        <v>-0.16759262374806216</v>
      </c>
      <c r="O379" s="677">
        <f t="shared" si="172"/>
        <v>1326635.5141535571</v>
      </c>
      <c r="P379" s="680">
        <f t="shared" si="173"/>
        <v>1.570795573008352</v>
      </c>
      <c r="Q379" s="689">
        <f t="shared" si="195"/>
        <v>53.074842061563928</v>
      </c>
      <c r="R379" s="690">
        <f t="shared" si="196"/>
        <v>1.5519538934217809</v>
      </c>
      <c r="S379" s="677">
        <f t="shared" si="174"/>
        <v>1.0286790339827987</v>
      </c>
      <c r="T379" s="680">
        <f t="shared" si="175"/>
        <v>0.23668541792062039</v>
      </c>
      <c r="U379" s="681">
        <f t="shared" si="187"/>
        <v>0.89391098015750592</v>
      </c>
      <c r="V379" s="682">
        <f t="shared" si="188"/>
        <v>-0.58014242176082187</v>
      </c>
      <c r="W379" s="683">
        <f t="shared" si="176"/>
        <v>-31.694031053750457</v>
      </c>
      <c r="X379" s="684">
        <f t="shared" si="177"/>
        <v>-144.72850071573441</v>
      </c>
      <c r="Y379" s="687">
        <f t="shared" si="178"/>
        <v>35.271499284265587</v>
      </c>
      <c r="AA379" s="170">
        <f t="shared" si="179"/>
        <v>31991</v>
      </c>
      <c r="AB379" s="170">
        <f t="shared" si="180"/>
        <v>1023424081</v>
      </c>
      <c r="AD379" s="686">
        <f t="shared" si="181"/>
        <v>16.902594160178573</v>
      </c>
      <c r="AE379" s="687">
        <f t="shared" si="182"/>
        <v>-14.640624255119283</v>
      </c>
      <c r="AG379" s="686">
        <f t="shared" si="183"/>
        <v>-8.3721190410746562</v>
      </c>
      <c r="AH379" s="687">
        <f t="shared" si="184"/>
        <v>-63.608451817864001</v>
      </c>
      <c r="AJ379" s="170">
        <f t="shared" si="185"/>
        <v>0</v>
      </c>
      <c r="AK379" s="170">
        <f t="shared" si="197"/>
        <v>0</v>
      </c>
      <c r="AM379" s="170" t="str">
        <f t="shared" si="189"/>
        <v>0.359498007290969+0.767956507450624i</v>
      </c>
      <c r="AN379" s="170" t="str">
        <f t="shared" si="190"/>
        <v>0.875644565853519i</v>
      </c>
      <c r="AO379" s="170" t="str">
        <f t="shared" si="191"/>
        <v>0.877018527148709-0.410552433384377i</v>
      </c>
      <c r="AP379" s="170" t="str">
        <f t="shared" si="192"/>
        <v>0.106750332118172-0.127992751241771i</v>
      </c>
      <c r="AQ379" s="170" t="str">
        <f t="shared" si="193"/>
        <v>0.893249667881828+0.127992751241771i</v>
      </c>
      <c r="AR379" s="170" t="str">
        <f t="shared" si="194"/>
        <v>0.913788390919452-0.130935722018141i</v>
      </c>
    </row>
    <row r="380" spans="7:44">
      <c r="G380" s="688">
        <v>32175</v>
      </c>
      <c r="H380" s="676">
        <f t="shared" si="186"/>
        <v>32.174999999999997</v>
      </c>
      <c r="I380" s="677">
        <f t="shared" si="166"/>
        <v>259.40074148698136</v>
      </c>
      <c r="J380" s="678">
        <f t="shared" si="167"/>
        <v>1.5669412781501937</v>
      </c>
      <c r="K380" s="678">
        <f t="shared" si="168"/>
        <v>1.0009885476442371</v>
      </c>
      <c r="L380" s="679">
        <f t="shared" si="169"/>
        <v>4.4446236628847995E-2</v>
      </c>
      <c r="M380" s="678">
        <f t="shared" si="170"/>
        <v>1.0143726643365309</v>
      </c>
      <c r="N380" s="679">
        <f t="shared" si="171"/>
        <v>-0.16853845247943464</v>
      </c>
      <c r="O380" s="677">
        <f t="shared" si="172"/>
        <v>1334265.8143818749</v>
      </c>
      <c r="P380" s="680">
        <f t="shared" si="173"/>
        <v>1.5707955773190507</v>
      </c>
      <c r="Q380" s="689">
        <f t="shared" si="195"/>
        <v>53.380000201230835</v>
      </c>
      <c r="R380" s="690">
        <f t="shared" si="196"/>
        <v>1.5520616228455861</v>
      </c>
      <c r="S380" s="677">
        <f t="shared" si="174"/>
        <v>1.0290052207085856</v>
      </c>
      <c r="T380" s="680">
        <f t="shared" si="175"/>
        <v>0.23799605241747809</v>
      </c>
      <c r="U380" s="681">
        <f t="shared" si="187"/>
        <v>0.89286922904340371</v>
      </c>
      <c r="V380" s="682">
        <f t="shared" si="188"/>
        <v>-0.58314667904391193</v>
      </c>
      <c r="W380" s="683">
        <f t="shared" si="176"/>
        <v>-31.755253148584256</v>
      </c>
      <c r="X380" s="684">
        <f t="shared" si="177"/>
        <v>-145.01047180270626</v>
      </c>
      <c r="Y380" s="687">
        <f t="shared" si="178"/>
        <v>34.989528197293737</v>
      </c>
      <c r="AA380" s="170">
        <f t="shared" si="179"/>
        <v>32175</v>
      </c>
      <c r="AB380" s="170">
        <f t="shared" si="180"/>
        <v>1035230625</v>
      </c>
      <c r="AD380" s="686">
        <f t="shared" si="181"/>
        <v>16.89982278058563</v>
      </c>
      <c r="AE380" s="687">
        <f t="shared" si="182"/>
        <v>-14.709545886023658</v>
      </c>
      <c r="AG380" s="686">
        <f t="shared" si="183"/>
        <v>-8.4103131266839366</v>
      </c>
      <c r="AH380" s="687">
        <f t="shared" si="184"/>
        <v>-63.477238747753077</v>
      </c>
      <c r="AJ380" s="170">
        <f t="shared" si="185"/>
        <v>0</v>
      </c>
      <c r="AK380" s="170">
        <f t="shared" si="197"/>
        <v>0</v>
      </c>
      <c r="AM380" s="170" t="str">
        <f t="shared" si="189"/>
        <v>0.363373829320285+0.771172560978205i</v>
      </c>
      <c r="AN380" s="170" t="str">
        <f t="shared" si="190"/>
        <v>0.880680938587008i</v>
      </c>
      <c r="AO380" s="170" t="str">
        <f t="shared" si="191"/>
        <v>0.875654879297715-0.412605534421232i</v>
      </c>
      <c r="AP380" s="170" t="str">
        <f t="shared" si="192"/>
        <v>0.106104361779953-0.128528760163034i</v>
      </c>
      <c r="AQ380" s="170" t="str">
        <f t="shared" si="193"/>
        <v>0.893895638220047+0.128528760163034i</v>
      </c>
      <c r="AR380" s="170" t="str">
        <f t="shared" si="194"/>
        <v>0.91300063775885-0.131275772004961i</v>
      </c>
    </row>
    <row r="381" spans="7:44">
      <c r="G381" s="688">
        <v>32359</v>
      </c>
      <c r="H381" s="676">
        <f t="shared" si="186"/>
        <v>32.359000000000002</v>
      </c>
      <c r="I381" s="677">
        <f t="shared" si="166"/>
        <v>260.88416119554614</v>
      </c>
      <c r="J381" s="678">
        <f t="shared" si="167"/>
        <v>1.5669631985427499</v>
      </c>
      <c r="K381" s="678">
        <f t="shared" si="168"/>
        <v>1.0009998807761085</v>
      </c>
      <c r="L381" s="679">
        <f t="shared" si="169"/>
        <v>4.470007498222596E-2</v>
      </c>
      <c r="M381" s="678">
        <f t="shared" si="170"/>
        <v>1.0145363398942393</v>
      </c>
      <c r="N381" s="679">
        <f t="shared" si="171"/>
        <v>-0.16948397687457584</v>
      </c>
      <c r="O381" s="677">
        <f t="shared" si="172"/>
        <v>1341896.1146101926</v>
      </c>
      <c r="P381" s="680">
        <f t="shared" si="173"/>
        <v>1.5707955815807262</v>
      </c>
      <c r="Q381" s="689">
        <f t="shared" si="195"/>
        <v>53.685158953363363</v>
      </c>
      <c r="R381" s="690">
        <f t="shared" si="196"/>
        <v>1.5521681275531267</v>
      </c>
      <c r="S381" s="677">
        <f t="shared" si="174"/>
        <v>1.0293331738992091</v>
      </c>
      <c r="T381" s="680">
        <f t="shared" si="175"/>
        <v>0.23930585400731169</v>
      </c>
      <c r="U381" s="681">
        <f t="shared" si="187"/>
        <v>0.89182491209248438</v>
      </c>
      <c r="V381" s="682">
        <f t="shared" si="188"/>
        <v>-0.58614617115799639</v>
      </c>
      <c r="W381" s="683">
        <f t="shared" si="176"/>
        <v>-31.816233636287819</v>
      </c>
      <c r="X381" s="684">
        <f t="shared" si="177"/>
        <v>-145.2921607558005</v>
      </c>
      <c r="Y381" s="687">
        <f t="shared" si="178"/>
        <v>34.707839244199505</v>
      </c>
      <c r="AA381" s="170">
        <f t="shared" si="179"/>
        <v>32359</v>
      </c>
      <c r="AB381" s="170">
        <f t="shared" si="180"/>
        <v>1047104881</v>
      </c>
      <c r="AD381" s="686">
        <f t="shared" si="181"/>
        <v>16.897037666716916</v>
      </c>
      <c r="AE381" s="687">
        <f t="shared" si="182"/>
        <v>-14.778489963135097</v>
      </c>
      <c r="AG381" s="686">
        <f t="shared" si="183"/>
        <v>-8.4481782431171144</v>
      </c>
      <c r="AH381" s="687">
        <f t="shared" si="184"/>
        <v>-63.3462671457035</v>
      </c>
      <c r="AJ381" s="170">
        <f t="shared" si="185"/>
        <v>0</v>
      </c>
      <c r="AK381" s="170">
        <f t="shared" si="197"/>
        <v>0</v>
      </c>
      <c r="AM381" s="170" t="str">
        <f t="shared" si="189"/>
        <v>0.367265799370317+0.774369053716325i</v>
      </c>
      <c r="AN381" s="170" t="str">
        <f t="shared" si="190"/>
        <v>0.885717311320497i</v>
      </c>
      <c r="AO381" s="170" t="str">
        <f t="shared" si="191"/>
        <v>0.874284654730113-0.414653518313612i</v>
      </c>
      <c r="AP381" s="170" t="str">
        <f t="shared" si="192"/>
        <v>0.105455700104947-0.129061508952721i</v>
      </c>
      <c r="AQ381" s="170" t="str">
        <f t="shared" si="193"/>
        <v>0.894544299895053+0.129061508952721i</v>
      </c>
      <c r="AR381" s="170" t="str">
        <f t="shared" si="194"/>
        <v>0.912212109930617-0.131610554565495i</v>
      </c>
    </row>
    <row r="382" spans="7:44">
      <c r="G382" s="688">
        <v>32547.5</v>
      </c>
      <c r="H382" s="676">
        <f t="shared" si="186"/>
        <v>32.547499999999999</v>
      </c>
      <c r="I382" s="677">
        <f t="shared" si="166"/>
        <v>262.40386031896588</v>
      </c>
      <c r="J382" s="678">
        <f t="shared" si="167"/>
        <v>1.5669853980253343</v>
      </c>
      <c r="K382" s="678">
        <f t="shared" si="168"/>
        <v>1.0010115579591623</v>
      </c>
      <c r="L382" s="679">
        <f t="shared" si="169"/>
        <v>4.4960115361247908E-2</v>
      </c>
      <c r="M382" s="678">
        <f t="shared" si="170"/>
        <v>1.0147049586360377</v>
      </c>
      <c r="N382" s="679">
        <f t="shared" si="171"/>
        <v>-0.17045230830285407</v>
      </c>
      <c r="O382" s="677">
        <f t="shared" si="172"/>
        <v>1349713.0254419206</v>
      </c>
      <c r="P382" s="680">
        <f t="shared" si="173"/>
        <v>1.5707955858966605</v>
      </c>
      <c r="Q382" s="689">
        <f t="shared" si="195"/>
        <v>53.99778145141272</v>
      </c>
      <c r="R382" s="690">
        <f t="shared" si="196"/>
        <v>1.5522759886891262</v>
      </c>
      <c r="S382" s="677">
        <f t="shared" si="174"/>
        <v>1.0296709777150403</v>
      </c>
      <c r="T382" s="680">
        <f t="shared" si="175"/>
        <v>0.24064682121310677</v>
      </c>
      <c r="U382" s="681">
        <f t="shared" si="187"/>
        <v>0.89075243513322822</v>
      </c>
      <c r="V382" s="682">
        <f t="shared" si="188"/>
        <v>-0.58921407424178462</v>
      </c>
      <c r="W382" s="683">
        <f t="shared" si="176"/>
        <v>-31.878458024883134</v>
      </c>
      <c r="X382" s="684">
        <f t="shared" si="177"/>
        <v>-145.58044470001093</v>
      </c>
      <c r="Y382" s="687">
        <f t="shared" si="178"/>
        <v>34.419555299989071</v>
      </c>
      <c r="AA382" s="170">
        <f t="shared" si="179"/>
        <v>32547.5</v>
      </c>
      <c r="AB382" s="170">
        <f t="shared" si="180"/>
        <v>1059339756.25</v>
      </c>
      <c r="AD382" s="686">
        <f t="shared" si="181"/>
        <v>16.894170218579589</v>
      </c>
      <c r="AE382" s="687">
        <f t="shared" si="182"/>
        <v>-14.849141983991903</v>
      </c>
      <c r="AG382" s="686">
        <f t="shared" si="183"/>
        <v>-8.4866319276329172</v>
      </c>
      <c r="AH382" s="687">
        <f t="shared" si="184"/>
        <v>-63.212343271342974</v>
      </c>
      <c r="AJ382" s="170">
        <f t="shared" si="185"/>
        <v>0</v>
      </c>
      <c r="AK382" s="170">
        <f t="shared" si="197"/>
        <v>0</v>
      </c>
      <c r="AM382" s="170" t="str">
        <f t="shared" si="189"/>
        <v>0.371269595499073+0.777623352566074i</v>
      </c>
      <c r="AN382" s="170" t="str">
        <f t="shared" si="190"/>
        <v>0.890876856213229i</v>
      </c>
      <c r="AO382" s="170" t="str">
        <f t="shared" si="191"/>
        <v>0.872874120752725-0.416746257251755i</v>
      </c>
      <c r="AP382" s="170" t="str">
        <f t="shared" si="192"/>
        <v>0.104788400750154-0.129603892094346i</v>
      </c>
      <c r="AQ382" s="170" t="str">
        <f t="shared" si="193"/>
        <v>0.895211599249846+0.129603892094346i</v>
      </c>
      <c r="AR382" s="170" t="str">
        <f t="shared" si="194"/>
        <v>0.911403535067691-0.131948072960962i</v>
      </c>
    </row>
    <row r="383" spans="7:44">
      <c r="G383" s="688">
        <v>32736</v>
      </c>
      <c r="H383" s="676">
        <f t="shared" si="186"/>
        <v>32.735999999999997</v>
      </c>
      <c r="I383" s="677">
        <f t="shared" si="166"/>
        <v>263.92355957021351</v>
      </c>
      <c r="J383" s="678">
        <f t="shared" si="167"/>
        <v>1.5670073418540791</v>
      </c>
      <c r="K383" s="678">
        <f t="shared" si="168"/>
        <v>1.0010233028300357</v>
      </c>
      <c r="L383" s="679">
        <f t="shared" si="169"/>
        <v>4.5220149655816173E-2</v>
      </c>
      <c r="M383" s="678">
        <f t="shared" si="170"/>
        <v>1.0148745285152436</v>
      </c>
      <c r="N383" s="679">
        <f t="shared" si="171"/>
        <v>-0.17142031705205871</v>
      </c>
      <c r="O383" s="677">
        <f t="shared" si="172"/>
        <v>1357529.9362736484</v>
      </c>
      <c r="P383" s="680">
        <f t="shared" si="173"/>
        <v>1.5707955901628907</v>
      </c>
      <c r="Q383" s="689">
        <f t="shared" si="195"/>
        <v>54.310404570441356</v>
      </c>
      <c r="R383" s="690">
        <f t="shared" si="196"/>
        <v>1.5523826080795828</v>
      </c>
      <c r="S383" s="677">
        <f t="shared" si="174"/>
        <v>1.0300106318616511</v>
      </c>
      <c r="T383" s="680">
        <f t="shared" si="175"/>
        <v>0.24198690643824378</v>
      </c>
      <c r="U383" s="681">
        <f t="shared" si="187"/>
        <v>0.88967734861005277</v>
      </c>
      <c r="V383" s="682">
        <f t="shared" si="188"/>
        <v>-0.59227696678563835</v>
      </c>
      <c r="W383" s="683">
        <f t="shared" si="176"/>
        <v>-31.940435030972342</v>
      </c>
      <c r="X383" s="684">
        <f t="shared" si="177"/>
        <v>-145.86842938416987</v>
      </c>
      <c r="Y383" s="687">
        <f t="shared" si="178"/>
        <v>34.131570615830128</v>
      </c>
      <c r="AA383" s="170">
        <f t="shared" si="179"/>
        <v>32736</v>
      </c>
      <c r="AB383" s="170">
        <f t="shared" si="180"/>
        <v>1071645696</v>
      </c>
      <c r="AD383" s="686">
        <f t="shared" si="181"/>
        <v>16.891288401496421</v>
      </c>
      <c r="AE383" s="687">
        <f t="shared" si="182"/>
        <v>-14.919814615010417</v>
      </c>
      <c r="AG383" s="686">
        <f t="shared" si="183"/>
        <v>-8.524747723658944</v>
      </c>
      <c r="AH383" s="687">
        <f t="shared" si="184"/>
        <v>-63.078673692352503</v>
      </c>
      <c r="AJ383" s="170">
        <f t="shared" si="185"/>
        <v>0</v>
      </c>
      <c r="AK383" s="170">
        <f t="shared" si="197"/>
        <v>0</v>
      </c>
      <c r="AM383" s="170" t="str">
        <f t="shared" si="189"/>
        <v>0.375290128962125+0.780856950425519i</v>
      </c>
      <c r="AN383" s="170" t="str">
        <f t="shared" si="190"/>
        <v>0.896036401105961i</v>
      </c>
      <c r="AO383" s="170" t="str">
        <f t="shared" si="191"/>
        <v>0.87145672816609-0.418833574728562i</v>
      </c>
      <c r="AP383" s="170" t="str">
        <f t="shared" si="192"/>
        <v>0.104118311839646-0.13014282507092i</v>
      </c>
      <c r="AQ383" s="170" t="str">
        <f t="shared" si="193"/>
        <v>0.895881688160354+0.13014282507092i</v>
      </c>
      <c r="AR383" s="170" t="str">
        <f t="shared" si="194"/>
        <v>0.910594230082916-0.132280084705848i</v>
      </c>
    </row>
    <row r="384" spans="7:44">
      <c r="G384" s="688">
        <v>32924.5</v>
      </c>
      <c r="H384" s="676">
        <f t="shared" si="186"/>
        <v>32.924500000000002</v>
      </c>
      <c r="I384" s="677">
        <f t="shared" si="166"/>
        <v>265.44325894709345</v>
      </c>
      <c r="J384" s="678">
        <f t="shared" si="167"/>
        <v>1.5670290344199242</v>
      </c>
      <c r="K384" s="678">
        <f t="shared" si="168"/>
        <v>1.0010351153863459</v>
      </c>
      <c r="L384" s="679">
        <f t="shared" si="169"/>
        <v>4.5480177830979629E-2</v>
      </c>
      <c r="M384" s="678">
        <f t="shared" si="170"/>
        <v>1.0150450490551761</v>
      </c>
      <c r="N384" s="679">
        <f t="shared" si="171"/>
        <v>-0.17238800147023556</v>
      </c>
      <c r="O384" s="677">
        <f t="shared" si="172"/>
        <v>1365346.8471053764</v>
      </c>
      <c r="P384" s="680">
        <f t="shared" si="173"/>
        <v>1.5707955943802709</v>
      </c>
      <c r="Q384" s="689">
        <f t="shared" si="195"/>
        <v>54.623028299787137</v>
      </c>
      <c r="R384" s="690">
        <f t="shared" si="196"/>
        <v>1.5524880070426816</v>
      </c>
      <c r="S384" s="677">
        <f t="shared" si="174"/>
        <v>1.0303521345091637</v>
      </c>
      <c r="T384" s="680">
        <f t="shared" si="175"/>
        <v>0.24332610574421673</v>
      </c>
      <c r="U384" s="681">
        <f t="shared" si="187"/>
        <v>0.88859969439877884</v>
      </c>
      <c r="V384" s="682">
        <f t="shared" si="188"/>
        <v>-0.59533484439595574</v>
      </c>
      <c r="W384" s="683">
        <f t="shared" si="176"/>
        <v>-32.002167698146913</v>
      </c>
      <c r="X384" s="684">
        <f t="shared" si="177"/>
        <v>-146.15611326842435</v>
      </c>
      <c r="Y384" s="687">
        <f t="shared" si="178"/>
        <v>33.843886731575651</v>
      </c>
      <c r="AA384" s="170">
        <f t="shared" si="179"/>
        <v>32924.5</v>
      </c>
      <c r="AB384" s="170">
        <f t="shared" si="180"/>
        <v>1084022700.25</v>
      </c>
      <c r="AD384" s="686">
        <f t="shared" si="181"/>
        <v>16.888392238869351</v>
      </c>
      <c r="AE384" s="687">
        <f t="shared" si="182"/>
        <v>-14.990506409137755</v>
      </c>
      <c r="AG384" s="686">
        <f t="shared" si="183"/>
        <v>-8.5625292711517336</v>
      </c>
      <c r="AH384" s="687">
        <f t="shared" si="184"/>
        <v>-62.945258819401801</v>
      </c>
      <c r="AJ384" s="170">
        <f t="shared" si="185"/>
        <v>0</v>
      </c>
      <c r="AK384" s="170">
        <f t="shared" si="197"/>
        <v>0</v>
      </c>
      <c r="AM384" s="170" t="str">
        <f t="shared" si="189"/>
        <v>0.379327292729477+0.784069761213554i</v>
      </c>
      <c r="AN384" s="170" t="str">
        <f t="shared" si="190"/>
        <v>0.901195945998693i</v>
      </c>
      <c r="AO384" s="170" t="str">
        <f t="shared" si="191"/>
        <v>0.8700324992526-0.420915445096806i</v>
      </c>
      <c r="AP384" s="170" t="str">
        <f t="shared" si="192"/>
        <v>0.103445451211754-0.130678293535592i</v>
      </c>
      <c r="AQ384" s="170" t="str">
        <f t="shared" si="193"/>
        <v>0.896554548788246+0.130678293535592i</v>
      </c>
      <c r="AR384" s="170" t="str">
        <f t="shared" si="194"/>
        <v>0.909784236492147-0.132606601205762i</v>
      </c>
    </row>
    <row r="385" spans="7:44">
      <c r="G385" s="688">
        <v>33113</v>
      </c>
      <c r="H385" s="676">
        <f t="shared" si="186"/>
        <v>33.113</v>
      </c>
      <c r="I385" s="677">
        <f t="shared" si="166"/>
        <v>266.96295844746027</v>
      </c>
      <c r="J385" s="678">
        <f t="shared" si="167"/>
        <v>1.5670504800138272</v>
      </c>
      <c r="K385" s="678">
        <f t="shared" si="168"/>
        <v>1.0010469956256971</v>
      </c>
      <c r="L385" s="679">
        <f t="shared" si="169"/>
        <v>4.5740199851792104E-2</v>
      </c>
      <c r="M385" s="678">
        <f t="shared" si="170"/>
        <v>1.0152165197768026</v>
      </c>
      <c r="N385" s="679">
        <f t="shared" si="171"/>
        <v>-0.17335535990896686</v>
      </c>
      <c r="O385" s="677">
        <f t="shared" si="172"/>
        <v>1373163.7579371042</v>
      </c>
      <c r="P385" s="680">
        <f t="shared" si="173"/>
        <v>1.5707955985496351</v>
      </c>
      <c r="Q385" s="689">
        <f t="shared" si="195"/>
        <v>54.935652629030635</v>
      </c>
      <c r="R385" s="690">
        <f t="shared" si="196"/>
        <v>1.5525922064114526</v>
      </c>
      <c r="S385" s="677">
        <f t="shared" si="174"/>
        <v>1.0306954838201747</v>
      </c>
      <c r="T385" s="680">
        <f t="shared" si="175"/>
        <v>0.24466441521043614</v>
      </c>
      <c r="U385" s="681">
        <f t="shared" si="187"/>
        <v>0.88751951418174146</v>
      </c>
      <c r="V385" s="682">
        <f t="shared" si="188"/>
        <v>-0.59838770293537291</v>
      </c>
      <c r="W385" s="683">
        <f t="shared" si="176"/>
        <v>-32.063659013126966</v>
      </c>
      <c r="X385" s="684">
        <f t="shared" si="177"/>
        <v>-146.4434948508995</v>
      </c>
      <c r="Y385" s="687">
        <f t="shared" si="178"/>
        <v>33.556505149100502</v>
      </c>
      <c r="AA385" s="170">
        <f t="shared" si="179"/>
        <v>33113</v>
      </c>
      <c r="AB385" s="170">
        <f t="shared" si="180"/>
        <v>1096470769</v>
      </c>
      <c r="AD385" s="686">
        <f t="shared" si="181"/>
        <v>16.885481754401564</v>
      </c>
      <c r="AE385" s="687">
        <f t="shared" si="182"/>
        <v>-15.061215948143799</v>
      </c>
      <c r="AG385" s="686">
        <f t="shared" si="183"/>
        <v>-8.5999801521294721</v>
      </c>
      <c r="AH385" s="687">
        <f t="shared" si="184"/>
        <v>-62.812099042953008</v>
      </c>
      <c r="AJ385" s="170">
        <f t="shared" si="185"/>
        <v>0</v>
      </c>
      <c r="AK385" s="170">
        <f t="shared" si="197"/>
        <v>0</v>
      </c>
      <c r="AM385" s="170" t="str">
        <f t="shared" si="189"/>
        <v>0.383380979328419+0.787261699402442i</v>
      </c>
      <c r="AN385" s="170" t="str">
        <f t="shared" si="190"/>
        <v>0.906355490891425i</v>
      </c>
      <c r="AO385" s="170" t="str">
        <f t="shared" si="191"/>
        <v>0.868601456397808-0.422991842804807i</v>
      </c>
      <c r="AP385" s="170" t="str">
        <f t="shared" si="192"/>
        <v>0.102769836778597-0.13121028323374i</v>
      </c>
      <c r="AQ385" s="170" t="str">
        <f t="shared" si="193"/>
        <v>0.897230163221403+0.13121028323374i</v>
      </c>
      <c r="AR385" s="170" t="str">
        <f t="shared" si="194"/>
        <v>0.908973595515739-0.132927634188532i</v>
      </c>
    </row>
    <row r="386" spans="7:44">
      <c r="G386" s="688">
        <v>33305.75</v>
      </c>
      <c r="H386" s="676">
        <f t="shared" si="186"/>
        <v>33.305750000000003</v>
      </c>
      <c r="I386" s="677">
        <f t="shared" si="166"/>
        <v>268.51692185517572</v>
      </c>
      <c r="J386" s="678">
        <f t="shared" si="167"/>
        <v>1.5670721581106035</v>
      </c>
      <c r="K386" s="678">
        <f t="shared" si="168"/>
        <v>1.001059213708652</v>
      </c>
      <c r="L386" s="679">
        <f t="shared" si="169"/>
        <v>4.6006078037604176E-2</v>
      </c>
      <c r="M386" s="678">
        <f t="shared" si="170"/>
        <v>1.0153928386056423</v>
      </c>
      <c r="N386" s="679">
        <f t="shared" si="171"/>
        <v>-0.17434419001599616</v>
      </c>
      <c r="O386" s="677">
        <f t="shared" si="172"/>
        <v>1381156.9121164971</v>
      </c>
      <c r="P386" s="680">
        <f t="shared" si="173"/>
        <v>1.5707956027642009</v>
      </c>
      <c r="Q386" s="689">
        <f t="shared" si="195"/>
        <v>55.255326127151619</v>
      </c>
      <c r="R386" s="690">
        <f t="shared" si="196"/>
        <v>1.552697535844727</v>
      </c>
      <c r="S386" s="677">
        <f t="shared" si="174"/>
        <v>1.0310484820928594</v>
      </c>
      <c r="T386" s="680">
        <f t="shared" si="175"/>
        <v>0.24603197453695699</v>
      </c>
      <c r="U386" s="681">
        <f t="shared" si="187"/>
        <v>0.88641241091372869</v>
      </c>
      <c r="V386" s="682">
        <f t="shared" si="188"/>
        <v>-0.60150419836917912</v>
      </c>
      <c r="W386" s="683">
        <f t="shared" si="176"/>
        <v>-32.126290214595016</v>
      </c>
      <c r="X386" s="684">
        <f t="shared" si="177"/>
        <v>-146.73704173092872</v>
      </c>
      <c r="Y386" s="687">
        <f t="shared" si="178"/>
        <v>33.262958269071277</v>
      </c>
      <c r="AA386" s="170">
        <f t="shared" si="179"/>
        <v>33305.75</v>
      </c>
      <c r="AB386" s="170">
        <f t="shared" si="180"/>
        <v>1109272983.0625</v>
      </c>
      <c r="AD386" s="686">
        <f t="shared" si="181"/>
        <v>16.882490864093654</v>
      </c>
      <c r="AE386" s="687">
        <f t="shared" si="182"/>
        <v>-15.133536635361546</v>
      </c>
      <c r="AG386" s="686">
        <f t="shared" si="183"/>
        <v>-8.6379371553422253</v>
      </c>
      <c r="AH386" s="687">
        <f t="shared" si="184"/>
        <v>-62.676201164898615</v>
      </c>
      <c r="AJ386" s="170">
        <f t="shared" si="185"/>
        <v>0</v>
      </c>
      <c r="AK386" s="170">
        <f t="shared" si="197"/>
        <v>0</v>
      </c>
      <c r="AM386" s="170" t="str">
        <f t="shared" si="189"/>
        <v>0.387543035440782+0.790503932035071i</v>
      </c>
      <c r="AN386" s="170" t="str">
        <f t="shared" si="190"/>
        <v>0.911631365045665i</v>
      </c>
      <c r="AO386" s="170" t="str">
        <f t="shared" si="191"/>
        <v>0.867131125962821-0.425109370190844i</v>
      </c>
      <c r="AP386" s="170" t="str">
        <f t="shared" si="192"/>
        <v>0.10207616075987-0.131750655339178i</v>
      </c>
      <c r="AQ386" s="170" t="str">
        <f t="shared" si="193"/>
        <v>0.89792383924013+0.131750655339178i</v>
      </c>
      <c r="AR386" s="170" t="str">
        <f t="shared" si="194"/>
        <v>0.908144050677196-0.133250247504676i</v>
      </c>
    </row>
    <row r="387" spans="7:44">
      <c r="G387" s="688">
        <v>33498.5</v>
      </c>
      <c r="H387" s="676">
        <f t="shared" si="186"/>
        <v>33.4985</v>
      </c>
      <c r="I387" s="677">
        <f t="shared" si="166"/>
        <v>270.07088538762582</v>
      </c>
      <c r="J387" s="678">
        <f t="shared" si="167"/>
        <v>1.56709358673976</v>
      </c>
      <c r="K387" s="678">
        <f t="shared" si="168"/>
        <v>1.0010715025559633</v>
      </c>
      <c r="L387" s="679">
        <f t="shared" si="169"/>
        <v>4.6271949714532225E-2</v>
      </c>
      <c r="M387" s="678">
        <f t="shared" si="170"/>
        <v>1.0155701499250391</v>
      </c>
      <c r="N387" s="679">
        <f t="shared" si="171"/>
        <v>-0.17533267580387496</v>
      </c>
      <c r="O387" s="677">
        <f t="shared" si="172"/>
        <v>1389150.0662958901</v>
      </c>
      <c r="P387" s="680">
        <f t="shared" si="173"/>
        <v>1.5707956069302655</v>
      </c>
      <c r="Q387" s="689">
        <f t="shared" si="195"/>
        <v>55.575000231238874</v>
      </c>
      <c r="R387" s="690">
        <f t="shared" si="196"/>
        <v>1.5528016535439382</v>
      </c>
      <c r="S387" s="677">
        <f t="shared" si="174"/>
        <v>1.0314034073294851</v>
      </c>
      <c r="T387" s="680">
        <f t="shared" si="175"/>
        <v>0.24739859521232194</v>
      </c>
      <c r="U387" s="681">
        <f t="shared" si="187"/>
        <v>0.88530275397046232</v>
      </c>
      <c r="V387" s="682">
        <f t="shared" si="188"/>
        <v>-0.60461543791895578</v>
      </c>
      <c r="W387" s="683">
        <f t="shared" si="176"/>
        <v>-32.188675197838556</v>
      </c>
      <c r="X387" s="684">
        <f t="shared" si="177"/>
        <v>-147.03026946615989</v>
      </c>
      <c r="Y387" s="687">
        <f t="shared" si="178"/>
        <v>32.969730533840107</v>
      </c>
      <c r="AA387" s="170">
        <f t="shared" si="179"/>
        <v>33498.5</v>
      </c>
      <c r="AB387" s="170">
        <f t="shared" si="180"/>
        <v>1122149502.25</v>
      </c>
      <c r="AD387" s="686">
        <f t="shared" si="181"/>
        <v>16.879485049910951</v>
      </c>
      <c r="AE387" s="687">
        <f t="shared" si="182"/>
        <v>-15.205872966298434</v>
      </c>
      <c r="AG387" s="686">
        <f t="shared" si="183"/>
        <v>-8.6755558084992668</v>
      </c>
      <c r="AH387" s="687">
        <f t="shared" si="184"/>
        <v>-62.540570778272738</v>
      </c>
      <c r="AJ387" s="170">
        <f t="shared" si="185"/>
        <v>0</v>
      </c>
      <c r="AK387" s="170">
        <f t="shared" si="197"/>
        <v>0</v>
      </c>
      <c r="AM387" s="170" t="str">
        <f t="shared" si="189"/>
        <v>0.391722139160171+0.793724161161875i</v>
      </c>
      <c r="AN387" s="170" t="str">
        <f t="shared" si="190"/>
        <v>0.916907239199904i</v>
      </c>
      <c r="AO387" s="170" t="str">
        <f t="shared" si="191"/>
        <v>0.865653718531529-0.427221121628387i</v>
      </c>
      <c r="AP387" s="170" t="str">
        <f t="shared" si="192"/>
        <v>0.101379643473305-0.132287360193646i</v>
      </c>
      <c r="AQ387" s="170" t="str">
        <f t="shared" si="193"/>
        <v>0.898620356526695+0.132287360193646i</v>
      </c>
      <c r="AR387" s="170" t="str">
        <f t="shared" si="194"/>
        <v>0.907313915149473-0.133567153058946i</v>
      </c>
    </row>
    <row r="388" spans="7:44">
      <c r="G388" s="688">
        <v>33691.25</v>
      </c>
      <c r="H388" s="676">
        <f t="shared" si="186"/>
        <v>33.691249999999997</v>
      </c>
      <c r="I388" s="677">
        <f t="shared" si="166"/>
        <v>271.62484904266984</v>
      </c>
      <c r="J388" s="678">
        <f t="shared" si="167"/>
        <v>1.5671147701828836</v>
      </c>
      <c r="K388" s="678">
        <f t="shared" si="168"/>
        <v>1.0010838621650253</v>
      </c>
      <c r="L388" s="679">
        <f t="shared" si="169"/>
        <v>4.6537814845228898E-2</v>
      </c>
      <c r="M388" s="678">
        <f t="shared" si="170"/>
        <v>1.0157484532152392</v>
      </c>
      <c r="N388" s="679">
        <f t="shared" si="171"/>
        <v>-0.17632081552171958</v>
      </c>
      <c r="O388" s="677">
        <f t="shared" si="172"/>
        <v>1397143.220475283</v>
      </c>
      <c r="P388" s="680">
        <f t="shared" si="173"/>
        <v>1.5707956110486614</v>
      </c>
      <c r="Q388" s="689">
        <f t="shared" si="195"/>
        <v>55.894674930895448</v>
      </c>
      <c r="R388" s="690">
        <f t="shared" si="196"/>
        <v>1.5529045802973791</v>
      </c>
      <c r="S388" s="677">
        <f t="shared" si="174"/>
        <v>1.0317602575414271</v>
      </c>
      <c r="T388" s="680">
        <f t="shared" si="175"/>
        <v>0.24876427310311836</v>
      </c>
      <c r="U388" s="681">
        <f t="shared" si="187"/>
        <v>0.88419058727450539</v>
      </c>
      <c r="V388" s="682">
        <f t="shared" si="188"/>
        <v>-0.6077214179801913</v>
      </c>
      <c r="W388" s="683">
        <f t="shared" si="176"/>
        <v>-32.250816980228954</v>
      </c>
      <c r="X388" s="684">
        <f t="shared" si="177"/>
        <v>-147.32317656934734</v>
      </c>
      <c r="Y388" s="687">
        <f t="shared" si="178"/>
        <v>32.676823430652661</v>
      </c>
      <c r="AA388" s="170">
        <f t="shared" si="179"/>
        <v>33691.25</v>
      </c>
      <c r="AB388" s="170">
        <f t="shared" si="180"/>
        <v>1135100326.5625</v>
      </c>
      <c r="AD388" s="686">
        <f t="shared" si="181"/>
        <v>16.876464338125157</v>
      </c>
      <c r="AE388" s="687">
        <f t="shared" si="182"/>
        <v>-15.278223513093623</v>
      </c>
      <c r="AG388" s="686">
        <f t="shared" si="183"/>
        <v>-8.7128397617164204</v>
      </c>
      <c r="AH388" s="687">
        <f t="shared" si="184"/>
        <v>-62.405208236737153</v>
      </c>
      <c r="AJ388" s="170">
        <f t="shared" si="185"/>
        <v>0</v>
      </c>
      <c r="AK388" s="170">
        <f t="shared" si="197"/>
        <v>0</v>
      </c>
      <c r="AM388" s="170" t="str">
        <f t="shared" si="189"/>
        <v>0.395918174162141+0.796922297148473i</v>
      </c>
      <c r="AN388" s="170" t="str">
        <f t="shared" si="190"/>
        <v>0.922183113354143i</v>
      </c>
      <c r="AO388" s="170" t="str">
        <f t="shared" si="191"/>
        <v>0.864169258369876-0.429327070110964i</v>
      </c>
      <c r="AP388" s="170" t="str">
        <f t="shared" si="192"/>
        <v>0.10068030430631-0.132820382858079i</v>
      </c>
      <c r="AQ388" s="170" t="str">
        <f t="shared" si="193"/>
        <v>0.89931969569369+0.132820382858079i</v>
      </c>
      <c r="AR388" s="170" t="str">
        <f t="shared" si="194"/>
        <v>0.906483232033543-0.133878364401053i</v>
      </c>
    </row>
    <row r="389" spans="7:44">
      <c r="G389" s="688">
        <v>33884</v>
      </c>
      <c r="H389" s="676">
        <f t="shared" si="186"/>
        <v>33.884</v>
      </c>
      <c r="I389" s="677">
        <f t="shared" si="166"/>
        <v>273.17881281821548</v>
      </c>
      <c r="J389" s="678">
        <f t="shared" si="167"/>
        <v>1.5671357126241399</v>
      </c>
      <c r="K389" s="678">
        <f t="shared" si="168"/>
        <v>1.0010962925332167</v>
      </c>
      <c r="L389" s="679">
        <f t="shared" si="169"/>
        <v>4.6803673392352398E-2</v>
      </c>
      <c r="M389" s="678">
        <f t="shared" si="170"/>
        <v>1.0159277479539461</v>
      </c>
      <c r="N389" s="679">
        <f t="shared" si="171"/>
        <v>-0.17730860742257518</v>
      </c>
      <c r="O389" s="677">
        <f t="shared" si="172"/>
        <v>1405136.3746546758</v>
      </c>
      <c r="P389" s="680">
        <f t="shared" si="173"/>
        <v>1.5707956151202023</v>
      </c>
      <c r="Q389" s="689">
        <f t="shared" si="195"/>
        <v>56.214350215960849</v>
      </c>
      <c r="R389" s="690">
        <f t="shared" si="196"/>
        <v>1.5530063364205768</v>
      </c>
      <c r="S389" s="677">
        <f t="shared" si="174"/>
        <v>1.032119030732032</v>
      </c>
      <c r="T389" s="680">
        <f t="shared" si="175"/>
        <v>0.25012900409570171</v>
      </c>
      <c r="U389" s="681">
        <f t="shared" si="187"/>
        <v>0.88307595452660193</v>
      </c>
      <c r="V389" s="682">
        <f t="shared" si="188"/>
        <v>-0.61082213522030882</v>
      </c>
      <c r="W389" s="683">
        <f t="shared" si="176"/>
        <v>-32.312718522577768</v>
      </c>
      <c r="X389" s="684">
        <f t="shared" si="177"/>
        <v>-147.61576159168811</v>
      </c>
      <c r="Y389" s="687">
        <f t="shared" si="178"/>
        <v>32.384238408311887</v>
      </c>
      <c r="AA389" s="170">
        <f t="shared" si="179"/>
        <v>33884</v>
      </c>
      <c r="AB389" s="170">
        <f t="shared" si="180"/>
        <v>1148125456</v>
      </c>
      <c r="AD389" s="686">
        <f t="shared" si="181"/>
        <v>16.873428755305618</v>
      </c>
      <c r="AE389" s="687">
        <f t="shared" si="182"/>
        <v>-15.350586876105309</v>
      </c>
      <c r="AG389" s="686">
        <f t="shared" si="183"/>
        <v>-8.749792607202</v>
      </c>
      <c r="AH389" s="687">
        <f t="shared" si="184"/>
        <v>-62.270113873015859</v>
      </c>
      <c r="AJ389" s="170">
        <f t="shared" si="185"/>
        <v>0</v>
      </c>
      <c r="AK389" s="170">
        <f t="shared" si="197"/>
        <v>0</v>
      </c>
      <c r="AM389" s="170" t="str">
        <f t="shared" si="189"/>
        <v>0.400131023650966+0.800098250975442i</v>
      </c>
      <c r="AN389" s="170" t="str">
        <f t="shared" si="190"/>
        <v>0.927458987508382i</v>
      </c>
      <c r="AO389" s="170" t="str">
        <f t="shared" si="191"/>
        <v>0.862677769854714-0.431427188738467i</v>
      </c>
      <c r="AP389" s="170" t="str">
        <f t="shared" si="192"/>
        <v>0.099978162724839-0.133349708495907i</v>
      </c>
      <c r="AQ389" s="170" t="str">
        <f t="shared" si="193"/>
        <v>0.900021837275161+0.133349708495907i</v>
      </c>
      <c r="AR389" s="170" t="str">
        <f t="shared" si="194"/>
        <v>0.905652044099317-0.134183895409689i</v>
      </c>
    </row>
    <row r="390" spans="7:44">
      <c r="G390" s="688">
        <v>34081.5</v>
      </c>
      <c r="H390" s="676">
        <f t="shared" si="186"/>
        <v>34.081499999999998</v>
      </c>
      <c r="I390" s="677">
        <f t="shared" si="166"/>
        <v>274.77107154376938</v>
      </c>
      <c r="J390" s="678">
        <f t="shared" si="167"/>
        <v>1.5671569254491677</v>
      </c>
      <c r="K390" s="678">
        <f t="shared" si="168"/>
        <v>1.0011091026204224</v>
      </c>
      <c r="L390" s="679">
        <f t="shared" si="169"/>
        <v>4.7076076708844242E-2</v>
      </c>
      <c r="M390" s="678">
        <f t="shared" si="170"/>
        <v>1.016112488959892</v>
      </c>
      <c r="N390" s="679">
        <f t="shared" si="171"/>
        <v>-0.17832037919324931</v>
      </c>
      <c r="O390" s="677">
        <f t="shared" si="172"/>
        <v>1413326.5066932237</v>
      </c>
      <c r="P390" s="680">
        <f t="shared" si="173"/>
        <v>1.5707956192443093</v>
      </c>
      <c r="Q390" s="689">
        <f t="shared" si="195"/>
        <v>56.541903958330529</v>
      </c>
      <c r="R390" s="690">
        <f t="shared" si="196"/>
        <v>1.5531094066569182</v>
      </c>
      <c r="S390" s="677">
        <f t="shared" si="174"/>
        <v>1.0324886378342775</v>
      </c>
      <c r="T390" s="680">
        <f t="shared" si="175"/>
        <v>0.25152638012237605</v>
      </c>
      <c r="U390" s="681">
        <f t="shared" si="187"/>
        <v>0.88193134103429593</v>
      </c>
      <c r="V390" s="682">
        <f t="shared" si="188"/>
        <v>-0.61399380226823697</v>
      </c>
      <c r="W390" s="683">
        <f t="shared" si="176"/>
        <v>-32.375899369275281</v>
      </c>
      <c r="X390" s="684">
        <f t="shared" si="177"/>
        <v>-147.91522132065205</v>
      </c>
      <c r="Y390" s="687">
        <f t="shared" si="178"/>
        <v>32.084778679347949</v>
      </c>
      <c r="AA390" s="170">
        <f t="shared" si="179"/>
        <v>34081.5</v>
      </c>
      <c r="AB390" s="170">
        <f t="shared" si="180"/>
        <v>1161548642.25</v>
      </c>
      <c r="AD390" s="686">
        <f t="shared" si="181"/>
        <v>16.870302968480768</v>
      </c>
      <c r="AE390" s="687">
        <f t="shared" si="182"/>
        <v>-15.424745371669399</v>
      </c>
      <c r="AG390" s="686">
        <f t="shared" si="183"/>
        <v>-8.7873163429466778</v>
      </c>
      <c r="AH390" s="687">
        <f t="shared" si="184"/>
        <v>-62.131968834266409</v>
      </c>
      <c r="AJ390" s="170">
        <f t="shared" si="185"/>
        <v>0</v>
      </c>
      <c r="AK390" s="170">
        <f t="shared" si="197"/>
        <v>0</v>
      </c>
      <c r="AM390" s="170" t="str">
        <f t="shared" si="189"/>
        <v>0.404465010242915+0.803329369545909i</v>
      </c>
      <c r="AN390" s="170" t="str">
        <f t="shared" si="190"/>
        <v>0.9328648767196i</v>
      </c>
      <c r="AO390" s="170" t="str">
        <f t="shared" si="191"/>
        <v>0.861142261428901-0.433572986116926i</v>
      </c>
      <c r="AP390" s="170" t="str">
        <f t="shared" si="192"/>
        <v>0.0992558316261808-0.133888228257651i</v>
      </c>
      <c r="AQ390" s="170" t="str">
        <f t="shared" si="193"/>
        <v>0.900744168373819+0.133888228257651i</v>
      </c>
      <c r="AR390" s="170" t="str">
        <f t="shared" si="194"/>
        <v>0.904799893680444-0.134491078539307i</v>
      </c>
    </row>
    <row r="391" spans="7:44">
      <c r="G391" s="688">
        <v>34279</v>
      </c>
      <c r="H391" s="676">
        <f t="shared" si="186"/>
        <v>34.279000000000003</v>
      </c>
      <c r="I391" s="677">
        <f t="shared" si="166"/>
        <v>276.36333039154101</v>
      </c>
      <c r="J391" s="678">
        <f t="shared" si="167"/>
        <v>1.5671778938401237</v>
      </c>
      <c r="K391" s="678">
        <f t="shared" si="168"/>
        <v>1.0011219869915899</v>
      </c>
      <c r="L391" s="679">
        <f t="shared" si="169"/>
        <v>4.7348473033924511E-2</v>
      </c>
      <c r="M391" s="678">
        <f t="shared" si="170"/>
        <v>1.0162982697632366</v>
      </c>
      <c r="N391" s="679">
        <f t="shared" si="171"/>
        <v>-0.17933178209225845</v>
      </c>
      <c r="O391" s="677">
        <f t="shared" si="172"/>
        <v>1421516.6387317718</v>
      </c>
      <c r="P391" s="680">
        <f t="shared" si="173"/>
        <v>1.5707956233208937</v>
      </c>
      <c r="Q391" s="689">
        <f t="shared" si="195"/>
        <v>56.869458294452208</v>
      </c>
      <c r="R391" s="690">
        <f t="shared" si="196"/>
        <v>1.5532112895750267</v>
      </c>
      <c r="S391" s="677">
        <f t="shared" si="174"/>
        <v>1.0328602595903285</v>
      </c>
      <c r="T391" s="680">
        <f t="shared" si="175"/>
        <v>0.25292275332596686</v>
      </c>
      <c r="U391" s="681">
        <f t="shared" si="187"/>
        <v>0.88078423061753242</v>
      </c>
      <c r="V391" s="682">
        <f t="shared" si="188"/>
        <v>-0.6171599376945387</v>
      </c>
      <c r="W391" s="683">
        <f t="shared" si="176"/>
        <v>-32.438834106697016</v>
      </c>
      <c r="X391" s="684">
        <f t="shared" si="177"/>
        <v>-148.21433993986122</v>
      </c>
      <c r="Y391" s="687">
        <f t="shared" si="178"/>
        <v>31.785660060138781</v>
      </c>
      <c r="AA391" s="170">
        <f t="shared" si="179"/>
        <v>34279</v>
      </c>
      <c r="AB391" s="170">
        <f t="shared" si="180"/>
        <v>1175049841</v>
      </c>
      <c r="AD391" s="686">
        <f t="shared" si="181"/>
        <v>16.867161626051839</v>
      </c>
      <c r="AE391" s="687">
        <f t="shared" si="182"/>
        <v>-15.498914435304041</v>
      </c>
      <c r="AG391" s="686">
        <f t="shared" si="183"/>
        <v>-8.8244999055889153</v>
      </c>
      <c r="AH391" s="687">
        <f t="shared" si="184"/>
        <v>-61.994105994838449</v>
      </c>
      <c r="AJ391" s="170">
        <f t="shared" si="185"/>
        <v>0</v>
      </c>
      <c r="AK391" s="170">
        <f t="shared" si="197"/>
        <v>0</v>
      </c>
      <c r="AM391" s="170" t="str">
        <f t="shared" si="189"/>
        <v>0.408816400491535+0.806537011966726i</v>
      </c>
      <c r="AN391" s="170" t="str">
        <f t="shared" si="190"/>
        <v>0.938270765930818i</v>
      </c>
      <c r="AO391" s="170" t="str">
        <f t="shared" si="191"/>
        <v>0.859599426149226-0.435712605929873i</v>
      </c>
      <c r="AP391" s="170" t="str">
        <f t="shared" si="192"/>
        <v>0.0985305999180775-0.134422835327788i</v>
      </c>
      <c r="AQ391" s="170" t="str">
        <f t="shared" si="193"/>
        <v>0.901469400081923+0.134422835327788i</v>
      </c>
      <c r="AR391" s="170" t="str">
        <f t="shared" si="194"/>
        <v>0.90394730309693-0.134792328456356i</v>
      </c>
    </row>
    <row r="392" spans="7:44">
      <c r="G392" s="688">
        <v>34476.5</v>
      </c>
      <c r="H392" s="676">
        <f t="shared" si="186"/>
        <v>34.476500000000001</v>
      </c>
      <c r="I392" s="677">
        <f t="shared" si="166"/>
        <v>277.95558935943018</v>
      </c>
      <c r="J392" s="678">
        <f t="shared" si="167"/>
        <v>1.5671986219976861</v>
      </c>
      <c r="K392" s="678">
        <f t="shared" si="168"/>
        <v>1.0011349456438514</v>
      </c>
      <c r="L392" s="679">
        <f t="shared" si="169"/>
        <v>4.7620862327440443E-2</v>
      </c>
      <c r="M392" s="678">
        <f t="shared" si="170"/>
        <v>1.0164850897938553</v>
      </c>
      <c r="N392" s="679">
        <f t="shared" si="171"/>
        <v>-0.18034281425322543</v>
      </c>
      <c r="O392" s="677">
        <f t="shared" si="172"/>
        <v>1429706.7707703197</v>
      </c>
      <c r="P392" s="680">
        <f t="shared" si="173"/>
        <v>1.5707956273507726</v>
      </c>
      <c r="Q392" s="689">
        <f t="shared" si="195"/>
        <v>57.197013214125029</v>
      </c>
      <c r="R392" s="690">
        <f t="shared" si="196"/>
        <v>1.553312005571313</v>
      </c>
      <c r="S392" s="677">
        <f t="shared" si="174"/>
        <v>1.0332338938263623</v>
      </c>
      <c r="T392" s="680">
        <f t="shared" si="175"/>
        <v>0.25431811934601584</v>
      </c>
      <c r="U392" s="681">
        <f t="shared" si="187"/>
        <v>0.87963466954775726</v>
      </c>
      <c r="V392" s="682">
        <f t="shared" si="188"/>
        <v>-0.62032053878864479</v>
      </c>
      <c r="W392" s="683">
        <f t="shared" si="176"/>
        <v>-32.501525743758116</v>
      </c>
      <c r="X392" s="684">
        <f t="shared" si="177"/>
        <v>-148.51311601164028</v>
      </c>
      <c r="Y392" s="687">
        <f t="shared" si="178"/>
        <v>31.486883988359722</v>
      </c>
      <c r="AA392" s="170">
        <f t="shared" si="179"/>
        <v>34476.5</v>
      </c>
      <c r="AB392" s="170">
        <f t="shared" si="180"/>
        <v>1188629052.25</v>
      </c>
      <c r="AD392" s="686">
        <f t="shared" si="181"/>
        <v>16.86400475752626</v>
      </c>
      <c r="AE392" s="687">
        <f t="shared" si="182"/>
        <v>-15.57309264859197</v>
      </c>
      <c r="AG392" s="686">
        <f t="shared" si="183"/>
        <v>-8.8613469785933567</v>
      </c>
      <c r="AH392" s="687">
        <f t="shared" si="184"/>
        <v>-61.856525646082318</v>
      </c>
      <c r="AJ392" s="170">
        <f t="shared" si="185"/>
        <v>0</v>
      </c>
      <c r="AK392" s="170">
        <f t="shared" si="197"/>
        <v>0</v>
      </c>
      <c r="AM392" s="170" t="str">
        <f t="shared" si="189"/>
        <v>0.413185067233683+0.809721084499139i</v>
      </c>
      <c r="AN392" s="170" t="str">
        <f t="shared" si="190"/>
        <v>0.943676655142036i</v>
      </c>
      <c r="AO392" s="170" t="str">
        <f t="shared" si="191"/>
        <v>0.858049290598659-0.437846019589722i</v>
      </c>
      <c r="AP392" s="170" t="str">
        <f t="shared" si="192"/>
        <v>0.0978024887943862-0.13495351408319i</v>
      </c>
      <c r="AQ392" s="170" t="str">
        <f t="shared" si="193"/>
        <v>0.902197511205614+0.13495351408319i</v>
      </c>
      <c r="AR392" s="170" t="str">
        <f t="shared" si="194"/>
        <v>0.903094317266301-0.13508766112731i</v>
      </c>
    </row>
    <row r="393" spans="7:44">
      <c r="G393" s="688">
        <v>34674</v>
      </c>
      <c r="H393" s="676">
        <f t="shared" si="186"/>
        <v>34.673999999999999</v>
      </c>
      <c r="I393" s="677">
        <f t="shared" si="166"/>
        <v>279.54784844538432</v>
      </c>
      <c r="J393" s="678">
        <f t="shared" si="167"/>
        <v>1.5672191140268277</v>
      </c>
      <c r="K393" s="678">
        <f t="shared" si="168"/>
        <v>1.0011479785743223</v>
      </c>
      <c r="L393" s="679">
        <f t="shared" si="169"/>
        <v>4.7893244549245512E-2</v>
      </c>
      <c r="M393" s="678">
        <f t="shared" si="170"/>
        <v>1.0166729484788546</v>
      </c>
      <c r="N393" s="679">
        <f t="shared" si="171"/>
        <v>-0.18135347381417283</v>
      </c>
      <c r="O393" s="677">
        <f t="shared" si="172"/>
        <v>1437896.9028088679</v>
      </c>
      <c r="P393" s="680">
        <f t="shared" si="173"/>
        <v>1.5707956313347435</v>
      </c>
      <c r="Q393" s="689">
        <f t="shared" si="195"/>
        <v>57.524568707380467</v>
      </c>
      <c r="R393" s="690">
        <f t="shared" si="196"/>
        <v>1.5534115745777197</v>
      </c>
      <c r="S393" s="677">
        <f t="shared" si="174"/>
        <v>1.0336095383599357</v>
      </c>
      <c r="T393" s="680">
        <f t="shared" si="175"/>
        <v>0.25571247384404061</v>
      </c>
      <c r="U393" s="681">
        <f t="shared" si="187"/>
        <v>0.87848270384156213</v>
      </c>
      <c r="V393" s="682">
        <f t="shared" si="188"/>
        <v>-0.62347560313027717</v>
      </c>
      <c r="W393" s="683">
        <f t="shared" si="176"/>
        <v>-32.56397723267979</v>
      </c>
      <c r="X393" s="684">
        <f t="shared" si="177"/>
        <v>-148.81154813758474</v>
      </c>
      <c r="Y393" s="687">
        <f t="shared" si="178"/>
        <v>31.188451862415263</v>
      </c>
      <c r="AA393" s="170">
        <f t="shared" si="179"/>
        <v>34674</v>
      </c>
      <c r="AB393" s="170">
        <f t="shared" si="180"/>
        <v>1202286276</v>
      </c>
      <c r="AD393" s="686">
        <f t="shared" si="181"/>
        <v>16.860832392708367</v>
      </c>
      <c r="AE393" s="687">
        <f t="shared" si="182"/>
        <v>-15.647278620985949</v>
      </c>
      <c r="AG393" s="686">
        <f t="shared" si="183"/>
        <v>-8.8978611870567921</v>
      </c>
      <c r="AH393" s="687">
        <f t="shared" si="184"/>
        <v>-61.719228057484152</v>
      </c>
      <c r="AJ393" s="170">
        <f t="shared" si="185"/>
        <v>0</v>
      </c>
      <c r="AK393" s="170">
        <f t="shared" si="197"/>
        <v>0</v>
      </c>
      <c r="AM393" s="170" t="str">
        <f t="shared" si="189"/>
        <v>0.417570882801331+0.812881494093191i</v>
      </c>
      <c r="AN393" s="170" t="str">
        <f t="shared" si="190"/>
        <v>0.949082544353253i</v>
      </c>
      <c r="AO393" s="170" t="str">
        <f t="shared" si="191"/>
        <v>0.856491881480261-0.439973198628242i</v>
      </c>
      <c r="AP393" s="170" t="str">
        <f t="shared" si="192"/>
        <v>0.0970715195331115-0.135480249015532i</v>
      </c>
      <c r="AQ393" s="170" t="str">
        <f t="shared" si="193"/>
        <v>0.902928480466888+0.135480249015532i</v>
      </c>
      <c r="AR393" s="170" t="str">
        <f t="shared" si="194"/>
        <v>0.902240980733848-0.135377092855276i</v>
      </c>
    </row>
    <row r="394" spans="7:44">
      <c r="G394" s="688">
        <v>34875.75</v>
      </c>
      <c r="H394" s="676">
        <f t="shared" si="186"/>
        <v>34.875749999999996</v>
      </c>
      <c r="I394" s="677">
        <f t="shared" si="166"/>
        <v>281.17437145427135</v>
      </c>
      <c r="J394" s="678">
        <f t="shared" si="167"/>
        <v>1.5672398073903386</v>
      </c>
      <c r="K394" s="678">
        <f t="shared" si="168"/>
        <v>1.0011613686502372</v>
      </c>
      <c r="L394" s="679">
        <f t="shared" si="169"/>
        <v>4.817148081727899E-2</v>
      </c>
      <c r="M394" s="678">
        <f t="shared" si="170"/>
        <v>1.0168659215149203</v>
      </c>
      <c r="N394" s="679">
        <f t="shared" si="171"/>
        <v>-0.18238549510048488</v>
      </c>
      <c r="O394" s="677">
        <f t="shared" si="172"/>
        <v>1446263.2781950808</v>
      </c>
      <c r="P394" s="680">
        <f t="shared" si="173"/>
        <v>1.5707956353578567</v>
      </c>
      <c r="Q394" s="689">
        <f t="shared" si="195"/>
        <v>57.859173445248338</v>
      </c>
      <c r="R394" s="690">
        <f t="shared" si="196"/>
        <v>1.5535121221855228</v>
      </c>
      <c r="S394" s="677">
        <f t="shared" si="174"/>
        <v>1.0339953397573032</v>
      </c>
      <c r="T394" s="680">
        <f t="shared" si="175"/>
        <v>0.25713578454360353</v>
      </c>
      <c r="U394" s="681">
        <f t="shared" si="187"/>
        <v>0.87730351377314597</v>
      </c>
      <c r="V394" s="682">
        <f t="shared" si="188"/>
        <v>-0.62669284229324262</v>
      </c>
      <c r="W394" s="683">
        <f t="shared" si="176"/>
        <v>-32.627527671227639</v>
      </c>
      <c r="X394" s="684">
        <f t="shared" si="177"/>
        <v>-149.11604567921637</v>
      </c>
      <c r="Y394" s="687">
        <f t="shared" si="178"/>
        <v>30.88395432078363</v>
      </c>
      <c r="AA394" s="170">
        <f t="shared" si="179"/>
        <v>34875.75</v>
      </c>
      <c r="AB394" s="170">
        <f t="shared" si="180"/>
        <v>1216317938.0625</v>
      </c>
      <c r="AD394" s="686">
        <f t="shared" si="181"/>
        <v>16.857575793031948</v>
      </c>
      <c r="AE394" s="687">
        <f t="shared" si="182"/>
        <v>-15.72306759403347</v>
      </c>
      <c r="AG394" s="686">
        <f t="shared" si="183"/>
        <v>-8.9348211684602852</v>
      </c>
      <c r="AH394" s="687">
        <f t="shared" si="184"/>
        <v>-61.57926817420276</v>
      </c>
      <c r="AJ394" s="170">
        <f t="shared" si="185"/>
        <v>0</v>
      </c>
      <c r="AK394" s="170">
        <f t="shared" si="197"/>
        <v>0</v>
      </c>
      <c r="AM394" s="170" t="str">
        <f t="shared" si="189"/>
        <v>0.422068649724742+0.816085384239307i</v>
      </c>
      <c r="AN394" s="170" t="str">
        <f t="shared" si="190"/>
        <v>0.954604762825979i</v>
      </c>
      <c r="AO394" s="170" t="str">
        <f t="shared" si="191"/>
        <v>0.854893476357059-0.442139685617391i</v>
      </c>
      <c r="AP394" s="170" t="str">
        <f t="shared" si="192"/>
        <v>0.096321891712543-0.136014230706551i</v>
      </c>
      <c r="AQ394" s="170" t="str">
        <f t="shared" si="193"/>
        <v>0.903678108287457+0.136014230706551i</v>
      </c>
      <c r="AR394" s="170" t="str">
        <f t="shared" si="194"/>
        <v>0.90136896509274-0.135666677377174i</v>
      </c>
    </row>
    <row r="395" spans="7:44">
      <c r="G395" s="688">
        <v>35077.5</v>
      </c>
      <c r="H395" s="676">
        <f t="shared" si="186"/>
        <v>35.077500000000001</v>
      </c>
      <c r="I395" s="677">
        <f t="shared" si="166"/>
        <v>282.80089458217657</v>
      </c>
      <c r="J395" s="678">
        <f t="shared" si="167"/>
        <v>1.567260262719008</v>
      </c>
      <c r="K395" s="678">
        <f t="shared" si="168"/>
        <v>1.0011748362294044</v>
      </c>
      <c r="L395" s="679">
        <f t="shared" si="169"/>
        <v>4.8449709621307555E-2</v>
      </c>
      <c r="M395" s="678">
        <f t="shared" si="170"/>
        <v>1.0170599771706204</v>
      </c>
      <c r="N395" s="679">
        <f t="shared" si="171"/>
        <v>-0.18341712366463797</v>
      </c>
      <c r="O395" s="677">
        <f t="shared" si="172"/>
        <v>1454629.6535812938</v>
      </c>
      <c r="P395" s="680">
        <f t="shared" si="173"/>
        <v>1.5707956393346916</v>
      </c>
      <c r="Q395" s="689">
        <f t="shared" si="195"/>
        <v>58.193778761335444</v>
      </c>
      <c r="R395" s="690">
        <f t="shared" si="196"/>
        <v>1.5536115135276269</v>
      </c>
      <c r="S395" s="677">
        <f t="shared" si="174"/>
        <v>1.03438323427122</v>
      </c>
      <c r="T395" s="680">
        <f t="shared" si="175"/>
        <v>0.25855803063734628</v>
      </c>
      <c r="U395" s="681">
        <f t="shared" si="187"/>
        <v>0.87612191071073475</v>
      </c>
      <c r="V395" s="682">
        <f t="shared" si="188"/>
        <v>-0.62990429965961026</v>
      </c>
      <c r="W395" s="683">
        <f t="shared" si="176"/>
        <v>-32.690833567292913</v>
      </c>
      <c r="X395" s="684">
        <f t="shared" si="177"/>
        <v>-149.42018148531915</v>
      </c>
      <c r="Y395" s="687">
        <f t="shared" si="178"/>
        <v>30.579818514680852</v>
      </c>
      <c r="AA395" s="170">
        <f t="shared" si="179"/>
        <v>35077.5</v>
      </c>
      <c r="AB395" s="170">
        <f t="shared" si="180"/>
        <v>1230431006.25</v>
      </c>
      <c r="AD395" s="686">
        <f t="shared" si="181"/>
        <v>16.854303086745873</v>
      </c>
      <c r="AE395" s="687">
        <f t="shared" si="182"/>
        <v>-15.79886181615365</v>
      </c>
      <c r="AG395" s="686">
        <f t="shared" si="183"/>
        <v>-8.9714412715889349</v>
      </c>
      <c r="AH395" s="687">
        <f t="shared" si="184"/>
        <v>-61.439603851406716</v>
      </c>
      <c r="AJ395" s="170">
        <f t="shared" si="185"/>
        <v>0</v>
      </c>
      <c r="AK395" s="170">
        <f t="shared" si="197"/>
        <v>0</v>
      </c>
      <c r="AM395" s="170" t="str">
        <f t="shared" si="189"/>
        <v>0.426584040560284+0.819264388009042i</v>
      </c>
      <c r="AN395" s="170" t="str">
        <f t="shared" si="190"/>
        <v>0.960126981298704i</v>
      </c>
      <c r="AO395" s="170" t="str">
        <f t="shared" si="191"/>
        <v>0.853287537968024-0.444299607103292i</v>
      </c>
      <c r="AP395" s="170" t="str">
        <f t="shared" si="192"/>
        <v>0.095569326573286-0.136544064668174i</v>
      </c>
      <c r="AQ395" s="170" t="str">
        <f t="shared" si="193"/>
        <v>0.904430673426714+0.136544064668174i</v>
      </c>
      <c r="AR395" s="170" t="str">
        <f t="shared" si="194"/>
        <v>0.900496676265948-0.135950139695806i</v>
      </c>
    </row>
    <row r="396" spans="7:44">
      <c r="G396" s="688">
        <v>35279.25</v>
      </c>
      <c r="H396" s="676">
        <f t="shared" si="186"/>
        <v>35.279249999999998</v>
      </c>
      <c r="I396" s="677">
        <f t="shared" si="166"/>
        <v>284.42741782705809</v>
      </c>
      <c r="J396" s="678">
        <f t="shared" si="167"/>
        <v>1.5672804840964876</v>
      </c>
      <c r="K396" s="678">
        <f t="shared" si="168"/>
        <v>1.0011883813086957</v>
      </c>
      <c r="L396" s="679">
        <f t="shared" si="169"/>
        <v>4.872793091855717E-2</v>
      </c>
      <c r="M396" s="678">
        <f t="shared" si="170"/>
        <v>1.0172551148263806</v>
      </c>
      <c r="N396" s="679">
        <f t="shared" si="171"/>
        <v>-0.184448357536178</v>
      </c>
      <c r="O396" s="677">
        <f t="shared" si="172"/>
        <v>1462996.028967507</v>
      </c>
      <c r="P396" s="680">
        <f t="shared" si="173"/>
        <v>1.5707956432660419</v>
      </c>
      <c r="Q396" s="689">
        <f t="shared" si="195"/>
        <v>58.528384645724771</v>
      </c>
      <c r="R396" s="690">
        <f t="shared" si="196"/>
        <v>1.5537097684331116</v>
      </c>
      <c r="S396" s="677">
        <f t="shared" si="174"/>
        <v>1.0347732195478125</v>
      </c>
      <c r="T396" s="680">
        <f t="shared" si="175"/>
        <v>0.25997920757195569</v>
      </c>
      <c r="U396" s="681">
        <f t="shared" si="187"/>
        <v>0.8749379428668117</v>
      </c>
      <c r="V396" s="682">
        <f t="shared" si="188"/>
        <v>-0.63310997357194609</v>
      </c>
      <c r="W396" s="683">
        <f t="shared" si="176"/>
        <v>-32.753897893077827</v>
      </c>
      <c r="X396" s="684">
        <f t="shared" si="177"/>
        <v>-149.72395418749443</v>
      </c>
      <c r="Y396" s="687">
        <f t="shared" si="178"/>
        <v>30.276045812505572</v>
      </c>
      <c r="AA396" s="170">
        <f t="shared" si="179"/>
        <v>35279.25</v>
      </c>
      <c r="AB396" s="170">
        <f t="shared" si="180"/>
        <v>1244625480.5625</v>
      </c>
      <c r="AD396" s="686">
        <f t="shared" si="181"/>
        <v>16.851014306533699</v>
      </c>
      <c r="AE396" s="687">
        <f t="shared" si="182"/>
        <v>-15.874659890383784</v>
      </c>
      <c r="AG396" s="686">
        <f t="shared" si="183"/>
        <v>-9.007725180200266</v>
      </c>
      <c r="AH396" s="687">
        <f t="shared" si="184"/>
        <v>-61.300235307588075</v>
      </c>
      <c r="AJ396" s="170">
        <f t="shared" si="185"/>
        <v>0</v>
      </c>
      <c r="AK396" s="170">
        <f t="shared" si="197"/>
        <v>0</v>
      </c>
      <c r="AM396" s="170" t="str">
        <f t="shared" si="189"/>
        <v>0.431116917611931+0.822418408459252i</v>
      </c>
      <c r="AN396" s="170" t="str">
        <f t="shared" si="190"/>
        <v>0.965649199771429i</v>
      </c>
      <c r="AO396" s="170" t="str">
        <f t="shared" si="191"/>
        <v>0.851674095162011-0.446452933129316i</v>
      </c>
      <c r="AP396" s="170" t="str">
        <f t="shared" si="192"/>
        <v>0.0948138470646782-0.137069734743209i</v>
      </c>
      <c r="AQ396" s="170" t="str">
        <f t="shared" si="193"/>
        <v>0.905186152935322+0.137069734743209i</v>
      </c>
      <c r="AR396" s="170" t="str">
        <f t="shared" si="194"/>
        <v>0.899624160523751-0.136227498235254i</v>
      </c>
    </row>
    <row r="397" spans="7:44">
      <c r="G397" s="688">
        <v>35481</v>
      </c>
      <c r="H397" s="676">
        <f t="shared" si="186"/>
        <v>35.481000000000002</v>
      </c>
      <c r="I397" s="677">
        <f t="shared" ref="I397:I460" si="198">SQRT(1+(G397/pole1)^2)</f>
        <v>286.05394118692055</v>
      </c>
      <c r="J397" s="678">
        <f t="shared" ref="J397:J460" si="199">ATAN(G397/pole1)</f>
        <v>1.5673004755135509</v>
      </c>
      <c r="K397" s="678">
        <f t="shared" ref="K397:K460" si="200">SQRT(1+(G397/Zero1)^2)</f>
        <v>1.0012020038849661</v>
      </c>
      <c r="L397" s="679">
        <f t="shared" ref="L397:L460" si="201">ATAN(G397/Zero1)</f>
        <v>4.9006144666260812E-2</v>
      </c>
      <c r="M397" s="678">
        <f t="shared" ref="M397:M460" si="202">SQRT(1+(G397/z_RHP)^2)</f>
        <v>1.0174513338596483</v>
      </c>
      <c r="N397" s="679">
        <f t="shared" ref="N397:N460" si="203">-ATAN(G397/z_RHP)</f>
        <v>-0.18547919474951616</v>
      </c>
      <c r="O397" s="677">
        <f t="shared" ref="O397:O460" si="204">SQRT(1+(G397/Pole2)^2)</f>
        <v>1471362.4043537199</v>
      </c>
      <c r="P397" s="680">
        <f t="shared" ref="P397:P460" si="205">ATAN(G397/Pole2)</f>
        <v>1.570795647152684</v>
      </c>
      <c r="Q397" s="689">
        <f t="shared" si="195"/>
        <v>58.862991088724804</v>
      </c>
      <c r="R397" s="690">
        <f t="shared" si="196"/>
        <v>1.5538069062802722</v>
      </c>
      <c r="S397" s="677">
        <f t="shared" ref="S397:S460" si="206">SQRT(1+(G397/pole4)^2)</f>
        <v>1.0351652932240762</v>
      </c>
      <c r="T397" s="680">
        <f t="shared" ref="T397:T460" si="207">ATAN(G397/pole4)</f>
        <v>0.26139931081823725</v>
      </c>
      <c r="U397" s="681">
        <f t="shared" si="187"/>
        <v>0.87375165816621458</v>
      </c>
      <c r="V397" s="682">
        <f t="shared" si="188"/>
        <v>-0.63630986267818757</v>
      </c>
      <c r="W397" s="683">
        <f t="shared" ref="W397:W460" si="208">20*LOG10(((K397*Q397*M397*U397)/(I397*O397*S397))*Adc)</f>
        <v>-32.816723564663448</v>
      </c>
      <c r="X397" s="684">
        <f t="shared" ref="X397:X460" si="209">((L397+R397+N397+V397)-(J397+P397+T397))*radconv</f>
        <v>-150.02736245700589</v>
      </c>
      <c r="Y397" s="687">
        <f t="shared" ref="Y397:Y460" si="210">IF(X397&gt;0,X397,X397+180)</f>
        <v>29.972637542994107</v>
      </c>
      <c r="AA397" s="170">
        <f t="shared" ref="AA397:AA460" si="211">IF(W397&lt;0,G397,1000000000)</f>
        <v>35481</v>
      </c>
      <c r="AB397" s="170">
        <f t="shared" ref="AB397:AB460" si="212">G397^2</f>
        <v>1258901361</v>
      </c>
      <c r="AD397" s="686">
        <f t="shared" ref="AD397:AD460" si="213">20*LOG10((Q397/(O397*S397))*Aea)</f>
        <v>16.847709485371904</v>
      </c>
      <c r="AE397" s="687">
        <f t="shared" ref="AE397:AE460" si="214">(R397-(P397+T397))*radconv</f>
        <v>-15.950460446970057</v>
      </c>
      <c r="AG397" s="686">
        <f t="shared" ref="AG397:AG460" si="215">20*LOG10((K397*M397/(I397*U397))*Acs*Am)</f>
        <v>-9.043676519915568</v>
      </c>
      <c r="AH397" s="687">
        <f t="shared" ref="AH397:AH460" si="216">(L397+N397-(J397+V397))*radconv</f>
        <v>-61.161162738699218</v>
      </c>
      <c r="AJ397" s="170">
        <f t="shared" ref="AJ397:AJ460" si="217">SUM((W398&lt;0)*(W397&gt;0))*G397</f>
        <v>0</v>
      </c>
      <c r="AK397" s="170">
        <f t="shared" si="197"/>
        <v>0</v>
      </c>
      <c r="AM397" s="170" t="str">
        <f t="shared" si="189"/>
        <v>0.435667142650415+0.825547349408653i</v>
      </c>
      <c r="AN397" s="170" t="str">
        <f t="shared" si="190"/>
        <v>0.971171418244154i</v>
      </c>
      <c r="AO397" s="170" t="str">
        <f t="shared" si="191"/>
        <v>0.850053176916198-0.448599633871111i</v>
      </c>
      <c r="AP397" s="170" t="str">
        <f t="shared" si="192"/>
        <v>0.0940554762249308-0.137591224901442i</v>
      </c>
      <c r="AQ397" s="170" t="str">
        <f t="shared" si="193"/>
        <v>0.905944523775069+0.137591224901442i</v>
      </c>
      <c r="AR397" s="170" t="str">
        <f t="shared" si="194"/>
        <v>0.898751463724815-0.136498771757645i</v>
      </c>
    </row>
    <row r="398" spans="7:44">
      <c r="G398" s="688">
        <v>35687.75</v>
      </c>
      <c r="H398" s="676">
        <f t="shared" ref="H398:H461" si="218">G398/1000</f>
        <v>35.687750000000001</v>
      </c>
      <c r="I398" s="677">
        <f t="shared" si="198"/>
        <v>287.72077503230798</v>
      </c>
      <c r="J398" s="678">
        <f t="shared" si="199"/>
        <v>1.5673207278806767</v>
      </c>
      <c r="K398" s="678">
        <f t="shared" si="200"/>
        <v>1.0012160444699509</v>
      </c>
      <c r="L398" s="679">
        <f t="shared" si="201"/>
        <v>4.9291245549053161E-2</v>
      </c>
      <c r="M398" s="678">
        <f t="shared" si="202"/>
        <v>1.0176535370733131</v>
      </c>
      <c r="N398" s="679">
        <f t="shared" si="203"/>
        <v>-0.18653516577687632</v>
      </c>
      <c r="O398" s="677">
        <f t="shared" si="204"/>
        <v>1479936.1248548329</v>
      </c>
      <c r="P398" s="680">
        <f t="shared" si="205"/>
        <v>1.5707956510900583</v>
      </c>
      <c r="Q398" s="689">
        <f t="shared" si="195"/>
        <v>59.205890702183879</v>
      </c>
      <c r="R398" s="690">
        <f t="shared" si="196"/>
        <v>1.5539053123910342</v>
      </c>
      <c r="S398" s="677">
        <f t="shared" si="206"/>
        <v>1.0355692479154051</v>
      </c>
      <c r="T398" s="680">
        <f t="shared" si="207"/>
        <v>0.26285349004821285</v>
      </c>
      <c r="U398" s="681">
        <f t="shared" ref="U398:U461" si="219">IMABS(IMPRODUCT(AO398, AR398))</f>
        <v>0.87253361972692878</v>
      </c>
      <c r="V398" s="682">
        <f t="shared" ref="V398:V461" si="220">IMARGUMENT(IMPRODUCT(AO398, AR398))</f>
        <v>-0.63958305238103264</v>
      </c>
      <c r="W398" s="683">
        <f t="shared" si="208"/>
        <v>-32.880861647438685</v>
      </c>
      <c r="X398" s="684">
        <f t="shared" si="209"/>
        <v>-150.33791069718043</v>
      </c>
      <c r="Y398" s="687">
        <f t="shared" si="210"/>
        <v>29.662089302819567</v>
      </c>
      <c r="AA398" s="170">
        <f t="shared" si="211"/>
        <v>35687.75</v>
      </c>
      <c r="AB398" s="170">
        <f t="shared" si="212"/>
        <v>1273615500.0625</v>
      </c>
      <c r="AD398" s="686">
        <f t="shared" si="213"/>
        <v>16.844306152942202</v>
      </c>
      <c r="AE398" s="687">
        <f t="shared" si="214"/>
        <v>-16.028140750361967</v>
      </c>
      <c r="AG398" s="686">
        <f t="shared" si="215"/>
        <v>-9.0801775455468015</v>
      </c>
      <c r="AH398" s="687">
        <f t="shared" si="216"/>
        <v>-61.018950764015855</v>
      </c>
      <c r="AJ398" s="170">
        <f t="shared" si="217"/>
        <v>0</v>
      </c>
      <c r="AK398" s="170">
        <f t="shared" si="197"/>
        <v>0</v>
      </c>
      <c r="AM398" s="170" t="str">
        <f t="shared" ref="AM398:AM461" si="221">IMSUB(1,IMEXP(COMPLEX(0,-2*Pi*G398*Tsw)))</f>
        <v>0.440347989656154+0.828727716031081i</v>
      </c>
      <c r="AN398" s="170" t="str">
        <f t="shared" ref="AN398:AN461" si="222">COMPLEX(0, 2*Pi*G398*Tsw)</f>
        <v>0.976830494671593i</v>
      </c>
      <c r="AO398" s="170" t="str">
        <f t="shared" ref="AO398:AO461" si="223">IMDIV(AM398, AN398)</f>
        <v>0.848384362027617-0.450792631943987i</v>
      </c>
      <c r="AP398" s="170" t="str">
        <f t="shared" ref="AP398:AP461" si="224">IMDIV(IMEXP(COMPLEX(0,-2*Pi*G398*Tsw)),6)</f>
        <v>0.0932753350573077-0.13812128600518i</v>
      </c>
      <c r="AQ398" s="170" t="str">
        <f t="shared" ref="AQ398:AQ461" si="225">IMSUB(1, AP398)</f>
        <v>0.906724664942692+0.13812128600518i</v>
      </c>
      <c r="AR398" s="170" t="str">
        <f t="shared" ref="AR398:AR461" si="226">IMDIV(0.833, AQ398)</f>
        <v>0.897856998445294-0.136770475171592i</v>
      </c>
    </row>
    <row r="399" spans="7:44">
      <c r="G399" s="688">
        <v>35894.5</v>
      </c>
      <c r="H399" s="676">
        <f t="shared" si="218"/>
        <v>35.894500000000001</v>
      </c>
      <c r="I399" s="677">
        <f t="shared" si="198"/>
        <v>289.38760899434703</v>
      </c>
      <c r="J399" s="678">
        <f t="shared" si="199"/>
        <v>1.5673407469459533</v>
      </c>
      <c r="K399" s="678">
        <f t="shared" si="200"/>
        <v>1.001230166434006</v>
      </c>
      <c r="L399" s="679">
        <f t="shared" si="201"/>
        <v>4.9576338412542782E-2</v>
      </c>
      <c r="M399" s="678">
        <f t="shared" si="202"/>
        <v>1.0178568745952117</v>
      </c>
      <c r="N399" s="679">
        <f t="shared" si="203"/>
        <v>-0.18759071607767172</v>
      </c>
      <c r="O399" s="677">
        <f t="shared" si="204"/>
        <v>1488509.8453559461</v>
      </c>
      <c r="P399" s="680">
        <f t="shared" si="205"/>
        <v>1.5707956549820745</v>
      </c>
      <c r="Q399" s="689">
        <f t="shared" si="195"/>
        <v>59.548790882375869</v>
      </c>
      <c r="R399" s="690">
        <f t="shared" si="196"/>
        <v>1.554002585197666</v>
      </c>
      <c r="S399" s="677">
        <f t="shared" si="206"/>
        <v>1.0359753907495568</v>
      </c>
      <c r="T399" s="680">
        <f t="shared" si="207"/>
        <v>0.26430653215868183</v>
      </c>
      <c r="U399" s="681">
        <f t="shared" si="219"/>
        <v>0.87131324914037001</v>
      </c>
      <c r="V399" s="682">
        <f t="shared" si="220"/>
        <v>-0.64285016508989845</v>
      </c>
      <c r="W399" s="683">
        <f t="shared" si="208"/>
        <v>-32.944755125888598</v>
      </c>
      <c r="X399" s="684">
        <f t="shared" si="209"/>
        <v>-150.64807351644802</v>
      </c>
      <c r="Y399" s="687">
        <f t="shared" si="210"/>
        <v>29.351926483551978</v>
      </c>
      <c r="AA399" s="170">
        <f t="shared" si="211"/>
        <v>35894.5</v>
      </c>
      <c r="AB399" s="170">
        <f t="shared" si="212"/>
        <v>1288415130.25</v>
      </c>
      <c r="AD399" s="686">
        <f t="shared" si="213"/>
        <v>16.840886045653718</v>
      </c>
      <c r="AE399" s="687">
        <f t="shared" si="214"/>
        <v>-16.105820832550087</v>
      </c>
      <c r="AG399" s="686">
        <f t="shared" si="215"/>
        <v>-9.1163368415401571</v>
      </c>
      <c r="AH399" s="687">
        <f t="shared" si="216"/>
        <v>-60.877049961844371</v>
      </c>
      <c r="AJ399" s="170">
        <f t="shared" si="217"/>
        <v>0</v>
      </c>
      <c r="AK399" s="170">
        <f t="shared" si="197"/>
        <v>0</v>
      </c>
      <c r="AM399" s="170" t="str">
        <f t="shared" si="221"/>
        <v>0.445046759551409+0.831881542598229i</v>
      </c>
      <c r="AN399" s="170" t="str">
        <f t="shared" si="222"/>
        <v>0.982489571099033i</v>
      </c>
      <c r="AO399" s="170" t="str">
        <f t="shared" si="223"/>
        <v>0.846707758605182-0.452978609282916i</v>
      </c>
      <c r="AP399" s="170" t="str">
        <f t="shared" si="224"/>
        <v>0.0924922067414318-0.138646923766371i</v>
      </c>
      <c r="AQ399" s="170" t="str">
        <f t="shared" si="225"/>
        <v>0.907507793258568+0.138646923766371i</v>
      </c>
      <c r="AR399" s="170" t="str">
        <f t="shared" si="226"/>
        <v>0.896962439205751-0.137035829172681i</v>
      </c>
    </row>
    <row r="400" spans="7:44">
      <c r="G400" s="688">
        <v>36101.25</v>
      </c>
      <c r="H400" s="676">
        <f t="shared" si="218"/>
        <v>36.10125</v>
      </c>
      <c r="I400" s="677">
        <f t="shared" si="198"/>
        <v>291.05444307103357</v>
      </c>
      <c r="J400" s="678">
        <f t="shared" si="199"/>
        <v>1.5673605367176398</v>
      </c>
      <c r="K400" s="678">
        <f t="shared" si="200"/>
        <v>1.0012443697736877</v>
      </c>
      <c r="L400" s="679">
        <f t="shared" si="201"/>
        <v>4.9861423210726452E-2</v>
      </c>
      <c r="M400" s="678">
        <f t="shared" si="202"/>
        <v>1.0180613457456775</v>
      </c>
      <c r="N400" s="679">
        <f t="shared" si="203"/>
        <v>-0.18864584355254577</v>
      </c>
      <c r="O400" s="677">
        <f t="shared" si="204"/>
        <v>1497083.5658570591</v>
      </c>
      <c r="P400" s="680">
        <f t="shared" si="205"/>
        <v>1.570795658829512</v>
      </c>
      <c r="Q400" s="689">
        <f t="shared" si="195"/>
        <v>59.891691619566565</v>
      </c>
      <c r="R400" s="690">
        <f t="shared" si="196"/>
        <v>1.5540987441639897</v>
      </c>
      <c r="S400" s="677">
        <f t="shared" si="206"/>
        <v>1.0363837191540335</v>
      </c>
      <c r="T400" s="680">
        <f t="shared" si="207"/>
        <v>0.26575843235441637</v>
      </c>
      <c r="U400" s="681">
        <f t="shared" si="219"/>
        <v>0.87009059702828284</v>
      </c>
      <c r="V400" s="682">
        <f t="shared" si="220"/>
        <v>-0.64611120032976133</v>
      </c>
      <c r="W400" s="683">
        <f t="shared" si="208"/>
        <v>-33.008406963432428</v>
      </c>
      <c r="X400" s="684">
        <f t="shared" si="209"/>
        <v>-150.95784960970309</v>
      </c>
      <c r="Y400" s="687">
        <f t="shared" si="210"/>
        <v>29.042150390296911</v>
      </c>
      <c r="AA400" s="170">
        <f t="shared" si="211"/>
        <v>36101.25</v>
      </c>
      <c r="AB400" s="170">
        <f t="shared" si="212"/>
        <v>1303300251.5625</v>
      </c>
      <c r="AD400" s="686">
        <f t="shared" si="213"/>
        <v>16.837449199907695</v>
      </c>
      <c r="AE400" s="687">
        <f t="shared" si="214"/>
        <v>-16.183499303637905</v>
      </c>
      <c r="AG400" s="686">
        <f t="shared" si="215"/>
        <v>-9.1521581280415667</v>
      </c>
      <c r="AH400" s="687">
        <f t="shared" si="216"/>
        <v>-60.735460471409489</v>
      </c>
      <c r="AJ400" s="170">
        <f t="shared" si="217"/>
        <v>0</v>
      </c>
      <c r="AK400" s="170">
        <f t="shared" si="197"/>
        <v>0</v>
      </c>
      <c r="AM400" s="170" t="str">
        <f t="shared" si="221"/>
        <v>0.449763301857788+0.835008728108608i</v>
      </c>
      <c r="AN400" s="170" t="str">
        <f t="shared" si="222"/>
        <v>0.988148647526472i</v>
      </c>
      <c r="AO400" s="170" t="str">
        <f t="shared" si="223"/>
        <v>0.845023398249643-0.455157534226893i</v>
      </c>
      <c r="AP400" s="170" t="str">
        <f t="shared" si="224"/>
        <v>0.0917061163570353-0.139168121351435i</v>
      </c>
      <c r="AQ400" s="170" t="str">
        <f t="shared" si="225"/>
        <v>0.908293883642965+0.139168121351435i</v>
      </c>
      <c r="AR400" s="170" t="str">
        <f t="shared" si="226"/>
        <v>0.896067834006068-0.137294855010928i</v>
      </c>
    </row>
    <row r="401" spans="7:44">
      <c r="G401" s="688">
        <v>36308</v>
      </c>
      <c r="H401" s="676">
        <f t="shared" si="218"/>
        <v>36.308</v>
      </c>
      <c r="I401" s="677">
        <f t="shared" si="198"/>
        <v>292.72127726040907</v>
      </c>
      <c r="J401" s="678">
        <f t="shared" si="199"/>
        <v>1.5673801011127004</v>
      </c>
      <c r="K401" s="678">
        <f t="shared" si="200"/>
        <v>1.0012586544855333</v>
      </c>
      <c r="L401" s="679">
        <f t="shared" si="201"/>
        <v>5.0146499897608804E-2</v>
      </c>
      <c r="M401" s="678">
        <f t="shared" si="202"/>
        <v>1.0182669498418022</v>
      </c>
      <c r="N401" s="679">
        <f t="shared" si="203"/>
        <v>-0.18970054610758907</v>
      </c>
      <c r="O401" s="677">
        <f t="shared" si="204"/>
        <v>1505657.2863581721</v>
      </c>
      <c r="P401" s="680">
        <f t="shared" si="205"/>
        <v>1.5707956626331321</v>
      </c>
      <c r="Q401" s="689">
        <f t="shared" si="195"/>
        <v>60.234592904243385</v>
      </c>
      <c r="R401" s="690">
        <f t="shared" si="196"/>
        <v>1.5541938083107001</v>
      </c>
      <c r="S401" s="677">
        <f t="shared" si="206"/>
        <v>1.0367942305465567</v>
      </c>
      <c r="T401" s="680">
        <f t="shared" si="207"/>
        <v>0.26720918586697995</v>
      </c>
      <c r="U401" s="681">
        <f t="shared" si="219"/>
        <v>0.86886571368527599</v>
      </c>
      <c r="V401" s="682">
        <f t="shared" si="220"/>
        <v>-0.64936615795013186</v>
      </c>
      <c r="W401" s="683">
        <f t="shared" si="208"/>
        <v>-33.071820067241397</v>
      </c>
      <c r="X401" s="684">
        <f t="shared" si="209"/>
        <v>-151.26723771243871</v>
      </c>
      <c r="Y401" s="687">
        <f t="shared" si="210"/>
        <v>28.732762287561286</v>
      </c>
      <c r="AA401" s="170">
        <f t="shared" si="211"/>
        <v>36308</v>
      </c>
      <c r="AB401" s="170">
        <f t="shared" si="212"/>
        <v>1318270864</v>
      </c>
      <c r="AD401" s="686">
        <f t="shared" si="213"/>
        <v>16.833995652398343</v>
      </c>
      <c r="AE401" s="687">
        <f t="shared" si="214"/>
        <v>-16.261174800652199</v>
      </c>
      <c r="AG401" s="686">
        <f t="shared" si="215"/>
        <v>-9.1876450665281695</v>
      </c>
      <c r="AH401" s="687">
        <f t="shared" si="216"/>
        <v>-60.594182408422299</v>
      </c>
      <c r="AJ401" s="170">
        <f t="shared" si="217"/>
        <v>0</v>
      </c>
      <c r="AK401" s="170">
        <f t="shared" si="197"/>
        <v>0</v>
      </c>
      <c r="AM401" s="170" t="str">
        <f t="shared" si="221"/>
        <v>0.454497465527738+0.838109172413916i</v>
      </c>
      <c r="AN401" s="170" t="str">
        <f t="shared" si="222"/>
        <v>0.993807723953911i</v>
      </c>
      <c r="AO401" s="170" t="str">
        <f t="shared" si="223"/>
        <v>0.843331312700468-0.457329375263354i</v>
      </c>
      <c r="AP401" s="170" t="str">
        <f t="shared" si="224"/>
        <v>0.0909170890787103-0.139684862068986i</v>
      </c>
      <c r="AQ401" s="170" t="str">
        <f t="shared" si="225"/>
        <v>0.90908291092129+0.139684862068986i</v>
      </c>
      <c r="AR401" s="170" t="str">
        <f t="shared" si="226"/>
        <v>0.895173230387085-0.137547574277628i</v>
      </c>
    </row>
    <row r="402" spans="7:44">
      <c r="G402" s="688">
        <v>36519.5</v>
      </c>
      <c r="H402" s="676">
        <f t="shared" si="218"/>
        <v>36.519500000000001</v>
      </c>
      <c r="I402" s="677">
        <f t="shared" si="198"/>
        <v>294.42640642484849</v>
      </c>
      <c r="J402" s="678">
        <f t="shared" si="199"/>
        <v>1.5673998857800413</v>
      </c>
      <c r="K402" s="678">
        <f t="shared" si="200"/>
        <v>1.0012733515772676</v>
      </c>
      <c r="L402" s="679">
        <f t="shared" si="201"/>
        <v>5.0438117668419179E-2</v>
      </c>
      <c r="M402" s="678">
        <f t="shared" si="202"/>
        <v>1.0184784491839471</v>
      </c>
      <c r="N402" s="679">
        <f t="shared" si="203"/>
        <v>-0.19077903818634653</v>
      </c>
      <c r="O402" s="677">
        <f t="shared" si="204"/>
        <v>1514427.9847184403</v>
      </c>
      <c r="P402" s="680">
        <f t="shared" si="205"/>
        <v>1.5707956664795761</v>
      </c>
      <c r="Q402" s="689">
        <f t="shared" si="195"/>
        <v>60.585372767985589</v>
      </c>
      <c r="R402" s="690">
        <f t="shared" si="196"/>
        <v>1.5542899430611439</v>
      </c>
      <c r="S402" s="677">
        <f t="shared" si="206"/>
        <v>1.0372164293685184</v>
      </c>
      <c r="T402" s="680">
        <f t="shared" si="207"/>
        <v>0.26869207842500709</v>
      </c>
      <c r="U402" s="681">
        <f t="shared" si="219"/>
        <v>0.86761043251080339</v>
      </c>
      <c r="V402" s="682">
        <f t="shared" si="220"/>
        <v>-0.65268960845294721</v>
      </c>
      <c r="W402" s="683">
        <f t="shared" si="208"/>
        <v>-33.136446011807486</v>
      </c>
      <c r="X402" s="684">
        <f t="shared" si="209"/>
        <v>-151.58333114478859</v>
      </c>
      <c r="Y402" s="687">
        <f t="shared" si="210"/>
        <v>28.416668855211412</v>
      </c>
      <c r="AA402" s="170">
        <f t="shared" si="211"/>
        <v>36519.5</v>
      </c>
      <c r="AB402" s="170">
        <f t="shared" si="212"/>
        <v>1333673880.25</v>
      </c>
      <c r="AD402" s="686">
        <f t="shared" si="213"/>
        <v>16.830445517805288</v>
      </c>
      <c r="AE402" s="687">
        <f t="shared" si="214"/>
        <v>-16.340630390709336</v>
      </c>
      <c r="AG402" s="686">
        <f t="shared" si="215"/>
        <v>-9.2236051024219972</v>
      </c>
      <c r="AH402" s="687">
        <f t="shared" si="216"/>
        <v>-60.449980875815911</v>
      </c>
      <c r="AJ402" s="170">
        <f t="shared" si="217"/>
        <v>0</v>
      </c>
      <c r="AK402" s="170">
        <f t="shared" si="197"/>
        <v>0</v>
      </c>
      <c r="AM402" s="170" t="str">
        <f t="shared" si="221"/>
        <v>0.459358469946058+0.841253074871606i</v>
      </c>
      <c r="AN402" s="170" t="str">
        <f t="shared" si="222"/>
        <v>0.99959681543833i</v>
      </c>
      <c r="AO402" s="170" t="str">
        <f t="shared" si="223"/>
        <v>0.841592391931252-0.45954375089183i</v>
      </c>
      <c r="AP402" s="170" t="str">
        <f t="shared" si="224"/>
        <v>0.090106921675657-0.140208845811934i</v>
      </c>
      <c r="AQ402" s="170" t="str">
        <f t="shared" si="225"/>
        <v>0.909893078324343+0.140208845811934i</v>
      </c>
      <c r="AR402" s="170" t="str">
        <f t="shared" si="226"/>
        <v>0.894258124323173-0.13779959695946i</v>
      </c>
    </row>
    <row r="403" spans="7:44">
      <c r="G403" s="688">
        <v>36731</v>
      </c>
      <c r="H403" s="676">
        <f t="shared" si="218"/>
        <v>36.731000000000002</v>
      </c>
      <c r="I403" s="677">
        <f t="shared" si="198"/>
        <v>296.13153570320895</v>
      </c>
      <c r="J403" s="678">
        <f t="shared" si="199"/>
        <v>1.5674194426066399</v>
      </c>
      <c r="K403" s="678">
        <f t="shared" si="200"/>
        <v>1.0012881338157096</v>
      </c>
      <c r="L403" s="679">
        <f t="shared" si="201"/>
        <v>5.0729726853592214E-2</v>
      </c>
      <c r="M403" s="678">
        <f t="shared" si="202"/>
        <v>1.018691132671665</v>
      </c>
      <c r="N403" s="679">
        <f t="shared" si="203"/>
        <v>-0.19185708118099543</v>
      </c>
      <c r="O403" s="677">
        <f t="shared" si="204"/>
        <v>1523198.6830787084</v>
      </c>
      <c r="P403" s="680">
        <f t="shared" si="205"/>
        <v>1.5707956702817241</v>
      </c>
      <c r="Q403" s="689">
        <f t="shared" si="195"/>
        <v>60.936153185204745</v>
      </c>
      <c r="R403" s="690">
        <f t="shared" si="196"/>
        <v>1.554384971008496</v>
      </c>
      <c r="S403" s="677">
        <f t="shared" si="206"/>
        <v>1.0376409071396728</v>
      </c>
      <c r="T403" s="680">
        <f t="shared" si="207"/>
        <v>0.27017376099668011</v>
      </c>
      <c r="U403" s="681">
        <f t="shared" si="219"/>
        <v>0.86635292182014612</v>
      </c>
      <c r="V403" s="682">
        <f t="shared" si="220"/>
        <v>-0.65600669957420543</v>
      </c>
      <c r="W403" s="683">
        <f t="shared" si="208"/>
        <v>-33.200828106940463</v>
      </c>
      <c r="X403" s="684">
        <f t="shared" si="209"/>
        <v>-151.89901600389479</v>
      </c>
      <c r="Y403" s="687">
        <f t="shared" si="210"/>
        <v>28.100983996105214</v>
      </c>
      <c r="AA403" s="170">
        <f t="shared" si="211"/>
        <v>36731</v>
      </c>
      <c r="AB403" s="170">
        <f t="shared" si="212"/>
        <v>1349166361</v>
      </c>
      <c r="AD403" s="686">
        <f t="shared" si="213"/>
        <v>16.826877983790308</v>
      </c>
      <c r="AE403" s="687">
        <f t="shared" si="214"/>
        <v>-16.420080066263033</v>
      </c>
      <c r="AG403" s="686">
        <f t="shared" si="215"/>
        <v>-9.2592228196381594</v>
      </c>
      <c r="AH403" s="687">
        <f t="shared" si="216"/>
        <v>-60.306105415917223</v>
      </c>
      <c r="AJ403" s="170">
        <f t="shared" si="217"/>
        <v>0</v>
      </c>
      <c r="AK403" s="170">
        <f t="shared" si="197"/>
        <v>0</v>
      </c>
      <c r="AM403" s="170" t="str">
        <f t="shared" si="221"/>
        <v>0.464237593147062+0.844368784005631i</v>
      </c>
      <c r="AN403" s="170" t="str">
        <f t="shared" si="222"/>
        <v>1.00538590692275i</v>
      </c>
      <c r="AO403" s="170" t="str">
        <f t="shared" si="223"/>
        <v>0.839845454557888-0.461750647140046i</v>
      </c>
      <c r="AP403" s="170" t="str">
        <f t="shared" si="224"/>
        <v>0.0892937344754897-0.140728130667605i</v>
      </c>
      <c r="AQ403" s="170" t="str">
        <f t="shared" si="225"/>
        <v>0.91070626552451+0.140728130667605i</v>
      </c>
      <c r="AR403" s="170" t="str">
        <f t="shared" si="226"/>
        <v>0.893343119082446-0.138045066727233i</v>
      </c>
    </row>
    <row r="404" spans="7:44">
      <c r="G404" s="688">
        <v>36942.5</v>
      </c>
      <c r="H404" s="676">
        <f t="shared" si="218"/>
        <v>36.942500000000003</v>
      </c>
      <c r="I404" s="677">
        <f t="shared" si="198"/>
        <v>297.83666509353378</v>
      </c>
      <c r="J404" s="678">
        <f t="shared" si="199"/>
        <v>1.5674387755056796</v>
      </c>
      <c r="K404" s="678">
        <f t="shared" si="200"/>
        <v>1.0013030011970876</v>
      </c>
      <c r="L404" s="679">
        <f t="shared" si="201"/>
        <v>5.1021327403914747E-2</v>
      </c>
      <c r="M404" s="678">
        <f t="shared" si="202"/>
        <v>1.0189049995634298</v>
      </c>
      <c r="N404" s="679">
        <f t="shared" si="203"/>
        <v>-0.19293467286779256</v>
      </c>
      <c r="O404" s="677">
        <f t="shared" si="204"/>
        <v>1531969.3814389766</v>
      </c>
      <c r="P404" s="680">
        <f t="shared" si="205"/>
        <v>1.5707956740403364</v>
      </c>
      <c r="Q404" s="689">
        <f t="shared" si="195"/>
        <v>61.286934146397243</v>
      </c>
      <c r="R404" s="690">
        <f t="shared" si="196"/>
        <v>1.5544789111556694</v>
      </c>
      <c r="S404" s="677">
        <f t="shared" si="206"/>
        <v>1.0380676610643551</v>
      </c>
      <c r="T404" s="680">
        <f t="shared" si="207"/>
        <v>0.27165422856461363</v>
      </c>
      <c r="U404" s="681">
        <f t="shared" si="219"/>
        <v>0.8650932343775295</v>
      </c>
      <c r="V404" s="682">
        <f t="shared" si="220"/>
        <v>-0.65931743218653682</v>
      </c>
      <c r="W404" s="683">
        <f t="shared" si="208"/>
        <v>-33.264969290660986</v>
      </c>
      <c r="X404" s="684">
        <f t="shared" si="209"/>
        <v>-152.21429106315469</v>
      </c>
      <c r="Y404" s="687">
        <f t="shared" si="210"/>
        <v>27.78570893684531</v>
      </c>
      <c r="AA404" s="170">
        <f t="shared" si="211"/>
        <v>36942.5</v>
      </c>
      <c r="AB404" s="170">
        <f t="shared" si="212"/>
        <v>1364748306.25</v>
      </c>
      <c r="AD404" s="686">
        <f t="shared" si="213"/>
        <v>16.823293090541704</v>
      </c>
      <c r="AE404" s="687">
        <f t="shared" si="214"/>
        <v>-16.499522451095157</v>
      </c>
      <c r="AG404" s="686">
        <f t="shared" si="215"/>
        <v>-9.2945019555272896</v>
      </c>
      <c r="AH404" s="687">
        <f t="shared" si="216"/>
        <v>-60.162556078345702</v>
      </c>
      <c r="AJ404" s="170">
        <f t="shared" si="217"/>
        <v>0</v>
      </c>
      <c r="AK404" s="170">
        <f t="shared" si="197"/>
        <v>0</v>
      </c>
      <c r="AM404" s="170" t="str">
        <f t="shared" si="221"/>
        <v>0.469134671614319+0.847456195397711i</v>
      </c>
      <c r="AN404" s="170" t="str">
        <f t="shared" si="222"/>
        <v>1.01117499840717i</v>
      </c>
      <c r="AO404" s="170" t="str">
        <f t="shared" si="223"/>
        <v>0.838090535003977-0.463950030759574i</v>
      </c>
      <c r="AP404" s="170" t="str">
        <f t="shared" si="224"/>
        <v>0.0884775547309468-0.141242699232952i</v>
      </c>
      <c r="AQ404" s="170" t="str">
        <f t="shared" si="225"/>
        <v>0.911522445269053+0.141242699232952i</v>
      </c>
      <c r="AR404" s="170" t="str">
        <f t="shared" si="226"/>
        <v>0.892428264061269-0.138284007752092i</v>
      </c>
    </row>
    <row r="405" spans="7:44">
      <c r="G405" s="688">
        <v>37154</v>
      </c>
      <c r="H405" s="676">
        <f t="shared" si="218"/>
        <v>37.154000000000003</v>
      </c>
      <c r="I405" s="677">
        <f t="shared" si="198"/>
        <v>299.54179459391099</v>
      </c>
      <c r="J405" s="678">
        <f t="shared" si="199"/>
        <v>1.5674578883012409</v>
      </c>
      <c r="K405" s="678">
        <f t="shared" si="200"/>
        <v>1.0013179537176096</v>
      </c>
      <c r="L405" s="679">
        <f t="shared" si="201"/>
        <v>5.131291927018241E-2</v>
      </c>
      <c r="M405" s="678">
        <f t="shared" si="202"/>
        <v>1.0191200491142136</v>
      </c>
      <c r="N405" s="679">
        <f t="shared" si="203"/>
        <v>-0.19401181102904871</v>
      </c>
      <c r="O405" s="677">
        <f t="shared" si="204"/>
        <v>1540740.0797992446</v>
      </c>
      <c r="P405" s="680">
        <f t="shared" si="205"/>
        <v>1.5707956777561567</v>
      </c>
      <c r="Q405" s="689">
        <f t="shared" si="195"/>
        <v>61.637715642275815</v>
      </c>
      <c r="R405" s="690">
        <f t="shared" si="196"/>
        <v>1.5545717820730705</v>
      </c>
      <c r="S405" s="677">
        <f t="shared" si="206"/>
        <v>1.0384966883365156</v>
      </c>
      <c r="T405" s="680">
        <f t="shared" si="207"/>
        <v>0.27313347614095174</v>
      </c>
      <c r="U405" s="681">
        <f t="shared" si="219"/>
        <v>0.8638314225795356</v>
      </c>
      <c r="V405" s="682">
        <f t="shared" si="220"/>
        <v>-0.66262180750408928</v>
      </c>
      <c r="W405" s="683">
        <f t="shared" si="208"/>
        <v>-33.328872445036019</v>
      </c>
      <c r="X405" s="684">
        <f t="shared" si="209"/>
        <v>-152.52915513724611</v>
      </c>
      <c r="Y405" s="687">
        <f t="shared" si="210"/>
        <v>27.470844862753893</v>
      </c>
      <c r="AA405" s="170">
        <f t="shared" si="211"/>
        <v>37154</v>
      </c>
      <c r="AB405" s="170">
        <f t="shared" si="212"/>
        <v>1380419716</v>
      </c>
      <c r="AD405" s="686">
        <f t="shared" si="213"/>
        <v>16.819690878538854</v>
      </c>
      <c r="AE405" s="687">
        <f t="shared" si="214"/>
        <v>-16.578956195459284</v>
      </c>
      <c r="AG405" s="686">
        <f t="shared" si="215"/>
        <v>-9.3294461886335096</v>
      </c>
      <c r="AH405" s="687">
        <f t="shared" si="216"/>
        <v>-60.019332888394423</v>
      </c>
      <c r="AJ405" s="170">
        <f t="shared" si="217"/>
        <v>0</v>
      </c>
      <c r="AK405" s="170">
        <f t="shared" si="197"/>
        <v>0</v>
      </c>
      <c r="AM405" s="170" t="str">
        <f t="shared" si="221"/>
        <v>0.474049541229646+0.850515205577922i</v>
      </c>
      <c r="AN405" s="170" t="str">
        <f t="shared" si="222"/>
        <v>1.01696408989158i</v>
      </c>
      <c r="AO405" s="170" t="str">
        <f t="shared" si="223"/>
        <v>0.836327667841838-0.466141868667344i</v>
      </c>
      <c r="AP405" s="170" t="str">
        <f t="shared" si="224"/>
        <v>0.087658409795059-0.141752534262987i</v>
      </c>
      <c r="AQ405" s="170" t="str">
        <f t="shared" si="225"/>
        <v>0.912341590204941+0.141752534262987i</v>
      </c>
      <c r="AR405" s="170" t="str">
        <f t="shared" si="226"/>
        <v>0.891513608149799-0.138516444544401i</v>
      </c>
    </row>
    <row r="406" spans="7:44">
      <c r="G406" s="688">
        <v>37370.25</v>
      </c>
      <c r="H406" s="676">
        <f t="shared" si="218"/>
        <v>37.370249999999999</v>
      </c>
      <c r="I406" s="677">
        <f t="shared" si="198"/>
        <v>301.28521907670523</v>
      </c>
      <c r="J406" s="678">
        <f t="shared" si="199"/>
        <v>1.5674772066629501</v>
      </c>
      <c r="K406" s="678">
        <f t="shared" si="200"/>
        <v>1.001333330076045</v>
      </c>
      <c r="L406" s="679">
        <f t="shared" si="201"/>
        <v>5.1611050859908948E-2</v>
      </c>
      <c r="M406" s="678">
        <f t="shared" si="202"/>
        <v>1.0193411504019345</v>
      </c>
      <c r="N406" s="679">
        <f t="shared" si="203"/>
        <v>-0.19511266901446031</v>
      </c>
      <c r="O406" s="677">
        <f t="shared" si="204"/>
        <v>1549707.7560186677</v>
      </c>
      <c r="P406" s="680">
        <f t="shared" si="205"/>
        <v>1.5707956815119417</v>
      </c>
      <c r="Q406" s="689">
        <f t="shared" si="195"/>
        <v>61.996375752954009</v>
      </c>
      <c r="R406" s="690">
        <f t="shared" si="196"/>
        <v>1.5546656521285951</v>
      </c>
      <c r="S406" s="677">
        <f t="shared" si="206"/>
        <v>1.0389376985443555</v>
      </c>
      <c r="T406" s="680">
        <f t="shared" si="207"/>
        <v>0.27464467902652012</v>
      </c>
      <c r="U406" s="681">
        <f t="shared" si="219"/>
        <v>0.86253912995553816</v>
      </c>
      <c r="V406" s="682">
        <f t="shared" si="220"/>
        <v>-0.66599382311705146</v>
      </c>
      <c r="W406" s="683">
        <f t="shared" si="208"/>
        <v>-33.393967613519642</v>
      </c>
      <c r="X406" s="684">
        <f t="shared" si="209"/>
        <v>-152.85066450037544</v>
      </c>
      <c r="Y406" s="687">
        <f t="shared" si="210"/>
        <v>27.149335499624556</v>
      </c>
      <c r="AA406" s="170">
        <f t="shared" si="211"/>
        <v>37370.25</v>
      </c>
      <c r="AB406" s="170">
        <f t="shared" si="212"/>
        <v>1396535585.0625</v>
      </c>
      <c r="AD406" s="686">
        <f t="shared" si="213"/>
        <v>16.815989901702583</v>
      </c>
      <c r="AE406" s="687">
        <f t="shared" si="214"/>
        <v>-16.660163600069534</v>
      </c>
      <c r="AG406" s="686">
        <f t="shared" si="215"/>
        <v>-9.3648327234838753</v>
      </c>
      <c r="AH406" s="687">
        <f t="shared" si="216"/>
        <v>-59.873230320322079</v>
      </c>
      <c r="AJ406" s="170">
        <f t="shared" si="217"/>
        <v>0</v>
      </c>
      <c r="AK406" s="170">
        <f t="shared" si="197"/>
        <v>0</v>
      </c>
      <c r="AM406" s="170" t="str">
        <f t="shared" si="221"/>
        <v>0.479093015476338+0.853613444993965i</v>
      </c>
      <c r="AN406" s="170" t="str">
        <f t="shared" si="222"/>
        <v>1.02288319643298i</v>
      </c>
      <c r="AO406" s="170" t="str">
        <f t="shared" si="223"/>
        <v>0.834517027917463-0.468375096146893i</v>
      </c>
      <c r="AP406" s="170" t="str">
        <f t="shared" si="224"/>
        <v>0.0868178307539437-0.142268907498994i</v>
      </c>
      <c r="AQ406" s="170" t="str">
        <f t="shared" si="225"/>
        <v>0.913182169246056+0.142268907498994i</v>
      </c>
      <c r="AR406" s="170" t="str">
        <f t="shared" si="226"/>
        <v>0.890578666585277-0.138747402439544i</v>
      </c>
    </row>
    <row r="407" spans="7:44">
      <c r="G407" s="688">
        <v>37586.5</v>
      </c>
      <c r="H407" s="676">
        <f t="shared" si="218"/>
        <v>37.586500000000001</v>
      </c>
      <c r="I407" s="677">
        <f t="shared" si="198"/>
        <v>303.02864367064501</v>
      </c>
      <c r="J407" s="678">
        <f t="shared" si="199"/>
        <v>1.5674963027347433</v>
      </c>
      <c r="K407" s="678">
        <f t="shared" si="200"/>
        <v>1.0013487954326967</v>
      </c>
      <c r="L407" s="679">
        <f t="shared" si="201"/>
        <v>5.1909173267130987E-2</v>
      </c>
      <c r="M407" s="678">
        <f t="shared" si="202"/>
        <v>1.0195634864806171</v>
      </c>
      <c r="N407" s="679">
        <f t="shared" si="203"/>
        <v>-0.19621304820500593</v>
      </c>
      <c r="O407" s="677">
        <f t="shared" si="204"/>
        <v>1558675.432238091</v>
      </c>
      <c r="P407" s="680">
        <f t="shared" si="205"/>
        <v>1.5707956852245097</v>
      </c>
      <c r="Q407" s="689">
        <f t="shared" ref="Q407:Q470" si="227">SQRT(1+(G407/Zero2)^2)</f>
        <v>62.355036403634301</v>
      </c>
      <c r="R407" s="690">
        <f t="shared" ref="R407:R470" si="228">ATAN(G407/Zero2)</f>
        <v>1.5547584423204266</v>
      </c>
      <c r="S407" s="677">
        <f t="shared" si="206"/>
        <v>1.0393810793931086</v>
      </c>
      <c r="T407" s="680">
        <f t="shared" si="207"/>
        <v>0.27615459605518833</v>
      </c>
      <c r="U407" s="681">
        <f t="shared" si="219"/>
        <v>0.86124472608251268</v>
      </c>
      <c r="V407" s="682">
        <f t="shared" si="220"/>
        <v>-0.66935919632105156</v>
      </c>
      <c r="W407" s="683">
        <f t="shared" si="208"/>
        <v>-33.458819861248507</v>
      </c>
      <c r="X407" s="684">
        <f t="shared" si="209"/>
        <v>-153.17174183340711</v>
      </c>
      <c r="Y407" s="687">
        <f t="shared" si="210"/>
        <v>26.828258166592889</v>
      </c>
      <c r="AA407" s="170">
        <f t="shared" si="211"/>
        <v>37586.5</v>
      </c>
      <c r="AB407" s="170">
        <f t="shared" si="212"/>
        <v>1412744982.25</v>
      </c>
      <c r="AD407" s="686">
        <f t="shared" si="213"/>
        <v>16.812270905953582</v>
      </c>
      <c r="AE407" s="687">
        <f t="shared" si="214"/>
        <v>-16.741359199662266</v>
      </c>
      <c r="AG407" s="686">
        <f t="shared" si="215"/>
        <v>-9.3998767386676487</v>
      </c>
      <c r="AH407" s="687">
        <f t="shared" si="216"/>
        <v>-59.727468691169108</v>
      </c>
      <c r="AJ407" s="170">
        <f t="shared" si="217"/>
        <v>0</v>
      </c>
      <c r="AK407" s="170">
        <f t="shared" ref="AK407:AK470" si="229">IF(AJ407&gt;0,Y407,0)</f>
        <v>0</v>
      </c>
      <c r="AM407" s="170" t="str">
        <f t="shared" si="221"/>
        <v>0.484154740074262+0.856681777448399i</v>
      </c>
      <c r="AN407" s="170" t="str">
        <f t="shared" si="222"/>
        <v>1.02880230297438i</v>
      </c>
      <c r="AO407" s="170" t="str">
        <f t="shared" si="223"/>
        <v>0.832698152960621-0.470600365759794i</v>
      </c>
      <c r="AP407" s="170" t="str">
        <f t="shared" si="224"/>
        <v>0.085974209987623-0.1427802962414i</v>
      </c>
      <c r="AQ407" s="170" t="str">
        <f t="shared" si="225"/>
        <v>0.914025790012377+0.1427802962414i</v>
      </c>
      <c r="AR407" s="170" t="str">
        <f t="shared" si="226"/>
        <v>0.889644034922189-0.138971613540428i</v>
      </c>
    </row>
    <row r="408" spans="7:44">
      <c r="G408" s="688">
        <v>37802.75</v>
      </c>
      <c r="H408" s="676">
        <f t="shared" si="218"/>
        <v>37.802750000000003</v>
      </c>
      <c r="I408" s="677">
        <f t="shared" si="198"/>
        <v>304.772068373823</v>
      </c>
      <c r="J408" s="678">
        <f t="shared" si="199"/>
        <v>1.5675151803313827</v>
      </c>
      <c r="K408" s="678">
        <f t="shared" si="200"/>
        <v>1.0013643497834417</v>
      </c>
      <c r="L408" s="679">
        <f t="shared" si="201"/>
        <v>5.2207286439282775E-2</v>
      </c>
      <c r="M408" s="678">
        <f t="shared" si="202"/>
        <v>1.0197870565426264</v>
      </c>
      <c r="N408" s="679">
        <f t="shared" si="203"/>
        <v>-0.19731294624997026</v>
      </c>
      <c r="O408" s="677">
        <f t="shared" si="204"/>
        <v>1567643.1084575141</v>
      </c>
      <c r="P408" s="680">
        <f t="shared" si="205"/>
        <v>1.5707956888946024</v>
      </c>
      <c r="Q408" s="689">
        <f t="shared" si="227"/>
        <v>62.713697585051861</v>
      </c>
      <c r="R408" s="690">
        <f t="shared" si="228"/>
        <v>1.5548501711742546</v>
      </c>
      <c r="S408" s="677">
        <f t="shared" si="206"/>
        <v>1.0398268278502605</v>
      </c>
      <c r="T408" s="680">
        <f t="shared" si="207"/>
        <v>0.27766322199147203</v>
      </c>
      <c r="U408" s="681">
        <f t="shared" si="219"/>
        <v>0.85994826576160965</v>
      </c>
      <c r="V408" s="682">
        <f t="shared" si="220"/>
        <v>-0.67271792949833165</v>
      </c>
      <c r="W408" s="683">
        <f t="shared" si="208"/>
        <v>-33.523432095951485</v>
      </c>
      <c r="X408" s="684">
        <f t="shared" si="209"/>
        <v>-153.49238599835655</v>
      </c>
      <c r="Y408" s="687">
        <f t="shared" si="210"/>
        <v>26.507614001643446</v>
      </c>
      <c r="AA408" s="170">
        <f t="shared" si="211"/>
        <v>37802.75</v>
      </c>
      <c r="AB408" s="170">
        <f t="shared" si="212"/>
        <v>1429047907.5625</v>
      </c>
      <c r="AD408" s="686">
        <f t="shared" si="213"/>
        <v>16.808533935459405</v>
      </c>
      <c r="AE408" s="687">
        <f t="shared" si="214"/>
        <v>-16.822541632864965</v>
      </c>
      <c r="AG408" s="686">
        <f t="shared" si="215"/>
        <v>-9.4345819837082967</v>
      </c>
      <c r="AH408" s="687">
        <f t="shared" si="216"/>
        <v>-59.582047951338602</v>
      </c>
      <c r="AJ408" s="170">
        <f t="shared" si="217"/>
        <v>0</v>
      </c>
      <c r="AK408" s="170">
        <f t="shared" si="229"/>
        <v>0</v>
      </c>
      <c r="AM408" s="170" t="str">
        <f t="shared" si="221"/>
        <v>0.489234537682245+0.859720095439981i</v>
      </c>
      <c r="AN408" s="170" t="str">
        <f t="shared" si="222"/>
        <v>1.03472140951577i</v>
      </c>
      <c r="AO408" s="170" t="str">
        <f t="shared" si="223"/>
        <v>0.830871080402515-0.472817642684322i</v>
      </c>
      <c r="AP408" s="170" t="str">
        <f t="shared" si="224"/>
        <v>0.0851275770529592-0.14328668257333i</v>
      </c>
      <c r="AQ408" s="170" t="str">
        <f t="shared" si="225"/>
        <v>0.914872422947041+0.14328668257333i</v>
      </c>
      <c r="AR408" s="170" t="str">
        <f t="shared" si="226"/>
        <v>0.888709763774707-0.139189105090314i</v>
      </c>
    </row>
    <row r="409" spans="7:44">
      <c r="G409" s="688">
        <v>38019</v>
      </c>
      <c r="H409" s="676">
        <f t="shared" si="218"/>
        <v>38.018999999999998</v>
      </c>
      <c r="I409" s="677">
        <f t="shared" si="198"/>
        <v>306.51549318437515</v>
      </c>
      <c r="J409" s="678">
        <f t="shared" si="199"/>
        <v>1.5675338431808392</v>
      </c>
      <c r="K409" s="678">
        <f t="shared" si="200"/>
        <v>1.0013799931241325</v>
      </c>
      <c r="L409" s="679">
        <f t="shared" si="201"/>
        <v>5.2505390323808396E-2</v>
      </c>
      <c r="M409" s="678">
        <f t="shared" si="202"/>
        <v>1.0200118597765548</v>
      </c>
      <c r="N409" s="679">
        <f t="shared" si="203"/>
        <v>-0.19841236080535002</v>
      </c>
      <c r="O409" s="677">
        <f t="shared" si="204"/>
        <v>1576610.7846769372</v>
      </c>
      <c r="P409" s="680">
        <f t="shared" si="205"/>
        <v>1.5707956925229445</v>
      </c>
      <c r="Q409" s="689">
        <f t="shared" si="227"/>
        <v>63.072359288152562</v>
      </c>
      <c r="R409" s="690">
        <f t="shared" si="228"/>
        <v>1.5549408567944545</v>
      </c>
      <c r="S409" s="677">
        <f t="shared" si="206"/>
        <v>1.0402749408723142</v>
      </c>
      <c r="T409" s="680">
        <f t="shared" si="207"/>
        <v>0.27917055163234417</v>
      </c>
      <c r="U409" s="681">
        <f t="shared" si="219"/>
        <v>0.85864980338351449</v>
      </c>
      <c r="V409" s="682">
        <f t="shared" si="220"/>
        <v>-0.6760700253888231</v>
      </c>
      <c r="W409" s="683">
        <f t="shared" si="208"/>
        <v>-33.587807169829297</v>
      </c>
      <c r="X409" s="684">
        <f t="shared" si="209"/>
        <v>-153.81259589914271</v>
      </c>
      <c r="Y409" s="687">
        <f t="shared" si="210"/>
        <v>26.187404100857293</v>
      </c>
      <c r="AA409" s="170">
        <f t="shared" si="211"/>
        <v>38019</v>
      </c>
      <c r="AB409" s="170">
        <f t="shared" si="212"/>
        <v>1445444361</v>
      </c>
      <c r="AD409" s="686">
        <f t="shared" si="213"/>
        <v>16.804779034676255</v>
      </c>
      <c r="AE409" s="687">
        <f t="shared" si="214"/>
        <v>-16.903709564303362</v>
      </c>
      <c r="AG409" s="686">
        <f t="shared" si="215"/>
        <v>-9.4689521492792359</v>
      </c>
      <c r="AH409" s="687">
        <f t="shared" si="216"/>
        <v>-59.436968026150801</v>
      </c>
      <c r="AJ409" s="170">
        <f t="shared" si="217"/>
        <v>0</v>
      </c>
      <c r="AK409" s="170">
        <f t="shared" si="229"/>
        <v>0</v>
      </c>
      <c r="AM409" s="170" t="str">
        <f t="shared" si="221"/>
        <v>0.494332230325937+0.862728292519064i</v>
      </c>
      <c r="AN409" s="170" t="str">
        <f t="shared" si="222"/>
        <v>1.04064051605717i</v>
      </c>
      <c r="AO409" s="170" t="str">
        <f t="shared" si="223"/>
        <v>0.829035847833228-0.475026892282541i</v>
      </c>
      <c r="AP409" s="170" t="str">
        <f t="shared" si="224"/>
        <v>0.0842779616123438-0.143788048753177i</v>
      </c>
      <c r="AQ409" s="170" t="str">
        <f t="shared" si="225"/>
        <v>0.915722038387656+0.143788048753177i</v>
      </c>
      <c r="AR409" s="170" t="str">
        <f t="shared" si="226"/>
        <v>0.887775903202175-0.139399904665711i</v>
      </c>
    </row>
    <row r="410" spans="7:44">
      <c r="G410" s="688">
        <v>38240.5</v>
      </c>
      <c r="H410" s="676">
        <f t="shared" si="218"/>
        <v>38.240499999999997</v>
      </c>
      <c r="I410" s="677">
        <f t="shared" si="198"/>
        <v>308.30124402459569</v>
      </c>
      <c r="J410" s="678">
        <f t="shared" si="199"/>
        <v>1.5675527402935139</v>
      </c>
      <c r="K410" s="678">
        <f t="shared" si="200"/>
        <v>1.0013961084978351</v>
      </c>
      <c r="L410" s="679">
        <f t="shared" si="201"/>
        <v>5.2810721728968051E-2</v>
      </c>
      <c r="M410" s="678">
        <f t="shared" si="202"/>
        <v>1.0202433982520436</v>
      </c>
      <c r="N410" s="679">
        <f t="shared" si="203"/>
        <v>-0.19953796266838481</v>
      </c>
      <c r="O410" s="677">
        <f t="shared" si="204"/>
        <v>1585796.1732670052</v>
      </c>
      <c r="P410" s="680">
        <f t="shared" si="205"/>
        <v>1.5707956961968306</v>
      </c>
      <c r="Q410" s="689">
        <f t="shared" si="227"/>
        <v>63.439728916788766</v>
      </c>
      <c r="R410" s="690">
        <f t="shared" si="228"/>
        <v>1.5550326809896959</v>
      </c>
      <c r="S410" s="677">
        <f t="shared" si="206"/>
        <v>1.0407363811167913</v>
      </c>
      <c r="T410" s="680">
        <f t="shared" si="207"/>
        <v>0.28071312611615123</v>
      </c>
      <c r="U410" s="681">
        <f t="shared" si="219"/>
        <v>0.85731779849700229</v>
      </c>
      <c r="V410" s="682">
        <f t="shared" si="220"/>
        <v>-0.6794966239299427</v>
      </c>
      <c r="W410" s="683">
        <f t="shared" si="208"/>
        <v>-33.653502163412739</v>
      </c>
      <c r="X410" s="684">
        <f t="shared" si="209"/>
        <v>-154.1401283732659</v>
      </c>
      <c r="Y410" s="687">
        <f t="shared" si="210"/>
        <v>25.859871626734105</v>
      </c>
      <c r="AA410" s="170">
        <f t="shared" si="211"/>
        <v>38240.5</v>
      </c>
      <c r="AB410" s="170">
        <f t="shared" si="212"/>
        <v>1462335840.25</v>
      </c>
      <c r="AD410" s="686">
        <f t="shared" si="213"/>
        <v>16.800914432683832</v>
      </c>
      <c r="AE410" s="687">
        <f t="shared" si="214"/>
        <v>-16.986831643558709</v>
      </c>
      <c r="AG410" s="686">
        <f t="shared" si="215"/>
        <v>-9.5038131511155903</v>
      </c>
      <c r="AH410" s="687">
        <f t="shared" si="216"/>
        <v>-59.288719151586314</v>
      </c>
      <c r="AJ410" s="170">
        <f t="shared" si="217"/>
        <v>0</v>
      </c>
      <c r="AK410" s="170">
        <f t="shared" si="229"/>
        <v>0</v>
      </c>
      <c r="AM410" s="170" t="str">
        <f t="shared" si="221"/>
        <v>0.499572047299764+0.865778184153568i</v>
      </c>
      <c r="AN410" s="170" t="str">
        <f t="shared" si="222"/>
        <v>1.04670332345102i</v>
      </c>
      <c r="AO410" s="170" t="str">
        <f t="shared" si="223"/>
        <v>0.827147640363905-0.477281418819476i</v>
      </c>
      <c r="AP410" s="170" t="str">
        <f t="shared" si="224"/>
        <v>0.0834046587833727-0.144296364025595i</v>
      </c>
      <c r="AQ410" s="170" t="str">
        <f t="shared" si="225"/>
        <v>0.916595341216627+0.144296364025595i</v>
      </c>
      <c r="AR410" s="170" t="str">
        <f t="shared" si="226"/>
        <v>0.886819848251239-0.139608913436688i</v>
      </c>
    </row>
    <row r="411" spans="7:44">
      <c r="G411" s="688">
        <v>38462</v>
      </c>
      <c r="H411" s="676">
        <f t="shared" si="218"/>
        <v>38.462000000000003</v>
      </c>
      <c r="I411" s="677">
        <f t="shared" si="198"/>
        <v>310.08699497364279</v>
      </c>
      <c r="J411" s="678">
        <f t="shared" si="199"/>
        <v>1.5675714197541333</v>
      </c>
      <c r="K411" s="678">
        <f t="shared" si="200"/>
        <v>1.0014123172259506</v>
      </c>
      <c r="L411" s="679">
        <f t="shared" si="201"/>
        <v>5.3116043278483252E-2</v>
      </c>
      <c r="M411" s="678">
        <f t="shared" si="202"/>
        <v>1.0204762287675282</v>
      </c>
      <c r="N411" s="679">
        <f t="shared" si="203"/>
        <v>-0.20066305232466036</v>
      </c>
      <c r="O411" s="677">
        <f t="shared" si="204"/>
        <v>1594981.5618570738</v>
      </c>
      <c r="P411" s="680">
        <f t="shared" si="205"/>
        <v>1.5707956998284012</v>
      </c>
      <c r="Q411" s="689">
        <f t="shared" si="227"/>
        <v>63.80709907416923</v>
      </c>
      <c r="R411" s="690">
        <f t="shared" si="228"/>
        <v>1.5551234478278293</v>
      </c>
      <c r="S411" s="677">
        <f t="shared" si="206"/>
        <v>1.041200295632509</v>
      </c>
      <c r="T411" s="680">
        <f t="shared" si="207"/>
        <v>0.28225432965358199</v>
      </c>
      <c r="U411" s="681">
        <f t="shared" si="219"/>
        <v>0.85598380734830137</v>
      </c>
      <c r="V411" s="682">
        <f t="shared" si="220"/>
        <v>-0.68291626595150257</v>
      </c>
      <c r="W411" s="683">
        <f t="shared" si="208"/>
        <v>-33.718954225564268</v>
      </c>
      <c r="X411" s="684">
        <f t="shared" si="209"/>
        <v>-154.46720304526877</v>
      </c>
      <c r="Y411" s="687">
        <f t="shared" si="210"/>
        <v>25.532796954731225</v>
      </c>
      <c r="AA411" s="170">
        <f t="shared" si="211"/>
        <v>38462</v>
      </c>
      <c r="AB411" s="170">
        <f t="shared" si="212"/>
        <v>1479325444</v>
      </c>
      <c r="AD411" s="686">
        <f t="shared" si="213"/>
        <v>16.797031114543675</v>
      </c>
      <c r="AE411" s="687">
        <f t="shared" si="214"/>
        <v>-17.069935753047961</v>
      </c>
      <c r="AG411" s="686">
        <f t="shared" si="215"/>
        <v>-9.5383302605573341</v>
      </c>
      <c r="AH411" s="687">
        <f t="shared" si="216"/>
        <v>-59.14082760309023</v>
      </c>
      <c r="AJ411" s="170">
        <f t="shared" si="217"/>
        <v>0</v>
      </c>
      <c r="AK411" s="170">
        <f t="shared" si="229"/>
        <v>0</v>
      </c>
      <c r="AM411" s="170" t="str">
        <f t="shared" si="221"/>
        <v>0.504830258764513+0.868796251928368i</v>
      </c>
      <c r="AN411" s="170" t="str">
        <f t="shared" si="222"/>
        <v>1.05276613084486i</v>
      </c>
      <c r="AO411" s="170" t="str">
        <f t="shared" si="223"/>
        <v>0.8252509522045-0.479527450564333i</v>
      </c>
      <c r="AP411" s="170" t="str">
        <f t="shared" si="224"/>
        <v>0.0825282902059145-0.144799375321395i</v>
      </c>
      <c r="AQ411" s="170" t="str">
        <f t="shared" si="225"/>
        <v>0.917471709794086+0.144799375321395i</v>
      </c>
      <c r="AR411" s="170" t="str">
        <f t="shared" si="226"/>
        <v>0.885864328582495-0.139810960958176i</v>
      </c>
    </row>
    <row r="412" spans="7:44">
      <c r="G412" s="688">
        <v>38683.5</v>
      </c>
      <c r="H412" s="676">
        <f t="shared" si="218"/>
        <v>38.683500000000002</v>
      </c>
      <c r="I412" s="677">
        <f t="shared" si="198"/>
        <v>311.87274602964715</v>
      </c>
      <c r="J412" s="678">
        <f t="shared" si="199"/>
        <v>1.5675898853014436</v>
      </c>
      <c r="K412" s="678">
        <f t="shared" si="200"/>
        <v>1.0014286193039454</v>
      </c>
      <c r="L412" s="679">
        <f t="shared" si="201"/>
        <v>5.3421354915909061E-2</v>
      </c>
      <c r="M412" s="678">
        <f t="shared" si="202"/>
        <v>1.0207103504388404</v>
      </c>
      <c r="N412" s="679">
        <f t="shared" si="203"/>
        <v>-0.2017876272773311</v>
      </c>
      <c r="O412" s="677">
        <f t="shared" si="204"/>
        <v>1604166.9504471419</v>
      </c>
      <c r="P412" s="680">
        <f t="shared" si="205"/>
        <v>1.5707957034183835</v>
      </c>
      <c r="Q412" s="689">
        <f t="shared" si="227"/>
        <v>64.174469751213465</v>
      </c>
      <c r="R412" s="690">
        <f t="shared" si="228"/>
        <v>1.5552131754660623</v>
      </c>
      <c r="S412" s="677">
        <f t="shared" si="206"/>
        <v>1.0416666811136579</v>
      </c>
      <c r="T412" s="680">
        <f t="shared" si="207"/>
        <v>0.28379415675956332</v>
      </c>
      <c r="U412" s="681">
        <f t="shared" si="219"/>
        <v>0.85464788703511385</v>
      </c>
      <c r="V412" s="682">
        <f t="shared" si="220"/>
        <v>-0.68632895553899875</v>
      </c>
      <c r="W412" s="683">
        <f t="shared" si="208"/>
        <v>-33.784166248666786</v>
      </c>
      <c r="X412" s="684">
        <f t="shared" si="209"/>
        <v>-154.79381886906145</v>
      </c>
      <c r="Y412" s="687">
        <f t="shared" si="210"/>
        <v>25.206181130938546</v>
      </c>
      <c r="AA412" s="170">
        <f t="shared" si="211"/>
        <v>38683.5</v>
      </c>
      <c r="AB412" s="170">
        <f t="shared" si="212"/>
        <v>1496413172.25</v>
      </c>
      <c r="AD412" s="686">
        <f t="shared" si="213"/>
        <v>16.793129128926299</v>
      </c>
      <c r="AE412" s="687">
        <f t="shared" si="214"/>
        <v>-17.153020538209887</v>
      </c>
      <c r="AG412" s="686">
        <f t="shared" si="215"/>
        <v>-9.5725072598726282</v>
      </c>
      <c r="AH412" s="687">
        <f t="shared" si="216"/>
        <v>-58.993293220970578</v>
      </c>
      <c r="AJ412" s="170">
        <f t="shared" si="217"/>
        <v>0</v>
      </c>
      <c r="AK412" s="170">
        <f t="shared" si="229"/>
        <v>0</v>
      </c>
      <c r="AM412" s="170" t="str">
        <f t="shared" si="221"/>
        <v>0.510106671441384+0.871782384906784i</v>
      </c>
      <c r="AN412" s="170" t="str">
        <f t="shared" si="222"/>
        <v>1.05882893823871i</v>
      </c>
      <c r="AO412" s="170" t="str">
        <f t="shared" si="223"/>
        <v>0.823345824262165-0.481764950899351i</v>
      </c>
      <c r="AP412" s="170" t="str">
        <f t="shared" si="224"/>
        <v>0.0816488880931027-0.145297064151131i</v>
      </c>
      <c r="AQ412" s="170" t="str">
        <f t="shared" si="225"/>
        <v>0.918351111906897+0.145297064151131i</v>
      </c>
      <c r="AR412" s="170" t="str">
        <f t="shared" si="226"/>
        <v>0.884909396180419-0.140006077890827i</v>
      </c>
    </row>
    <row r="413" spans="7:44">
      <c r="G413" s="688">
        <v>38905</v>
      </c>
      <c r="H413" s="676">
        <f t="shared" si="218"/>
        <v>38.905000000000001</v>
      </c>
      <c r="I413" s="677">
        <f t="shared" si="198"/>
        <v>313.65849719078187</v>
      </c>
      <c r="J413" s="678">
        <f t="shared" si="199"/>
        <v>1.567608140589049</v>
      </c>
      <c r="K413" s="678">
        <f t="shared" si="200"/>
        <v>1.0014450147272611</v>
      </c>
      <c r="L413" s="679">
        <f t="shared" si="201"/>
        <v>5.3726656584811558E-2</v>
      </c>
      <c r="M413" s="678">
        <f t="shared" si="202"/>
        <v>1.0209457623777232</v>
      </c>
      <c r="N413" s="679">
        <f t="shared" si="203"/>
        <v>-0.20291168503704277</v>
      </c>
      <c r="O413" s="677">
        <f t="shared" si="204"/>
        <v>1613352.33903721</v>
      </c>
      <c r="P413" s="680">
        <f t="shared" si="205"/>
        <v>1.5707957069674876</v>
      </c>
      <c r="Q413" s="689">
        <f t="shared" si="227"/>
        <v>64.541840939047731</v>
      </c>
      <c r="R413" s="690">
        <f t="shared" si="228"/>
        <v>1.5553018816482682</v>
      </c>
      <c r="S413" s="677">
        <f t="shared" si="206"/>
        <v>1.0421355342427552</v>
      </c>
      <c r="T413" s="680">
        <f t="shared" si="207"/>
        <v>0.28533260198492361</v>
      </c>
      <c r="U413" s="681">
        <f t="shared" si="219"/>
        <v>0.85331009419562931</v>
      </c>
      <c r="V413" s="682">
        <f t="shared" si="220"/>
        <v>-0.68973469715404334</v>
      </c>
      <c r="W413" s="683">
        <f t="shared" si="208"/>
        <v>-33.849141069629397</v>
      </c>
      <c r="X413" s="684">
        <f t="shared" si="209"/>
        <v>-155.11997484139258</v>
      </c>
      <c r="Y413" s="687">
        <f t="shared" si="210"/>
        <v>24.880025158607424</v>
      </c>
      <c r="AA413" s="170">
        <f t="shared" si="211"/>
        <v>38905</v>
      </c>
      <c r="AB413" s="170">
        <f t="shared" si="212"/>
        <v>1513599025</v>
      </c>
      <c r="AD413" s="686">
        <f t="shared" si="213"/>
        <v>16.789208524790439</v>
      </c>
      <c r="AE413" s="687">
        <f t="shared" si="214"/>
        <v>-17.236084670221562</v>
      </c>
      <c r="AG413" s="686">
        <f t="shared" si="215"/>
        <v>-9.6063478719939432</v>
      </c>
      <c r="AH413" s="687">
        <f t="shared" si="216"/>
        <v>-58.846115819535868</v>
      </c>
      <c r="AJ413" s="170">
        <f t="shared" si="217"/>
        <v>0</v>
      </c>
      <c r="AK413" s="170">
        <f t="shared" si="229"/>
        <v>0</v>
      </c>
      <c r="AM413" s="170" t="str">
        <f t="shared" si="221"/>
        <v>0.515401091382519+0.874736473325965i</v>
      </c>
      <c r="AN413" s="170" t="str">
        <f t="shared" si="222"/>
        <v>1.06489174563256i</v>
      </c>
      <c r="AO413" s="170" t="str">
        <f t="shared" si="223"/>
        <v>0.821432297614778-0.483993883412406i</v>
      </c>
      <c r="AP413" s="170" t="str">
        <f t="shared" si="224"/>
        <v>0.0807664847695802-0.145789412220994i</v>
      </c>
      <c r="AQ413" s="170" t="str">
        <f t="shared" si="225"/>
        <v>0.91923351523042+0.145789412220994i</v>
      </c>
      <c r="AR413" s="170" t="str">
        <f t="shared" si="226"/>
        <v>0.883955102419514-0.140194295221259i</v>
      </c>
    </row>
    <row r="414" spans="7:44">
      <c r="G414" s="688">
        <v>39131.5</v>
      </c>
      <c r="H414" s="676">
        <f t="shared" si="218"/>
        <v>39.131500000000003</v>
      </c>
      <c r="I414" s="677">
        <f t="shared" si="198"/>
        <v>315.48455886873143</v>
      </c>
      <c r="J414" s="678">
        <f t="shared" si="199"/>
        <v>1.5676265942472187</v>
      </c>
      <c r="K414" s="678">
        <f t="shared" si="200"/>
        <v>1.0014618767754289</v>
      </c>
      <c r="L414" s="679">
        <f t="shared" si="201"/>
        <v>5.403883957185799E-2</v>
      </c>
      <c r="M414" s="678">
        <f t="shared" si="202"/>
        <v>1.0211878217109389</v>
      </c>
      <c r="N414" s="679">
        <f t="shared" si="203"/>
        <v>-0.20406057913840447</v>
      </c>
      <c r="O414" s="677">
        <f t="shared" si="204"/>
        <v>1622745.0727421781</v>
      </c>
      <c r="P414" s="680">
        <f t="shared" si="205"/>
        <v>1.5707957105551578</v>
      </c>
      <c r="Q414" s="689">
        <f t="shared" si="227"/>
        <v>64.917505449399613</v>
      </c>
      <c r="R414" s="690">
        <f t="shared" si="228"/>
        <v>1.5553915519910395</v>
      </c>
      <c r="S414" s="677">
        <f t="shared" si="206"/>
        <v>1.0426175193266591</v>
      </c>
      <c r="T414" s="680">
        <f t="shared" si="207"/>
        <v>0.28690434043042878</v>
      </c>
      <c r="U414" s="681">
        <f t="shared" si="219"/>
        <v>0.85194022499291744</v>
      </c>
      <c r="V414" s="682">
        <f t="shared" si="220"/>
        <v>-0.69321013784899355</v>
      </c>
      <c r="W414" s="683">
        <f t="shared" si="208"/>
        <v>-33.915340195628893</v>
      </c>
      <c r="X414" s="684">
        <f t="shared" si="209"/>
        <v>-155.45301671058942</v>
      </c>
      <c r="Y414" s="687">
        <f t="shared" si="210"/>
        <v>24.546983289410576</v>
      </c>
      <c r="AA414" s="170">
        <f t="shared" si="211"/>
        <v>39131.5</v>
      </c>
      <c r="AB414" s="170">
        <f t="shared" si="212"/>
        <v>1531274292.25</v>
      </c>
      <c r="AD414" s="686">
        <f t="shared" si="213"/>
        <v>16.785180217051202</v>
      </c>
      <c r="AE414" s="687">
        <f t="shared" si="214"/>
        <v>-17.321001123114563</v>
      </c>
      <c r="AG414" s="686">
        <f t="shared" si="215"/>
        <v>-9.640608335653603</v>
      </c>
      <c r="AH414" s="687">
        <f t="shared" si="216"/>
        <v>-58.695985067847317</v>
      </c>
      <c r="AJ414" s="170">
        <f t="shared" si="217"/>
        <v>0</v>
      </c>
      <c r="AK414" s="170">
        <f t="shared" si="229"/>
        <v>0</v>
      </c>
      <c r="AM414" s="170" t="str">
        <f t="shared" si="221"/>
        <v>0.52083344300107+0.877723994575625i</v>
      </c>
      <c r="AN414" s="170" t="str">
        <f t="shared" si="222"/>
        <v>1.07109141098112i</v>
      </c>
      <c r="AO414" s="170" t="str">
        <f t="shared" si="223"/>
        <v>0.819466933986175-0.486264232596158i</v>
      </c>
      <c r="AP414" s="170" t="str">
        <f t="shared" si="224"/>
        <v>0.079861092833155-0.146287332429271i</v>
      </c>
      <c r="AQ414" s="170" t="str">
        <f t="shared" si="225"/>
        <v>0.920138907166845+0.146287332429271i</v>
      </c>
      <c r="AR414" s="170" t="str">
        <f t="shared" si="226"/>
        <v>0.882979980355403-0.140379658884721i</v>
      </c>
    </row>
    <row r="415" spans="7:44">
      <c r="G415" s="688">
        <v>39358</v>
      </c>
      <c r="H415" s="676">
        <f t="shared" si="218"/>
        <v>39.357999999999997</v>
      </c>
      <c r="I415" s="677">
        <f t="shared" si="198"/>
        <v>317.3106206528787</v>
      </c>
      <c r="J415" s="678">
        <f t="shared" si="199"/>
        <v>1.5676448355108652</v>
      </c>
      <c r="K415" s="678">
        <f t="shared" si="200"/>
        <v>1.0014788364209939</v>
      </c>
      <c r="L415" s="679">
        <f t="shared" si="201"/>
        <v>5.4351012015938019E-2</v>
      </c>
      <c r="M415" s="678">
        <f t="shared" si="202"/>
        <v>1.0214312283289368</v>
      </c>
      <c r="N415" s="679">
        <f t="shared" si="203"/>
        <v>-0.20520892719300596</v>
      </c>
      <c r="O415" s="677">
        <f t="shared" si="204"/>
        <v>1632137.8064471462</v>
      </c>
      <c r="P415" s="680">
        <f t="shared" si="205"/>
        <v>1.5707957141015345</v>
      </c>
      <c r="Q415" s="689">
        <f t="shared" si="227"/>
        <v>65.293170475731728</v>
      </c>
      <c r="R415" s="690">
        <f t="shared" si="228"/>
        <v>1.5554801904957676</v>
      </c>
      <c r="S415" s="677">
        <f t="shared" si="206"/>
        <v>1.0431020776690352</v>
      </c>
      <c r="T415" s="680">
        <f t="shared" si="207"/>
        <v>0.28847462249429684</v>
      </c>
      <c r="U415" s="681">
        <f t="shared" si="219"/>
        <v>0.850568516078966</v>
      </c>
      <c r="V415" s="682">
        <f t="shared" si="220"/>
        <v>-0.6966783239735046</v>
      </c>
      <c r="W415" s="683">
        <f t="shared" si="208"/>
        <v>-33.981297117687234</v>
      </c>
      <c r="X415" s="684">
        <f t="shared" si="209"/>
        <v>-155.78557574517822</v>
      </c>
      <c r="Y415" s="687">
        <f t="shared" si="210"/>
        <v>24.214424254821779</v>
      </c>
      <c r="AA415" s="170">
        <f t="shared" si="211"/>
        <v>39358</v>
      </c>
      <c r="AB415" s="170">
        <f t="shared" si="212"/>
        <v>1549052164</v>
      </c>
      <c r="AD415" s="686">
        <f t="shared" si="213"/>
        <v>16.78113254517752</v>
      </c>
      <c r="AE415" s="687">
        <f t="shared" si="214"/>
        <v>-17.405893249085455</v>
      </c>
      <c r="AG415" s="686">
        <f t="shared" si="215"/>
        <v>-9.6745247431989121</v>
      </c>
      <c r="AH415" s="687">
        <f t="shared" si="216"/>
        <v>-58.54622712101046</v>
      </c>
      <c r="AJ415" s="170">
        <f t="shared" si="217"/>
        <v>0</v>
      </c>
      <c r="AK415" s="170">
        <f t="shared" si="229"/>
        <v>0</v>
      </c>
      <c r="AM415" s="170" t="str">
        <f t="shared" si="221"/>
        <v>0.526284211734749+0.880677779865162i</v>
      </c>
      <c r="AN415" s="170" t="str">
        <f t="shared" si="222"/>
        <v>1.07729107632968i</v>
      </c>
      <c r="AO415" s="170" t="str">
        <f t="shared" si="223"/>
        <v>0.817492875616888-0.488525546436154i</v>
      </c>
      <c r="AP415" s="170" t="str">
        <f t="shared" si="224"/>
        <v>0.0789526313775418-0.146779629977527i</v>
      </c>
      <c r="AQ415" s="170" t="str">
        <f t="shared" si="225"/>
        <v>0.921047368622458+0.146779629977527i</v>
      </c>
      <c r="AR415" s="170" t="str">
        <f t="shared" si="226"/>
        <v>0.88200563279378-0.14055787446979i</v>
      </c>
    </row>
    <row r="416" spans="7:44">
      <c r="G416" s="688">
        <v>39584.5</v>
      </c>
      <c r="H416" s="676">
        <f t="shared" si="218"/>
        <v>39.584499999999998</v>
      </c>
      <c r="I416" s="677">
        <f t="shared" si="198"/>
        <v>319.13668254140089</v>
      </c>
      <c r="J416" s="678">
        <f t="shared" si="199"/>
        <v>1.5676628680258644</v>
      </c>
      <c r="K416" s="678">
        <f t="shared" si="200"/>
        <v>1.0014958936589977</v>
      </c>
      <c r="L416" s="679">
        <f t="shared" si="201"/>
        <v>5.4663173856745399E-2</v>
      </c>
      <c r="M416" s="678">
        <f t="shared" si="202"/>
        <v>1.0216759812687755</v>
      </c>
      <c r="N416" s="679">
        <f t="shared" si="203"/>
        <v>-0.20635672656354803</v>
      </c>
      <c r="O416" s="677">
        <f t="shared" si="204"/>
        <v>1641530.5401521146</v>
      </c>
      <c r="P416" s="680">
        <f t="shared" si="205"/>
        <v>1.5707957176073271</v>
      </c>
      <c r="Q416" s="689">
        <f t="shared" si="227"/>
        <v>65.668836009188936</v>
      </c>
      <c r="R416" s="690">
        <f t="shared" si="228"/>
        <v>1.555567814869264</v>
      </c>
      <c r="S416" s="677">
        <f t="shared" si="206"/>
        <v>1.0435892056854443</v>
      </c>
      <c r="T416" s="680">
        <f t="shared" si="207"/>
        <v>0.29004344246665892</v>
      </c>
      <c r="U416" s="681">
        <f t="shared" si="219"/>
        <v>0.84919502651394418</v>
      </c>
      <c r="V416" s="682">
        <f t="shared" si="220"/>
        <v>-0.70013926148935579</v>
      </c>
      <c r="W416" s="683">
        <f t="shared" si="208"/>
        <v>-34.047014697779552</v>
      </c>
      <c r="X416" s="684">
        <f t="shared" si="209"/>
        <v>-156.11765100634992</v>
      </c>
      <c r="Y416" s="687">
        <f t="shared" si="210"/>
        <v>23.882348993650083</v>
      </c>
      <c r="AA416" s="170">
        <f t="shared" si="211"/>
        <v>39584.5</v>
      </c>
      <c r="AB416" s="170">
        <f t="shared" si="212"/>
        <v>1566932640.25</v>
      </c>
      <c r="AD416" s="686">
        <f t="shared" si="213"/>
        <v>16.777065562409362</v>
      </c>
      <c r="AE416" s="687">
        <f t="shared" si="214"/>
        <v>-17.490759706497897</v>
      </c>
      <c r="AG416" s="686">
        <f t="shared" si="215"/>
        <v>-9.7081008911578675</v>
      </c>
      <c r="AH416" s="687">
        <f t="shared" si="216"/>
        <v>-58.396841698682991</v>
      </c>
      <c r="AJ416" s="170">
        <f t="shared" si="217"/>
        <v>0</v>
      </c>
      <c r="AK416" s="170">
        <f t="shared" si="229"/>
        <v>0</v>
      </c>
      <c r="AM416" s="170" t="str">
        <f t="shared" si="221"/>
        <v>0.531753188079295+0.883597715663693i</v>
      </c>
      <c r="AN416" s="170" t="str">
        <f t="shared" si="222"/>
        <v>1.08349074167824i</v>
      </c>
      <c r="AO416" s="170" t="str">
        <f t="shared" si="223"/>
        <v>0.815510166976666-0.490777786670934i</v>
      </c>
      <c r="AP416" s="170" t="str">
        <f t="shared" si="224"/>
        <v>0.0780411353201175-0.147266285943949i</v>
      </c>
      <c r="AQ416" s="170" t="str">
        <f t="shared" si="225"/>
        <v>0.921958864679883+0.147266285943949i</v>
      </c>
      <c r="AR416" s="170" t="str">
        <f t="shared" si="226"/>
        <v>0.88103211269295-0.140728976101001i</v>
      </c>
    </row>
    <row r="417" spans="7:44">
      <c r="G417" s="688">
        <v>39811</v>
      </c>
      <c r="H417" s="676">
        <f t="shared" si="218"/>
        <v>39.811</v>
      </c>
      <c r="I417" s="677">
        <f t="shared" si="198"/>
        <v>320.96274453251641</v>
      </c>
      <c r="J417" s="678">
        <f t="shared" si="199"/>
        <v>1.5676806953551226</v>
      </c>
      <c r="K417" s="678">
        <f t="shared" si="200"/>
        <v>1.0015130484844541</v>
      </c>
      <c r="L417" s="679">
        <f t="shared" si="201"/>
        <v>5.4975325033986208E-2</v>
      </c>
      <c r="M417" s="678">
        <f t="shared" si="202"/>
        <v>1.0219220795631125</v>
      </c>
      <c r="N417" s="679">
        <f t="shared" si="203"/>
        <v>-0.20750397462103395</v>
      </c>
      <c r="O417" s="677">
        <f t="shared" si="204"/>
        <v>1650923.2738570829</v>
      </c>
      <c r="P417" s="680">
        <f t="shared" si="205"/>
        <v>1.5707957210732282</v>
      </c>
      <c r="Q417" s="689">
        <f t="shared" si="227"/>
        <v>66.044502041117553</v>
      </c>
      <c r="R417" s="690">
        <f t="shared" si="228"/>
        <v>1.5556544424155327</v>
      </c>
      <c r="S417" s="677">
        <f t="shared" si="206"/>
        <v>1.0440788997791464</v>
      </c>
      <c r="T417" s="680">
        <f t="shared" si="207"/>
        <v>0.29161079467706214</v>
      </c>
      <c r="U417" s="681">
        <f t="shared" si="219"/>
        <v>0.84781981484918278</v>
      </c>
      <c r="V417" s="682">
        <f t="shared" si="220"/>
        <v>-0.70359295675000022</v>
      </c>
      <c r="W417" s="683">
        <f t="shared" si="208"/>
        <v>-34.112495742856282</v>
      </c>
      <c r="X417" s="684">
        <f t="shared" si="209"/>
        <v>-156.44924159879449</v>
      </c>
      <c r="Y417" s="687">
        <f t="shared" si="210"/>
        <v>23.550758401205513</v>
      </c>
      <c r="AA417" s="170">
        <f t="shared" si="211"/>
        <v>39811</v>
      </c>
      <c r="AB417" s="170">
        <f t="shared" si="212"/>
        <v>1584915721</v>
      </c>
      <c r="AD417" s="686">
        <f t="shared" si="213"/>
        <v>16.772979322272359</v>
      </c>
      <c r="AE417" s="687">
        <f t="shared" si="214"/>
        <v>-17.575599179052176</v>
      </c>
      <c r="AG417" s="686">
        <f t="shared" si="215"/>
        <v>-9.7413405166078153</v>
      </c>
      <c r="AH417" s="687">
        <f t="shared" si="216"/>
        <v>-58.24782849380253</v>
      </c>
      <c r="AJ417" s="170">
        <f t="shared" si="217"/>
        <v>0</v>
      </c>
      <c r="AK417" s="170">
        <f t="shared" si="229"/>
        <v>0</v>
      </c>
      <c r="AM417" s="170" t="str">
        <f t="shared" si="221"/>
        <v>0.537240161830625+0.886483689741359i</v>
      </c>
      <c r="AN417" s="170" t="str">
        <f t="shared" si="222"/>
        <v>1.0896904070268i</v>
      </c>
      <c r="AO417" s="170" t="str">
        <f t="shared" si="223"/>
        <v>0.81351885271718-0.493020915267553i</v>
      </c>
      <c r="AP417" s="170" t="str">
        <f t="shared" si="224"/>
        <v>0.0771266396948958-0.14774728162356i</v>
      </c>
      <c r="AQ417" s="170" t="str">
        <f t="shared" si="225"/>
        <v>0.922873360305104+0.14774728162356i</v>
      </c>
      <c r="AR417" s="170" t="str">
        <f t="shared" si="226"/>
        <v>0.880059472347736-0.14089299821533i</v>
      </c>
    </row>
    <row r="418" spans="7:44">
      <c r="G418" s="688">
        <v>40042.75</v>
      </c>
      <c r="H418" s="676">
        <f t="shared" si="218"/>
        <v>40.042749999999998</v>
      </c>
      <c r="I418" s="677">
        <f t="shared" si="198"/>
        <v>322.83113256819547</v>
      </c>
      <c r="J418" s="678">
        <f t="shared" si="199"/>
        <v>1.5676987271574832</v>
      </c>
      <c r="K418" s="678">
        <f t="shared" si="200"/>
        <v>1.0015307019396928</v>
      </c>
      <c r="L418" s="679">
        <f t="shared" si="201"/>
        <v>5.5294700403354942E-2</v>
      </c>
      <c r="M418" s="678">
        <f t="shared" si="202"/>
        <v>1.0221752736004501</v>
      </c>
      <c r="N418" s="679">
        <f t="shared" si="203"/>
        <v>-0.2086772411581945</v>
      </c>
      <c r="O418" s="677">
        <f t="shared" si="204"/>
        <v>1660533.7199326961</v>
      </c>
      <c r="P418" s="680">
        <f t="shared" si="205"/>
        <v>1.5707957245788813</v>
      </c>
      <c r="Q418" s="689">
        <f t="shared" si="227"/>
        <v>66.42887607096803</v>
      </c>
      <c r="R418" s="690">
        <f t="shared" si="228"/>
        <v>1.5557420637702413</v>
      </c>
      <c r="S418" s="677">
        <f t="shared" si="206"/>
        <v>1.044582596618429</v>
      </c>
      <c r="T418" s="680">
        <f t="shared" si="207"/>
        <v>0.29321295118254775</v>
      </c>
      <c r="U418" s="681">
        <f t="shared" si="219"/>
        <v>0.84641100551652637</v>
      </c>
      <c r="V418" s="682">
        <f t="shared" si="220"/>
        <v>-0.70711921558142132</v>
      </c>
      <c r="W418" s="683">
        <f t="shared" si="208"/>
        <v>-34.1792526094602</v>
      </c>
      <c r="X418" s="684">
        <f t="shared" si="209"/>
        <v>-156.78801552686585</v>
      </c>
      <c r="Y418" s="687">
        <f t="shared" si="210"/>
        <v>23.211984473134152</v>
      </c>
      <c r="AA418" s="170">
        <f t="shared" si="211"/>
        <v>40042.75</v>
      </c>
      <c r="AB418" s="170">
        <f t="shared" si="212"/>
        <v>1603421827.5625</v>
      </c>
      <c r="AD418" s="686">
        <f t="shared" si="213"/>
        <v>16.768778491995171</v>
      </c>
      <c r="AE418" s="687">
        <f t="shared" si="214"/>
        <v>-17.662375852074206</v>
      </c>
      <c r="AG418" s="686">
        <f t="shared" si="215"/>
        <v>-9.7750061206326393</v>
      </c>
      <c r="AH418" s="687">
        <f t="shared" si="216"/>
        <v>-58.095746251367835</v>
      </c>
      <c r="AJ418" s="170">
        <f t="shared" si="217"/>
        <v>0</v>
      </c>
      <c r="AK418" s="170">
        <f t="shared" si="229"/>
        <v>0</v>
      </c>
      <c r="AM418" s="170" t="str">
        <f t="shared" si="221"/>
        <v>0.542872725096181+0.889401289935543i</v>
      </c>
      <c r="AN418" s="170" t="str">
        <f t="shared" si="222"/>
        <v>1.09603377322781i</v>
      </c>
      <c r="AO418" s="170" t="str">
        <f t="shared" si="223"/>
        <v>0.811472521796718-0.495306566600978i</v>
      </c>
      <c r="AP418" s="170" t="str">
        <f t="shared" si="224"/>
        <v>0.0761878791506365-0.148233548322591i</v>
      </c>
      <c r="AQ418" s="170" t="str">
        <f t="shared" si="225"/>
        <v>0.923812120849363+0.148233548322591i</v>
      </c>
      <c r="AR418" s="170" t="str">
        <f t="shared" si="226"/>
        <v>0.87906525178878-0.141053530841246i</v>
      </c>
    </row>
    <row r="419" spans="7:44">
      <c r="G419" s="688">
        <v>40274.5</v>
      </c>
      <c r="H419" s="676">
        <f t="shared" si="218"/>
        <v>40.274500000000003</v>
      </c>
      <c r="I419" s="677">
        <f t="shared" si="198"/>
        <v>324.69952070763367</v>
      </c>
      <c r="J419" s="678">
        <f t="shared" si="199"/>
        <v>1.5677165514424156</v>
      </c>
      <c r="K419" s="678">
        <f t="shared" si="200"/>
        <v>1.0015484575480835</v>
      </c>
      <c r="L419" s="679">
        <f t="shared" si="201"/>
        <v>5.5614064481424613E-2</v>
      </c>
      <c r="M419" s="678">
        <f t="shared" si="202"/>
        <v>1.0224298740195981</v>
      </c>
      <c r="N419" s="679">
        <f t="shared" si="203"/>
        <v>-0.20984992498691518</v>
      </c>
      <c r="O419" s="677">
        <f t="shared" si="204"/>
        <v>1670144.1660083095</v>
      </c>
      <c r="P419" s="680">
        <f t="shared" si="205"/>
        <v>1.5707957280441898</v>
      </c>
      <c r="Q419" s="689">
        <f t="shared" si="227"/>
        <v>66.813250604958185</v>
      </c>
      <c r="R419" s="690">
        <f t="shared" si="228"/>
        <v>1.5558286769598006</v>
      </c>
      <c r="S419" s="677">
        <f t="shared" si="206"/>
        <v>1.0450889722138468</v>
      </c>
      <c r="T419" s="680">
        <f t="shared" si="207"/>
        <v>0.2948135592117333</v>
      </c>
      <c r="U419" s="681">
        <f t="shared" si="219"/>
        <v>0.84500051570483481</v>
      </c>
      <c r="V419" s="682">
        <f t="shared" si="220"/>
        <v>-0.71063790722434406</v>
      </c>
      <c r="W419" s="683">
        <f t="shared" si="208"/>
        <v>-34.24576762331175</v>
      </c>
      <c r="X419" s="684">
        <f t="shared" si="209"/>
        <v>-157.12628029744945</v>
      </c>
      <c r="Y419" s="687">
        <f t="shared" si="210"/>
        <v>22.873719702550545</v>
      </c>
      <c r="AA419" s="170">
        <f t="shared" si="211"/>
        <v>40274.5</v>
      </c>
      <c r="AB419" s="170">
        <f t="shared" si="212"/>
        <v>1622035350.25</v>
      </c>
      <c r="AD419" s="686">
        <f t="shared" si="213"/>
        <v>16.764557615533452</v>
      </c>
      <c r="AE419" s="687">
        <f t="shared" si="214"/>
        <v>-17.749121565236038</v>
      </c>
      <c r="AG419" s="686">
        <f t="shared" si="215"/>
        <v>-9.8083271511796557</v>
      </c>
      <c r="AH419" s="687">
        <f t="shared" si="216"/>
        <v>-57.944052947233992</v>
      </c>
      <c r="AJ419" s="170">
        <f t="shared" si="217"/>
        <v>0</v>
      </c>
      <c r="AK419" s="170">
        <f t="shared" si="229"/>
        <v>0</v>
      </c>
      <c r="AM419" s="170" t="str">
        <f t="shared" si="221"/>
        <v>0.548523682322098+0.892283102258472i</v>
      </c>
      <c r="AN419" s="170" t="str">
        <f t="shared" si="222"/>
        <v>1.10237713942883i</v>
      </c>
      <c r="AO419" s="170" t="str">
        <f t="shared" si="223"/>
        <v>0.809417276850268-0.497582599187699i</v>
      </c>
      <c r="AP419" s="170" t="str">
        <f t="shared" si="224"/>
        <v>0.075246052946317-0.148713850376412i</v>
      </c>
      <c r="AQ419" s="170" t="str">
        <f t="shared" si="225"/>
        <v>0.924753947053683+0.148713850376412i</v>
      </c>
      <c r="AR419" s="170" t="str">
        <f t="shared" si="226"/>
        <v>0.878072060883459-0.141206725851747i</v>
      </c>
    </row>
    <row r="420" spans="7:44">
      <c r="G420" s="688">
        <v>40506.25</v>
      </c>
      <c r="H420" s="676">
        <f t="shared" si="218"/>
        <v>40.506250000000001</v>
      </c>
      <c r="I420" s="677">
        <f t="shared" si="198"/>
        <v>326.56790894905021</v>
      </c>
      <c r="J420" s="678">
        <f t="shared" si="199"/>
        <v>1.5677341717717077</v>
      </c>
      <c r="K420" s="678">
        <f t="shared" si="200"/>
        <v>1.0015663153041929</v>
      </c>
      <c r="L420" s="679">
        <f t="shared" si="201"/>
        <v>5.5933417203651414E-2</v>
      </c>
      <c r="M420" s="678">
        <f t="shared" si="202"/>
        <v>1.0226858797701883</v>
      </c>
      <c r="N420" s="679">
        <f t="shared" si="203"/>
        <v>-0.21102202331828601</v>
      </c>
      <c r="O420" s="677">
        <f t="shared" si="204"/>
        <v>1679754.6120839226</v>
      </c>
      <c r="P420" s="680">
        <f t="shared" si="205"/>
        <v>1.5707957314698457</v>
      </c>
      <c r="Q420" s="689">
        <f t="shared" si="227"/>
        <v>67.197625634436946</v>
      </c>
      <c r="R420" s="690">
        <f t="shared" si="228"/>
        <v>1.5559142992832216</v>
      </c>
      <c r="S420" s="677">
        <f t="shared" si="206"/>
        <v>1.0455980226734927</v>
      </c>
      <c r="T420" s="680">
        <f t="shared" si="207"/>
        <v>0.29641261281900189</v>
      </c>
      <c r="U420" s="681">
        <f t="shared" si="219"/>
        <v>0.84358840647001465</v>
      </c>
      <c r="V420" s="682">
        <f t="shared" si="220"/>
        <v>-0.71414903972522792</v>
      </c>
      <c r="W420" s="683">
        <f t="shared" si="208"/>
        <v>-34.312043620760903</v>
      </c>
      <c r="X420" s="684">
        <f t="shared" si="209"/>
        <v>-157.46403508777476</v>
      </c>
      <c r="Y420" s="687">
        <f t="shared" si="210"/>
        <v>22.535964912225239</v>
      </c>
      <c r="AA420" s="170">
        <f t="shared" si="211"/>
        <v>40506.25</v>
      </c>
      <c r="AB420" s="170">
        <f t="shared" si="212"/>
        <v>1640756289.0625</v>
      </c>
      <c r="AD420" s="686">
        <f t="shared" si="213"/>
        <v>16.76031675110541</v>
      </c>
      <c r="AE420" s="687">
        <f t="shared" si="214"/>
        <v>-17.835834986758289</v>
      </c>
      <c r="AG420" s="686">
        <f t="shared" si="215"/>
        <v>-9.8413074262215332</v>
      </c>
      <c r="AH420" s="687">
        <f t="shared" si="216"/>
        <v>-57.792748168353576</v>
      </c>
      <c r="AJ420" s="170">
        <f t="shared" si="217"/>
        <v>0</v>
      </c>
      <c r="AK420" s="170">
        <f t="shared" si="229"/>
        <v>0</v>
      </c>
      <c r="AM420" s="170" t="str">
        <f t="shared" si="221"/>
        <v>0.554192806124238+0.89512901075131i</v>
      </c>
      <c r="AN420" s="170" t="str">
        <f t="shared" si="222"/>
        <v>1.10872050562984i</v>
      </c>
      <c r="AO420" s="170" t="str">
        <f t="shared" si="223"/>
        <v>0.807353166290369-0.499848973037089i</v>
      </c>
      <c r="AP420" s="170" t="str">
        <f t="shared" si="224"/>
        <v>0.0743011989792937-0.149188168458552i</v>
      </c>
      <c r="AQ420" s="170" t="str">
        <f t="shared" si="225"/>
        <v>0.925698801020706+0.149188168458552i</v>
      </c>
      <c r="AR420" s="170" t="str">
        <f t="shared" si="226"/>
        <v>0.8770799535001-0.141352621079462i</v>
      </c>
    </row>
    <row r="421" spans="7:44">
      <c r="G421" s="688">
        <v>40738</v>
      </c>
      <c r="H421" s="676">
        <f t="shared" si="218"/>
        <v>40.738</v>
      </c>
      <c r="I421" s="677">
        <f t="shared" si="198"/>
        <v>328.43629729070472</v>
      </c>
      <c r="J421" s="678">
        <f t="shared" si="199"/>
        <v>1.5677515916261</v>
      </c>
      <c r="K421" s="678">
        <f t="shared" si="200"/>
        <v>1.0015842752025577</v>
      </c>
      <c r="L421" s="679">
        <f t="shared" si="201"/>
        <v>5.6252758505505374E-2</v>
      </c>
      <c r="M421" s="678">
        <f t="shared" si="202"/>
        <v>1.0229432897971102</v>
      </c>
      <c r="N421" s="679">
        <f t="shared" si="203"/>
        <v>-0.21219353337261596</v>
      </c>
      <c r="O421" s="677">
        <f t="shared" si="204"/>
        <v>1689365.058159536</v>
      </c>
      <c r="P421" s="680">
        <f t="shared" si="205"/>
        <v>1.570795734856526</v>
      </c>
      <c r="Q421" s="689">
        <f t="shared" si="227"/>
        <v>67.582001150949921</v>
      </c>
      <c r="R421" s="690">
        <f t="shared" si="228"/>
        <v>1.5559989476460181</v>
      </c>
      <c r="S421" s="677">
        <f t="shared" si="206"/>
        <v>1.0461097440924965</v>
      </c>
      <c r="T421" s="680">
        <f t="shared" si="207"/>
        <v>0.2980101061020759</v>
      </c>
      <c r="U421" s="681">
        <f t="shared" si="219"/>
        <v>0.84217473830544898</v>
      </c>
      <c r="V421" s="682">
        <f t="shared" si="220"/>
        <v>-0.71765262153800613</v>
      </c>
      <c r="W421" s="683">
        <f t="shared" si="208"/>
        <v>-34.378083383475207</v>
      </c>
      <c r="X421" s="684">
        <f t="shared" si="209"/>
        <v>-157.80127911932951</v>
      </c>
      <c r="Y421" s="687">
        <f t="shared" si="210"/>
        <v>22.198720880670493</v>
      </c>
      <c r="AA421" s="170">
        <f t="shared" si="211"/>
        <v>40738</v>
      </c>
      <c r="AB421" s="170">
        <f t="shared" si="212"/>
        <v>1659584644</v>
      </c>
      <c r="AD421" s="686">
        <f t="shared" si="213"/>
        <v>16.75605595721262</v>
      </c>
      <c r="AE421" s="687">
        <f t="shared" si="214"/>
        <v>-17.922514809889524</v>
      </c>
      <c r="AG421" s="686">
        <f t="shared" si="215"/>
        <v>-9.8739507039973322</v>
      </c>
      <c r="AH421" s="687">
        <f t="shared" si="216"/>
        <v>-57.641831474216367</v>
      </c>
      <c r="AJ421" s="170">
        <f t="shared" si="217"/>
        <v>0</v>
      </c>
      <c r="AK421" s="170">
        <f t="shared" si="229"/>
        <v>0</v>
      </c>
      <c r="AM421" s="170" t="str">
        <f t="shared" si="221"/>
        <v>0.559879868387501+0.897938900899942i</v>
      </c>
      <c r="AN421" s="170" t="str">
        <f t="shared" si="222"/>
        <v>1.11506387183085i</v>
      </c>
      <c r="AO421" s="170" t="str">
        <f t="shared" si="223"/>
        <v>0.80528023872354-0.502105648412966i</v>
      </c>
      <c r="AP421" s="170" t="str">
        <f t="shared" si="224"/>
        <v>0.0733533552687498-0.149656483483324i</v>
      </c>
      <c r="AQ421" s="170" t="str">
        <f t="shared" si="225"/>
        <v>0.92664664473125+0.149656483483324i</v>
      </c>
      <c r="AR421" s="170" t="str">
        <f t="shared" si="226"/>
        <v>0.876088982786478-0.141491254652233i</v>
      </c>
    </row>
    <row r="422" spans="7:44">
      <c r="G422" s="688">
        <v>40975.25</v>
      </c>
      <c r="H422" s="676">
        <f t="shared" si="218"/>
        <v>40.975250000000003</v>
      </c>
      <c r="I422" s="677">
        <f t="shared" si="198"/>
        <v>330.34902720530937</v>
      </c>
      <c r="J422" s="678">
        <f t="shared" si="199"/>
        <v>1.5677692207801159</v>
      </c>
      <c r="K422" s="678">
        <f t="shared" si="200"/>
        <v>1.0016027671350924</v>
      </c>
      <c r="L422" s="679">
        <f t="shared" si="201"/>
        <v>5.6579666667833178E-2</v>
      </c>
      <c r="M422" s="678">
        <f t="shared" si="202"/>
        <v>1.023208262355501</v>
      </c>
      <c r="N422" s="679">
        <f t="shared" si="203"/>
        <v>-0.21339223397745485</v>
      </c>
      <c r="O422" s="677">
        <f t="shared" si="204"/>
        <v>1699203.5838615394</v>
      </c>
      <c r="P422" s="680">
        <f t="shared" si="205"/>
        <v>1.5707957382838968</v>
      </c>
      <c r="Q422" s="689">
        <f t="shared" si="227"/>
        <v>67.975499343888899</v>
      </c>
      <c r="R422" s="690">
        <f t="shared" si="228"/>
        <v>1.5560846132660142</v>
      </c>
      <c r="S422" s="677">
        <f t="shared" si="206"/>
        <v>1.0466363726286789</v>
      </c>
      <c r="T422" s="680">
        <f t="shared" si="207"/>
        <v>0.29964388942110082</v>
      </c>
      <c r="U422" s="681">
        <f t="shared" si="219"/>
        <v>0.84072596800637833</v>
      </c>
      <c r="V422" s="682">
        <f t="shared" si="220"/>
        <v>-0.72123153964171183</v>
      </c>
      <c r="W422" s="683">
        <f t="shared" si="208"/>
        <v>-34.445448570219931</v>
      </c>
      <c r="X422" s="684">
        <f t="shared" si="209"/>
        <v>-158.14599693269523</v>
      </c>
      <c r="Y422" s="687">
        <f t="shared" si="210"/>
        <v>21.854003067304774</v>
      </c>
      <c r="AA422" s="170">
        <f t="shared" si="211"/>
        <v>40975.25</v>
      </c>
      <c r="AB422" s="170">
        <f t="shared" si="212"/>
        <v>1678971112.5625</v>
      </c>
      <c r="AD422" s="686">
        <f t="shared" si="213"/>
        <v>16.751673460985057</v>
      </c>
      <c r="AE422" s="687">
        <f t="shared" si="214"/>
        <v>-18.011215616708622</v>
      </c>
      <c r="AG422" s="686">
        <f t="shared" si="215"/>
        <v>-9.9070234610523205</v>
      </c>
      <c r="AH422" s="687">
        <f t="shared" si="216"/>
        <v>-57.487734675163772</v>
      </c>
      <c r="AJ422" s="170">
        <f t="shared" si="217"/>
        <v>0</v>
      </c>
      <c r="AK422" s="170">
        <f t="shared" si="229"/>
        <v>0</v>
      </c>
      <c r="AM422" s="170" t="str">
        <f t="shared" si="221"/>
        <v>0.565720241858747+0.90077804795009i</v>
      </c>
      <c r="AN422" s="170" t="str">
        <f t="shared" si="222"/>
        <v>1.12155778178205i</v>
      </c>
      <c r="AO422" s="170" t="str">
        <f t="shared" si="223"/>
        <v>0.803149033051902-0.504405792593112i</v>
      </c>
      <c r="AP422" s="170" t="str">
        <f t="shared" si="224"/>
        <v>0.0723799596902088-0.150129674658348i</v>
      </c>
      <c r="AQ422" s="170" t="str">
        <f t="shared" si="225"/>
        <v>0.927620040309791+0.150129674658348i</v>
      </c>
      <c r="AR422" s="170" t="str">
        <f t="shared" si="226"/>
        <v>0.875075726079298-0.141625696242858i</v>
      </c>
    </row>
    <row r="423" spans="7:44">
      <c r="G423" s="688">
        <v>41212.5</v>
      </c>
      <c r="H423" s="676">
        <f t="shared" si="218"/>
        <v>41.212499999999999</v>
      </c>
      <c r="I423" s="677">
        <f t="shared" si="198"/>
        <v>332.26175722140022</v>
      </c>
      <c r="J423" s="678">
        <f t="shared" si="199"/>
        <v>1.5677866469627675</v>
      </c>
      <c r="K423" s="678">
        <f t="shared" si="200"/>
        <v>1.0016213661039011</v>
      </c>
      <c r="L423" s="679">
        <f t="shared" si="201"/>
        <v>5.6906562724469915E-2</v>
      </c>
      <c r="M423" s="678">
        <f t="shared" si="202"/>
        <v>1.0234747043820898</v>
      </c>
      <c r="N423" s="679">
        <f t="shared" si="203"/>
        <v>-0.21459031218558322</v>
      </c>
      <c r="O423" s="677">
        <f t="shared" si="204"/>
        <v>1709042.1095635428</v>
      </c>
      <c r="P423" s="680">
        <f t="shared" si="205"/>
        <v>1.5707957416718066</v>
      </c>
      <c r="Q423" s="689">
        <f t="shared" si="227"/>
        <v>68.368998029930538</v>
      </c>
      <c r="R423" s="690">
        <f t="shared" si="228"/>
        <v>1.5561692927873738</v>
      </c>
      <c r="S423" s="677">
        <f t="shared" si="206"/>
        <v>1.0471657920825059</v>
      </c>
      <c r="T423" s="680">
        <f t="shared" si="207"/>
        <v>0.30127602509737805</v>
      </c>
      <c r="U423" s="681">
        <f t="shared" si="219"/>
        <v>0.83927569039749539</v>
      </c>
      <c r="V423" s="682">
        <f t="shared" si="220"/>
        <v>-0.72480256362641637</v>
      </c>
      <c r="W423" s="683">
        <f t="shared" si="208"/>
        <v>-34.512571906117444</v>
      </c>
      <c r="X423" s="684">
        <f t="shared" si="209"/>
        <v>-158.49017794390986</v>
      </c>
      <c r="Y423" s="687">
        <f t="shared" si="210"/>
        <v>21.509822056090144</v>
      </c>
      <c r="AA423" s="170">
        <f t="shared" si="211"/>
        <v>41212.5</v>
      </c>
      <c r="AB423" s="170">
        <f t="shared" si="212"/>
        <v>1698470156.25</v>
      </c>
      <c r="AD423" s="686">
        <f t="shared" si="213"/>
        <v>16.747270203074358</v>
      </c>
      <c r="AE423" s="687">
        <f t="shared" si="214"/>
        <v>-18.099878517581182</v>
      </c>
      <c r="AG423" s="686">
        <f t="shared" si="215"/>
        <v>-9.9397508201118523</v>
      </c>
      <c r="AH423" s="687">
        <f t="shared" si="216"/>
        <v>-57.334043579311135</v>
      </c>
      <c r="AJ423" s="170">
        <f t="shared" si="217"/>
        <v>0</v>
      </c>
      <c r="AK423" s="170">
        <f t="shared" si="229"/>
        <v>0</v>
      </c>
      <c r="AM423" s="170" t="str">
        <f t="shared" si="221"/>
        <v>0.571578929219309+0.903579208542962i</v>
      </c>
      <c r="AN423" s="170" t="str">
        <f t="shared" si="222"/>
        <v>1.12805169173324i</v>
      </c>
      <c r="AO423" s="170" t="str">
        <f t="shared" si="223"/>
        <v>0.801008690616493-0.506695689043366i</v>
      </c>
      <c r="AP423" s="170" t="str">
        <f t="shared" si="224"/>
        <v>0.0714035117967818-0.15059653475716i</v>
      </c>
      <c r="AQ423" s="170" t="str">
        <f t="shared" si="225"/>
        <v>0.928596488203218+0.15059653475716i</v>
      </c>
      <c r="AR423" s="170" t="str">
        <f t="shared" si="226"/>
        <v>0.874063771052332-0.141752609178994i</v>
      </c>
    </row>
    <row r="424" spans="7:44">
      <c r="G424" s="688">
        <v>41449.75</v>
      </c>
      <c r="H424" s="676">
        <f t="shared" si="218"/>
        <v>41.449750000000002</v>
      </c>
      <c r="I424" s="677">
        <f t="shared" si="198"/>
        <v>334.1744873372345</v>
      </c>
      <c r="J424" s="678">
        <f t="shared" si="199"/>
        <v>1.5678038736593134</v>
      </c>
      <c r="K424" s="678">
        <f t="shared" si="200"/>
        <v>1.0016400721030205</v>
      </c>
      <c r="L424" s="679">
        <f t="shared" si="201"/>
        <v>5.7233446606226979E-2</v>
      </c>
      <c r="M424" s="678">
        <f t="shared" si="202"/>
        <v>1.023742614729533</v>
      </c>
      <c r="N424" s="679">
        <f t="shared" si="203"/>
        <v>-0.21578776504488695</v>
      </c>
      <c r="O424" s="677">
        <f t="shared" si="204"/>
        <v>1718880.6352655462</v>
      </c>
      <c r="P424" s="680">
        <f t="shared" si="205"/>
        <v>1.5707957450209331</v>
      </c>
      <c r="Q424" s="689">
        <f t="shared" si="227"/>
        <v>68.762497200609431</v>
      </c>
      <c r="R424" s="690">
        <f t="shared" si="228"/>
        <v>1.5562530031379689</v>
      </c>
      <c r="S424" s="677">
        <f t="shared" si="206"/>
        <v>1.0476979982230841</v>
      </c>
      <c r="T424" s="680">
        <f t="shared" si="207"/>
        <v>0.30290650693968146</v>
      </c>
      <c r="U424" s="681">
        <f t="shared" si="219"/>
        <v>0.83782396854506802</v>
      </c>
      <c r="V424" s="682">
        <f t="shared" si="220"/>
        <v>-0.72836570385346711</v>
      </c>
      <c r="W424" s="683">
        <f t="shared" si="208"/>
        <v>-34.57945620605944</v>
      </c>
      <c r="X424" s="684">
        <f t="shared" si="209"/>
        <v>-158.83382145655818</v>
      </c>
      <c r="Y424" s="687">
        <f t="shared" si="210"/>
        <v>21.166178543441816</v>
      </c>
      <c r="AA424" s="170">
        <f t="shared" si="211"/>
        <v>41449.75</v>
      </c>
      <c r="AB424" s="170">
        <f t="shared" si="212"/>
        <v>1718081775.0625</v>
      </c>
      <c r="AD424" s="686">
        <f t="shared" si="213"/>
        <v>16.74284624712428</v>
      </c>
      <c r="AE424" s="687">
        <f t="shared" si="214"/>
        <v>-18.188502187919308</v>
      </c>
      <c r="AG424" s="686">
        <f t="shared" si="215"/>
        <v>-9.9721366270838612</v>
      </c>
      <c r="AH424" s="687">
        <f t="shared" si="216"/>
        <v>-57.180757627508171</v>
      </c>
      <c r="AJ424" s="170">
        <f t="shared" si="217"/>
        <v>0</v>
      </c>
      <c r="AK424" s="170">
        <f t="shared" si="229"/>
        <v>0</v>
      </c>
      <c r="AM424" s="170" t="str">
        <f t="shared" si="221"/>
        <v>0.577455683404152+0.906342264551614i</v>
      </c>
      <c r="AN424" s="170" t="str">
        <f t="shared" si="222"/>
        <v>1.13454560168444i</v>
      </c>
      <c r="AO424" s="170" t="str">
        <f t="shared" si="223"/>
        <v>0.798859264189984-0.508975295965904i</v>
      </c>
      <c r="AP424" s="170" t="str">
        <f t="shared" si="224"/>
        <v>0.0704240527659747-0.151057044091936i</v>
      </c>
      <c r="AQ424" s="170" t="str">
        <f t="shared" si="225"/>
        <v>0.929575947234025+0.151057044091936i</v>
      </c>
      <c r="AR424" s="170" t="str">
        <f t="shared" si="226"/>
        <v>0.873053172395524-0.141872035253892i</v>
      </c>
    </row>
    <row r="425" spans="7:44">
      <c r="G425" s="688">
        <v>41687</v>
      </c>
      <c r="H425" s="676">
        <f t="shared" si="218"/>
        <v>41.686999999999998</v>
      </c>
      <c r="I425" s="677">
        <f t="shared" si="198"/>
        <v>336.0872175511094</v>
      </c>
      <c r="J425" s="678">
        <f t="shared" si="199"/>
        <v>1.5678209042756732</v>
      </c>
      <c r="K425" s="678">
        <f t="shared" si="200"/>
        <v>1.001658885126455</v>
      </c>
      <c r="L425" s="679">
        <f t="shared" si="201"/>
        <v>5.756031824393136E-2</v>
      </c>
      <c r="M425" s="678">
        <f t="shared" si="202"/>
        <v>1.024011992245369</v>
      </c>
      <c r="N425" s="679">
        <f t="shared" si="203"/>
        <v>-0.21698458961350631</v>
      </c>
      <c r="O425" s="677">
        <f t="shared" si="204"/>
        <v>1728719.1609675493</v>
      </c>
      <c r="P425" s="680">
        <f t="shared" si="205"/>
        <v>1.5707957483319384</v>
      </c>
      <c r="Q425" s="689">
        <f t="shared" si="227"/>
        <v>69.155996847652744</v>
      </c>
      <c r="R425" s="690">
        <f t="shared" si="228"/>
        <v>1.5563357608604464</v>
      </c>
      <c r="S425" s="677">
        <f t="shared" si="206"/>
        <v>1.0482329868058653</v>
      </c>
      <c r="T425" s="680">
        <f t="shared" si="207"/>
        <v>0.30453532880449885</v>
      </c>
      <c r="U425" s="681">
        <f t="shared" si="219"/>
        <v>0.8363708648946222</v>
      </c>
      <c r="V425" s="682">
        <f t="shared" si="220"/>
        <v>-0.73192097110749899</v>
      </c>
      <c r="W425" s="683">
        <f t="shared" si="208"/>
        <v>-34.646104230507902</v>
      </c>
      <c r="X425" s="684">
        <f t="shared" si="209"/>
        <v>-159.17692681932292</v>
      </c>
      <c r="Y425" s="687">
        <f t="shared" si="210"/>
        <v>20.823073180677085</v>
      </c>
      <c r="AA425" s="170">
        <f t="shared" si="211"/>
        <v>41687</v>
      </c>
      <c r="AB425" s="170">
        <f t="shared" si="212"/>
        <v>1737805969</v>
      </c>
      <c r="AD425" s="686">
        <f t="shared" si="213"/>
        <v>16.73840165705969</v>
      </c>
      <c r="AE425" s="687">
        <f t="shared" si="214"/>
        <v>-18.277085327939748</v>
      </c>
      <c r="AG425" s="686">
        <f t="shared" si="215"/>
        <v>-10.00418466770423</v>
      </c>
      <c r="AH425" s="687">
        <f t="shared" si="216"/>
        <v>-57.027876232392771</v>
      </c>
      <c r="AJ425" s="170">
        <f t="shared" si="217"/>
        <v>0</v>
      </c>
      <c r="AK425" s="170">
        <f t="shared" si="229"/>
        <v>0</v>
      </c>
      <c r="AM425" s="170" t="str">
        <f t="shared" si="221"/>
        <v>0.58335025658632+0.909067099455983i</v>
      </c>
      <c r="AN425" s="170" t="str">
        <f t="shared" si="222"/>
        <v>1.14103951163564i</v>
      </c>
      <c r="AO425" s="170" t="str">
        <f t="shared" si="223"/>
        <v>0.796700806751965-0.511244571846691i</v>
      </c>
      <c r="AP425" s="170" t="str">
        <f t="shared" si="224"/>
        <v>0.06944162390228-0.151511183242664i</v>
      </c>
      <c r="AQ425" s="170" t="str">
        <f t="shared" si="225"/>
        <v>0.93055837609772+0.151511183242664i</v>
      </c>
      <c r="AR425" s="170" t="str">
        <f t="shared" si="226"/>
        <v>0.872043984017717-0.141984016534495i</v>
      </c>
    </row>
    <row r="426" spans="7:44">
      <c r="G426" s="688">
        <v>41929.75</v>
      </c>
      <c r="H426" s="676">
        <f t="shared" si="218"/>
        <v>41.929749999999999</v>
      </c>
      <c r="I426" s="677">
        <f t="shared" si="198"/>
        <v>338.04428934491972</v>
      </c>
      <c r="J426" s="678">
        <f t="shared" si="199"/>
        <v>1.5678381302212252</v>
      </c>
      <c r="K426" s="678">
        <f t="shared" si="200"/>
        <v>1.0016782450473762</v>
      </c>
      <c r="L426" s="679">
        <f t="shared" si="201"/>
        <v>5.7894754771827976E-2</v>
      </c>
      <c r="M426" s="678">
        <f t="shared" si="202"/>
        <v>1.0242891319245488</v>
      </c>
      <c r="N426" s="679">
        <f t="shared" si="203"/>
        <v>-0.21820850595988611</v>
      </c>
      <c r="O426" s="677">
        <f t="shared" si="204"/>
        <v>1738785.7662959427</v>
      </c>
      <c r="P426" s="680">
        <f t="shared" si="205"/>
        <v>1.5707957516809181</v>
      </c>
      <c r="Q426" s="689">
        <f t="shared" si="227"/>
        <v>69.558619205068979</v>
      </c>
      <c r="R426" s="690">
        <f t="shared" si="228"/>
        <v>1.5564194679487744</v>
      </c>
      <c r="S426" s="677">
        <f t="shared" si="206"/>
        <v>1.0487832531565167</v>
      </c>
      <c r="T426" s="680">
        <f t="shared" si="207"/>
        <v>0.30620018599727072</v>
      </c>
      <c r="U426" s="681">
        <f t="shared" si="219"/>
        <v>0.83488270922599195</v>
      </c>
      <c r="V426" s="682">
        <f t="shared" si="220"/>
        <v>-0.73555052045100899</v>
      </c>
      <c r="W426" s="683">
        <f t="shared" si="208"/>
        <v>-34.714055577735586</v>
      </c>
      <c r="X426" s="684">
        <f t="shared" si="209"/>
        <v>-159.52742851182416</v>
      </c>
      <c r="Y426" s="687">
        <f t="shared" si="210"/>
        <v>20.472571488175845</v>
      </c>
      <c r="AA426" s="170">
        <f t="shared" si="211"/>
        <v>41929.75</v>
      </c>
      <c r="AB426" s="170">
        <f t="shared" si="212"/>
        <v>1758103935.0625</v>
      </c>
      <c r="AD426" s="686">
        <f t="shared" si="213"/>
        <v>16.733832740972719</v>
      </c>
      <c r="AE426" s="687">
        <f t="shared" si="214"/>
        <v>-18.36767874768697</v>
      </c>
      <c r="AG426" s="686">
        <f t="shared" si="215"/>
        <v>-10.036629940011787</v>
      </c>
      <c r="AH426" s="687">
        <f t="shared" si="216"/>
        <v>-56.871868786836309</v>
      </c>
      <c r="AJ426" s="170">
        <f t="shared" si="217"/>
        <v>0</v>
      </c>
      <c r="AK426" s="170">
        <f t="shared" si="229"/>
        <v>0</v>
      </c>
      <c r="AM426" s="170" t="str">
        <f t="shared" si="221"/>
        <v>0.589399663647205+0.91181542199448i</v>
      </c>
      <c r="AN426" s="170" t="str">
        <f t="shared" si="222"/>
        <v>1.14768396533702i</v>
      </c>
      <c r="AO426" s="170" t="str">
        <f t="shared" si="223"/>
        <v>0.79448301930987-0.513555718689619i</v>
      </c>
      <c r="AP426" s="170" t="str">
        <f t="shared" si="224"/>
        <v>0.0684333893921325-0.15196923699908i</v>
      </c>
      <c r="AQ426" s="170" t="str">
        <f t="shared" si="225"/>
        <v>0.931566610607867+0.15196923699908i</v>
      </c>
      <c r="AR426" s="170" t="str">
        <f t="shared" si="226"/>
        <v>0.871012915446119-0.142090932274095i</v>
      </c>
    </row>
    <row r="427" spans="7:44">
      <c r="G427" s="688">
        <v>42172.5</v>
      </c>
      <c r="H427" s="676">
        <f t="shared" si="218"/>
        <v>42.172499999999999</v>
      </c>
      <c r="I427" s="677">
        <f t="shared" si="198"/>
        <v>340.00136123788423</v>
      </c>
      <c r="J427" s="678">
        <f t="shared" si="199"/>
        <v>1.5678551578592594</v>
      </c>
      <c r="K427" s="678">
        <f t="shared" si="200"/>
        <v>1.0016977169994588</v>
      </c>
      <c r="L427" s="679">
        <f t="shared" si="201"/>
        <v>5.8229178334937876E-2</v>
      </c>
      <c r="M427" s="678">
        <f t="shared" si="202"/>
        <v>1.0245678051279632</v>
      </c>
      <c r="N427" s="679">
        <f t="shared" si="203"/>
        <v>-0.2194317583494165</v>
      </c>
      <c r="O427" s="677">
        <f t="shared" si="204"/>
        <v>1748852.3716243361</v>
      </c>
      <c r="P427" s="680">
        <f t="shared" si="205"/>
        <v>1.5707957549913434</v>
      </c>
      <c r="Q427" s="689">
        <f t="shared" si="227"/>
        <v>69.961242044264083</v>
      </c>
      <c r="R427" s="690">
        <f t="shared" si="228"/>
        <v>1.556502211578922</v>
      </c>
      <c r="S427" s="677">
        <f t="shared" si="206"/>
        <v>1.0493364234181062</v>
      </c>
      <c r="T427" s="680">
        <f t="shared" si="207"/>
        <v>0.30786329249690525</v>
      </c>
      <c r="U427" s="681">
        <f t="shared" si="219"/>
        <v>0.83339323722318781</v>
      </c>
      <c r="V427" s="682">
        <f t="shared" si="220"/>
        <v>-0.73917185173675526</v>
      </c>
      <c r="W427" s="683">
        <f t="shared" si="208"/>
        <v>-34.78176524570884</v>
      </c>
      <c r="X427" s="684">
        <f t="shared" si="209"/>
        <v>-159.87736557556804</v>
      </c>
      <c r="Y427" s="687">
        <f t="shared" si="210"/>
        <v>20.122634424431965</v>
      </c>
      <c r="AA427" s="170">
        <f t="shared" si="211"/>
        <v>42172.5</v>
      </c>
      <c r="AB427" s="170">
        <f t="shared" si="212"/>
        <v>1778519756.25</v>
      </c>
      <c r="AD427" s="686">
        <f t="shared" si="213"/>
        <v>16.7292423592578</v>
      </c>
      <c r="AE427" s="687">
        <f t="shared" si="214"/>
        <v>-18.458227059984626</v>
      </c>
      <c r="AG427" s="686">
        <f t="shared" si="215"/>
        <v>-10.06872943508875</v>
      </c>
      <c r="AH427" s="687">
        <f t="shared" si="216"/>
        <v>-56.716283540024477</v>
      </c>
      <c r="AJ427" s="170">
        <f t="shared" si="217"/>
        <v>0</v>
      </c>
      <c r="AK427" s="170">
        <f t="shared" si="229"/>
        <v>0</v>
      </c>
      <c r="AM427" s="170" t="str">
        <f t="shared" si="221"/>
        <v>0.595467198139153+0.9145234891563i</v>
      </c>
      <c r="AN427" s="170" t="str">
        <f t="shared" si="222"/>
        <v>1.1543284190384i</v>
      </c>
      <c r="AO427" s="170" t="str">
        <f t="shared" si="223"/>
        <v>0.792255890154843-0.515855962928817i</v>
      </c>
      <c r="AP427" s="170" t="str">
        <f t="shared" si="224"/>
        <v>0.0674221336434745-0.15242058152605i</v>
      </c>
      <c r="AQ427" s="170" t="str">
        <f t="shared" si="225"/>
        <v>0.932577866356526+0.15242058152605i</v>
      </c>
      <c r="AR427" s="170" t="str">
        <f t="shared" si="226"/>
        <v>0.869983434990554-0.142190143968736i</v>
      </c>
    </row>
    <row r="428" spans="7:44">
      <c r="G428" s="688">
        <v>42415.25</v>
      </c>
      <c r="H428" s="676">
        <f t="shared" si="218"/>
        <v>42.41525</v>
      </c>
      <c r="I428" s="677">
        <f t="shared" si="198"/>
        <v>341.95843322830058</v>
      </c>
      <c r="J428" s="678">
        <f t="shared" si="199"/>
        <v>1.5678719905945837</v>
      </c>
      <c r="K428" s="678">
        <f t="shared" si="200"/>
        <v>1.0017173009761695</v>
      </c>
      <c r="L428" s="679">
        <f t="shared" si="201"/>
        <v>5.8563588859216011E-2</v>
      </c>
      <c r="M428" s="678">
        <f t="shared" si="202"/>
        <v>1.02484801060464</v>
      </c>
      <c r="N428" s="679">
        <f t="shared" si="203"/>
        <v>-0.22065434366440068</v>
      </c>
      <c r="O428" s="677">
        <f t="shared" si="204"/>
        <v>1758918.9769527293</v>
      </c>
      <c r="P428" s="680">
        <f t="shared" si="205"/>
        <v>1.5707957582638767</v>
      </c>
      <c r="Q428" s="689">
        <f t="shared" si="227"/>
        <v>70.363865356967835</v>
      </c>
      <c r="R428" s="690">
        <f t="shared" si="228"/>
        <v>1.5565840082885218</v>
      </c>
      <c r="S428" s="677">
        <f t="shared" si="206"/>
        <v>1.0498924930005722</v>
      </c>
      <c r="T428" s="680">
        <f t="shared" si="207"/>
        <v>0.30952464187787787</v>
      </c>
      <c r="U428" s="681">
        <f t="shared" si="219"/>
        <v>0.83190251375658375</v>
      </c>
      <c r="V428" s="682">
        <f t="shared" si="220"/>
        <v>-0.74278497785322728</v>
      </c>
      <c r="W428" s="683">
        <f t="shared" si="208"/>
        <v>-34.849236022946492</v>
      </c>
      <c r="X428" s="684">
        <f t="shared" si="209"/>
        <v>-160.2267374540493</v>
      </c>
      <c r="Y428" s="687">
        <f t="shared" si="210"/>
        <v>19.773262545950701</v>
      </c>
      <c r="AA428" s="170">
        <f t="shared" si="211"/>
        <v>42415.25</v>
      </c>
      <c r="AB428" s="170">
        <f t="shared" si="212"/>
        <v>1799053432.5625</v>
      </c>
      <c r="AD428" s="686">
        <f t="shared" si="213"/>
        <v>16.724630581256967</v>
      </c>
      <c r="AE428" s="687">
        <f t="shared" si="214"/>
        <v>-18.548728949178656</v>
      </c>
      <c r="AG428" s="686">
        <f t="shared" si="215"/>
        <v>-10.100487020747138</v>
      </c>
      <c r="AH428" s="687">
        <f t="shared" si="216"/>
        <v>-56.561119774193948</v>
      </c>
      <c r="AJ428" s="170">
        <f t="shared" si="217"/>
        <v>0</v>
      </c>
      <c r="AK428" s="170">
        <f t="shared" si="229"/>
        <v>0</v>
      </c>
      <c r="AM428" s="170" t="str">
        <f t="shared" si="221"/>
        <v>0.601552592189003+0.917191181384065i</v>
      </c>
      <c r="AN428" s="170" t="str">
        <f t="shared" si="222"/>
        <v>1.16097287273979i</v>
      </c>
      <c r="AO428" s="170" t="str">
        <f t="shared" si="223"/>
        <v>0.79001947669938-0.518145261025259i</v>
      </c>
      <c r="AP428" s="170" t="str">
        <f t="shared" si="224"/>
        <v>0.0664079013018328-0.152865196897344i</v>
      </c>
      <c r="AQ428" s="170" t="str">
        <f t="shared" si="225"/>
        <v>0.933592098698167+0.152865196897344i</v>
      </c>
      <c r="AR428" s="170" t="str">
        <f t="shared" si="226"/>
        <v>0.868955597878086-0.142281697488561i</v>
      </c>
    </row>
    <row r="429" spans="7:44">
      <c r="G429" s="688">
        <v>42658</v>
      </c>
      <c r="H429" s="676">
        <f t="shared" si="218"/>
        <v>42.658000000000001</v>
      </c>
      <c r="I429" s="677">
        <f t="shared" si="198"/>
        <v>343.91550531450491</v>
      </c>
      <c r="J429" s="678">
        <f t="shared" si="199"/>
        <v>1.5678886317545058</v>
      </c>
      <c r="K429" s="678">
        <f t="shared" si="200"/>
        <v>1.001736996970938</v>
      </c>
      <c r="L429" s="679">
        <f t="shared" si="201"/>
        <v>5.8897986270634799E-2</v>
      </c>
      <c r="M429" s="678">
        <f t="shared" si="202"/>
        <v>1.0251297470981</v>
      </c>
      <c r="N429" s="679">
        <f t="shared" si="203"/>
        <v>-0.22187625879851797</v>
      </c>
      <c r="O429" s="677">
        <f t="shared" si="204"/>
        <v>1768985.5822811227</v>
      </c>
      <c r="P429" s="680">
        <f t="shared" si="205"/>
        <v>1.5707957614991643</v>
      </c>
      <c r="Q429" s="689">
        <f t="shared" si="227"/>
        <v>70.766489135098212</v>
      </c>
      <c r="R429" s="690">
        <f t="shared" si="228"/>
        <v>1.5566648742388964</v>
      </c>
      <c r="S429" s="677">
        <f t="shared" si="206"/>
        <v>1.0504514572995398</v>
      </c>
      <c r="T429" s="680">
        <f t="shared" si="207"/>
        <v>0.31118422776703231</v>
      </c>
      <c r="U429" s="681">
        <f t="shared" si="219"/>
        <v>0.83041060301567848</v>
      </c>
      <c r="V429" s="682">
        <f t="shared" si="220"/>
        <v>-0.74638991212605754</v>
      </c>
      <c r="W429" s="683">
        <f t="shared" si="208"/>
        <v>-34.916470643937679</v>
      </c>
      <c r="X429" s="684">
        <f t="shared" si="209"/>
        <v>-160.57554363658011</v>
      </c>
      <c r="Y429" s="687">
        <f t="shared" si="210"/>
        <v>19.424456363419893</v>
      </c>
      <c r="AA429" s="170">
        <f t="shared" si="211"/>
        <v>42658</v>
      </c>
      <c r="AB429" s="170">
        <f t="shared" si="212"/>
        <v>1819704964</v>
      </c>
      <c r="AD429" s="686">
        <f t="shared" si="213"/>
        <v>16.719997476589665</v>
      </c>
      <c r="AE429" s="687">
        <f t="shared" si="214"/>
        <v>-18.639183124175574</v>
      </c>
      <c r="AG429" s="686">
        <f t="shared" si="215"/>
        <v>-10.13190650429048</v>
      </c>
      <c r="AH429" s="687">
        <f t="shared" si="216"/>
        <v>-56.406376742745323</v>
      </c>
      <c r="AJ429" s="170">
        <f t="shared" si="217"/>
        <v>0</v>
      </c>
      <c r="AK429" s="170">
        <f t="shared" si="229"/>
        <v>0</v>
      </c>
      <c r="AM429" s="170" t="str">
        <f t="shared" si="221"/>
        <v>0.607655577135094+0.919818380902885i</v>
      </c>
      <c r="AN429" s="170" t="str">
        <f t="shared" si="222"/>
        <v>1.16761732644117i</v>
      </c>
      <c r="AO429" s="170" t="str">
        <f t="shared" si="223"/>
        <v>0.787773836575754-0.520423569755678i</v>
      </c>
      <c r="AP429" s="170" t="str">
        <f t="shared" si="224"/>
        <v>0.065390737144151-0.153303063483814i</v>
      </c>
      <c r="AQ429" s="170" t="str">
        <f t="shared" si="225"/>
        <v>0.934609262855849+0.153303063483814i</v>
      </c>
      <c r="AR429" s="170" t="str">
        <f t="shared" si="226"/>
        <v>0.867929458494203-0.142365638949944i</v>
      </c>
    </row>
    <row r="430" spans="7:44">
      <c r="G430" s="688">
        <v>42906.5</v>
      </c>
      <c r="H430" s="676">
        <f t="shared" si="218"/>
        <v>42.906500000000001</v>
      </c>
      <c r="I430" s="677">
        <f t="shared" si="198"/>
        <v>345.91893450954109</v>
      </c>
      <c r="J430" s="678">
        <f t="shared" si="199"/>
        <v>1.5679054720509682</v>
      </c>
      <c r="K430" s="678">
        <f t="shared" si="200"/>
        <v>1.0017572755258013</v>
      </c>
      <c r="L430" s="679">
        <f t="shared" si="201"/>
        <v>5.92402908673118E-2</v>
      </c>
      <c r="M430" s="678">
        <f t="shared" si="202"/>
        <v>1.0254197415879298</v>
      </c>
      <c r="N430" s="679">
        <f t="shared" si="203"/>
        <v>-0.22312641992787854</v>
      </c>
      <c r="O430" s="677">
        <f t="shared" si="204"/>
        <v>1779290.6344916511</v>
      </c>
      <c r="P430" s="680">
        <f t="shared" si="205"/>
        <v>1.570795764773167</v>
      </c>
      <c r="Q430" s="689">
        <f t="shared" si="227"/>
        <v>71.178650304581666</v>
      </c>
      <c r="R430" s="690">
        <f t="shared" si="228"/>
        <v>1.5567467080523449</v>
      </c>
      <c r="S430" s="677">
        <f t="shared" si="206"/>
        <v>1.0510266552987069</v>
      </c>
      <c r="T430" s="680">
        <f t="shared" si="207"/>
        <v>0.31288129089296274</v>
      </c>
      <c r="U430" s="681">
        <f t="shared" si="219"/>
        <v>0.82888219001006247</v>
      </c>
      <c r="V430" s="682">
        <f t="shared" si="220"/>
        <v>-0.75007176535393605</v>
      </c>
      <c r="W430" s="683">
        <f t="shared" si="208"/>
        <v>-34.985056032279005</v>
      </c>
      <c r="X430" s="684">
        <f t="shared" si="209"/>
        <v>-160.93202552350826</v>
      </c>
      <c r="Y430" s="687">
        <f t="shared" si="210"/>
        <v>19.067974476491742</v>
      </c>
      <c r="AA430" s="170">
        <f t="shared" si="211"/>
        <v>42906.5</v>
      </c>
      <c r="AB430" s="170">
        <f t="shared" si="212"/>
        <v>1840967742.25</v>
      </c>
      <c r="AD430" s="686">
        <f t="shared" si="213"/>
        <v>16.715232610511176</v>
      </c>
      <c r="AE430" s="687">
        <f t="shared" si="214"/>
        <v>-18.731729134418895</v>
      </c>
      <c r="AG430" s="686">
        <f t="shared" si="215"/>
        <v>-10.163723921378358</v>
      </c>
      <c r="AH430" s="687">
        <f t="shared" si="216"/>
        <v>-56.248403317459946</v>
      </c>
      <c r="AJ430" s="170">
        <f t="shared" si="217"/>
        <v>0</v>
      </c>
      <c r="AK430" s="170">
        <f t="shared" si="229"/>
        <v>0</v>
      </c>
      <c r="AM430" s="170" t="str">
        <f t="shared" si="221"/>
        <v>0.613921062548597+0.922465746820117i</v>
      </c>
      <c r="AN430" s="170" t="str">
        <f t="shared" si="222"/>
        <v>1.17441916679047i</v>
      </c>
      <c r="AO430" s="170" t="str">
        <f t="shared" si="223"/>
        <v>0.785465507465356-0.522744416907262i</v>
      </c>
      <c r="AP430" s="170" t="str">
        <f t="shared" si="224"/>
        <v>0.0643464895752338-0.153744291136686i</v>
      </c>
      <c r="AQ430" s="170" t="str">
        <f t="shared" si="225"/>
        <v>0.935653510424766+0.153744291136686i</v>
      </c>
      <c r="AR430" s="170" t="str">
        <f t="shared" si="226"/>
        <v>0.866880827452304-0.1424437324626i</v>
      </c>
    </row>
    <row r="431" spans="7:44">
      <c r="G431" s="688">
        <v>43155</v>
      </c>
      <c r="H431" s="676">
        <f t="shared" si="218"/>
        <v>43.155000000000001</v>
      </c>
      <c r="I431" s="677">
        <f t="shared" si="198"/>
        <v>347.92236380154861</v>
      </c>
      <c r="J431" s="678">
        <f t="shared" si="199"/>
        <v>1.5679221184056442</v>
      </c>
      <c r="K431" s="678">
        <f t="shared" si="200"/>
        <v>1.0017776714542459</v>
      </c>
      <c r="L431" s="679">
        <f t="shared" si="201"/>
        <v>5.9582581565632363E-2</v>
      </c>
      <c r="M431" s="678">
        <f t="shared" si="202"/>
        <v>1.0257113378015261</v>
      </c>
      <c r="N431" s="679">
        <f t="shared" si="203"/>
        <v>-0.22437587220042698</v>
      </c>
      <c r="O431" s="677">
        <f t="shared" si="204"/>
        <v>1789595.6867021795</v>
      </c>
      <c r="P431" s="680">
        <f t="shared" si="205"/>
        <v>1.570795768009464</v>
      </c>
      <c r="Q431" s="689">
        <f t="shared" si="227"/>
        <v>71.590811945243871</v>
      </c>
      <c r="R431" s="690">
        <f t="shared" si="228"/>
        <v>1.5568275996013132</v>
      </c>
      <c r="S431" s="677">
        <f t="shared" si="206"/>
        <v>1.0516048769626536</v>
      </c>
      <c r="T431" s="680">
        <f t="shared" si="207"/>
        <v>0.31457649264691023</v>
      </c>
      <c r="U431" s="681">
        <f t="shared" si="219"/>
        <v>0.82735266675987817</v>
      </c>
      <c r="V431" s="682">
        <f t="shared" si="220"/>
        <v>-0.75374506369707284</v>
      </c>
      <c r="W431" s="683">
        <f t="shared" si="208"/>
        <v>-35.053399575463352</v>
      </c>
      <c r="X431" s="684">
        <f t="shared" si="209"/>
        <v>-161.28791365827234</v>
      </c>
      <c r="Y431" s="687">
        <f t="shared" si="210"/>
        <v>18.712086341727655</v>
      </c>
      <c r="AA431" s="170">
        <f t="shared" si="211"/>
        <v>43155</v>
      </c>
      <c r="AB431" s="170">
        <f t="shared" si="212"/>
        <v>1862354025</v>
      </c>
      <c r="AD431" s="686">
        <f t="shared" si="213"/>
        <v>16.710445543975041</v>
      </c>
      <c r="AE431" s="687">
        <f t="shared" si="214"/>
        <v>-18.824222481520941</v>
      </c>
      <c r="AG431" s="686">
        <f t="shared" si="215"/>
        <v>-10.195194914805644</v>
      </c>
      <c r="AH431" s="687">
        <f t="shared" si="216"/>
        <v>-56.090869120732712</v>
      </c>
      <c r="AJ431" s="170">
        <f t="shared" si="217"/>
        <v>0</v>
      </c>
      <c r="AK431" s="170">
        <f t="shared" si="229"/>
        <v>0</v>
      </c>
      <c r="AM431" s="170" t="str">
        <f t="shared" si="221"/>
        <v>0.620204409847693+0.925070434994472i</v>
      </c>
      <c r="AN431" s="170" t="str">
        <f t="shared" si="222"/>
        <v>1.18122100713978i</v>
      </c>
      <c r="AO431" s="170" t="str">
        <f t="shared" si="223"/>
        <v>0.78314763232534-0.525053657274063i</v>
      </c>
      <c r="AP431" s="170" t="str">
        <f t="shared" si="224"/>
        <v>0.0632992650253845-0.154178405832412i</v>
      </c>
      <c r="AQ431" s="170" t="str">
        <f t="shared" si="225"/>
        <v>0.936700734974615+0.154178405832412i</v>
      </c>
      <c r="AR431" s="170" t="str">
        <f t="shared" si="226"/>
        <v>0.865834088170459-0.142513947566294i</v>
      </c>
    </row>
    <row r="432" spans="7:44">
      <c r="G432" s="688">
        <v>43403.5</v>
      </c>
      <c r="H432" s="676">
        <f t="shared" si="218"/>
        <v>43.403500000000001</v>
      </c>
      <c r="I432" s="677">
        <f t="shared" si="198"/>
        <v>349.92579318886175</v>
      </c>
      <c r="J432" s="678">
        <f t="shared" si="199"/>
        <v>1.5679385741496477</v>
      </c>
      <c r="K432" s="678">
        <f t="shared" si="200"/>
        <v>1.0017981847491026</v>
      </c>
      <c r="L432" s="679">
        <f t="shared" si="201"/>
        <v>5.9924858286240272E-2</v>
      </c>
      <c r="M432" s="678">
        <f t="shared" si="202"/>
        <v>1.0260045343732327</v>
      </c>
      <c r="N432" s="679">
        <f t="shared" si="203"/>
        <v>-0.22562461232109893</v>
      </c>
      <c r="O432" s="677">
        <f t="shared" si="204"/>
        <v>1799900.7389127079</v>
      </c>
      <c r="P432" s="680">
        <f t="shared" si="205"/>
        <v>1.5707957712087033</v>
      </c>
      <c r="Q432" s="689">
        <f t="shared" si="227"/>
        <v>72.002974048993423</v>
      </c>
      <c r="R432" s="690">
        <f t="shared" si="228"/>
        <v>1.5569075650659694</v>
      </c>
      <c r="S432" s="677">
        <f t="shared" si="206"/>
        <v>1.0521861173064773</v>
      </c>
      <c r="T432" s="680">
        <f t="shared" si="207"/>
        <v>0.31626982636261192</v>
      </c>
      <c r="U432" s="681">
        <f t="shared" si="219"/>
        <v>0.82582209991012068</v>
      </c>
      <c r="V432" s="682">
        <f t="shared" si="220"/>
        <v>-0.75740982283030878</v>
      </c>
      <c r="W432" s="683">
        <f t="shared" si="208"/>
        <v>-35.1215040395236</v>
      </c>
      <c r="X432" s="684">
        <f t="shared" si="209"/>
        <v>-161.64320763661988</v>
      </c>
      <c r="Y432" s="687">
        <f t="shared" si="210"/>
        <v>18.356792363380123</v>
      </c>
      <c r="AA432" s="170">
        <f t="shared" si="211"/>
        <v>43403.5</v>
      </c>
      <c r="AB432" s="170">
        <f t="shared" si="212"/>
        <v>1883863812.25</v>
      </c>
      <c r="AD432" s="686">
        <f t="shared" si="213"/>
        <v>16.705636352522053</v>
      </c>
      <c r="AE432" s="687">
        <f t="shared" si="214"/>
        <v>-18.916661856514803</v>
      </c>
      <c r="AG432" s="686">
        <f t="shared" si="215"/>
        <v>-10.226323380110463</v>
      </c>
      <c r="AH432" s="687">
        <f t="shared" si="216"/>
        <v>-55.933773261073654</v>
      </c>
      <c r="AJ432" s="170">
        <f t="shared" si="217"/>
        <v>0</v>
      </c>
      <c r="AK432" s="170">
        <f t="shared" si="229"/>
        <v>0</v>
      </c>
      <c r="AM432" s="170" t="str">
        <f t="shared" si="221"/>
        <v>0.626505328334219+0.927632324920424i</v>
      </c>
      <c r="AN432" s="170" t="str">
        <f t="shared" si="222"/>
        <v>1.18802284748908i</v>
      </c>
      <c r="AO432" s="170" t="str">
        <f t="shared" si="223"/>
        <v>0.780820273684973-0.527351245523902i</v>
      </c>
      <c r="AP432" s="170" t="str">
        <f t="shared" si="224"/>
        <v>0.0622491119442968-0.154605387486737i</v>
      </c>
      <c r="AQ432" s="170" t="str">
        <f t="shared" si="225"/>
        <v>0.937750888055703+0.154605387486737i</v>
      </c>
      <c r="AR432" s="170" t="str">
        <f t="shared" si="226"/>
        <v>0.864789296278296-0.142576334449226i</v>
      </c>
    </row>
    <row r="433" spans="7:44">
      <c r="G433" s="688">
        <v>43652</v>
      </c>
      <c r="H433" s="676">
        <f t="shared" si="218"/>
        <v>43.652000000000001</v>
      </c>
      <c r="I433" s="677">
        <f t="shared" si="198"/>
        <v>351.92922266985306</v>
      </c>
      <c r="J433" s="678">
        <f t="shared" si="199"/>
        <v>1.567954842538241</v>
      </c>
      <c r="K433" s="678">
        <f t="shared" si="200"/>
        <v>1.001818815403162</v>
      </c>
      <c r="L433" s="679">
        <f t="shared" si="201"/>
        <v>6.0267120949798914E-2</v>
      </c>
      <c r="M433" s="678">
        <f t="shared" si="202"/>
        <v>1.0262993299314624</v>
      </c>
      <c r="N433" s="679">
        <f t="shared" si="203"/>
        <v>-0.22687263700746899</v>
      </c>
      <c r="O433" s="677">
        <f t="shared" si="204"/>
        <v>1810205.7911232363</v>
      </c>
      <c r="P433" s="680">
        <f t="shared" si="205"/>
        <v>1.5707957743715175</v>
      </c>
      <c r="Q433" s="689">
        <f t="shared" si="227"/>
        <v>72.415136607923088</v>
      </c>
      <c r="R433" s="690">
        <f t="shared" si="228"/>
        <v>1.5569866202581619</v>
      </c>
      <c r="S433" s="677">
        <f t="shared" si="206"/>
        <v>1.0527703713302881</v>
      </c>
      <c r="T433" s="680">
        <f t="shared" si="207"/>
        <v>0.31796128543133911</v>
      </c>
      <c r="U433" s="681">
        <f t="shared" si="219"/>
        <v>0.82429055536029261</v>
      </c>
      <c r="V433" s="682">
        <f t="shared" si="220"/>
        <v>-0.76106605887906142</v>
      </c>
      <c r="W433" s="683">
        <f t="shared" si="208"/>
        <v>-35.189372136787661</v>
      </c>
      <c r="X433" s="684">
        <f t="shared" si="209"/>
        <v>-161.99790710089036</v>
      </c>
      <c r="Y433" s="687">
        <f t="shared" si="210"/>
        <v>18.002092899109641</v>
      </c>
      <c r="AA433" s="170">
        <f t="shared" si="211"/>
        <v>43652</v>
      </c>
      <c r="AB433" s="170">
        <f t="shared" si="212"/>
        <v>1905497104</v>
      </c>
      <c r="AD433" s="686">
        <f t="shared" si="213"/>
        <v>16.700805111966222</v>
      </c>
      <c r="AE433" s="687">
        <f t="shared" si="214"/>
        <v>-19.00904597483224</v>
      </c>
      <c r="AG433" s="686">
        <f t="shared" si="215"/>
        <v>-10.257113151838109</v>
      </c>
      <c r="AH433" s="687">
        <f t="shared" si="216"/>
        <v>-55.777114817553738</v>
      </c>
      <c r="AJ433" s="170">
        <f t="shared" si="217"/>
        <v>0</v>
      </c>
      <c r="AK433" s="170">
        <f t="shared" si="229"/>
        <v>0</v>
      </c>
      <c r="AM433" s="170" t="str">
        <f t="shared" si="221"/>
        <v>0.632823526497121+0.930151298072518i</v>
      </c>
      <c r="AN433" s="170" t="str">
        <f t="shared" si="222"/>
        <v>1.19482468783839i</v>
      </c>
      <c r="AO433" s="170" t="str">
        <f t="shared" si="223"/>
        <v>0.778483494306847-0.529637136676503i</v>
      </c>
      <c r="AP433" s="170" t="str">
        <f t="shared" si="224"/>
        <v>0.0611960789171465-0.15502521634542i</v>
      </c>
      <c r="AQ433" s="170" t="str">
        <f t="shared" si="225"/>
        <v>0.938803921082853+0.15502521634542i</v>
      </c>
      <c r="AR433" s="170" t="str">
        <f t="shared" si="226"/>
        <v>0.863746506500547-0.142630943513103i</v>
      </c>
    </row>
    <row r="434" spans="7:44">
      <c r="G434" s="688">
        <v>43906</v>
      </c>
      <c r="H434" s="676">
        <f t="shared" si="218"/>
        <v>43.905999999999999</v>
      </c>
      <c r="I434" s="677">
        <f t="shared" si="198"/>
        <v>353.97699374356671</v>
      </c>
      <c r="J434" s="678">
        <f t="shared" si="199"/>
        <v>1.5679712806822297</v>
      </c>
      <c r="K434" s="678">
        <f t="shared" si="200"/>
        <v>1.001840023947925</v>
      </c>
      <c r="L434" s="679">
        <f t="shared" si="201"/>
        <v>6.0616944233586455E-2</v>
      </c>
      <c r="M434" s="678">
        <f t="shared" si="202"/>
        <v>1.0266023011690115</v>
      </c>
      <c r="N434" s="679">
        <f t="shared" si="203"/>
        <v>-0.22814754120526221</v>
      </c>
      <c r="O434" s="677">
        <f t="shared" si="204"/>
        <v>1820738.9229601547</v>
      </c>
      <c r="P434" s="680">
        <f t="shared" si="205"/>
        <v>1.5707957775673345</v>
      </c>
      <c r="Q434" s="689">
        <f t="shared" si="227"/>
        <v>72.836421939368819</v>
      </c>
      <c r="R434" s="690">
        <f t="shared" si="228"/>
        <v>1.5570665005337307</v>
      </c>
      <c r="S434" s="677">
        <f t="shared" si="206"/>
        <v>1.0533706657788333</v>
      </c>
      <c r="T434" s="680">
        <f t="shared" si="207"/>
        <v>0.31968823705708116</v>
      </c>
      <c r="U434" s="681">
        <f t="shared" si="219"/>
        <v>0.82272417087433791</v>
      </c>
      <c r="V434" s="682">
        <f t="shared" si="220"/>
        <v>-0.76479442677720322</v>
      </c>
      <c r="W434" s="683">
        <f t="shared" si="208"/>
        <v>-35.258500841869676</v>
      </c>
      <c r="X434" s="684">
        <f t="shared" si="209"/>
        <v>-162.3598423347224</v>
      </c>
      <c r="Y434" s="687">
        <f t="shared" si="210"/>
        <v>17.640157665277599</v>
      </c>
      <c r="AA434" s="170">
        <f t="shared" si="211"/>
        <v>43906</v>
      </c>
      <c r="AB434" s="170">
        <f t="shared" si="212"/>
        <v>1927736836</v>
      </c>
      <c r="AD434" s="686">
        <f t="shared" si="213"/>
        <v>16.695844235234862</v>
      </c>
      <c r="AE434" s="687">
        <f t="shared" si="214"/>
        <v>-19.10341639496874</v>
      </c>
      <c r="AG434" s="686">
        <f t="shared" si="215"/>
        <v>-10.288238295964895</v>
      </c>
      <c r="AH434" s="687">
        <f t="shared" si="216"/>
        <v>-55.617440140689908</v>
      </c>
      <c r="AJ434" s="170">
        <f t="shared" si="217"/>
        <v>0</v>
      </c>
      <c r="AK434" s="170">
        <f t="shared" si="229"/>
        <v>0</v>
      </c>
      <c r="AM434" s="170" t="str">
        <f t="shared" si="221"/>
        <v>0.639299117316211+0.93268154974307i</v>
      </c>
      <c r="AN434" s="170" t="str">
        <f t="shared" si="222"/>
        <v>1.20177707193788i</v>
      </c>
      <c r="AO434" s="170" t="str">
        <f t="shared" si="223"/>
        <v>0.776085325241819-0.531961486239152i</v>
      </c>
      <c r="AP434" s="170" t="str">
        <f t="shared" si="224"/>
        <v>0.0601168137806315-0.155446924957178i</v>
      </c>
      <c r="AQ434" s="170" t="str">
        <f t="shared" si="225"/>
        <v>0.939883186219369+0.155446924957178i</v>
      </c>
      <c r="AR434" s="170" t="str">
        <f t="shared" si="226"/>
        <v>0.862682761972462-0.142678775967469i</v>
      </c>
    </row>
    <row r="435" spans="7:44">
      <c r="G435" s="688">
        <v>44160</v>
      </c>
      <c r="H435" s="676">
        <f t="shared" si="218"/>
        <v>44.16</v>
      </c>
      <c r="I435" s="677">
        <f t="shared" si="198"/>
        <v>356.0247649118291</v>
      </c>
      <c r="J435" s="678">
        <f t="shared" si="199"/>
        <v>1.5679875297295043</v>
      </c>
      <c r="K435" s="678">
        <f t="shared" si="200"/>
        <v>1.0018613550889941</v>
      </c>
      <c r="L435" s="679">
        <f t="shared" si="201"/>
        <v>6.0966752663648857E-2</v>
      </c>
      <c r="M435" s="678">
        <f t="shared" si="202"/>
        <v>1.0269069400399649</v>
      </c>
      <c r="N435" s="679">
        <f t="shared" si="203"/>
        <v>-0.22942169105515198</v>
      </c>
      <c r="O435" s="677">
        <f t="shared" si="204"/>
        <v>1831272.0547970731</v>
      </c>
      <c r="P435" s="680">
        <f t="shared" si="205"/>
        <v>1.5707957807263879</v>
      </c>
      <c r="Q435" s="689">
        <f t="shared" si="227"/>
        <v>73.257707730228034</v>
      </c>
      <c r="R435" s="690">
        <f t="shared" si="228"/>
        <v>1.5571454620689287</v>
      </c>
      <c r="S435" s="677">
        <f t="shared" si="206"/>
        <v>1.0539740981759347</v>
      </c>
      <c r="T435" s="680">
        <f t="shared" si="207"/>
        <v>0.32141321635722264</v>
      </c>
      <c r="U435" s="681">
        <f t="shared" si="219"/>
        <v>0.82115690177415701</v>
      </c>
      <c r="V435" s="682">
        <f t="shared" si="220"/>
        <v>-0.76851392561188592</v>
      </c>
      <c r="W435" s="683">
        <f t="shared" si="208"/>
        <v>-35.327388165593142</v>
      </c>
      <c r="X435" s="684">
        <f t="shared" si="209"/>
        <v>-162.72115583621684</v>
      </c>
      <c r="Y435" s="687">
        <f t="shared" si="210"/>
        <v>17.278844163783162</v>
      </c>
      <c r="AA435" s="170">
        <f t="shared" si="211"/>
        <v>44160</v>
      </c>
      <c r="AB435" s="170">
        <f t="shared" si="212"/>
        <v>1950105600</v>
      </c>
      <c r="AD435" s="686">
        <f t="shared" si="213"/>
        <v>16.690860483591528</v>
      </c>
      <c r="AE435" s="687">
        <f t="shared" si="214"/>
        <v>-19.197726447011746</v>
      </c>
      <c r="AG435" s="686">
        <f t="shared" si="215"/>
        <v>-10.319017499650174</v>
      </c>
      <c r="AH435" s="687">
        <f t="shared" si="216"/>
        <v>-55.458220419392006</v>
      </c>
      <c r="AJ435" s="170">
        <f t="shared" si="217"/>
        <v>0</v>
      </c>
      <c r="AK435" s="170">
        <f t="shared" si="229"/>
        <v>0</v>
      </c>
      <c r="AM435" s="170" t="str">
        <f t="shared" si="221"/>
        <v>0.645792142774771+0.935166719831235i</v>
      </c>
      <c r="AN435" s="170" t="str">
        <f t="shared" si="222"/>
        <v>1.20872945603737i</v>
      </c>
      <c r="AO435" s="170" t="str">
        <f t="shared" si="223"/>
        <v>0.773677447141093-0.534273521298885i</v>
      </c>
      <c r="AP435" s="170" t="str">
        <f t="shared" si="224"/>
        <v>0.0590346428708715-0.155861119971872i</v>
      </c>
      <c r="AQ435" s="170" t="str">
        <f t="shared" si="225"/>
        <v>0.940965357129129+0.155861119971872i</v>
      </c>
      <c r="AR435" s="170" t="str">
        <f t="shared" si="226"/>
        <v>0.86162122190843-0.142718589606643i</v>
      </c>
    </row>
    <row r="436" spans="7:44">
      <c r="G436" s="688">
        <v>44414</v>
      </c>
      <c r="H436" s="676">
        <f t="shared" si="218"/>
        <v>44.414000000000001</v>
      </c>
      <c r="I436" s="677">
        <f t="shared" si="198"/>
        <v>358.07253617301808</v>
      </c>
      <c r="J436" s="678">
        <f t="shared" si="199"/>
        <v>1.5680035929243163</v>
      </c>
      <c r="K436" s="678">
        <f t="shared" si="200"/>
        <v>1.0018828088185381</v>
      </c>
      <c r="L436" s="679">
        <f t="shared" si="201"/>
        <v>6.1316546155328347E-2</v>
      </c>
      <c r="M436" s="678">
        <f t="shared" si="202"/>
        <v>1.0272132450606208</v>
      </c>
      <c r="N436" s="679">
        <f t="shared" si="203"/>
        <v>-0.23069508309307582</v>
      </c>
      <c r="O436" s="677">
        <f t="shared" si="204"/>
        <v>1841805.1866339915</v>
      </c>
      <c r="P436" s="680">
        <f t="shared" si="205"/>
        <v>1.5707957838493087</v>
      </c>
      <c r="Q436" s="689">
        <f t="shared" si="227"/>
        <v>73.678993972620148</v>
      </c>
      <c r="R436" s="690">
        <f t="shared" si="228"/>
        <v>1.5572235206224514</v>
      </c>
      <c r="S436" s="677">
        <f t="shared" si="206"/>
        <v>1.0545806631349783</v>
      </c>
      <c r="T436" s="680">
        <f t="shared" si="207"/>
        <v>0.32313621646076768</v>
      </c>
      <c r="U436" s="681">
        <f t="shared" si="219"/>
        <v>0.8195888160249496</v>
      </c>
      <c r="V436" s="682">
        <f t="shared" si="220"/>
        <v>-0.77222457401446487</v>
      </c>
      <c r="W436" s="683">
        <f t="shared" si="208"/>
        <v>-35.396036838925284</v>
      </c>
      <c r="X436" s="684">
        <f t="shared" si="209"/>
        <v>-163.08184736857837</v>
      </c>
      <c r="Y436" s="687">
        <f t="shared" si="210"/>
        <v>16.918152631421634</v>
      </c>
      <c r="AA436" s="170">
        <f t="shared" si="211"/>
        <v>44414</v>
      </c>
      <c r="AB436" s="170">
        <f t="shared" si="212"/>
        <v>1972603396</v>
      </c>
      <c r="AD436" s="686">
        <f t="shared" si="213"/>
        <v>16.685853938832913</v>
      </c>
      <c r="AE436" s="687">
        <f t="shared" si="214"/>
        <v>-19.291974834411612</v>
      </c>
      <c r="AG436" s="686">
        <f t="shared" si="215"/>
        <v>-10.349454668406349</v>
      </c>
      <c r="AH436" s="687">
        <f t="shared" si="216"/>
        <v>-55.299454578418299</v>
      </c>
      <c r="AJ436" s="170">
        <f t="shared" si="217"/>
        <v>0</v>
      </c>
      <c r="AK436" s="170">
        <f t="shared" si="229"/>
        <v>0</v>
      </c>
      <c r="AM436" s="170" t="str">
        <f t="shared" si="221"/>
        <v>0.652302289029493+0.937606688215197i</v>
      </c>
      <c r="AN436" s="170" t="str">
        <f t="shared" si="222"/>
        <v>1.21568184013686i</v>
      </c>
      <c r="AO436" s="170" t="str">
        <f t="shared" si="223"/>
        <v>0.771259927769952-0.536573194970205i</v>
      </c>
      <c r="AP436" s="170" t="str">
        <f t="shared" si="224"/>
        <v>0.0579496184950845-0.156267781369199i</v>
      </c>
      <c r="AQ436" s="170" t="str">
        <f t="shared" si="225"/>
        <v>0.942050381504915+0.156267781369199i</v>
      </c>
      <c r="AR436" s="170" t="str">
        <f t="shared" si="226"/>
        <v>0.860561941852266-0.142750438855718i</v>
      </c>
    </row>
    <row r="437" spans="7:44">
      <c r="G437" s="688">
        <v>44668</v>
      </c>
      <c r="H437" s="676">
        <f t="shared" si="218"/>
        <v>44.667999999999999</v>
      </c>
      <c r="I437" s="677">
        <f t="shared" si="198"/>
        <v>360.12030752554841</v>
      </c>
      <c r="J437" s="678">
        <f t="shared" si="199"/>
        <v>1.5680194734371264</v>
      </c>
      <c r="K437" s="678">
        <f t="shared" si="200"/>
        <v>1.0019043851286824</v>
      </c>
      <c r="L437" s="679">
        <f t="shared" si="201"/>
        <v>6.1666324623989008E-2</v>
      </c>
      <c r="M437" s="678">
        <f t="shared" si="202"/>
        <v>1.0275212147409372</v>
      </c>
      <c r="N437" s="679">
        <f t="shared" si="203"/>
        <v>-0.23196771386892107</v>
      </c>
      <c r="O437" s="677">
        <f t="shared" si="204"/>
        <v>1852338.31847091</v>
      </c>
      <c r="P437" s="680">
        <f t="shared" si="205"/>
        <v>1.5707957869367131</v>
      </c>
      <c r="Q437" s="689">
        <f t="shared" si="227"/>
        <v>74.100280658843801</v>
      </c>
      <c r="R437" s="690">
        <f t="shared" si="228"/>
        <v>1.5573006915946641</v>
      </c>
      <c r="S437" s="677">
        <f t="shared" si="206"/>
        <v>1.055190355253804</v>
      </c>
      <c r="T437" s="680">
        <f t="shared" si="207"/>
        <v>0.32485723055948346</v>
      </c>
      <c r="U437" s="681">
        <f t="shared" si="219"/>
        <v>0.81801998078366367</v>
      </c>
      <c r="V437" s="682">
        <f t="shared" si="220"/>
        <v>-0.77592639107585692</v>
      </c>
      <c r="W437" s="683">
        <f t="shared" si="208"/>
        <v>-35.464449539806424</v>
      </c>
      <c r="X437" s="684">
        <f t="shared" si="209"/>
        <v>-163.44191674203867</v>
      </c>
      <c r="Y437" s="687">
        <f t="shared" si="210"/>
        <v>16.558083257961329</v>
      </c>
      <c r="AA437" s="170">
        <f t="shared" si="211"/>
        <v>44668</v>
      </c>
      <c r="AB437" s="170">
        <f t="shared" si="212"/>
        <v>1995230224</v>
      </c>
      <c r="AD437" s="686">
        <f t="shared" si="213"/>
        <v>16.680824683021804</v>
      </c>
      <c r="AE437" s="687">
        <f t="shared" si="214"/>
        <v>-19.38616028474469</v>
      </c>
      <c r="AG437" s="686">
        <f t="shared" si="215"/>
        <v>-10.379553646608795</v>
      </c>
      <c r="AH437" s="687">
        <f t="shared" si="216"/>
        <v>-55.141141512766232</v>
      </c>
      <c r="AJ437" s="170">
        <f t="shared" si="217"/>
        <v>0</v>
      </c>
      <c r="AK437" s="170">
        <f t="shared" si="229"/>
        <v>0</v>
      </c>
      <c r="AM437" s="170" t="str">
        <f t="shared" si="221"/>
        <v>0.658829241409529+0.940001336957987i</v>
      </c>
      <c r="AN437" s="170" t="str">
        <f t="shared" si="222"/>
        <v>1.22263422423635i</v>
      </c>
      <c r="AO437" s="170" t="str">
        <f t="shared" si="223"/>
        <v>0.768832835139313-0.538860460757206i</v>
      </c>
      <c r="AP437" s="170" t="str">
        <f t="shared" si="224"/>
        <v>0.0568617930984118-0.156666889492998i</v>
      </c>
      <c r="AQ437" s="170" t="str">
        <f t="shared" si="225"/>
        <v>0.943138206901588+0.156666889492998i</v>
      </c>
      <c r="AR437" s="170" t="str">
        <f t="shared" si="226"/>
        <v>0.859504976384589-0.142774378313334i</v>
      </c>
    </row>
    <row r="438" spans="7:44">
      <c r="G438" s="688">
        <v>44928.25</v>
      </c>
      <c r="H438" s="676">
        <f t="shared" si="218"/>
        <v>44.928249999999998</v>
      </c>
      <c r="I438" s="677">
        <f t="shared" si="198"/>
        <v>362.2184670458185</v>
      </c>
      <c r="J438" s="678">
        <f t="shared" si="199"/>
        <v>1.568035558470565</v>
      </c>
      <c r="K438" s="678">
        <f t="shared" si="200"/>
        <v>1.0019266194857803</v>
      </c>
      <c r="L438" s="679">
        <f t="shared" si="201"/>
        <v>6.2024694175767184E-2</v>
      </c>
      <c r="M438" s="678">
        <f t="shared" si="202"/>
        <v>1.0278384874558353</v>
      </c>
      <c r="N438" s="679">
        <f t="shared" si="203"/>
        <v>-0.23327086619498777</v>
      </c>
      <c r="O438" s="677">
        <f t="shared" si="204"/>
        <v>1863130.6317014536</v>
      </c>
      <c r="P438" s="680">
        <f t="shared" si="205"/>
        <v>1.5707957900638789</v>
      </c>
      <c r="Q438" s="689">
        <f t="shared" si="227"/>
        <v>74.531934103800168</v>
      </c>
      <c r="R438" s="690">
        <f t="shared" si="228"/>
        <v>1.5573788565869102</v>
      </c>
      <c r="S438" s="677">
        <f t="shared" si="206"/>
        <v>1.0558182875022766</v>
      </c>
      <c r="T438" s="680">
        <f t="shared" si="207"/>
        <v>0.32661852548416986</v>
      </c>
      <c r="U438" s="681">
        <f t="shared" si="219"/>
        <v>0.81641183430956366</v>
      </c>
      <c r="V438" s="682">
        <f t="shared" si="220"/>
        <v>-0.77971015661960352</v>
      </c>
      <c r="W438" s="683">
        <f t="shared" si="208"/>
        <v>-35.534303616544875</v>
      </c>
      <c r="X438" s="684">
        <f t="shared" si="209"/>
        <v>-163.81020062951029</v>
      </c>
      <c r="Y438" s="687">
        <f t="shared" si="210"/>
        <v>16.189799370489709</v>
      </c>
      <c r="AA438" s="170">
        <f t="shared" si="211"/>
        <v>44928.25</v>
      </c>
      <c r="AB438" s="170">
        <f t="shared" si="212"/>
        <v>2018547648.0625</v>
      </c>
      <c r="AD438" s="686">
        <f t="shared" si="213"/>
        <v>16.675648205743457</v>
      </c>
      <c r="AE438" s="687">
        <f t="shared" si="214"/>
        <v>-19.482596705529257</v>
      </c>
      <c r="AG438" s="686">
        <f t="shared" si="215"/>
        <v>-10.410046431078406</v>
      </c>
      <c r="AH438" s="687">
        <f t="shared" si="216"/>
        <v>-54.979401386310457</v>
      </c>
      <c r="AJ438" s="170">
        <f t="shared" si="217"/>
        <v>0</v>
      </c>
      <c r="AK438" s="170">
        <f t="shared" si="229"/>
        <v>0</v>
      </c>
      <c r="AM438" s="170" t="str">
        <f t="shared" si="221"/>
        <v>0.66553389953865+0.942407782036088i</v>
      </c>
      <c r="AN438" s="170" t="str">
        <f t="shared" si="222"/>
        <v>1.22975768077923i</v>
      </c>
      <c r="AO438" s="170" t="str">
        <f t="shared" si="223"/>
        <v>0.766336162616147-0.541191089871411i</v>
      </c>
      <c r="AP438" s="170" t="str">
        <f t="shared" si="224"/>
        <v>0.0557443500768917-0.157067963672681i</v>
      </c>
      <c r="AQ438" s="170" t="str">
        <f t="shared" si="225"/>
        <v>0.944255649923108+0.157067963672681i</v>
      </c>
      <c r="AR438" s="170" t="str">
        <f t="shared" si="226"/>
        <v>0.858424459697338-0.142790759962582i</v>
      </c>
    </row>
    <row r="439" spans="7:44">
      <c r="G439" s="688">
        <v>45188.5</v>
      </c>
      <c r="H439" s="676">
        <f t="shared" si="218"/>
        <v>45.188499999999998</v>
      </c>
      <c r="I439" s="677">
        <f t="shared" si="198"/>
        <v>364.31662665872534</v>
      </c>
      <c r="J439" s="678">
        <f t="shared" si="199"/>
        <v>1.5680514582312801</v>
      </c>
      <c r="K439" s="678">
        <f t="shared" si="200"/>
        <v>1.0019489825133268</v>
      </c>
      <c r="L439" s="679">
        <f t="shared" si="201"/>
        <v>6.2383047776288642E-2</v>
      </c>
      <c r="M439" s="678">
        <f t="shared" si="202"/>
        <v>1.0281575045732212</v>
      </c>
      <c r="N439" s="679">
        <f t="shared" si="203"/>
        <v>-0.23457321204632639</v>
      </c>
      <c r="O439" s="677">
        <f t="shared" si="204"/>
        <v>1873922.944931997</v>
      </c>
      <c r="P439" s="680">
        <f t="shared" si="205"/>
        <v>1.5707957931550249</v>
      </c>
      <c r="Q439" s="689">
        <f t="shared" si="227"/>
        <v>74.963587998884975</v>
      </c>
      <c r="R439" s="690">
        <f t="shared" si="228"/>
        <v>1.5574561214033047</v>
      </c>
      <c r="S439" s="677">
        <f t="shared" si="206"/>
        <v>1.0564494911683213</v>
      </c>
      <c r="T439" s="680">
        <f t="shared" si="207"/>
        <v>0.32837772119634928</v>
      </c>
      <c r="U439" s="681">
        <f t="shared" si="219"/>
        <v>0.81480304115164703</v>
      </c>
      <c r="V439" s="682">
        <f t="shared" si="220"/>
        <v>-0.78348469288352285</v>
      </c>
      <c r="W439" s="683">
        <f t="shared" si="208"/>
        <v>-35.603915491979372</v>
      </c>
      <c r="X439" s="684">
        <f t="shared" si="209"/>
        <v>-164.17783110739191</v>
      </c>
      <c r="Y439" s="687">
        <f t="shared" si="210"/>
        <v>15.82216889260809</v>
      </c>
      <c r="AA439" s="170">
        <f t="shared" si="211"/>
        <v>45188.5</v>
      </c>
      <c r="AB439" s="170">
        <f t="shared" si="212"/>
        <v>2042000532.25</v>
      </c>
      <c r="AD439" s="686">
        <f t="shared" si="213"/>
        <v>16.670448061236868</v>
      </c>
      <c r="AE439" s="687">
        <f t="shared" si="214"/>
        <v>-19.578964424510126</v>
      </c>
      <c r="AG439" s="686">
        <f t="shared" si="215"/>
        <v>-10.440192156807084</v>
      </c>
      <c r="AH439" s="687">
        <f t="shared" si="216"/>
        <v>-54.81813414963365</v>
      </c>
      <c r="AJ439" s="170">
        <f t="shared" si="217"/>
        <v>0</v>
      </c>
      <c r="AK439" s="170">
        <f t="shared" si="229"/>
        <v>0</v>
      </c>
      <c r="AM439" s="170" t="str">
        <f t="shared" si="221"/>
        <v>0.672255529621095+0.944766406121667i</v>
      </c>
      <c r="AN439" s="170" t="str">
        <f t="shared" si="222"/>
        <v>1.23688113732211i</v>
      </c>
      <c r="AO439" s="170" t="str">
        <f t="shared" si="223"/>
        <v>0.763829585247875-0.543508595398707i</v>
      </c>
      <c r="AP439" s="170" t="str">
        <f t="shared" si="224"/>
        <v>0.0546240783964842-0.157461067686944i</v>
      </c>
      <c r="AQ439" s="170" t="str">
        <f t="shared" si="225"/>
        <v>0.945375921603516+0.157461067686944i</v>
      </c>
      <c r="AR439" s="170" t="str">
        <f t="shared" si="226"/>
        <v>0.85734648584485-0.142798954314173i</v>
      </c>
    </row>
    <row r="440" spans="7:44">
      <c r="G440" s="688">
        <v>45448.75</v>
      </c>
      <c r="H440" s="676">
        <f t="shared" si="218"/>
        <v>45.448749999999997</v>
      </c>
      <c r="I440" s="677">
        <f t="shared" si="198"/>
        <v>366.41478636267743</v>
      </c>
      <c r="J440" s="678">
        <f t="shared" si="199"/>
        <v>1.5680671759019829</v>
      </c>
      <c r="K440" s="678">
        <f t="shared" si="200"/>
        <v>1.0019714742027062</v>
      </c>
      <c r="L440" s="679">
        <f t="shared" si="201"/>
        <v>6.2741385334586938E-2</v>
      </c>
      <c r="M440" s="678">
        <f t="shared" si="202"/>
        <v>1.02847826446984</v>
      </c>
      <c r="N440" s="679">
        <f t="shared" si="203"/>
        <v>-0.23587474775763642</v>
      </c>
      <c r="O440" s="677">
        <f t="shared" si="204"/>
        <v>1884715.2581625404</v>
      </c>
      <c r="P440" s="680">
        <f t="shared" si="205"/>
        <v>1.5707957962107695</v>
      </c>
      <c r="Q440" s="689">
        <f t="shared" si="227"/>
        <v>75.395242336366991</v>
      </c>
      <c r="R440" s="690">
        <f t="shared" si="228"/>
        <v>1.5575325015040309</v>
      </c>
      <c r="S440" s="677">
        <f t="shared" si="206"/>
        <v>1.0570839603916735</v>
      </c>
      <c r="T440" s="680">
        <f t="shared" si="207"/>
        <v>0.33013481057762573</v>
      </c>
      <c r="U440" s="681">
        <f t="shared" si="219"/>
        <v>0.81319367091979444</v>
      </c>
      <c r="V440" s="682">
        <f t="shared" si="220"/>
        <v>-0.7872500218513494</v>
      </c>
      <c r="W440" s="683">
        <f t="shared" si="208"/>
        <v>-35.673287881919109</v>
      </c>
      <c r="X440" s="684">
        <f t="shared" si="209"/>
        <v>-164.54480811919848</v>
      </c>
      <c r="Y440" s="687">
        <f t="shared" si="210"/>
        <v>15.455191880801522</v>
      </c>
      <c r="AA440" s="170">
        <f t="shared" si="211"/>
        <v>45448.75</v>
      </c>
      <c r="AB440" s="170">
        <f t="shared" si="212"/>
        <v>2065588876.5625</v>
      </c>
      <c r="AD440" s="686">
        <f t="shared" si="213"/>
        <v>16.665224338591798</v>
      </c>
      <c r="AE440" s="687">
        <f t="shared" si="214"/>
        <v>-19.675262148065439</v>
      </c>
      <c r="AG440" s="686">
        <f t="shared" si="215"/>
        <v>-10.469994767575718</v>
      </c>
      <c r="AH440" s="687">
        <f t="shared" si="216"/>
        <v>-54.657338520722256</v>
      </c>
      <c r="AJ440" s="170">
        <f t="shared" si="217"/>
        <v>0</v>
      </c>
      <c r="AK440" s="170">
        <f t="shared" si="229"/>
        <v>0</v>
      </c>
      <c r="AM440" s="170" t="str">
        <f t="shared" si="221"/>
        <v>0.678993790578385+0.94707708953008i</v>
      </c>
      <c r="AN440" s="170" t="str">
        <f t="shared" si="222"/>
        <v>1.244004593865i</v>
      </c>
      <c r="AO440" s="170" t="str">
        <f t="shared" si="223"/>
        <v>0.76131317697759-0.545812928607296i</v>
      </c>
      <c r="AP440" s="170" t="str">
        <f t="shared" si="224"/>
        <v>0.0535010349036025-0.157846181588347i</v>
      </c>
      <c r="AQ440" s="170" t="str">
        <f t="shared" si="225"/>
        <v>0.946498965096398+0.157846181588347i</v>
      </c>
      <c r="AR440" s="170" t="str">
        <f t="shared" si="226"/>
        <v>0.856271110434743-0.142799020570268i</v>
      </c>
    </row>
    <row r="441" spans="7:44">
      <c r="G441" s="688">
        <v>45709</v>
      </c>
      <c r="H441" s="676">
        <f t="shared" si="218"/>
        <v>45.709000000000003</v>
      </c>
      <c r="I441" s="677">
        <f t="shared" si="198"/>
        <v>368.51294615611977</v>
      </c>
      <c r="J441" s="678">
        <f t="shared" si="199"/>
        <v>1.5680827145929002</v>
      </c>
      <c r="K441" s="678">
        <f t="shared" si="200"/>
        <v>1.0019940945452543</v>
      </c>
      <c r="L441" s="679">
        <f t="shared" si="201"/>
        <v>6.3099706759720223E-2</v>
      </c>
      <c r="M441" s="678">
        <f t="shared" si="202"/>
        <v>1.0288007655155982</v>
      </c>
      <c r="N441" s="679">
        <f t="shared" si="203"/>
        <v>-0.23717546967915487</v>
      </c>
      <c r="O441" s="677">
        <f t="shared" si="204"/>
        <v>1895507.571393084</v>
      </c>
      <c r="P441" s="680">
        <f t="shared" si="205"/>
        <v>1.5707957992317176</v>
      </c>
      <c r="Q441" s="689">
        <f t="shared" si="227"/>
        <v>75.826897108691</v>
      </c>
      <c r="R441" s="690">
        <f t="shared" si="228"/>
        <v>1.5576080119972773</v>
      </c>
      <c r="S441" s="677">
        <f t="shared" si="206"/>
        <v>1.0577216892958468</v>
      </c>
      <c r="T441" s="680">
        <f t="shared" si="207"/>
        <v>0.33188978657866264</v>
      </c>
      <c r="U441" s="681">
        <f t="shared" si="219"/>
        <v>0.81158379234234401</v>
      </c>
      <c r="V441" s="682">
        <f t="shared" si="220"/>
        <v>-0.79100616597792073</v>
      </c>
      <c r="W441" s="683">
        <f t="shared" si="208"/>
        <v>-35.742423449343129</v>
      </c>
      <c r="X441" s="684">
        <f t="shared" si="209"/>
        <v>-164.91113165629682</v>
      </c>
      <c r="Y441" s="687">
        <f t="shared" si="210"/>
        <v>15.088868343703183</v>
      </c>
      <c r="AA441" s="170">
        <f t="shared" si="211"/>
        <v>45709</v>
      </c>
      <c r="AB441" s="170">
        <f t="shared" si="212"/>
        <v>2089312681</v>
      </c>
      <c r="AD441" s="686">
        <f t="shared" si="213"/>
        <v>16.659977127157855</v>
      </c>
      <c r="AE441" s="687">
        <f t="shared" si="214"/>
        <v>-19.771488606697151</v>
      </c>
      <c r="AG441" s="686">
        <f t="shared" si="215"/>
        <v>-10.499458145261794</v>
      </c>
      <c r="AH441" s="687">
        <f t="shared" si="216"/>
        <v>-54.497013187306287</v>
      </c>
      <c r="AJ441" s="170">
        <f t="shared" si="217"/>
        <v>0</v>
      </c>
      <c r="AK441" s="170">
        <f t="shared" si="229"/>
        <v>0</v>
      </c>
      <c r="AM441" s="170" t="str">
        <f t="shared" si="221"/>
        <v>0.685748340488105+0.949339715009343i</v>
      </c>
      <c r="AN441" s="170" t="str">
        <f t="shared" si="222"/>
        <v>1.25112805040788i</v>
      </c>
      <c r="AO441" s="170" t="str">
        <f t="shared" si="223"/>
        <v>0.758787012008762-0.548104041200694i</v>
      </c>
      <c r="AP441" s="170" t="str">
        <f t="shared" si="224"/>
        <v>0.0523752765853158-0.158223285834891i</v>
      </c>
      <c r="AQ441" s="170" t="str">
        <f t="shared" si="225"/>
        <v>0.947624723414684+0.158223285834891i</v>
      </c>
      <c r="AR441" s="170" t="str">
        <f t="shared" si="226"/>
        <v>0.855198388043646-0.142791018061856i</v>
      </c>
    </row>
    <row r="442" spans="7:44">
      <c r="G442" s="688">
        <v>45975.25</v>
      </c>
      <c r="H442" s="676">
        <f t="shared" si="218"/>
        <v>45.975250000000003</v>
      </c>
      <c r="I442" s="677">
        <f t="shared" si="198"/>
        <v>370.65947860066552</v>
      </c>
      <c r="J442" s="678">
        <f t="shared" si="199"/>
        <v>1.5680984294771627</v>
      </c>
      <c r="K442" s="678">
        <f t="shared" si="200"/>
        <v>1.0020173695216334</v>
      </c>
      <c r="L442" s="679">
        <f t="shared" si="201"/>
        <v>6.3466272407356639E-2</v>
      </c>
      <c r="M442" s="678">
        <f t="shared" si="202"/>
        <v>1.0291325018614936</v>
      </c>
      <c r="N442" s="679">
        <f t="shared" si="203"/>
        <v>-0.23850533348766459</v>
      </c>
      <c r="O442" s="677">
        <f t="shared" si="204"/>
        <v>1906548.6987615074</v>
      </c>
      <c r="P442" s="680">
        <f t="shared" si="205"/>
        <v>1.5707958022869202</v>
      </c>
      <c r="Q442" s="689">
        <f t="shared" si="227"/>
        <v>76.268504018350299</v>
      </c>
      <c r="R442" s="690">
        <f t="shared" si="228"/>
        <v>1.5576843788511257</v>
      </c>
      <c r="S442" s="677">
        <f t="shared" si="206"/>
        <v>1.0583774880127468</v>
      </c>
      <c r="T442" s="680">
        <f t="shared" si="207"/>
        <v>0.33368302881575707</v>
      </c>
      <c r="U442" s="681">
        <f t="shared" si="219"/>
        <v>0.80993634309658824</v>
      </c>
      <c r="V442" s="682">
        <f t="shared" si="220"/>
        <v>-0.79483942607440783</v>
      </c>
      <c r="W442" s="683">
        <f t="shared" si="208"/>
        <v>-35.812910567994727</v>
      </c>
      <c r="X442" s="684">
        <f t="shared" si="209"/>
        <v>-165.28522448606358</v>
      </c>
      <c r="Y442" s="687">
        <f t="shared" si="210"/>
        <v>14.714775513936416</v>
      </c>
      <c r="AA442" s="170">
        <f t="shared" si="211"/>
        <v>45975.25</v>
      </c>
      <c r="AB442" s="170">
        <f t="shared" si="212"/>
        <v>2113723612.5625</v>
      </c>
      <c r="AD442" s="686">
        <f t="shared" si="213"/>
        <v>16.654584728663824</v>
      </c>
      <c r="AE442" s="687">
        <f t="shared" si="214"/>
        <v>-19.869858495269678</v>
      </c>
      <c r="AG442" s="686">
        <f t="shared" si="215"/>
        <v>-10.529253723721814</v>
      </c>
      <c r="AH442" s="687">
        <f t="shared" si="216"/>
        <v>-54.333476877389337</v>
      </c>
      <c r="AJ442" s="170">
        <f t="shared" si="217"/>
        <v>0</v>
      </c>
      <c r="AK442" s="170">
        <f t="shared" si="229"/>
        <v>0</v>
      </c>
      <c r="AM442" s="170" t="str">
        <f t="shared" si="221"/>
        <v>0.692675114055838+0.951604652405298i</v>
      </c>
      <c r="AN442" s="170" t="str">
        <f t="shared" si="222"/>
        <v>1.25841573649642i</v>
      </c>
      <c r="AO442" s="170" t="str">
        <f t="shared" si="223"/>
        <v>0.756192587876149-0.550434243602459i</v>
      </c>
      <c r="AP442" s="170" t="str">
        <f t="shared" si="224"/>
        <v>0.051220814324027-0.158600775400883i</v>
      </c>
      <c r="AQ442" s="170" t="str">
        <f t="shared" si="225"/>
        <v>0.948779185675973+0.158600775400883i</v>
      </c>
      <c r="AR442" s="170" t="str">
        <f t="shared" si="226"/>
        <v>0.854103735611531-0.14277454310327i</v>
      </c>
    </row>
    <row r="443" spans="7:44">
      <c r="G443" s="688">
        <v>46241.5</v>
      </c>
      <c r="H443" s="676">
        <f t="shared" si="218"/>
        <v>46.241500000000002</v>
      </c>
      <c r="I443" s="677">
        <f t="shared" si="198"/>
        <v>372.80601113569429</v>
      </c>
      <c r="J443" s="678">
        <f t="shared" si="199"/>
        <v>1.568113963395944</v>
      </c>
      <c r="K443" s="678">
        <f t="shared" si="200"/>
        <v>1.0020407791331958</v>
      </c>
      <c r="L443" s="679">
        <f t="shared" si="201"/>
        <v>6.3832820976878743E-2</v>
      </c>
      <c r="M443" s="678">
        <f t="shared" si="202"/>
        <v>1.0294660570921939</v>
      </c>
      <c r="N443" s="679">
        <f t="shared" si="203"/>
        <v>-0.23983433787229647</v>
      </c>
      <c r="O443" s="677">
        <f t="shared" si="204"/>
        <v>1917589.8261299308</v>
      </c>
      <c r="P443" s="680">
        <f t="shared" si="205"/>
        <v>1.57079580530694</v>
      </c>
      <c r="Q443" s="689">
        <f t="shared" si="227"/>
        <v>76.710111367678451</v>
      </c>
      <c r="R443" s="690">
        <f t="shared" si="228"/>
        <v>1.5577598664428645</v>
      </c>
      <c r="S443" s="677">
        <f t="shared" si="206"/>
        <v>1.0590366859514087</v>
      </c>
      <c r="T443" s="680">
        <f t="shared" si="207"/>
        <v>0.33547404439715711</v>
      </c>
      <c r="U443" s="681">
        <f t="shared" si="219"/>
        <v>0.80828850450889633</v>
      </c>
      <c r="V443" s="682">
        <f t="shared" si="220"/>
        <v>-0.79866312195735978</v>
      </c>
      <c r="W443" s="683">
        <f t="shared" si="208"/>
        <v>-35.883155293445711</v>
      </c>
      <c r="X443" s="684">
        <f t="shared" si="209"/>
        <v>-165.65863349336257</v>
      </c>
      <c r="Y443" s="687">
        <f t="shared" si="210"/>
        <v>14.341366506637428</v>
      </c>
      <c r="AA443" s="170">
        <f t="shared" si="211"/>
        <v>46241.5</v>
      </c>
      <c r="AB443" s="170">
        <f t="shared" si="212"/>
        <v>2138276322.25</v>
      </c>
      <c r="AD443" s="686">
        <f t="shared" si="213"/>
        <v>16.649167935827734</v>
      </c>
      <c r="AE443" s="687">
        <f t="shared" si="214"/>
        <v>-19.968151181860534</v>
      </c>
      <c r="AG443" s="686">
        <f t="shared" si="215"/>
        <v>-10.558702273595379</v>
      </c>
      <c r="AH443" s="687">
        <f t="shared" si="216"/>
        <v>-54.170429925127415</v>
      </c>
      <c r="AJ443" s="170">
        <f t="shared" si="217"/>
        <v>0</v>
      </c>
      <c r="AK443" s="170">
        <f t="shared" si="229"/>
        <v>0</v>
      </c>
      <c r="AM443" s="170" t="str">
        <f t="shared" si="221"/>
        <v>0.699618209689281+0.953819049951157i</v>
      </c>
      <c r="AN443" s="170" t="str">
        <f t="shared" si="222"/>
        <v>1.26570342258496i</v>
      </c>
      <c r="AO443" s="170" t="str">
        <f t="shared" si="223"/>
        <v>0.753588109924805-0.552750507903694i</v>
      </c>
      <c r="AP443" s="170" t="str">
        <f t="shared" si="224"/>
        <v>0.0500636317184532-0.158969841658526i</v>
      </c>
      <c r="AQ443" s="170" t="str">
        <f t="shared" si="225"/>
        <v>0.949936368281547+0.158969841658526i</v>
      </c>
      <c r="AR443" s="170" t="str">
        <f t="shared" si="226"/>
        <v>0.853011972230483-0.142749749021206i</v>
      </c>
    </row>
    <row r="444" spans="7:44">
      <c r="G444" s="688">
        <v>46507.75</v>
      </c>
      <c r="H444" s="676">
        <f t="shared" si="218"/>
        <v>46.507750000000001</v>
      </c>
      <c r="I444" s="677">
        <f t="shared" si="198"/>
        <v>374.95254375965214</v>
      </c>
      <c r="J444" s="678">
        <f t="shared" si="199"/>
        <v>1.5681293194572159</v>
      </c>
      <c r="K444" s="678">
        <f t="shared" si="200"/>
        <v>1.002064323370506</v>
      </c>
      <c r="L444" s="679">
        <f t="shared" si="201"/>
        <v>6.4199352370989532E-2</v>
      </c>
      <c r="M444" s="678">
        <f t="shared" si="202"/>
        <v>1.0298014294402755</v>
      </c>
      <c r="N444" s="679">
        <f t="shared" si="203"/>
        <v>-0.24116247897573381</v>
      </c>
      <c r="O444" s="677">
        <f t="shared" si="204"/>
        <v>1928630.9534983542</v>
      </c>
      <c r="P444" s="680">
        <f t="shared" si="205"/>
        <v>1.5707958082923816</v>
      </c>
      <c r="Q444" s="689">
        <f t="shared" si="227"/>
        <v>77.151719149125611</v>
      </c>
      <c r="R444" s="690">
        <f t="shared" si="228"/>
        <v>1.5578344898700187</v>
      </c>
      <c r="S444" s="677">
        <f t="shared" si="206"/>
        <v>1.0596992767682598</v>
      </c>
      <c r="T444" s="680">
        <f t="shared" si="207"/>
        <v>0.33726282599875279</v>
      </c>
      <c r="U444" s="681">
        <f t="shared" si="219"/>
        <v>0.80664034732623102</v>
      </c>
      <c r="V444" s="682">
        <f t="shared" si="220"/>
        <v>-0.802477279144301</v>
      </c>
      <c r="W444" s="683">
        <f t="shared" si="208"/>
        <v>-35.95316031396186</v>
      </c>
      <c r="X444" s="684">
        <f t="shared" si="209"/>
        <v>-166.03135881825028</v>
      </c>
      <c r="Y444" s="687">
        <f t="shared" si="210"/>
        <v>13.968641181749717</v>
      </c>
      <c r="AA444" s="170">
        <f t="shared" si="211"/>
        <v>46507.75</v>
      </c>
      <c r="AB444" s="170">
        <f t="shared" si="212"/>
        <v>2162970810.0625</v>
      </c>
      <c r="AD444" s="686">
        <f t="shared" si="213"/>
        <v>16.64372684511476</v>
      </c>
      <c r="AE444" s="687">
        <f t="shared" si="214"/>
        <v>-20.066365381839304</v>
      </c>
      <c r="AG444" s="686">
        <f t="shared" si="215"/>
        <v>-10.587807758653213</v>
      </c>
      <c r="AH444" s="687">
        <f t="shared" si="216"/>
        <v>-54.007870831114481</v>
      </c>
      <c r="AJ444" s="170">
        <f t="shared" si="217"/>
        <v>0</v>
      </c>
      <c r="AK444" s="170">
        <f t="shared" si="229"/>
        <v>0</v>
      </c>
      <c r="AM444" s="170" t="str">
        <f t="shared" si="221"/>
        <v>0.706577258639699+0.95598279003997i</v>
      </c>
      <c r="AN444" s="170" t="str">
        <f t="shared" si="222"/>
        <v>1.2729911086735i</v>
      </c>
      <c r="AO444" s="170" t="str">
        <f t="shared" si="223"/>
        <v>0.750973658438303-0.555052783814002i</v>
      </c>
      <c r="AP444" s="170" t="str">
        <f t="shared" si="224"/>
        <v>0.0489037902267168-0.159330465006662i</v>
      </c>
      <c r="AQ444" s="170" t="str">
        <f t="shared" si="225"/>
        <v>0.951096209773283+0.159330465006662i</v>
      </c>
      <c r="AR444" s="170" t="str">
        <f t="shared" si="226"/>
        <v>0.851923153043612-0.142716699666732i</v>
      </c>
    </row>
    <row r="445" spans="7:44">
      <c r="G445" s="688">
        <v>46774</v>
      </c>
      <c r="H445" s="676">
        <f t="shared" si="218"/>
        <v>46.774000000000001</v>
      </c>
      <c r="I445" s="677">
        <f t="shared" si="198"/>
        <v>377.09907647102051</v>
      </c>
      <c r="J445" s="678">
        <f t="shared" si="199"/>
        <v>1.5681445006981862</v>
      </c>
      <c r="K445" s="678">
        <f t="shared" si="200"/>
        <v>1.0020880022240743</v>
      </c>
      <c r="L445" s="679">
        <f t="shared" si="201"/>
        <v>6.4565866492419619E-2</v>
      </c>
      <c r="M445" s="678">
        <f t="shared" si="202"/>
        <v>1.0301386171309941</v>
      </c>
      <c r="N445" s="679">
        <f t="shared" si="203"/>
        <v>-0.24248975295785188</v>
      </c>
      <c r="O445" s="677">
        <f t="shared" si="204"/>
        <v>1939672.0808667778</v>
      </c>
      <c r="P445" s="680">
        <f t="shared" si="205"/>
        <v>1.5707958112438352</v>
      </c>
      <c r="Q445" s="689">
        <f t="shared" si="227"/>
        <v>77.593327355313804</v>
      </c>
      <c r="R445" s="690">
        <f t="shared" si="228"/>
        <v>1.5579082638864532</v>
      </c>
      <c r="S445" s="677">
        <f t="shared" si="206"/>
        <v>1.0603652541029724</v>
      </c>
      <c r="T445" s="680">
        <f t="shared" si="207"/>
        <v>0.3390493663718786</v>
      </c>
      <c r="U445" s="681">
        <f t="shared" si="219"/>
        <v>0.80499194134337537</v>
      </c>
      <c r="V445" s="682">
        <f t="shared" si="220"/>
        <v>-0.80628192363039586</v>
      </c>
      <c r="W445" s="683">
        <f t="shared" si="208"/>
        <v>-36.022928265532485</v>
      </c>
      <c r="X445" s="684">
        <f t="shared" si="209"/>
        <v>-166.40340064909097</v>
      </c>
      <c r="Y445" s="687">
        <f t="shared" si="210"/>
        <v>13.596599350909031</v>
      </c>
      <c r="AA445" s="170">
        <f t="shared" si="211"/>
        <v>46774</v>
      </c>
      <c r="AB445" s="170">
        <f t="shared" si="212"/>
        <v>2187807076</v>
      </c>
      <c r="AD445" s="686">
        <f t="shared" si="213"/>
        <v>16.638261553240095</v>
      </c>
      <c r="AE445" s="687">
        <f t="shared" si="214"/>
        <v>-20.164499834587684</v>
      </c>
      <c r="AG445" s="686">
        <f t="shared" si="215"/>
        <v>-10.616574080341106</v>
      </c>
      <c r="AH445" s="687">
        <f t="shared" si="216"/>
        <v>-53.845798065506699</v>
      </c>
      <c r="AJ445" s="170">
        <f t="shared" si="217"/>
        <v>0</v>
      </c>
      <c r="AK445" s="170">
        <f t="shared" si="229"/>
        <v>0</v>
      </c>
      <c r="AM445" s="170" t="str">
        <f t="shared" si="221"/>
        <v>0.713551891311072+0.958095757755213i</v>
      </c>
      <c r="AN445" s="170" t="str">
        <f t="shared" si="222"/>
        <v>1.28027879476204i</v>
      </c>
      <c r="AO445" s="170" t="str">
        <f t="shared" si="223"/>
        <v>0.748349313973673-0.55734102152625i</v>
      </c>
      <c r="AP445" s="170" t="str">
        <f t="shared" si="224"/>
        <v>0.0477413514481547-0.159682626292536i</v>
      </c>
      <c r="AQ445" s="170" t="str">
        <f t="shared" si="225"/>
        <v>0.952258648551845+0.159682626292536i</v>
      </c>
      <c r="AR445" s="170" t="str">
        <f t="shared" si="226"/>
        <v>0.850837332101683-0.142675458967317i</v>
      </c>
    </row>
    <row r="446" spans="7:44">
      <c r="G446" s="688">
        <v>47046.25</v>
      </c>
      <c r="H446" s="676">
        <f t="shared" si="218"/>
        <v>47.046250000000001</v>
      </c>
      <c r="I446" s="677">
        <f t="shared" si="198"/>
        <v>379.29398183937366</v>
      </c>
      <c r="J446" s="678">
        <f t="shared" si="199"/>
        <v>1.5681598463697226</v>
      </c>
      <c r="K446" s="678">
        <f t="shared" si="200"/>
        <v>1.0021123538765175</v>
      </c>
      <c r="L446" s="679">
        <f t="shared" si="201"/>
        <v>6.4940622124768282E-2</v>
      </c>
      <c r="M446" s="678">
        <f t="shared" si="202"/>
        <v>1.0304852787282435</v>
      </c>
      <c r="N446" s="679">
        <f t="shared" si="203"/>
        <v>-0.24384603670424676</v>
      </c>
      <c r="O446" s="677">
        <f t="shared" si="204"/>
        <v>1950962.0223730814</v>
      </c>
      <c r="P446" s="680">
        <f t="shared" si="205"/>
        <v>1.5707958142272564</v>
      </c>
      <c r="Q446" s="689">
        <f t="shared" si="227"/>
        <v>78.044887727420701</v>
      </c>
      <c r="R446" s="690">
        <f t="shared" si="228"/>
        <v>1.5579828370981736</v>
      </c>
      <c r="S446" s="677">
        <f t="shared" si="206"/>
        <v>1.0610497345855978</v>
      </c>
      <c r="T446" s="680">
        <f t="shared" si="207"/>
        <v>0.34087384177949581</v>
      </c>
      <c r="U446" s="681">
        <f t="shared" si="219"/>
        <v>0.80330620263032415</v>
      </c>
      <c r="V446" s="682">
        <f t="shared" si="220"/>
        <v>-0.81016249748422542</v>
      </c>
      <c r="W446" s="683">
        <f t="shared" si="208"/>
        <v>-36.094026002742751</v>
      </c>
      <c r="X446" s="684">
        <f t="shared" si="209"/>
        <v>-166.78311999538221</v>
      </c>
      <c r="Y446" s="687">
        <f t="shared" si="210"/>
        <v>13.216880004617792</v>
      </c>
      <c r="AA446" s="170">
        <f t="shared" si="211"/>
        <v>47046.25</v>
      </c>
      <c r="AB446" s="170">
        <f t="shared" si="212"/>
        <v>2213349639.0625</v>
      </c>
      <c r="AD446" s="686">
        <f t="shared" si="213"/>
        <v>16.632648175497515</v>
      </c>
      <c r="AE446" s="687">
        <f t="shared" si="214"/>
        <v>-20.264762016025266</v>
      </c>
      <c r="AG446" s="686">
        <f t="shared" si="215"/>
        <v>-10.645641943683135</v>
      </c>
      <c r="AH446" s="687">
        <f t="shared" si="216"/>
        <v>-53.680574222025761</v>
      </c>
      <c r="AJ446" s="170">
        <f t="shared" si="217"/>
        <v>0</v>
      </c>
      <c r="AK446" s="170">
        <f t="shared" si="229"/>
        <v>0</v>
      </c>
      <c r="AM446" s="170" t="str">
        <f t="shared" si="221"/>
        <v>0.720699427333672+0.960203723231826i</v>
      </c>
      <c r="AN446" s="170" t="str">
        <f t="shared" si="222"/>
        <v>1.28773071039624i</v>
      </c>
      <c r="AO446" s="170" t="str">
        <f t="shared" si="223"/>
        <v>0.745655683661041-0.55966625748322i</v>
      </c>
      <c r="AP446" s="170" t="str">
        <f t="shared" si="224"/>
        <v>0.046550095444388-0.160033953871971i</v>
      </c>
      <c r="AQ446" s="170" t="str">
        <f t="shared" si="225"/>
        <v>0.953449904555612+0.160033953871971i</v>
      </c>
      <c r="AR446" s="170" t="str">
        <f t="shared" si="226"/>
        <v>0.849730197488028-0.14262488524953i</v>
      </c>
    </row>
    <row r="447" spans="7:44">
      <c r="G447" s="688">
        <v>47318.5</v>
      </c>
      <c r="H447" s="676">
        <f t="shared" si="218"/>
        <v>47.3185</v>
      </c>
      <c r="I447" s="677">
        <f t="shared" si="198"/>
        <v>381.48888729601885</v>
      </c>
      <c r="J447" s="678">
        <f t="shared" si="199"/>
        <v>1.5681750154578846</v>
      </c>
      <c r="K447" s="678">
        <f t="shared" si="200"/>
        <v>1.0021368462605558</v>
      </c>
      <c r="L447" s="679">
        <f t="shared" si="201"/>
        <v>6.5315359491568983E-2</v>
      </c>
      <c r="M447" s="678">
        <f t="shared" si="202"/>
        <v>1.0308338346319605</v>
      </c>
      <c r="N447" s="679">
        <f t="shared" si="203"/>
        <v>-0.24520140574184698</v>
      </c>
      <c r="O447" s="677">
        <f t="shared" si="204"/>
        <v>1962251.963879385</v>
      </c>
      <c r="P447" s="680">
        <f t="shared" si="205"/>
        <v>1.570795817176347</v>
      </c>
      <c r="Q447" s="689">
        <f t="shared" si="227"/>
        <v>78.496448528554495</v>
      </c>
      <c r="R447" s="690">
        <f t="shared" si="228"/>
        <v>1.5580565523265351</v>
      </c>
      <c r="S447" s="677">
        <f t="shared" si="206"/>
        <v>1.0617377424348544</v>
      </c>
      <c r="T447" s="680">
        <f t="shared" si="207"/>
        <v>0.34269595871959158</v>
      </c>
      <c r="U447" s="681">
        <f t="shared" si="219"/>
        <v>0.80162034834356477</v>
      </c>
      <c r="V447" s="682">
        <f t="shared" si="220"/>
        <v>-0.81403318152497117</v>
      </c>
      <c r="W447" s="683">
        <f t="shared" si="208"/>
        <v>-36.164881278521577</v>
      </c>
      <c r="X447" s="684">
        <f t="shared" si="209"/>
        <v>-167.16212524384937</v>
      </c>
      <c r="Y447" s="687">
        <f t="shared" si="210"/>
        <v>12.837874756150626</v>
      </c>
      <c r="AA447" s="170">
        <f t="shared" si="211"/>
        <v>47318.5</v>
      </c>
      <c r="AB447" s="170">
        <f t="shared" si="212"/>
        <v>2239040442.25</v>
      </c>
      <c r="AD447" s="686">
        <f t="shared" si="213"/>
        <v>16.627009698836087</v>
      </c>
      <c r="AE447" s="687">
        <f t="shared" si="214"/>
        <v>-20.364938224086004</v>
      </c>
      <c r="AG447" s="686">
        <f t="shared" si="215"/>
        <v>-10.674363241726102</v>
      </c>
      <c r="AH447" s="687">
        <f t="shared" si="216"/>
        <v>-53.515855543198583</v>
      </c>
      <c r="AJ447" s="170">
        <f t="shared" si="217"/>
        <v>0</v>
      </c>
      <c r="AK447" s="170">
        <f t="shared" si="229"/>
        <v>0</v>
      </c>
      <c r="AM447" s="170" t="str">
        <f t="shared" si="221"/>
        <v>0.727862473137619+0.962258367837468i</v>
      </c>
      <c r="AN447" s="170" t="str">
        <f t="shared" si="222"/>
        <v>1.29518262603044i</v>
      </c>
      <c r="AO447" s="170" t="str">
        <f t="shared" si="223"/>
        <v>0.742951880683159-0.561976711630559i</v>
      </c>
      <c r="AP447" s="170" t="str">
        <f t="shared" si="224"/>
        <v>0.0453562544770635-0.160376394639578i</v>
      </c>
      <c r="AQ447" s="170" t="str">
        <f t="shared" si="225"/>
        <v>0.954643745522937+0.160376394639578i</v>
      </c>
      <c r="AR447" s="170" t="str">
        <f t="shared" si="226"/>
        <v>0.84862630862297-0.142565882206344i</v>
      </c>
    </row>
    <row r="448" spans="7:44">
      <c r="G448" s="688">
        <v>47590.75</v>
      </c>
      <c r="H448" s="676">
        <f t="shared" si="218"/>
        <v>47.59075</v>
      </c>
      <c r="I448" s="677">
        <f t="shared" si="198"/>
        <v>383.68379283944063</v>
      </c>
      <c r="J448" s="678">
        <f t="shared" si="199"/>
        <v>1.5681900109931595</v>
      </c>
      <c r="K448" s="678">
        <f t="shared" si="200"/>
        <v>1.0021614793658713</v>
      </c>
      <c r="L448" s="679">
        <f t="shared" si="201"/>
        <v>6.5690078488917489E-2</v>
      </c>
      <c r="M448" s="678">
        <f t="shared" si="202"/>
        <v>1.0311842829212323</v>
      </c>
      <c r="N448" s="679">
        <f t="shared" si="203"/>
        <v>-0.24655585602104921</v>
      </c>
      <c r="O448" s="677">
        <f t="shared" si="204"/>
        <v>1973541.9053856884</v>
      </c>
      <c r="P448" s="680">
        <f t="shared" si="205"/>
        <v>1.570795820091696</v>
      </c>
      <c r="Q448" s="689">
        <f t="shared" si="227"/>
        <v>78.948009751353439</v>
      </c>
      <c r="R448" s="690">
        <f t="shared" si="228"/>
        <v>1.5581294242930264</v>
      </c>
      <c r="S448" s="677">
        <f t="shared" si="206"/>
        <v>1.0624292707979872</v>
      </c>
      <c r="T448" s="680">
        <f t="shared" si="207"/>
        <v>0.34451570968658435</v>
      </c>
      <c r="U448" s="681">
        <f t="shared" si="219"/>
        <v>0.79993445004126029</v>
      </c>
      <c r="V448" s="682">
        <f t="shared" si="220"/>
        <v>-0.81789400503248466</v>
      </c>
      <c r="W448" s="683">
        <f t="shared" si="208"/>
        <v>-36.235496749988521</v>
      </c>
      <c r="X448" s="684">
        <f t="shared" si="209"/>
        <v>-167.54041674618298</v>
      </c>
      <c r="Y448" s="687">
        <f t="shared" si="210"/>
        <v>12.459583253817016</v>
      </c>
      <c r="AA448" s="170">
        <f t="shared" si="211"/>
        <v>47590.75</v>
      </c>
      <c r="AB448" s="170">
        <f t="shared" si="212"/>
        <v>2264879485.5625</v>
      </c>
      <c r="AD448" s="686">
        <f t="shared" si="213"/>
        <v>16.621346227414783</v>
      </c>
      <c r="AE448" s="687">
        <f t="shared" si="214"/>
        <v>-20.465027185286324</v>
      </c>
      <c r="AG448" s="686">
        <f t="shared" si="215"/>
        <v>-10.702741951820196</v>
      </c>
      <c r="AH448" s="687">
        <f t="shared" si="216"/>
        <v>-53.351640298975475</v>
      </c>
      <c r="AJ448" s="170">
        <f t="shared" si="217"/>
        <v>0</v>
      </c>
      <c r="AK448" s="170">
        <f t="shared" si="229"/>
        <v>0</v>
      </c>
      <c r="AM448" s="170" t="str">
        <f t="shared" si="221"/>
        <v>0.735040630953326+0.964259577476101i</v>
      </c>
      <c r="AN448" s="170" t="str">
        <f t="shared" si="222"/>
        <v>1.30263454166464i</v>
      </c>
      <c r="AO448" s="170" t="str">
        <f t="shared" si="223"/>
        <v>0.740237992034106-0.564272332295147i</v>
      </c>
      <c r="AP448" s="170" t="str">
        <f t="shared" si="224"/>
        <v>0.0441598948411123-0.16070992957935i</v>
      </c>
      <c r="AQ448" s="170" t="str">
        <f t="shared" si="225"/>
        <v>0.955840105158888+0.16070992957935i</v>
      </c>
      <c r="AR448" s="170" t="str">
        <f t="shared" si="226"/>
        <v>0.847525719815764-0.142498518332873i</v>
      </c>
    </row>
    <row r="449" spans="7:44">
      <c r="G449" s="688">
        <v>47863</v>
      </c>
      <c r="H449" s="676">
        <f t="shared" si="218"/>
        <v>47.863</v>
      </c>
      <c r="I449" s="677">
        <f t="shared" si="198"/>
        <v>385.87869846815846</v>
      </c>
      <c r="J449" s="678">
        <f t="shared" si="199"/>
        <v>1.5682048359370835</v>
      </c>
      <c r="K449" s="678">
        <f t="shared" si="200"/>
        <v>1.0021862531820873</v>
      </c>
      <c r="L449" s="679">
        <f t="shared" si="201"/>
        <v>6.6064779012940417E-2</v>
      </c>
      <c r="M449" s="678">
        <f t="shared" si="202"/>
        <v>1.031536621667335</v>
      </c>
      <c r="N449" s="679">
        <f t="shared" si="203"/>
        <v>-0.24790938351122208</v>
      </c>
      <c r="O449" s="677">
        <f t="shared" si="204"/>
        <v>1984831.846891992</v>
      </c>
      <c r="P449" s="680">
        <f t="shared" si="205"/>
        <v>1.5707958229738794</v>
      </c>
      <c r="Q449" s="689">
        <f t="shared" si="227"/>
        <v>79.399571388623258</v>
      </c>
      <c r="R449" s="690">
        <f t="shared" si="228"/>
        <v>1.5582014673842761</v>
      </c>
      <c r="S449" s="677">
        <f t="shared" si="206"/>
        <v>1.0631243128050512</v>
      </c>
      <c r="T449" s="680">
        <f t="shared" si="207"/>
        <v>0.34633308725705014</v>
      </c>
      <c r="U449" s="681">
        <f t="shared" si="219"/>
        <v>0.7982485782589247</v>
      </c>
      <c r="V449" s="682">
        <f t="shared" si="220"/>
        <v>-0.8217449977673027</v>
      </c>
      <c r="W449" s="683">
        <f t="shared" si="208"/>
        <v>-36.305875022674535</v>
      </c>
      <c r="X449" s="684">
        <f t="shared" si="209"/>
        <v>-167.91799490264205</v>
      </c>
      <c r="Y449" s="687">
        <f t="shared" si="210"/>
        <v>12.08200509735795</v>
      </c>
      <c r="AA449" s="170">
        <f t="shared" si="211"/>
        <v>47863</v>
      </c>
      <c r="AB449" s="170">
        <f t="shared" si="212"/>
        <v>2290866769</v>
      </c>
      <c r="AD449" s="686">
        <f t="shared" si="213"/>
        <v>16.615657865629895</v>
      </c>
      <c r="AE449" s="687">
        <f t="shared" si="214"/>
        <v>-20.565027650035287</v>
      </c>
      <c r="AG449" s="686">
        <f t="shared" si="215"/>
        <v>-10.730781988664539</v>
      </c>
      <c r="AH449" s="687">
        <f t="shared" si="216"/>
        <v>-53.187926728900138</v>
      </c>
      <c r="AJ449" s="170">
        <f t="shared" si="217"/>
        <v>0</v>
      </c>
      <c r="AK449" s="170">
        <f t="shared" si="229"/>
        <v>0</v>
      </c>
      <c r="AM449" s="170" t="str">
        <f t="shared" si="221"/>
        <v>0.74223350217201+0.966207241018971i</v>
      </c>
      <c r="AN449" s="170" t="str">
        <f t="shared" si="222"/>
        <v>1.31008645729883i</v>
      </c>
      <c r="AO449" s="170" t="str">
        <f t="shared" si="223"/>
        <v>0.737514104993591-0.566553068338991i</v>
      </c>
      <c r="AP449" s="170" t="str">
        <f t="shared" si="224"/>
        <v>0.0429610829713317-0.161034540169829i</v>
      </c>
      <c r="AQ449" s="170" t="str">
        <f t="shared" si="225"/>
        <v>0.957038917028668+0.161034540169829i</v>
      </c>
      <c r="AR449" s="170" t="str">
        <f t="shared" si="226"/>
        <v>0.846428484225504-0.142422862141369i</v>
      </c>
    </row>
    <row r="450" spans="7:44">
      <c r="G450" s="688">
        <v>48141.75</v>
      </c>
      <c r="H450" s="676">
        <f t="shared" si="218"/>
        <v>48.141750000000002</v>
      </c>
      <c r="I450" s="677">
        <f t="shared" si="198"/>
        <v>388.12600780756611</v>
      </c>
      <c r="J450" s="678">
        <f t="shared" si="199"/>
        <v>1.5682198411014245</v>
      </c>
      <c r="K450" s="678">
        <f t="shared" si="200"/>
        <v>1.0022117642553494</v>
      </c>
      <c r="L450" s="679">
        <f t="shared" si="201"/>
        <v>6.644840630636728E-2</v>
      </c>
      <c r="M450" s="678">
        <f t="shared" si="202"/>
        <v>1.0318993292169794</v>
      </c>
      <c r="N450" s="679">
        <f t="shared" si="203"/>
        <v>-0.24929426633662546</v>
      </c>
      <c r="O450" s="677">
        <f t="shared" si="204"/>
        <v>1996391.3370476656</v>
      </c>
      <c r="P450" s="680">
        <f t="shared" si="205"/>
        <v>1.5707958258911001</v>
      </c>
      <c r="Q450" s="689">
        <f t="shared" si="227"/>
        <v>79.861914533904994</v>
      </c>
      <c r="R450" s="690">
        <f t="shared" si="228"/>
        <v>1.5582743863996571</v>
      </c>
      <c r="S450" s="677">
        <f t="shared" si="206"/>
        <v>1.0638395823058069</v>
      </c>
      <c r="T450" s="680">
        <f t="shared" si="207"/>
        <v>0.34819138818858464</v>
      </c>
      <c r="U450" s="681">
        <f t="shared" si="219"/>
        <v>0.7965225561658279</v>
      </c>
      <c r="V450" s="682">
        <f t="shared" si="220"/>
        <v>-0.82567777932931785</v>
      </c>
      <c r="W450" s="683">
        <f t="shared" si="208"/>
        <v>-36.377690491841072</v>
      </c>
      <c r="X450" s="684">
        <f t="shared" si="209"/>
        <v>-168.30384915287635</v>
      </c>
      <c r="Y450" s="687">
        <f t="shared" si="210"/>
        <v>11.696150847123647</v>
      </c>
      <c r="AA450" s="170">
        <f t="shared" si="211"/>
        <v>48141.75</v>
      </c>
      <c r="AB450" s="170">
        <f t="shared" si="212"/>
        <v>2317628093.0625</v>
      </c>
      <c r="AD450" s="686">
        <f t="shared" si="213"/>
        <v>16.609808013972184</v>
      </c>
      <c r="AE450" s="687">
        <f t="shared" si="214"/>
        <v>-20.667322665911176</v>
      </c>
      <c r="AG450" s="686">
        <f t="shared" si="215"/>
        <v>-10.759144609872139</v>
      </c>
      <c r="AH450" s="687">
        <f t="shared" si="216"/>
        <v>-53.020822392242884</v>
      </c>
      <c r="AJ450" s="170">
        <f t="shared" si="217"/>
        <v>0</v>
      </c>
      <c r="AK450" s="170">
        <f t="shared" si="229"/>
        <v>0</v>
      </c>
      <c r="AM450" s="170" t="str">
        <f t="shared" si="221"/>
        <v>0.749612931396746+0.968145813334061i</v>
      </c>
      <c r="AN450" s="170" t="str">
        <f t="shared" si="222"/>
        <v>1.31771628827416i</v>
      </c>
      <c r="AO450" s="170" t="str">
        <f t="shared" si="223"/>
        <v>0.734714916973563-0.568872782454962i</v>
      </c>
      <c r="AP450" s="170" t="str">
        <f t="shared" si="224"/>
        <v>0.0417311781005423-0.161357635555677i</v>
      </c>
      <c r="AQ450" s="170" t="str">
        <f t="shared" si="225"/>
        <v>0.958268821899458+0.161357635555677i</v>
      </c>
      <c r="AR450" s="170" t="str">
        <f t="shared" si="226"/>
        <v>0.845308580590006-0.142336879549692i</v>
      </c>
    </row>
    <row r="451" spans="7:44">
      <c r="G451" s="688">
        <v>48420.5</v>
      </c>
      <c r="H451" s="676">
        <f t="shared" si="218"/>
        <v>48.420499999999997</v>
      </c>
      <c r="I451" s="677">
        <f t="shared" si="198"/>
        <v>390.37331723335609</v>
      </c>
      <c r="J451" s="678">
        <f t="shared" si="199"/>
        <v>1.5682346735016697</v>
      </c>
      <c r="K451" s="678">
        <f t="shared" si="200"/>
        <v>1.0022374228164954</v>
      </c>
      <c r="L451" s="679">
        <f t="shared" si="201"/>
        <v>6.6832014013547561E-2</v>
      </c>
      <c r="M451" s="678">
        <f t="shared" si="202"/>
        <v>1.0322640144538056</v>
      </c>
      <c r="N451" s="679">
        <f t="shared" si="203"/>
        <v>-0.2506781732930588</v>
      </c>
      <c r="O451" s="677">
        <f t="shared" si="204"/>
        <v>2007950.8272033392</v>
      </c>
      <c r="P451" s="680">
        <f t="shared" si="205"/>
        <v>1.5707958287747328</v>
      </c>
      <c r="Q451" s="689">
        <f t="shared" si="227"/>
        <v>80.324258098938699</v>
      </c>
      <c r="R451" s="690">
        <f t="shared" si="228"/>
        <v>1.5583464659769133</v>
      </c>
      <c r="S451" s="677">
        <f t="shared" si="206"/>
        <v>1.0645585206009043</v>
      </c>
      <c r="T451" s="680">
        <f t="shared" si="207"/>
        <v>0.35004718555390535</v>
      </c>
      <c r="U451" s="681">
        <f t="shared" si="219"/>
        <v>0.79479670826449156</v>
      </c>
      <c r="V451" s="682">
        <f t="shared" si="220"/>
        <v>-0.82960031973521098</v>
      </c>
      <c r="W451" s="683">
        <f t="shared" si="208"/>
        <v>-36.449262668683389</v>
      </c>
      <c r="X451" s="684">
        <f t="shared" si="209"/>
        <v>-168.68895658902849</v>
      </c>
      <c r="Y451" s="687">
        <f t="shared" si="210"/>
        <v>11.311043410971507</v>
      </c>
      <c r="AA451" s="170">
        <f t="shared" si="211"/>
        <v>48420.5</v>
      </c>
      <c r="AB451" s="170">
        <f t="shared" si="212"/>
        <v>2344544820.25</v>
      </c>
      <c r="AD451" s="686">
        <f t="shared" si="213"/>
        <v>16.603932291461696</v>
      </c>
      <c r="AE451" s="687">
        <f t="shared" si="214"/>
        <v>-20.769522332346451</v>
      </c>
      <c r="AG451" s="686">
        <f t="shared" si="215"/>
        <v>-10.787160303050424</v>
      </c>
      <c r="AH451" s="687">
        <f t="shared" si="216"/>
        <v>-52.85424014099172</v>
      </c>
      <c r="AJ451" s="170">
        <f t="shared" si="217"/>
        <v>0</v>
      </c>
      <c r="AK451" s="170">
        <f t="shared" si="229"/>
        <v>0</v>
      </c>
      <c r="AM451" s="170" t="str">
        <f t="shared" si="221"/>
        <v>0.757006936663885+0.970028025971689i</v>
      </c>
      <c r="AN451" s="170" t="str">
        <f t="shared" si="222"/>
        <v>1.32534611924949i</v>
      </c>
      <c r="AO451" s="170" t="str">
        <f t="shared" si="223"/>
        <v>0.731905433518749-0.57117678594974i</v>
      </c>
      <c r="AP451" s="170" t="str">
        <f t="shared" si="224"/>
        <v>0.0404988438893525-0.161671337661948i</v>
      </c>
      <c r="AQ451" s="170" t="str">
        <f t="shared" si="225"/>
        <v>0.959501156110647+0.161671337661948i</v>
      </c>
      <c r="AR451" s="170" t="str">
        <f t="shared" si="226"/>
        <v>0.844192301341014-0.142242349300496i</v>
      </c>
    </row>
    <row r="452" spans="7:44">
      <c r="G452" s="688">
        <v>48699.25</v>
      </c>
      <c r="H452" s="676">
        <f t="shared" si="218"/>
        <v>48.699249999999999</v>
      </c>
      <c r="I452" s="677">
        <f t="shared" si="198"/>
        <v>392.62062674404513</v>
      </c>
      <c r="J452" s="678">
        <f t="shared" si="199"/>
        <v>1.5682493361044501</v>
      </c>
      <c r="K452" s="678">
        <f t="shared" si="200"/>
        <v>1.0022632288541982</v>
      </c>
      <c r="L452" s="679">
        <f t="shared" si="201"/>
        <v>6.7215602023090362E-2</v>
      </c>
      <c r="M452" s="678">
        <f t="shared" si="202"/>
        <v>1.0326306752824859</v>
      </c>
      <c r="N452" s="679">
        <f t="shared" si="203"/>
        <v>-0.25206110011634553</v>
      </c>
      <c r="O452" s="677">
        <f t="shared" si="204"/>
        <v>2019510.3173590126</v>
      </c>
      <c r="P452" s="680">
        <f t="shared" si="205"/>
        <v>1.5707958316253541</v>
      </c>
      <c r="Q452" s="689">
        <f t="shared" si="227"/>
        <v>80.78660207651761</v>
      </c>
      <c r="R452" s="690">
        <f t="shared" si="228"/>
        <v>1.558417720527673</v>
      </c>
      <c r="S452" s="677">
        <f t="shared" si="206"/>
        <v>1.0652811202623411</v>
      </c>
      <c r="T452" s="680">
        <f t="shared" si="207"/>
        <v>0.35190047165214766</v>
      </c>
      <c r="U452" s="681">
        <f t="shared" si="219"/>
        <v>0.7930711069660612</v>
      </c>
      <c r="V452" s="682">
        <f t="shared" si="220"/>
        <v>-0.83351265242782746</v>
      </c>
      <c r="W452" s="683">
        <f t="shared" si="208"/>
        <v>-36.520594190168993</v>
      </c>
      <c r="X452" s="684">
        <f t="shared" si="209"/>
        <v>-169.07331779235128</v>
      </c>
      <c r="Y452" s="687">
        <f t="shared" si="210"/>
        <v>10.926682207648724</v>
      </c>
      <c r="AA452" s="170">
        <f t="shared" si="211"/>
        <v>48699.25</v>
      </c>
      <c r="AB452" s="170">
        <f t="shared" si="212"/>
        <v>2371616950.5625</v>
      </c>
      <c r="AD452" s="686">
        <f t="shared" si="213"/>
        <v>16.598030810868913</v>
      </c>
      <c r="AE452" s="687">
        <f t="shared" si="214"/>
        <v>-20.871625382421609</v>
      </c>
      <c r="AG452" s="686">
        <f t="shared" si="215"/>
        <v>-10.814833074240642</v>
      </c>
      <c r="AH452" s="687">
        <f t="shared" si="216"/>
        <v>-52.68817799105112</v>
      </c>
      <c r="AJ452" s="170">
        <f t="shared" si="217"/>
        <v>0</v>
      </c>
      <c r="AK452" s="170">
        <f t="shared" si="229"/>
        <v>0</v>
      </c>
      <c r="AM452" s="170" t="str">
        <f t="shared" si="221"/>
        <v>0.764415087538511+0.971853769360655i</v>
      </c>
      <c r="AN452" s="170" t="str">
        <f t="shared" si="222"/>
        <v>1.33297595022481i</v>
      </c>
      <c r="AO452" s="170" t="str">
        <f t="shared" si="223"/>
        <v>0.729085749219068-0.573465025689016i</v>
      </c>
      <c r="AP452" s="170" t="str">
        <f t="shared" si="224"/>
        <v>0.0392641520769148-0.161975628226776i</v>
      </c>
      <c r="AQ452" s="170" t="str">
        <f t="shared" si="225"/>
        <v>0.960735847923085+0.161975628226776i</v>
      </c>
      <c r="AR452" s="170" t="str">
        <f t="shared" si="226"/>
        <v>0.843079699865045-0.142139344884542i</v>
      </c>
    </row>
    <row r="453" spans="7:44">
      <c r="G453" s="688">
        <v>48978</v>
      </c>
      <c r="H453" s="676">
        <f t="shared" si="218"/>
        <v>48.978000000000002</v>
      </c>
      <c r="I453" s="677">
        <f t="shared" si="198"/>
        <v>394.8679363381836</v>
      </c>
      <c r="J453" s="678">
        <f t="shared" si="199"/>
        <v>1.5682638318088611</v>
      </c>
      <c r="K453" s="678">
        <f t="shared" si="200"/>
        <v>1.0022891823570663</v>
      </c>
      <c r="L453" s="679">
        <f t="shared" si="201"/>
        <v>6.759917022363944E-2</v>
      </c>
      <c r="M453" s="678">
        <f t="shared" si="202"/>
        <v>1.0329993095993242</v>
      </c>
      <c r="N453" s="679">
        <f t="shared" si="203"/>
        <v>-0.25344304256334282</v>
      </c>
      <c r="O453" s="677">
        <f t="shared" si="204"/>
        <v>2031069.8075146861</v>
      </c>
      <c r="P453" s="680">
        <f t="shared" si="205"/>
        <v>1.5707958344435278</v>
      </c>
      <c r="Q453" s="689">
        <f t="shared" si="227"/>
        <v>81.24894645959904</v>
      </c>
      <c r="R453" s="690">
        <f t="shared" si="228"/>
        <v>1.5584881641355628</v>
      </c>
      <c r="S453" s="677">
        <f t="shared" si="206"/>
        <v>1.0660073738444784</v>
      </c>
      <c r="T453" s="680">
        <f t="shared" si="207"/>
        <v>0.35375123887227655</v>
      </c>
      <c r="U453" s="681">
        <f t="shared" si="219"/>
        <v>0.79134582358156225</v>
      </c>
      <c r="V453" s="682">
        <f t="shared" si="220"/>
        <v>-0.83741481133345985</v>
      </c>
      <c r="W453" s="683">
        <f t="shared" si="208"/>
        <v>-36.591687642126765</v>
      </c>
      <c r="X453" s="684">
        <f t="shared" si="209"/>
        <v>-169.45693339306985</v>
      </c>
      <c r="Y453" s="687">
        <f t="shared" si="210"/>
        <v>10.543066606930154</v>
      </c>
      <c r="AA453" s="170">
        <f t="shared" si="211"/>
        <v>48978</v>
      </c>
      <c r="AB453" s="170">
        <f t="shared" si="212"/>
        <v>2398844484</v>
      </c>
      <c r="AD453" s="686">
        <f t="shared" si="213"/>
        <v>16.592103685187418</v>
      </c>
      <c r="AE453" s="687">
        <f t="shared" si="214"/>
        <v>-20.973630573156409</v>
      </c>
      <c r="AG453" s="686">
        <f t="shared" si="215"/>
        <v>-10.842166866147622</v>
      </c>
      <c r="AH453" s="687">
        <f t="shared" si="216"/>
        <v>-52.522633927959696</v>
      </c>
      <c r="AJ453" s="170">
        <f t="shared" si="217"/>
        <v>0</v>
      </c>
      <c r="AK453" s="170">
        <f t="shared" si="229"/>
        <v>0</v>
      </c>
      <c r="AM453" s="170" t="str">
        <f t="shared" si="221"/>
        <v>0.771836952762264+0.973622937217068i</v>
      </c>
      <c r="AN453" s="170" t="str">
        <f t="shared" si="222"/>
        <v>1.34060578120014i</v>
      </c>
      <c r="AO453" s="170" t="str">
        <f t="shared" si="223"/>
        <v>0.726255958963163-0.575737449133852i</v>
      </c>
      <c r="AP453" s="170" t="str">
        <f t="shared" si="224"/>
        <v>0.0380271745396227-0.162270489536178i</v>
      </c>
      <c r="AQ453" s="170" t="str">
        <f t="shared" si="225"/>
        <v>0.961972825460377+0.162270489536178i</v>
      </c>
      <c r="AR453" s="170" t="str">
        <f t="shared" si="226"/>
        <v>0.841970828336434-0.142027939743462i</v>
      </c>
    </row>
    <row r="454" spans="7:44">
      <c r="G454" s="688">
        <v>49263.25</v>
      </c>
      <c r="H454" s="676">
        <f t="shared" si="218"/>
        <v>49.263249999999999</v>
      </c>
      <c r="I454" s="677">
        <f t="shared" si="198"/>
        <v>397.16764964902677</v>
      </c>
      <c r="J454" s="678">
        <f t="shared" si="199"/>
        <v>1.5682784957040126</v>
      </c>
      <c r="K454" s="678">
        <f t="shared" si="200"/>
        <v>1.0023158937050032</v>
      </c>
      <c r="L454" s="679">
        <f t="shared" si="201"/>
        <v>6.7991661992021196E-2</v>
      </c>
      <c r="M454" s="678">
        <f t="shared" si="202"/>
        <v>1.0333785807223597</v>
      </c>
      <c r="N454" s="679">
        <f t="shared" si="203"/>
        <v>-0.25485618619751538</v>
      </c>
      <c r="O454" s="677">
        <f t="shared" si="204"/>
        <v>2042898.8463197299</v>
      </c>
      <c r="P454" s="680">
        <f t="shared" si="205"/>
        <v>1.5707958372944</v>
      </c>
      <c r="Q454" s="689">
        <f t="shared" si="227"/>
        <v>81.722072379924228</v>
      </c>
      <c r="R454" s="690">
        <f t="shared" si="228"/>
        <v>1.5585594252054829</v>
      </c>
      <c r="S454" s="677">
        <f t="shared" si="206"/>
        <v>1.0667543374209436</v>
      </c>
      <c r="T454" s="680">
        <f t="shared" si="207"/>
        <v>0.35564254748256946</v>
      </c>
      <c r="U454" s="681">
        <f t="shared" si="219"/>
        <v>0.78958071174488131</v>
      </c>
      <c r="V454" s="682">
        <f t="shared" si="220"/>
        <v>-0.84139746576873675</v>
      </c>
      <c r="W454" s="683">
        <f t="shared" si="208"/>
        <v>-36.664195062763</v>
      </c>
      <c r="X454" s="684">
        <f t="shared" si="209"/>
        <v>-169.84872311340283</v>
      </c>
      <c r="Y454" s="687">
        <f t="shared" si="210"/>
        <v>10.151276886597174</v>
      </c>
      <c r="AA454" s="170">
        <f t="shared" si="211"/>
        <v>49263.25</v>
      </c>
      <c r="AB454" s="170">
        <f t="shared" si="212"/>
        <v>2426867800.5625</v>
      </c>
      <c r="AD454" s="686">
        <f t="shared" si="213"/>
        <v>16.586011917549776</v>
      </c>
      <c r="AE454" s="687">
        <f t="shared" si="214"/>
        <v>-21.077911779195048</v>
      </c>
      <c r="AG454" s="686">
        <f t="shared" si="215"/>
        <v>-10.869791158155419</v>
      </c>
      <c r="AH454" s="687">
        <f t="shared" si="216"/>
        <v>-52.353763860931679</v>
      </c>
      <c r="AJ454" s="170">
        <f t="shared" si="217"/>
        <v>0</v>
      </c>
      <c r="AK454" s="170">
        <f t="shared" si="229"/>
        <v>0</v>
      </c>
      <c r="AM454" s="170" t="str">
        <f t="shared" si="221"/>
        <v>0.779445630906041+0.975374681993318i</v>
      </c>
      <c r="AN454" s="170" t="str">
        <f t="shared" si="222"/>
        <v>1.34841352751659i</v>
      </c>
      <c r="AO454" s="170" t="str">
        <f t="shared" si="223"/>
        <v>0.723349819687505-0.578046433827735i</v>
      </c>
      <c r="AP454" s="170" t="str">
        <f t="shared" si="224"/>
        <v>0.0367590615156598-0.162562446998886i</v>
      </c>
      <c r="AQ454" s="170" t="str">
        <f t="shared" si="225"/>
        <v>0.96324093848434+0.162562446998886i</v>
      </c>
      <c r="AR454" s="170" t="str">
        <f t="shared" si="226"/>
        <v>0.840840014315227-0.141905316521058i</v>
      </c>
    </row>
    <row r="455" spans="7:44">
      <c r="G455" s="688">
        <v>49548.5</v>
      </c>
      <c r="H455" s="676">
        <f t="shared" si="218"/>
        <v>49.548499999999997</v>
      </c>
      <c r="I455" s="677">
        <f t="shared" si="198"/>
        <v>399.46736304428941</v>
      </c>
      <c r="J455" s="678">
        <f t="shared" si="199"/>
        <v>1.5682929907605623</v>
      </c>
      <c r="K455" s="678">
        <f t="shared" si="200"/>
        <v>1.002342759451248</v>
      </c>
      <c r="L455" s="679">
        <f t="shared" si="201"/>
        <v>6.8384132780983153E-2</v>
      </c>
      <c r="M455" s="678">
        <f t="shared" si="202"/>
        <v>1.0337599139598808</v>
      </c>
      <c r="N455" s="679">
        <f t="shared" si="203"/>
        <v>-0.25626829008937402</v>
      </c>
      <c r="O455" s="677">
        <f t="shared" si="204"/>
        <v>2054727.8851247735</v>
      </c>
      <c r="P455" s="680">
        <f t="shared" si="205"/>
        <v>1.5707958401124471</v>
      </c>
      <c r="Q455" s="689">
        <f t="shared" si="227"/>
        <v>82.195198710467992</v>
      </c>
      <c r="R455" s="690">
        <f t="shared" si="228"/>
        <v>1.5586298658996511</v>
      </c>
      <c r="S455" s="677">
        <f t="shared" si="206"/>
        <v>1.0675051114811076</v>
      </c>
      <c r="T455" s="680">
        <f t="shared" si="207"/>
        <v>0.35753120253417853</v>
      </c>
      <c r="U455" s="681">
        <f t="shared" si="219"/>
        <v>0.78781608041378937</v>
      </c>
      <c r="V455" s="682">
        <f t="shared" si="220"/>
        <v>-0.84536953979773055</v>
      </c>
      <c r="W455" s="683">
        <f t="shared" si="208"/>
        <v>-36.736458502005071</v>
      </c>
      <c r="X455" s="684">
        <f t="shared" si="209"/>
        <v>-170.23973354103003</v>
      </c>
      <c r="Y455" s="687">
        <f t="shared" si="210"/>
        <v>9.7602664589699657</v>
      </c>
      <c r="AA455" s="170">
        <f t="shared" si="211"/>
        <v>49548.5</v>
      </c>
      <c r="AB455" s="170">
        <f t="shared" si="212"/>
        <v>2455053852.25</v>
      </c>
      <c r="AD455" s="686">
        <f t="shared" si="213"/>
        <v>16.579893534959776</v>
      </c>
      <c r="AE455" s="687">
        <f t="shared" si="214"/>
        <v>-21.182087949707743</v>
      </c>
      <c r="AG455" s="686">
        <f t="shared" si="215"/>
        <v>-10.897068633831182</v>
      </c>
      <c r="AH455" s="687">
        <f t="shared" si="216"/>
        <v>-52.185431961976377</v>
      </c>
      <c r="AJ455" s="170">
        <f t="shared" si="217"/>
        <v>0</v>
      </c>
      <c r="AK455" s="170">
        <f t="shared" si="229"/>
        <v>0</v>
      </c>
      <c r="AM455" s="170" t="str">
        <f t="shared" si="221"/>
        <v>0.787067754174924+0.977066967350698i</v>
      </c>
      <c r="AN455" s="170" t="str">
        <f t="shared" si="222"/>
        <v>1.35622127383305i</v>
      </c>
      <c r="AO455" s="170" t="str">
        <f t="shared" si="223"/>
        <v>0.720433299640877-0.580338746604716i</v>
      </c>
      <c r="AP455" s="170" t="str">
        <f t="shared" si="224"/>
        <v>0.0354887076375127-0.16284449455845i</v>
      </c>
      <c r="AQ455" s="170" t="str">
        <f t="shared" si="225"/>
        <v>0.964511292362487+0.16284449455845i</v>
      </c>
      <c r="AR455" s="170" t="str">
        <f t="shared" si="226"/>
        <v>0.839713212938546-0.141774051602953i</v>
      </c>
    </row>
    <row r="456" spans="7:44">
      <c r="G456" s="688">
        <v>49833.75</v>
      </c>
      <c r="H456" s="676">
        <f t="shared" si="218"/>
        <v>49.833750000000002</v>
      </c>
      <c r="I456" s="677">
        <f t="shared" si="198"/>
        <v>401.76707652252202</v>
      </c>
      <c r="J456" s="678">
        <f t="shared" si="199"/>
        <v>1.568307319877799</v>
      </c>
      <c r="K456" s="678">
        <f t="shared" si="200"/>
        <v>1.0023697795833859</v>
      </c>
      <c r="L456" s="679">
        <f t="shared" si="201"/>
        <v>6.8776582471309938E-2</v>
      </c>
      <c r="M456" s="678">
        <f t="shared" si="202"/>
        <v>1.034143307030716</v>
      </c>
      <c r="N456" s="679">
        <f t="shared" si="203"/>
        <v>-0.25767934976066298</v>
      </c>
      <c r="O456" s="677">
        <f t="shared" si="204"/>
        <v>2066556.923929817</v>
      </c>
      <c r="P456" s="680">
        <f t="shared" si="205"/>
        <v>1.5707958428982334</v>
      </c>
      <c r="Q456" s="689">
        <f t="shared" si="227"/>
        <v>82.66832544418709</v>
      </c>
      <c r="R456" s="690">
        <f t="shared" si="228"/>
        <v>1.5586995003028676</v>
      </c>
      <c r="S456" s="677">
        <f t="shared" si="206"/>
        <v>1.0682596879909343</v>
      </c>
      <c r="T456" s="680">
        <f t="shared" si="207"/>
        <v>0.35941719616238688</v>
      </c>
      <c r="U456" s="681">
        <f t="shared" si="219"/>
        <v>0.78605200247041773</v>
      </c>
      <c r="V456" s="682">
        <f t="shared" si="220"/>
        <v>-0.84933107127608809</v>
      </c>
      <c r="W456" s="683">
        <f t="shared" si="208"/>
        <v>-36.808480572906326</v>
      </c>
      <c r="X456" s="684">
        <f t="shared" si="209"/>
        <v>-170.62996550370033</v>
      </c>
      <c r="Y456" s="687">
        <f t="shared" si="210"/>
        <v>9.3700344962996667</v>
      </c>
      <c r="AA456" s="170">
        <f t="shared" si="211"/>
        <v>49833.75</v>
      </c>
      <c r="AB456" s="170">
        <f t="shared" si="212"/>
        <v>2483402639.0625</v>
      </c>
      <c r="AD456" s="686">
        <f t="shared" si="213"/>
        <v>16.573748659167599</v>
      </c>
      <c r="AE456" s="687">
        <f t="shared" si="214"/>
        <v>-21.286157827112138</v>
      </c>
      <c r="AG456" s="686">
        <f t="shared" si="215"/>
        <v>-10.92400332057535</v>
      </c>
      <c r="AH456" s="687">
        <f t="shared" si="216"/>
        <v>-52.017635978487377</v>
      </c>
      <c r="AJ456" s="170">
        <f t="shared" si="217"/>
        <v>0</v>
      </c>
      <c r="AK456" s="170">
        <f t="shared" si="229"/>
        <v>0</v>
      </c>
      <c r="AM456" s="170" t="str">
        <f t="shared" si="221"/>
        <v>0.794702857919751+0.978699690126487i</v>
      </c>
      <c r="AN456" s="170" t="str">
        <f t="shared" si="222"/>
        <v>1.36402902014951i</v>
      </c>
      <c r="AO456" s="170" t="str">
        <f t="shared" si="223"/>
        <v>0.717506501452009-0.582614333111948i</v>
      </c>
      <c r="AP456" s="170" t="str">
        <f t="shared" si="224"/>
        <v>0.0342161903467082-0.163116615021081i</v>
      </c>
      <c r="AQ456" s="170" t="str">
        <f t="shared" si="225"/>
        <v>0.965783809653292+0.163116615021081i</v>
      </c>
      <c r="AR456" s="170" t="str">
        <f t="shared" si="226"/>
        <v>0.838590476262479-0.141634223425176i</v>
      </c>
    </row>
    <row r="457" spans="7:44">
      <c r="G457" s="688">
        <v>50119</v>
      </c>
      <c r="H457" s="676">
        <f t="shared" si="218"/>
        <v>50.119</v>
      </c>
      <c r="I457" s="677">
        <f t="shared" si="198"/>
        <v>404.06679008230799</v>
      </c>
      <c r="J457" s="678">
        <f t="shared" si="199"/>
        <v>1.5683214858890075</v>
      </c>
      <c r="K457" s="678">
        <f t="shared" si="200"/>
        <v>1.0023969540889324</v>
      </c>
      <c r="L457" s="679">
        <f t="shared" si="201"/>
        <v>6.9169010943824979E-2</v>
      </c>
      <c r="M457" s="678">
        <f t="shared" si="202"/>
        <v>1.0345287576447624</v>
      </c>
      <c r="N457" s="679">
        <f t="shared" si="203"/>
        <v>-0.25908936075638012</v>
      </c>
      <c r="O457" s="677">
        <f t="shared" si="204"/>
        <v>2078385.9627348606</v>
      </c>
      <c r="P457" s="680">
        <f t="shared" si="205"/>
        <v>1.570795845652309</v>
      </c>
      <c r="Q457" s="689">
        <f t="shared" si="227"/>
        <v>83.141452574198524</v>
      </c>
      <c r="R457" s="690">
        <f t="shared" si="228"/>
        <v>1.5587683421793583</v>
      </c>
      <c r="S457" s="677">
        <f t="shared" si="206"/>
        <v>1.0690180588984386</v>
      </c>
      <c r="T457" s="680">
        <f t="shared" si="207"/>
        <v>0.36130052060035922</v>
      </c>
      <c r="U457" s="681">
        <f t="shared" si="219"/>
        <v>0.78428854962030392</v>
      </c>
      <c r="V457" s="682">
        <f t="shared" si="220"/>
        <v>-0.85328209854142889</v>
      </c>
      <c r="W457" s="683">
        <f t="shared" si="208"/>
        <v>-36.88026383797893</v>
      </c>
      <c r="X457" s="684">
        <f t="shared" si="209"/>
        <v>-171.01941987830099</v>
      </c>
      <c r="Y457" s="687">
        <f t="shared" si="210"/>
        <v>8.9805801216990062</v>
      </c>
      <c r="AA457" s="170">
        <f t="shared" si="211"/>
        <v>50119</v>
      </c>
      <c r="AB457" s="170">
        <f t="shared" si="212"/>
        <v>2511914161</v>
      </c>
      <c r="AD457" s="686">
        <f t="shared" si="213"/>
        <v>16.567577412128529</v>
      </c>
      <c r="AE457" s="687">
        <f t="shared" si="214"/>
        <v>-21.390120177800828</v>
      </c>
      <c r="AG457" s="686">
        <f t="shared" si="215"/>
        <v>-10.950599181874438</v>
      </c>
      <c r="AH457" s="687">
        <f t="shared" si="216"/>
        <v>-51.85037362779164</v>
      </c>
      <c r="AJ457" s="170">
        <f t="shared" si="217"/>
        <v>0</v>
      </c>
      <c r="AK457" s="170">
        <f t="shared" si="229"/>
        <v>0</v>
      </c>
      <c r="AM457" s="170" t="str">
        <f t="shared" si="221"/>
        <v>0.802350476700062+0.980272750788936i</v>
      </c>
      <c r="AN457" s="170" t="str">
        <f t="shared" si="222"/>
        <v>1.37183676646596i</v>
      </c>
      <c r="AO457" s="170" t="str">
        <f t="shared" si="223"/>
        <v>0.714569528059999-0.584873139657152i</v>
      </c>
      <c r="AP457" s="170" t="str">
        <f t="shared" si="224"/>
        <v>0.0329415872166563-0.163378791798156i</v>
      </c>
      <c r="AQ457" s="170" t="str">
        <f t="shared" si="225"/>
        <v>0.967058412783344+0.163378791798156i</v>
      </c>
      <c r="AR457" s="170" t="str">
        <f t="shared" si="226"/>
        <v>0.837471855073965-0.141485910301055i</v>
      </c>
    </row>
    <row r="458" spans="7:44">
      <c r="G458" s="688">
        <v>50410.75</v>
      </c>
      <c r="H458" s="676">
        <f t="shared" si="218"/>
        <v>50.41075</v>
      </c>
      <c r="I458" s="677">
        <f t="shared" si="198"/>
        <v>406.41890736441201</v>
      </c>
      <c r="J458" s="678">
        <f t="shared" si="199"/>
        <v>1.5683358088640003</v>
      </c>
      <c r="K458" s="678">
        <f t="shared" si="200"/>
        <v>1.002424907497691</v>
      </c>
      <c r="L458" s="679">
        <f t="shared" si="201"/>
        <v>6.9570359622559766E-2</v>
      </c>
      <c r="M458" s="678">
        <f t="shared" si="202"/>
        <v>1.0349251175421779</v>
      </c>
      <c r="N458" s="679">
        <f t="shared" si="203"/>
        <v>-0.26053041230228768</v>
      </c>
      <c r="O458" s="677">
        <f t="shared" si="204"/>
        <v>2090484.5501892744</v>
      </c>
      <c r="P458" s="680">
        <f t="shared" si="205"/>
        <v>1.5707958484369007</v>
      </c>
      <c r="Q458" s="689">
        <f t="shared" si="227"/>
        <v>83.625361268735247</v>
      </c>
      <c r="R458" s="690">
        <f t="shared" si="228"/>
        <v>1.5588379469561291</v>
      </c>
      <c r="S458" s="677">
        <f t="shared" si="206"/>
        <v>1.0697976274921053</v>
      </c>
      <c r="T458" s="680">
        <f t="shared" si="207"/>
        <v>0.36322399129624044</v>
      </c>
      <c r="U458" s="681">
        <f t="shared" si="219"/>
        <v>0.7824856330541996</v>
      </c>
      <c r="V458" s="682">
        <f t="shared" si="220"/>
        <v>-0.85731233245143068</v>
      </c>
      <c r="W458" s="683">
        <f t="shared" si="208"/>
        <v>-36.953438419336081</v>
      </c>
      <c r="X458" s="684">
        <f t="shared" si="209"/>
        <v>-171.41694535699611</v>
      </c>
      <c r="Y458" s="687">
        <f t="shared" si="210"/>
        <v>8.5830546430038908</v>
      </c>
      <c r="AA458" s="170">
        <f t="shared" si="211"/>
        <v>50410.75</v>
      </c>
      <c r="AB458" s="170">
        <f t="shared" si="212"/>
        <v>2541243715.5625</v>
      </c>
      <c r="AD458" s="686">
        <f t="shared" si="213"/>
        <v>16.56123838854624</v>
      </c>
      <c r="AE458" s="687">
        <f t="shared" si="214"/>
        <v>-21.496339030415726</v>
      </c>
      <c r="AG458" s="686">
        <f t="shared" si="215"/>
        <v>-10.977454654695007</v>
      </c>
      <c r="AH458" s="687">
        <f t="shared" si="216"/>
        <v>-51.679849466356984</v>
      </c>
      <c r="AJ458" s="170">
        <f t="shared" si="217"/>
        <v>0</v>
      </c>
      <c r="AK458" s="170">
        <f t="shared" si="229"/>
        <v>0</v>
      </c>
      <c r="AM458" s="170" t="str">
        <f t="shared" si="221"/>
        <v>0.810184822119141+0.981819840014479i</v>
      </c>
      <c r="AN458" s="170" t="str">
        <f t="shared" si="222"/>
        <v>1.37982242812354i</v>
      </c>
      <c r="AO458" s="170" t="str">
        <f t="shared" si="223"/>
        <v>0.711555211745387-0.587166004556785i</v>
      </c>
      <c r="AP458" s="170" t="str">
        <f t="shared" si="224"/>
        <v>0.0316358629801432-0.163636640002413i</v>
      </c>
      <c r="AQ458" s="170" t="str">
        <f t="shared" si="225"/>
        <v>0.968364137019857+0.163636640002413i</v>
      </c>
      <c r="AR458" s="170" t="str">
        <f t="shared" si="226"/>
        <v>0.836332052678689-0.141325521872208i</v>
      </c>
    </row>
    <row r="459" spans="7:44">
      <c r="G459" s="688">
        <v>50702.5</v>
      </c>
      <c r="H459" s="676">
        <f t="shared" si="218"/>
        <v>50.702500000000001</v>
      </c>
      <c r="I459" s="677">
        <f t="shared" si="198"/>
        <v>408.77102472893245</v>
      </c>
      <c r="J459" s="678">
        <f t="shared" si="199"/>
        <v>1.5683499670067735</v>
      </c>
      <c r="K459" s="678">
        <f t="shared" si="200"/>
        <v>1.0024530223687971</v>
      </c>
      <c r="L459" s="679">
        <f t="shared" si="201"/>
        <v>6.9971685853428417E-2</v>
      </c>
      <c r="M459" s="678">
        <f t="shared" si="202"/>
        <v>1.0353236249475288</v>
      </c>
      <c r="N459" s="679">
        <f t="shared" si="203"/>
        <v>-0.26197035748346081</v>
      </c>
      <c r="O459" s="677">
        <f t="shared" si="204"/>
        <v>2102583.1376436879</v>
      </c>
      <c r="P459" s="680">
        <f t="shared" si="205"/>
        <v>1.5707958511894462</v>
      </c>
      <c r="Q459" s="689">
        <f t="shared" si="227"/>
        <v>84.109270363760274</v>
      </c>
      <c r="R459" s="690">
        <f t="shared" si="228"/>
        <v>1.5589067508135597</v>
      </c>
      <c r="S459" s="677">
        <f t="shared" si="206"/>
        <v>1.070581148285616</v>
      </c>
      <c r="T459" s="680">
        <f t="shared" si="207"/>
        <v>0.36514465364794735</v>
      </c>
      <c r="U459" s="681">
        <f t="shared" si="219"/>
        <v>0.78068351839138839</v>
      </c>
      <c r="V459" s="682">
        <f t="shared" si="220"/>
        <v>-0.86133166059047894</v>
      </c>
      <c r="W459" s="683">
        <f t="shared" si="208"/>
        <v>-37.026368453555158</v>
      </c>
      <c r="X459" s="684">
        <f t="shared" si="209"/>
        <v>-171.81365941418321</v>
      </c>
      <c r="Y459" s="687">
        <f t="shared" si="210"/>
        <v>8.1863405858167937</v>
      </c>
      <c r="AA459" s="170">
        <f t="shared" si="211"/>
        <v>50702.5</v>
      </c>
      <c r="AB459" s="170">
        <f t="shared" si="212"/>
        <v>2570743506.25</v>
      </c>
      <c r="AD459" s="686">
        <f t="shared" si="213"/>
        <v>16.554872036855116</v>
      </c>
      <c r="AE459" s="687">
        <f t="shared" si="214"/>
        <v>-21.602442864223697</v>
      </c>
      <c r="AG459" s="686">
        <f t="shared" si="215"/>
        <v>-11.003963872236733</v>
      </c>
      <c r="AH459" s="687">
        <f t="shared" si="216"/>
        <v>-51.509878611518538</v>
      </c>
      <c r="AJ459" s="170">
        <f t="shared" si="217"/>
        <v>0</v>
      </c>
      <c r="AK459" s="170">
        <f t="shared" si="229"/>
        <v>0</v>
      </c>
      <c r="AM459" s="170" t="str">
        <f t="shared" si="221"/>
        <v>0.81803127213815+0.983304318143849i</v>
      </c>
      <c r="AN459" s="170" t="str">
        <f t="shared" si="222"/>
        <v>1.38780808978113i</v>
      </c>
      <c r="AO459" s="170" t="str">
        <f t="shared" si="223"/>
        <v>0.708530470015436-0.589441204559602i</v>
      </c>
      <c r="AP459" s="170" t="str">
        <f t="shared" si="224"/>
        <v>0.0303281213103083-0.163884053023975i</v>
      </c>
      <c r="AQ459" s="170" t="str">
        <f t="shared" si="225"/>
        <v>0.969671878689692+0.163884053023975i</v>
      </c>
      <c r="AR459" s="170" t="str">
        <f t="shared" si="226"/>
        <v>0.835196658936203-0.141156422648356i</v>
      </c>
    </row>
    <row r="460" spans="7:44">
      <c r="G460" s="688">
        <v>50994.25</v>
      </c>
      <c r="H460" s="676">
        <f t="shared" si="218"/>
        <v>50.994250000000001</v>
      </c>
      <c r="I460" s="677">
        <f t="shared" si="198"/>
        <v>411.12314217445464</v>
      </c>
      <c r="J460" s="678">
        <f t="shared" si="199"/>
        <v>1.5683639631464357</v>
      </c>
      <c r="K460" s="678">
        <f t="shared" si="200"/>
        <v>1.002481298688666</v>
      </c>
      <c r="L460" s="679">
        <f t="shared" si="201"/>
        <v>7.0372989509047648E-2</v>
      </c>
      <c r="M460" s="678">
        <f t="shared" si="202"/>
        <v>1.0357242773819764</v>
      </c>
      <c r="N460" s="679">
        <f t="shared" si="203"/>
        <v>-0.26340919160913401</v>
      </c>
      <c r="O460" s="677">
        <f t="shared" si="204"/>
        <v>2114681.7250981019</v>
      </c>
      <c r="P460" s="680">
        <f t="shared" si="205"/>
        <v>1.570795853910496</v>
      </c>
      <c r="Q460" s="689">
        <f t="shared" si="227"/>
        <v>84.593179852400695</v>
      </c>
      <c r="R460" s="690">
        <f t="shared" si="228"/>
        <v>1.5589747674958059</v>
      </c>
      <c r="S460" s="677">
        <f t="shared" si="206"/>
        <v>1.0713686126079192</v>
      </c>
      <c r="T460" s="680">
        <f t="shared" si="207"/>
        <v>0.36706249966208965</v>
      </c>
      <c r="U460" s="681">
        <f t="shared" si="219"/>
        <v>0.77888227858511105</v>
      </c>
      <c r="V460" s="682">
        <f t="shared" si="220"/>
        <v>-0.86534012546493877</v>
      </c>
      <c r="W460" s="683">
        <f t="shared" si="208"/>
        <v>-37.099056526617744</v>
      </c>
      <c r="X460" s="684">
        <f t="shared" si="209"/>
        <v>-172.20956314049283</v>
      </c>
      <c r="Y460" s="687">
        <f t="shared" si="210"/>
        <v>7.7904368595071674</v>
      </c>
      <c r="AA460" s="170">
        <f t="shared" si="211"/>
        <v>50994.25</v>
      </c>
      <c r="AB460" s="170">
        <f t="shared" si="212"/>
        <v>2600413533.0625</v>
      </c>
      <c r="AD460" s="686">
        <f t="shared" si="213"/>
        <v>16.548478488142468</v>
      </c>
      <c r="AE460" s="687">
        <f t="shared" si="214"/>
        <v>-21.708430433786624</v>
      </c>
      <c r="AG460" s="686">
        <f t="shared" si="215"/>
        <v>-11.03013087607807</v>
      </c>
      <c r="AH460" s="687">
        <f t="shared" si="216"/>
        <v>-51.340458528474393</v>
      </c>
      <c r="AJ460" s="170">
        <f t="shared" si="217"/>
        <v>0</v>
      </c>
      <c r="AK460" s="170">
        <f t="shared" si="229"/>
        <v>0</v>
      </c>
      <c r="AM460" s="170" t="str">
        <f t="shared" si="221"/>
        <v>0.825889326385397+0.984726090511199i</v>
      </c>
      <c r="AN460" s="170" t="str">
        <f t="shared" si="222"/>
        <v>1.39579375143871i</v>
      </c>
      <c r="AO460" s="170" t="str">
        <f t="shared" si="223"/>
        <v>0.705495413986626-0.591698684375191i</v>
      </c>
      <c r="AP460" s="170" t="str">
        <f t="shared" si="224"/>
        <v>0.0290184456024338-0.1641210150852i</v>
      </c>
      <c r="AQ460" s="170" t="str">
        <f t="shared" si="225"/>
        <v>0.970981554397566+0.1641210150852i</v>
      </c>
      <c r="AR460" s="170" t="str">
        <f t="shared" si="226"/>
        <v>0.834065724166371-0.140978695916513i</v>
      </c>
    </row>
    <row r="461" spans="7:44">
      <c r="G461" s="688">
        <v>51286</v>
      </c>
      <c r="H461" s="676">
        <f t="shared" si="218"/>
        <v>51.286000000000001</v>
      </c>
      <c r="I461" s="677">
        <f t="shared" ref="I461:I524" si="230">SQRT(1+(G461/pole1)^2)</f>
        <v>413.47525969959634</v>
      </c>
      <c r="J461" s="678">
        <f t="shared" ref="J461:J524" si="231">ATAN(G461/pole1)</f>
        <v>1.56837780004772</v>
      </c>
      <c r="K461" s="678">
        <f t="shared" ref="K461:K524" si="232">SQRT(1+(G461/Zero1)^2)</f>
        <v>1.0025097364436362</v>
      </c>
      <c r="L461" s="679">
        <f t="shared" ref="L461:L524" si="233">ATAN(G461/Zero1)</f>
        <v>7.077427046207764E-2</v>
      </c>
      <c r="M461" s="678">
        <f t="shared" ref="M461:M524" si="234">SQRT(1+(G461/z_RHP)^2)</f>
        <v>1.0361270723571836</v>
      </c>
      <c r="N461" s="679">
        <f t="shared" ref="N461:N524" si="235">-ATAN(G461/z_RHP)</f>
        <v>-0.26484691001417915</v>
      </c>
      <c r="O461" s="677">
        <f t="shared" ref="O461:O524" si="236">SQRT(1+(G461/Pole2)^2)</f>
        <v>2126780.3125525154</v>
      </c>
      <c r="P461" s="680">
        <f t="shared" ref="P461:P524" si="237">ATAN(G461/Pole2)</f>
        <v>1.5707958566005873</v>
      </c>
      <c r="Q461" s="689">
        <f t="shared" si="227"/>
        <v>85.07708972794002</v>
      </c>
      <c r="R461" s="690">
        <f t="shared" si="228"/>
        <v>1.5590420104343514</v>
      </c>
      <c r="S461" s="677">
        <f t="shared" ref="S461:S524" si="238">SQRT(1+(G461/pole4)^2)</f>
        <v>1.07216001176986</v>
      </c>
      <c r="T461" s="680">
        <f t="shared" ref="T461:T524" si="239">ATAN(G461/pole4)</f>
        <v>0.36897752145157231</v>
      </c>
      <c r="U461" s="681">
        <f t="shared" si="219"/>
        <v>0.77708198533735451</v>
      </c>
      <c r="V461" s="682">
        <f t="shared" si="220"/>
        <v>-0.86933777005725332</v>
      </c>
      <c r="W461" s="683">
        <f t="shared" ref="W461:W524" si="240">20*LOG10(((K461*Q461*M461*U461)/(I461*O461*S461))*Adc)</f>
        <v>-37.171505174697757</v>
      </c>
      <c r="X461" s="684">
        <f t="shared" ref="X461:X524" si="241">((L461+R461+N461+V461)-(J461+P461+T461))*radconv</f>
        <v>-172.60465767561521</v>
      </c>
      <c r="Y461" s="687">
        <f t="shared" ref="Y461:Y524" si="242">IF(X461&gt;0,X461,X461+180)</f>
        <v>7.3953423243847851</v>
      </c>
      <c r="AA461" s="170">
        <f t="shared" ref="AA461:AA524" si="243">IF(W461&lt;0,G461,1000000000)</f>
        <v>51286</v>
      </c>
      <c r="AB461" s="170">
        <f t="shared" ref="AB461:AB524" si="244">G461^2</f>
        <v>2630253796</v>
      </c>
      <c r="AD461" s="686">
        <f t="shared" ref="AD461:AD524" si="245">20*LOG10((Q461/(O461*S461))*Aea)</f>
        <v>16.542057873678548</v>
      </c>
      <c r="AE461" s="687">
        <f t="shared" ref="AE461:AE524" si="246">(R461-(P461+T461))*radconv</f>
        <v>-21.814300517670695</v>
      </c>
      <c r="AG461" s="686">
        <f t="shared" ref="AG461:AG524" si="247">20*LOG10((K461*M461/(I461*U461))*Acs*Am)</f>
        <v>-11.05595964340861</v>
      </c>
      <c r="AH461" s="687">
        <f t="shared" ref="AH461:AH524" si="248">(L461+N461-(J461+V461))*radconv</f>
        <v>-51.171586652923402</v>
      </c>
      <c r="AJ461" s="170">
        <f t="shared" ref="AJ461:AJ524" si="249">SUM((W462&lt;0)*(W461&gt;0))*G461</f>
        <v>0</v>
      </c>
      <c r="AK461" s="170">
        <f t="shared" si="229"/>
        <v>0</v>
      </c>
      <c r="AM461" s="170" t="str">
        <f t="shared" si="221"/>
        <v>0.833758483749221+0.986085066449463i</v>
      </c>
      <c r="AN461" s="170" t="str">
        <f t="shared" si="222"/>
        <v>1.4037794130963i</v>
      </c>
      <c r="AO461" s="170" t="str">
        <f t="shared" si="223"/>
        <v>0.702450155095569-0.593938389444115i</v>
      </c>
      <c r="AP461" s="170" t="str">
        <f t="shared" si="224"/>
        <v>0.0277069193751298-0.16434751107491i</v>
      </c>
      <c r="AQ461" s="170" t="str">
        <f t="shared" si="225"/>
        <v>0.97229308062487+0.16434751107491i</v>
      </c>
      <c r="AR461" s="170" t="str">
        <f t="shared" si="226"/>
        <v>0.832939297368983-0.140792424760546i</v>
      </c>
    </row>
    <row r="462" spans="7:44">
      <c r="G462" s="688">
        <v>51584.75</v>
      </c>
      <c r="H462" s="676">
        <f t="shared" ref="H462:H525" si="250">G462/1000</f>
        <v>51.58475</v>
      </c>
      <c r="I462" s="677">
        <f t="shared" si="230"/>
        <v>415.8838120022391</v>
      </c>
      <c r="J462" s="678">
        <f t="shared" si="231"/>
        <v>1.5683918067468436</v>
      </c>
      <c r="K462" s="678">
        <f t="shared" si="232"/>
        <v>1.0025390237870011</v>
      </c>
      <c r="L462" s="679">
        <f t="shared" si="233"/>
        <v>7.1185155747972892E-2</v>
      </c>
      <c r="M462" s="678">
        <f t="shared" si="234"/>
        <v>1.0365417493083187</v>
      </c>
      <c r="N462" s="679">
        <f t="shared" si="235"/>
        <v>-0.26631796276283465</v>
      </c>
      <c r="O462" s="677">
        <f t="shared" si="236"/>
        <v>2139169.1831677887</v>
      </c>
      <c r="P462" s="680">
        <f t="shared" si="237"/>
        <v>1.5707958593236897</v>
      </c>
      <c r="Q462" s="689">
        <f t="shared" si="227"/>
        <v>85.572610517279372</v>
      </c>
      <c r="R462" s="690">
        <f t="shared" si="228"/>
        <v>1.5591100786400613</v>
      </c>
      <c r="S462" s="677">
        <f t="shared" si="238"/>
        <v>1.0729744675774824</v>
      </c>
      <c r="T462" s="680">
        <f t="shared" si="239"/>
        <v>0.37093555582842985</v>
      </c>
      <c r="U462" s="681">
        <f t="shared" ref="U462:U525" si="251">IMABS(IMPRODUCT(AO462, AR462))</f>
        <v>0.77523955188306748</v>
      </c>
      <c r="V462" s="682">
        <f t="shared" ref="V462:V525" si="252">IMARGUMENT(IMPRODUCT(AO462, AR462))</f>
        <v>-0.8734201632846319</v>
      </c>
      <c r="W462" s="683">
        <f t="shared" si="240"/>
        <v>-37.24544658116907</v>
      </c>
      <c r="X462" s="684">
        <f t="shared" si="241"/>
        <v>-173.00839446530765</v>
      </c>
      <c r="Y462" s="687">
        <f t="shared" si="242"/>
        <v>6.9916055346923542</v>
      </c>
      <c r="AA462" s="170">
        <f t="shared" si="243"/>
        <v>51584.75</v>
      </c>
      <c r="AB462" s="170">
        <f t="shared" si="244"/>
        <v>2660986432.5625</v>
      </c>
      <c r="AD462" s="686">
        <f t="shared" si="245"/>
        <v>16.53545529815343</v>
      </c>
      <c r="AE462" s="687">
        <f t="shared" si="246"/>
        <v>-21.922587758845975</v>
      </c>
      <c r="AG462" s="686">
        <f t="shared" si="247"/>
        <v>-11.082061705347105</v>
      </c>
      <c r="AH462" s="687">
        <f t="shared" si="248"/>
        <v>-50.999228396422815</v>
      </c>
      <c r="AJ462" s="170">
        <f t="shared" si="249"/>
        <v>0</v>
      </c>
      <c r="AK462" s="170">
        <f t="shared" si="229"/>
        <v>0</v>
      </c>
      <c r="AM462" s="170" t="str">
        <f t="shared" ref="AM462:AM525" si="253">IMSUB(1,IMEXP(COMPLEX(0,-2*Pi*G462*Tsw)))</f>
        <v>0.841827428667899+0.987411483464817i</v>
      </c>
      <c r="AN462" s="170" t="str">
        <f t="shared" ref="AN462:AN525" si="254">COMPLEX(0, 2*Pi*G462*Tsw)</f>
        <v>1.41195667589048i</v>
      </c>
      <c r="AO462" s="170" t="str">
        <f t="shared" ref="AO462:AO525" si="255">IMDIV(AM462, AN462)</f>
        <v>0.699321374603853-0.596213356289408i</v>
      </c>
      <c r="AP462" s="170" t="str">
        <f t="shared" ref="AP462:AP525" si="256">IMDIV(IMEXP(COMPLEX(0,-2*Pi*G462*Tsw)),6)</f>
        <v>0.0263620952220168-0.16456858057747i</v>
      </c>
      <c r="AQ462" s="170" t="str">
        <f t="shared" ref="AQ462:AQ525" si="257">IMSUB(1, AP462)</f>
        <v>0.973637904777983+0.16456858057747i</v>
      </c>
      <c r="AR462" s="170" t="str">
        <f t="shared" ref="AR462:AR525" si="258">IMDIV(0.833, AQ462)</f>
        <v>0.831790565375824-0.140592916534864i</v>
      </c>
    </row>
    <row r="463" spans="7:44">
      <c r="G463" s="688">
        <v>51883.5</v>
      </c>
      <c r="H463" s="676">
        <f t="shared" si="250"/>
        <v>51.883499999999998</v>
      </c>
      <c r="I463" s="677">
        <f t="shared" si="230"/>
        <v>418.29236438553352</v>
      </c>
      <c r="J463" s="678">
        <f t="shared" si="231"/>
        <v>1.568405652143152</v>
      </c>
      <c r="K463" s="678">
        <f t="shared" si="232"/>
        <v>1.0025684803758339</v>
      </c>
      <c r="L463" s="679">
        <f t="shared" si="233"/>
        <v>7.1596016958686046E-2</v>
      </c>
      <c r="M463" s="678">
        <f t="shared" si="234"/>
        <v>1.0369586675350222</v>
      </c>
      <c r="N463" s="679">
        <f t="shared" si="235"/>
        <v>-0.2677878357911293</v>
      </c>
      <c r="O463" s="677">
        <f t="shared" si="236"/>
        <v>2151558.0537830624</v>
      </c>
      <c r="P463" s="680">
        <f t="shared" si="237"/>
        <v>1.5707958620154321</v>
      </c>
      <c r="Q463" s="689">
        <f t="shared" si="227"/>
        <v>86.068131698535296</v>
      </c>
      <c r="R463" s="690">
        <f t="shared" si="228"/>
        <v>1.5591773630661367</v>
      </c>
      <c r="S463" s="677">
        <f t="shared" si="238"/>
        <v>1.0737930308109229</v>
      </c>
      <c r="T463" s="680">
        <f t="shared" si="239"/>
        <v>0.37289061243265736</v>
      </c>
      <c r="U463" s="681">
        <f t="shared" si="251"/>
        <v>0.77339825914712523</v>
      </c>
      <c r="V463" s="682">
        <f t="shared" si="252"/>
        <v>-0.87749130347214777</v>
      </c>
      <c r="W463" s="683">
        <f t="shared" si="240"/>
        <v>-37.319142163673746</v>
      </c>
      <c r="X463" s="684">
        <f t="shared" si="241"/>
        <v>-173.41128533941063</v>
      </c>
      <c r="Y463" s="687">
        <f t="shared" si="242"/>
        <v>6.5887146605893747</v>
      </c>
      <c r="AA463" s="170">
        <f t="shared" si="243"/>
        <v>51883.5</v>
      </c>
      <c r="AB463" s="170">
        <f t="shared" si="244"/>
        <v>2691897572.25</v>
      </c>
      <c r="AD463" s="686">
        <f t="shared" si="245"/>
        <v>16.528824621647974</v>
      </c>
      <c r="AE463" s="687">
        <f t="shared" si="246"/>
        <v>-22.030749291685378</v>
      </c>
      <c r="AG463" s="686">
        <f t="shared" si="247"/>
        <v>-11.107817344794206</v>
      </c>
      <c r="AH463" s="687">
        <f t="shared" si="248"/>
        <v>-50.827439436051819</v>
      </c>
      <c r="AJ463" s="170">
        <f t="shared" si="249"/>
        <v>0</v>
      </c>
      <c r="AK463" s="170">
        <f t="shared" si="229"/>
        <v>0</v>
      </c>
      <c r="AM463" s="170" t="str">
        <f t="shared" si="253"/>
        <v>0.849906950152112+0.988671874985508i</v>
      </c>
      <c r="AN463" s="170" t="str">
        <f t="shared" si="254"/>
        <v>1.42013393868466i</v>
      </c>
      <c r="AO463" s="170" t="str">
        <f t="shared" si="255"/>
        <v>0.696182133286121-0.59846957177807i</v>
      </c>
      <c r="AP463" s="170" t="str">
        <f t="shared" si="256"/>
        <v>0.0250155083079813-0.164778645830918i</v>
      </c>
      <c r="AQ463" s="170" t="str">
        <f t="shared" si="257"/>
        <v>0.974984491692019+0.164778645830918i</v>
      </c>
      <c r="AR463" s="170" t="str">
        <f t="shared" si="258"/>
        <v>0.830646660096724-0.140384624556622i</v>
      </c>
    </row>
    <row r="464" spans="7:44">
      <c r="G464" s="688">
        <v>52182.25</v>
      </c>
      <c r="H464" s="676">
        <f t="shared" si="250"/>
        <v>52.182250000000003</v>
      </c>
      <c r="I464" s="677">
        <f t="shared" si="230"/>
        <v>420.70091684809438</v>
      </c>
      <c r="J464" s="678">
        <f t="shared" si="231"/>
        <v>1.5684193390070611</v>
      </c>
      <c r="K464" s="678">
        <f t="shared" si="232"/>
        <v>1.0025981061952169</v>
      </c>
      <c r="L464" s="679">
        <f t="shared" si="233"/>
        <v>7.2006853957632802E-2</v>
      </c>
      <c r="M464" s="678">
        <f t="shared" si="234"/>
        <v>1.0373778243350134</v>
      </c>
      <c r="N464" s="679">
        <f t="shared" si="235"/>
        <v>-0.26925652417388152</v>
      </c>
      <c r="O464" s="677">
        <f t="shared" si="236"/>
        <v>2163946.9243983361</v>
      </c>
      <c r="P464" s="680">
        <f t="shared" si="237"/>
        <v>1.5707958646763536</v>
      </c>
      <c r="Q464" s="689">
        <f t="shared" si="227"/>
        <v>86.563653264977376</v>
      </c>
      <c r="R464" s="690">
        <f t="shared" si="228"/>
        <v>1.5592438771718746</v>
      </c>
      <c r="S464" s="677">
        <f t="shared" si="238"/>
        <v>1.0746156920839769</v>
      </c>
      <c r="T464" s="680">
        <f t="shared" si="239"/>
        <v>0.37484268314070562</v>
      </c>
      <c r="U464" s="681">
        <f t="shared" si="251"/>
        <v>0.77155818010246735</v>
      </c>
      <c r="V464" s="682">
        <f t="shared" si="252"/>
        <v>-0.88155123824074688</v>
      </c>
      <c r="W464" s="683">
        <f t="shared" si="240"/>
        <v>-37.392594491312124</v>
      </c>
      <c r="X464" s="684">
        <f t="shared" si="241"/>
        <v>-173.81333167419504</v>
      </c>
      <c r="Y464" s="687">
        <f t="shared" si="242"/>
        <v>6.1866683258049591</v>
      </c>
      <c r="AA464" s="170">
        <f t="shared" si="243"/>
        <v>52182.25</v>
      </c>
      <c r="AB464" s="170">
        <f t="shared" si="244"/>
        <v>2722987215.0625</v>
      </c>
      <c r="AD464" s="686">
        <f t="shared" si="245"/>
        <v>16.522165985640225</v>
      </c>
      <c r="AE464" s="687">
        <f t="shared" si="246"/>
        <v>-22.138783879613808</v>
      </c>
      <c r="AG464" s="686">
        <f t="shared" si="247"/>
        <v>-11.133230630716202</v>
      </c>
      <c r="AH464" s="687">
        <f t="shared" si="248"/>
        <v>-50.656216927697905</v>
      </c>
      <c r="AJ464" s="170">
        <f t="shared" si="249"/>
        <v>0</v>
      </c>
      <c r="AK464" s="170">
        <f t="shared" si="229"/>
        <v>0</v>
      </c>
      <c r="AM464" s="170" t="str">
        <f t="shared" si="253"/>
        <v>0.857996507946452+0.989866156732615i</v>
      </c>
      <c r="AN464" s="170" t="str">
        <f t="shared" si="254"/>
        <v>1.42831120147885i</v>
      </c>
      <c r="AO464" s="170" t="str">
        <f t="shared" si="255"/>
        <v>0.693032551805044-0.600706979724094i</v>
      </c>
      <c r="AP464" s="170" t="str">
        <f t="shared" si="256"/>
        <v>0.0236672486755913-0.164977692788769i</v>
      </c>
      <c r="AQ464" s="170" t="str">
        <f t="shared" si="257"/>
        <v>0.976332751324409+0.164977692788769i</v>
      </c>
      <c r="AR464" s="170" t="str">
        <f t="shared" si="258"/>
        <v>0.829507629956287-0.140167637268369i</v>
      </c>
    </row>
    <row r="465" spans="7:44">
      <c r="G465" s="688">
        <v>52481</v>
      </c>
      <c r="H465" s="676">
        <f t="shared" si="250"/>
        <v>52.481000000000002</v>
      </c>
      <c r="I465" s="677">
        <f t="shared" si="230"/>
        <v>423.10946938856796</v>
      </c>
      <c r="J465" s="678">
        <f t="shared" si="231"/>
        <v>1.5684328700459051</v>
      </c>
      <c r="K465" s="678">
        <f t="shared" si="232"/>
        <v>1.0026279012301493</v>
      </c>
      <c r="L465" s="679">
        <f t="shared" si="233"/>
        <v>7.241766660827767E-2</v>
      </c>
      <c r="M465" s="678">
        <f t="shared" si="234"/>
        <v>1.0377992169958796</v>
      </c>
      <c r="N465" s="679">
        <f t="shared" si="235"/>
        <v>-0.27072402301428822</v>
      </c>
      <c r="O465" s="677">
        <f t="shared" si="236"/>
        <v>2176335.7950136098</v>
      </c>
      <c r="P465" s="680">
        <f t="shared" si="237"/>
        <v>1.5707958673069802</v>
      </c>
      <c r="Q465" s="689">
        <f t="shared" si="227"/>
        <v>87.059175210028457</v>
      </c>
      <c r="R465" s="690">
        <f t="shared" si="228"/>
        <v>1.5593096341101704</v>
      </c>
      <c r="S465" s="677">
        <f t="shared" si="238"/>
        <v>1.0754424419922399</v>
      </c>
      <c r="T465" s="680">
        <f t="shared" si="239"/>
        <v>0.3767917599448431</v>
      </c>
      <c r="U465" s="681">
        <f t="shared" si="251"/>
        <v>0.76971938639000448</v>
      </c>
      <c r="V465" s="682">
        <f t="shared" si="252"/>
        <v>-0.88560001567997004</v>
      </c>
      <c r="W465" s="683">
        <f t="shared" si="240"/>
        <v>-37.465806083909023</v>
      </c>
      <c r="X465" s="684">
        <f t="shared" si="241"/>
        <v>-174.21453489497975</v>
      </c>
      <c r="Y465" s="687">
        <f t="shared" si="242"/>
        <v>5.7854651050202506</v>
      </c>
      <c r="AA465" s="170">
        <f t="shared" si="243"/>
        <v>52481</v>
      </c>
      <c r="AB465" s="170">
        <f t="shared" si="244"/>
        <v>2754255361</v>
      </c>
      <c r="AD465" s="686">
        <f t="shared" si="245"/>
        <v>16.515479531765457</v>
      </c>
      <c r="AE465" s="687">
        <f t="shared" si="246"/>
        <v>-22.246690310246784</v>
      </c>
      <c r="AG465" s="686">
        <f t="shared" si="247"/>
        <v>-11.158305566883177</v>
      </c>
      <c r="AH465" s="687">
        <f t="shared" si="248"/>
        <v>-50.485557998408929</v>
      </c>
      <c r="AJ465" s="170">
        <f t="shared" si="249"/>
        <v>0</v>
      </c>
      <c r="AK465" s="170">
        <f t="shared" si="229"/>
        <v>0</v>
      </c>
      <c r="AM465" s="170" t="str">
        <f t="shared" si="253"/>
        <v>0.866095561124383+0.990994248847795i</v>
      </c>
      <c r="AN465" s="170" t="str">
        <f t="shared" si="254"/>
        <v>1.43648846427303i</v>
      </c>
      <c r="AO465" s="170" t="str">
        <f t="shared" si="255"/>
        <v>0.689872751153148-0.602925524753651i</v>
      </c>
      <c r="AP465" s="170" t="str">
        <f t="shared" si="256"/>
        <v>0.0223174064792695-0.165165708141299i</v>
      </c>
      <c r="AQ465" s="170" t="str">
        <f t="shared" si="257"/>
        <v>0.977682593520731+0.165165708141299i</v>
      </c>
      <c r="AR465" s="170" t="str">
        <f t="shared" si="258"/>
        <v>0.828373522006035-0.1399420428208i</v>
      </c>
    </row>
    <row r="466" spans="7:44">
      <c r="G466" s="688">
        <v>52786.5</v>
      </c>
      <c r="H466" s="676">
        <f t="shared" si="250"/>
        <v>52.786499999999997</v>
      </c>
      <c r="I466" s="677">
        <f t="shared" si="230"/>
        <v>425.5724411869752</v>
      </c>
      <c r="J466" s="678">
        <f t="shared" si="231"/>
        <v>1.5684465484176724</v>
      </c>
      <c r="K466" s="678">
        <f t="shared" si="232"/>
        <v>1.0026585444362823</v>
      </c>
      <c r="L466" s="679">
        <f t="shared" si="233"/>
        <v>7.2837735896473202E-2</v>
      </c>
      <c r="M466" s="678">
        <f t="shared" si="234"/>
        <v>1.0382324400333931</v>
      </c>
      <c r="N466" s="679">
        <f t="shared" si="235"/>
        <v>-0.27222344349888505</v>
      </c>
      <c r="O466" s="677">
        <f t="shared" si="236"/>
        <v>2189004.5815339987</v>
      </c>
      <c r="P466" s="680">
        <f t="shared" si="237"/>
        <v>1.5707958699662501</v>
      </c>
      <c r="Q466" s="689">
        <f t="shared" si="227"/>
        <v>87.565893433238813</v>
      </c>
      <c r="R466" s="690">
        <f t="shared" si="228"/>
        <v>1.5593761071405856</v>
      </c>
      <c r="S466" s="677">
        <f t="shared" si="238"/>
        <v>1.0762920900357771</v>
      </c>
      <c r="T466" s="680">
        <f t="shared" si="239"/>
        <v>0.37878177010995295</v>
      </c>
      <c r="U466" s="681">
        <f t="shared" si="251"/>
        <v>0.76784044919401095</v>
      </c>
      <c r="V466" s="682">
        <f t="shared" si="252"/>
        <v>-0.88972878404307221</v>
      </c>
      <c r="W466" s="683">
        <f t="shared" si="240"/>
        <v>-37.540425449569256</v>
      </c>
      <c r="X466" s="684">
        <f t="shared" si="241"/>
        <v>-174.62393259029915</v>
      </c>
      <c r="Y466" s="687">
        <f t="shared" si="242"/>
        <v>5.3760674097008518</v>
      </c>
      <c r="AA466" s="170">
        <f t="shared" si="243"/>
        <v>52786.5</v>
      </c>
      <c r="AB466" s="170">
        <f t="shared" si="244"/>
        <v>2786414582.25</v>
      </c>
      <c r="AD466" s="686">
        <f t="shared" si="245"/>
        <v>16.508613383180112</v>
      </c>
      <c r="AE466" s="687">
        <f t="shared" si="246"/>
        <v>-22.356901022292348</v>
      </c>
      <c r="AG466" s="686">
        <f t="shared" si="247"/>
        <v>-11.18360125126898</v>
      </c>
      <c r="AH466" s="687">
        <f t="shared" si="248"/>
        <v>-50.311622977556347</v>
      </c>
      <c r="AJ466" s="170">
        <f t="shared" si="249"/>
        <v>0</v>
      </c>
      <c r="AK466" s="170">
        <f t="shared" si="229"/>
        <v>0</v>
      </c>
      <c r="AM466" s="170" t="str">
        <f t="shared" si="253"/>
        <v>0.874386860803936+0.992079300893487i</v>
      </c>
      <c r="AN466" s="170" t="str">
        <f t="shared" si="254"/>
        <v>1.44485048530608i</v>
      </c>
      <c r="AO466" s="170" t="str">
        <f t="shared" si="255"/>
        <v>0.686631115802493-0.605174632044162i</v>
      </c>
      <c r="AP466" s="170" t="str">
        <f t="shared" si="256"/>
        <v>0.020935523199344-0.165346550148915i</v>
      </c>
      <c r="AQ466" s="170" t="str">
        <f t="shared" si="257"/>
        <v>0.979064476800656+0.165346550148915i</v>
      </c>
      <c r="AR466" s="170" t="str">
        <f t="shared" si="258"/>
        <v>0.827218927731772-0.139702541721552i</v>
      </c>
    </row>
    <row r="467" spans="7:44">
      <c r="G467" s="688">
        <v>53092</v>
      </c>
      <c r="H467" s="676">
        <f t="shared" si="250"/>
        <v>53.091999999999999</v>
      </c>
      <c r="I467" s="677">
        <f t="shared" si="230"/>
        <v>428.03541306408977</v>
      </c>
      <c r="J467" s="678">
        <f t="shared" si="231"/>
        <v>1.5684600693751538</v>
      </c>
      <c r="K467" s="678">
        <f t="shared" si="232"/>
        <v>1.0026893645589119</v>
      </c>
      <c r="L467" s="679">
        <f t="shared" si="233"/>
        <v>7.3257779435060524E-2</v>
      </c>
      <c r="M467" s="678">
        <f t="shared" si="234"/>
        <v>1.0386679953389895</v>
      </c>
      <c r="N467" s="679">
        <f t="shared" si="235"/>
        <v>-0.27372160981465693</v>
      </c>
      <c r="O467" s="677">
        <f t="shared" si="236"/>
        <v>2201673.3680543872</v>
      </c>
      <c r="P467" s="680">
        <f t="shared" si="237"/>
        <v>1.5707958725949165</v>
      </c>
      <c r="Q467" s="689">
        <f t="shared" si="227"/>
        <v>88.07261203892115</v>
      </c>
      <c r="R467" s="690">
        <f t="shared" si="228"/>
        <v>1.5594418152769469</v>
      </c>
      <c r="S467" s="677">
        <f t="shared" si="238"/>
        <v>1.0771459936132104</v>
      </c>
      <c r="T467" s="680">
        <f t="shared" si="239"/>
        <v>0.38076863298627656</v>
      </c>
      <c r="U467" s="681">
        <f t="shared" si="251"/>
        <v>0.7659630033767546</v>
      </c>
      <c r="V467" s="682">
        <f t="shared" si="252"/>
        <v>-0.89384598835347695</v>
      </c>
      <c r="W467" s="683">
        <f t="shared" si="240"/>
        <v>-37.614798256168157</v>
      </c>
      <c r="X467" s="684">
        <f t="shared" si="241"/>
        <v>-175.03245180887635</v>
      </c>
      <c r="Y467" s="687">
        <f t="shared" si="242"/>
        <v>4.9675481911236545</v>
      </c>
      <c r="AA467" s="170">
        <f t="shared" si="243"/>
        <v>53092</v>
      </c>
      <c r="AB467" s="170">
        <f t="shared" si="244"/>
        <v>2818760464</v>
      </c>
      <c r="AD467" s="686">
        <f t="shared" si="245"/>
        <v>16.501718445504537</v>
      </c>
      <c r="AE467" s="687">
        <f t="shared" si="246"/>
        <v>-22.466975231421006</v>
      </c>
      <c r="AG467" s="686">
        <f t="shared" si="247"/>
        <v>-11.208551388787997</v>
      </c>
      <c r="AH467" s="687">
        <f t="shared" si="248"/>
        <v>-50.138271125707263</v>
      </c>
      <c r="AJ467" s="170">
        <f t="shared" si="249"/>
        <v>0</v>
      </c>
      <c r="AK467" s="170">
        <f t="shared" si="229"/>
        <v>0</v>
      </c>
      <c r="AM467" s="170" t="str">
        <f t="shared" si="253"/>
        <v>0.882686943729553+0.993094983789812i</v>
      </c>
      <c r="AN467" s="170" t="str">
        <f t="shared" si="254"/>
        <v>1.45321250633913i</v>
      </c>
      <c r="AO467" s="170" t="str">
        <f t="shared" si="255"/>
        <v>0.683379051210875-0.607403899897049i</v>
      </c>
      <c r="AP467" s="170" t="str">
        <f t="shared" si="256"/>
        <v>0.0195521760450745-0.165515830631635i</v>
      </c>
      <c r="AQ467" s="170" t="str">
        <f t="shared" si="257"/>
        <v>0.980447823954925+0.165515830631635i</v>
      </c>
      <c r="AR467" s="170" t="str">
        <f t="shared" si="258"/>
        <v>0.826069575791849-0.13945422556519i</v>
      </c>
    </row>
    <row r="468" spans="7:44">
      <c r="G468" s="688">
        <v>53397.5</v>
      </c>
      <c r="H468" s="676">
        <f t="shared" si="250"/>
        <v>53.397500000000001</v>
      </c>
      <c r="I468" s="677">
        <f t="shared" si="230"/>
        <v>430.49838501856078</v>
      </c>
      <c r="J468" s="678">
        <f t="shared" si="231"/>
        <v>1.5684734356201449</v>
      </c>
      <c r="K468" s="678">
        <f t="shared" si="232"/>
        <v>1.0027203615817244</v>
      </c>
      <c r="L468" s="679">
        <f t="shared" si="233"/>
        <v>7.3677797078198798E-2</v>
      </c>
      <c r="M468" s="678">
        <f t="shared" si="234"/>
        <v>1.0391058799798636</v>
      </c>
      <c r="N468" s="679">
        <f t="shared" si="235"/>
        <v>-0.27521851681767762</v>
      </c>
      <c r="O468" s="677">
        <f t="shared" si="236"/>
        <v>2214342.1545747761</v>
      </c>
      <c r="P468" s="680">
        <f t="shared" si="237"/>
        <v>1.5707958751935043</v>
      </c>
      <c r="Q468" s="689">
        <f t="shared" si="227"/>
        <v>88.579331020511646</v>
      </c>
      <c r="R468" s="690">
        <f t="shared" si="228"/>
        <v>1.5595067716454354</v>
      </c>
      <c r="S468" s="677">
        <f t="shared" si="238"/>
        <v>1.0780041426119189</v>
      </c>
      <c r="T468" s="680">
        <f t="shared" si="239"/>
        <v>0.38275234038477129</v>
      </c>
      <c r="U468" s="681">
        <f t="shared" si="251"/>
        <v>0.76408712129966683</v>
      </c>
      <c r="V468" s="682">
        <f t="shared" si="252"/>
        <v>-0.89795168146807414</v>
      </c>
      <c r="W468" s="683">
        <f t="shared" si="240"/>
        <v>-37.688927046618275</v>
      </c>
      <c r="X468" s="684">
        <f t="shared" si="241"/>
        <v>-175.44009422637805</v>
      </c>
      <c r="Y468" s="687">
        <f t="shared" si="242"/>
        <v>4.5599057736219493</v>
      </c>
      <c r="AA468" s="170">
        <f t="shared" si="243"/>
        <v>53397.5</v>
      </c>
      <c r="AB468" s="170">
        <f t="shared" si="244"/>
        <v>2851293006.25</v>
      </c>
      <c r="AD468" s="686">
        <f t="shared" si="245"/>
        <v>16.494794870633612</v>
      </c>
      <c r="AE468" s="687">
        <f t="shared" si="246"/>
        <v>-22.57691171639048</v>
      </c>
      <c r="AG468" s="686">
        <f t="shared" si="247"/>
        <v>-11.233160057765888</v>
      </c>
      <c r="AH468" s="687">
        <f t="shared" si="248"/>
        <v>-49.965499282817234</v>
      </c>
      <c r="AJ468" s="170">
        <f t="shared" si="249"/>
        <v>0</v>
      </c>
      <c r="AK468" s="170">
        <f t="shared" si="229"/>
        <v>0</v>
      </c>
      <c r="AM468" s="170" t="str">
        <f t="shared" si="253"/>
        <v>0.890995229534634+0.994041226517187i</v>
      </c>
      <c r="AN468" s="170" t="str">
        <f t="shared" si="254"/>
        <v>1.46157452737218i</v>
      </c>
      <c r="AO468" s="170" t="str">
        <f t="shared" si="255"/>
        <v>0.680116687791769-0.609613271747824i</v>
      </c>
      <c r="AP468" s="170" t="str">
        <f t="shared" si="256"/>
        <v>0.0181674617442277-0.165673537752865i</v>
      </c>
      <c r="AQ468" s="170" t="str">
        <f t="shared" si="257"/>
        <v>0.981832538255772+0.165673537752865i</v>
      </c>
      <c r="AR468" s="170" t="str">
        <f t="shared" si="258"/>
        <v>0.824925512175197-0.139197187564644i</v>
      </c>
    </row>
    <row r="469" spans="7:44">
      <c r="G469" s="688">
        <v>53703</v>
      </c>
      <c r="H469" s="676">
        <f t="shared" si="250"/>
        <v>53.703000000000003</v>
      </c>
      <c r="I469" s="677">
        <f t="shared" si="230"/>
        <v>432.96135704906811</v>
      </c>
      <c r="J469" s="678">
        <f t="shared" si="231"/>
        <v>1.5684866497929637</v>
      </c>
      <c r="K469" s="678">
        <f t="shared" si="232"/>
        <v>1.0027515354883152</v>
      </c>
      <c r="L469" s="679">
        <f t="shared" si="233"/>
        <v>7.4097788680101681E-2</v>
      </c>
      <c r="M469" s="678">
        <f t="shared" si="234"/>
        <v>1.0395460910124807</v>
      </c>
      <c r="N469" s="679">
        <f t="shared" si="235"/>
        <v>-0.27671415939523913</v>
      </c>
      <c r="O469" s="677">
        <f t="shared" si="236"/>
        <v>2227010.9410951645</v>
      </c>
      <c r="P469" s="680">
        <f t="shared" si="237"/>
        <v>1.570795877762527</v>
      </c>
      <c r="Q469" s="689">
        <f t="shared" si="227"/>
        <v>89.08605037159586</v>
      </c>
      <c r="R469" s="690">
        <f t="shared" si="228"/>
        <v>1.5595709890736116</v>
      </c>
      <c r="S469" s="677">
        <f t="shared" si="238"/>
        <v>1.0788665269012594</v>
      </c>
      <c r="T469" s="680">
        <f t="shared" si="239"/>
        <v>0.38473288424172142</v>
      </c>
      <c r="U469" s="681">
        <f t="shared" si="251"/>
        <v>0.76221287391900672</v>
      </c>
      <c r="V469" s="682">
        <f t="shared" si="252"/>
        <v>-0.90204591669827561</v>
      </c>
      <c r="W469" s="683">
        <f t="shared" si="240"/>
        <v>-37.762814315390912</v>
      </c>
      <c r="X469" s="684">
        <f t="shared" si="241"/>
        <v>-175.8468615670661</v>
      </c>
      <c r="Y469" s="687">
        <f t="shared" si="242"/>
        <v>4.1531384329339005</v>
      </c>
      <c r="AA469" s="170">
        <f t="shared" si="243"/>
        <v>53703</v>
      </c>
      <c r="AB469" s="170">
        <f t="shared" si="244"/>
        <v>2884012209</v>
      </c>
      <c r="AD469" s="686">
        <f t="shared" si="245"/>
        <v>16.487842810587871</v>
      </c>
      <c r="AE469" s="687">
        <f t="shared" si="246"/>
        <v>-22.686709280248234</v>
      </c>
      <c r="AG469" s="686">
        <f t="shared" si="247"/>
        <v>-11.257431270852338</v>
      </c>
      <c r="AH469" s="687">
        <f t="shared" si="248"/>
        <v>-49.793304261062808</v>
      </c>
      <c r="AJ469" s="170">
        <f t="shared" si="249"/>
        <v>0</v>
      </c>
      <c r="AK469" s="170">
        <f t="shared" si="229"/>
        <v>0</v>
      </c>
      <c r="AM469" s="170" t="str">
        <f t="shared" si="253"/>
        <v>0.899311137278997+0.994917962911491i</v>
      </c>
      <c r="AN469" s="170" t="str">
        <f t="shared" si="254"/>
        <v>1.46993654840522i</v>
      </c>
      <c r="AO469" s="170" t="str">
        <f t="shared" si="255"/>
        <v>0.676844156294303-0.611802691928905i</v>
      </c>
      <c r="AP469" s="170" t="str">
        <f t="shared" si="256"/>
        <v>0.0167814771201672-0.165819660485249i</v>
      </c>
      <c r="AQ469" s="170" t="str">
        <f t="shared" si="257"/>
        <v>0.983218522879833+0.165819660485249i</v>
      </c>
      <c r="AR469" s="170" t="str">
        <f t="shared" si="258"/>
        <v>0.823786781457152-0.138931520546787i</v>
      </c>
    </row>
    <row r="470" spans="7:44">
      <c r="G470" s="688">
        <v>54015.75</v>
      </c>
      <c r="H470" s="676">
        <f t="shared" si="250"/>
        <v>54.015749999999997</v>
      </c>
      <c r="I470" s="677">
        <f t="shared" si="230"/>
        <v>435.48277939339596</v>
      </c>
      <c r="J470" s="678">
        <f t="shared" si="231"/>
        <v>1.568500022724667</v>
      </c>
      <c r="K470" s="678">
        <f t="shared" si="232"/>
        <v>1.0027836324141626</v>
      </c>
      <c r="L470" s="679">
        <f t="shared" si="233"/>
        <v>7.4527720221757882E-2</v>
      </c>
      <c r="M470" s="678">
        <f t="shared" si="234"/>
        <v>1.0399991557276165</v>
      </c>
      <c r="N470" s="679">
        <f t="shared" si="235"/>
        <v>-0.27824398084863206</v>
      </c>
      <c r="O470" s="677">
        <f t="shared" si="236"/>
        <v>2239980.3780321581</v>
      </c>
      <c r="P470" s="680">
        <f t="shared" si="237"/>
        <v>1.5707958803624145</v>
      </c>
      <c r="Q470" s="689">
        <f t="shared" si="227"/>
        <v>89.604795353535323</v>
      </c>
      <c r="R470" s="690">
        <f t="shared" si="228"/>
        <v>1.5596359781187663</v>
      </c>
      <c r="S470" s="677">
        <f t="shared" si="238"/>
        <v>1.0797537535918267</v>
      </c>
      <c r="T470" s="680">
        <f t="shared" si="239"/>
        <v>0.38675714421459839</v>
      </c>
      <c r="U470" s="681">
        <f t="shared" si="251"/>
        <v>0.7602959136419547</v>
      </c>
      <c r="V470" s="682">
        <f t="shared" si="252"/>
        <v>-0.90622550177237982</v>
      </c>
      <c r="W470" s="683">
        <f t="shared" si="240"/>
        <v>-37.838207414003818</v>
      </c>
      <c r="X470" s="684">
        <f t="shared" si="241"/>
        <v>-176.26237751886455</v>
      </c>
      <c r="Y470" s="687">
        <f t="shared" si="242"/>
        <v>3.7376224811354462</v>
      </c>
      <c r="AA470" s="170">
        <f t="shared" si="243"/>
        <v>54015.75</v>
      </c>
      <c r="AB470" s="170">
        <f t="shared" si="244"/>
        <v>2917701248.0625</v>
      </c>
      <c r="AD470" s="686">
        <f t="shared" si="245"/>
        <v>16.480696418767366</v>
      </c>
      <c r="AE470" s="687">
        <f t="shared" si="246"/>
        <v>-22.798967384420241</v>
      </c>
      <c r="AG470" s="686">
        <f t="shared" si="247"/>
        <v>-11.281933036816396</v>
      </c>
      <c r="AH470" s="687">
        <f t="shared" si="248"/>
        <v>-49.617616938417854</v>
      </c>
      <c r="AJ470" s="170">
        <f t="shared" si="249"/>
        <v>0</v>
      </c>
      <c r="AK470" s="170">
        <f t="shared" si="229"/>
        <v>0</v>
      </c>
      <c r="AM470" s="170" t="str">
        <f t="shared" si="253"/>
        <v>0.907831683019153+0.995743441527444i</v>
      </c>
      <c r="AN470" s="170" t="str">
        <f t="shared" si="254"/>
        <v>1.47849701347261i</v>
      </c>
      <c r="AO470" s="170" t="str">
        <f t="shared" si="255"/>
        <v>0.673483566387935-0.61402334583476i</v>
      </c>
      <c r="AP470" s="170" t="str">
        <f t="shared" si="256"/>
        <v>0.0153613861634746-0.165957240254574i</v>
      </c>
      <c r="AQ470" s="170" t="str">
        <f t="shared" si="257"/>
        <v>0.984638613836525+0.165957240254574i</v>
      </c>
      <c r="AR470" s="170" t="str">
        <f t="shared" si="258"/>
        <v>0.822626596167543-0.138650706707553i</v>
      </c>
    </row>
    <row r="471" spans="7:44">
      <c r="G471" s="688">
        <v>54328.5</v>
      </c>
      <c r="H471" s="676">
        <f t="shared" si="250"/>
        <v>54.328499999999998</v>
      </c>
      <c r="I471" s="677">
        <f t="shared" si="230"/>
        <v>438.00420181470696</v>
      </c>
      <c r="J471" s="678">
        <f t="shared" si="231"/>
        <v>1.5685132416906815</v>
      </c>
      <c r="K471" s="678">
        <f t="shared" si="232"/>
        <v>1.0028159146837849</v>
      </c>
      <c r="L471" s="679">
        <f t="shared" si="233"/>
        <v>7.4957624162487468E-2</v>
      </c>
      <c r="M471" s="678">
        <f t="shared" si="234"/>
        <v>1.0404546522855465</v>
      </c>
      <c r="N471" s="679">
        <f t="shared" si="235"/>
        <v>-0.27977246640756082</v>
      </c>
      <c r="O471" s="677">
        <f t="shared" si="236"/>
        <v>2252949.8149691517</v>
      </c>
      <c r="P471" s="680">
        <f t="shared" si="237"/>
        <v>1.5707958829323687</v>
      </c>
      <c r="Q471" s="689">
        <f t="shared" ref="Q471:Q534" si="259">SQRT(1+(G471/Zero2)^2)</f>
        <v>90.123540709570761</v>
      </c>
      <c r="R471" s="690">
        <f t="shared" ref="R471:R534" si="260">ATAN(G471/Zero2)</f>
        <v>1.5597002190185865</v>
      </c>
      <c r="S471" s="677">
        <f t="shared" si="238"/>
        <v>1.0806453974364638</v>
      </c>
      <c r="T471" s="680">
        <f t="shared" si="239"/>
        <v>0.38877807201085568</v>
      </c>
      <c r="U471" s="681">
        <f t="shared" si="251"/>
        <v>0.75838081260859114</v>
      </c>
      <c r="V471" s="682">
        <f t="shared" si="252"/>
        <v>-0.91039319315000189</v>
      </c>
      <c r="W471" s="683">
        <f t="shared" si="240"/>
        <v>-37.913352532038303</v>
      </c>
      <c r="X471" s="684">
        <f t="shared" si="241"/>
        <v>-176.67698017496667</v>
      </c>
      <c r="Y471" s="687">
        <f t="shared" si="242"/>
        <v>3.3230198250333274</v>
      </c>
      <c r="AA471" s="170">
        <f t="shared" si="243"/>
        <v>54328.5</v>
      </c>
      <c r="AB471" s="170">
        <f t="shared" si="244"/>
        <v>2951585912.25</v>
      </c>
      <c r="AD471" s="686">
        <f t="shared" si="245"/>
        <v>16.473520496511689</v>
      </c>
      <c r="AE471" s="687">
        <f t="shared" si="246"/>
        <v>-22.911077432790275</v>
      </c>
      <c r="AG471" s="686">
        <f t="shared" si="247"/>
        <v>-11.306089445446082</v>
      </c>
      <c r="AH471" s="687">
        <f t="shared" si="248"/>
        <v>-49.4425272931026</v>
      </c>
      <c r="AJ471" s="170">
        <f t="shared" si="249"/>
        <v>0</v>
      </c>
      <c r="AK471" s="170">
        <f t="shared" ref="AK471:AK534" si="261">IF(AJ471&gt;0,Y471,0)</f>
        <v>0</v>
      </c>
      <c r="AM471" s="170" t="str">
        <f t="shared" si="253"/>
        <v>0.916358982956303+0.99649595095409i</v>
      </c>
      <c r="AN471" s="170" t="str">
        <f t="shared" si="254"/>
        <v>1.48705747853999i</v>
      </c>
      <c r="AO471" s="170" t="str">
        <f t="shared" si="255"/>
        <v>0.670112598426566-0.616222974686893i</v>
      </c>
      <c r="AP471" s="170" t="str">
        <f t="shared" si="256"/>
        <v>0.0139401695072829-0.166082658492348i</v>
      </c>
      <c r="AQ471" s="170" t="str">
        <f t="shared" si="257"/>
        <v>0.986059830492717+0.166082658492348i</v>
      </c>
      <c r="AR471" s="170" t="str">
        <f t="shared" si="258"/>
        <v>0.82147208999397-0.138361045004025i</v>
      </c>
    </row>
    <row r="472" spans="7:44">
      <c r="G472" s="688">
        <v>54641.25</v>
      </c>
      <c r="H472" s="676">
        <f t="shared" si="250"/>
        <v>54.641249999999999</v>
      </c>
      <c r="I472" s="677">
        <f t="shared" si="230"/>
        <v>440.52562431167911</v>
      </c>
      <c r="J472" s="678">
        <f t="shared" si="231"/>
        <v>1.5685263093347479</v>
      </c>
      <c r="K472" s="678">
        <f t="shared" si="232"/>
        <v>1.0028483822792833</v>
      </c>
      <c r="L472" s="679">
        <f t="shared" si="233"/>
        <v>7.5387500346056194E-2</v>
      </c>
      <c r="M472" s="678">
        <f t="shared" si="234"/>
        <v>1.0409125774937953</v>
      </c>
      <c r="N472" s="679">
        <f t="shared" si="235"/>
        <v>-0.28129961068856207</v>
      </c>
      <c r="O472" s="677">
        <f t="shared" si="236"/>
        <v>2265919.2519061458</v>
      </c>
      <c r="P472" s="680">
        <f t="shared" si="237"/>
        <v>1.5707958854729038</v>
      </c>
      <c r="Q472" s="689">
        <f t="shared" si="259"/>
        <v>90.642286433279324</v>
      </c>
      <c r="R472" s="690">
        <f t="shared" si="260"/>
        <v>1.5597637246174425</v>
      </c>
      <c r="S472" s="677">
        <f t="shared" si="238"/>
        <v>1.0815414475104068</v>
      </c>
      <c r="T472" s="680">
        <f t="shared" si="239"/>
        <v>0.39079565938475014</v>
      </c>
      <c r="U472" s="681">
        <f t="shared" si="251"/>
        <v>0.75646764245930997</v>
      </c>
      <c r="V472" s="682">
        <f t="shared" si="252"/>
        <v>-0.91454904941763238</v>
      </c>
      <c r="W472" s="683">
        <f t="shared" si="240"/>
        <v>-37.988252196254571</v>
      </c>
      <c r="X472" s="684">
        <f t="shared" si="241"/>
        <v>-177.09067153576308</v>
      </c>
      <c r="Y472" s="687">
        <f t="shared" si="242"/>
        <v>2.9093284642369213</v>
      </c>
      <c r="AA472" s="170">
        <f t="shared" si="243"/>
        <v>54641.25</v>
      </c>
      <c r="AB472" s="170">
        <f t="shared" si="244"/>
        <v>2985666201.5625</v>
      </c>
      <c r="AD472" s="686">
        <f t="shared" si="245"/>
        <v>16.466315207259129</v>
      </c>
      <c r="AE472" s="687">
        <f t="shared" si="246"/>
        <v>-23.023038217013291</v>
      </c>
      <c r="AG472" s="686">
        <f t="shared" si="247"/>
        <v>-11.329904596570355</v>
      </c>
      <c r="AH472" s="687">
        <f t="shared" si="248"/>
        <v>-49.268031820335409</v>
      </c>
      <c r="AJ472" s="170">
        <f t="shared" si="249"/>
        <v>0</v>
      </c>
      <c r="AK472" s="170">
        <f t="shared" si="261"/>
        <v>0</v>
      </c>
      <c r="AM472" s="170" t="str">
        <f t="shared" si="253"/>
        <v>0.924892412200423+0.997175436046701i</v>
      </c>
      <c r="AN472" s="170" t="str">
        <f t="shared" si="254"/>
        <v>1.49561794360738i</v>
      </c>
      <c r="AO472" s="170" t="str">
        <f t="shared" si="255"/>
        <v>0.666731393741872-0.618401521694514i</v>
      </c>
      <c r="AP472" s="170" t="str">
        <f t="shared" si="256"/>
        <v>0.0125179312999295-0.166195906007784i</v>
      </c>
      <c r="AQ472" s="170" t="str">
        <f t="shared" si="257"/>
        <v>0.98748206870007+0.166195906007784i</v>
      </c>
      <c r="AR472" s="170" t="str">
        <f t="shared" si="258"/>
        <v>0.820323306302807-0.138062633673711i</v>
      </c>
    </row>
    <row r="473" spans="7:44">
      <c r="G473" s="688">
        <v>54954</v>
      </c>
      <c r="H473" s="676">
        <f t="shared" si="250"/>
        <v>54.954000000000001</v>
      </c>
      <c r="I473" s="677">
        <f t="shared" si="230"/>
        <v>443.04704688302064</v>
      </c>
      <c r="J473" s="678">
        <f t="shared" si="231"/>
        <v>1.5685392282404245</v>
      </c>
      <c r="K473" s="678">
        <f t="shared" si="232"/>
        <v>1.0028810351826583</v>
      </c>
      <c r="L473" s="679">
        <f t="shared" si="233"/>
        <v>7.5817348616290942E-2</v>
      </c>
      <c r="M473" s="678">
        <f t="shared" si="234"/>
        <v>1.0413729281484956</v>
      </c>
      <c r="N473" s="679">
        <f t="shared" si="235"/>
        <v>-0.28282540834264103</v>
      </c>
      <c r="O473" s="677">
        <f t="shared" si="236"/>
        <v>2278888.6888431394</v>
      </c>
      <c r="P473" s="680">
        <f t="shared" si="237"/>
        <v>1.5707958879845216</v>
      </c>
      <c r="Q473" s="689">
        <f t="shared" si="259"/>
        <v>91.161032518384332</v>
      </c>
      <c r="R473" s="690">
        <f t="shared" si="260"/>
        <v>1.5598265074673685</v>
      </c>
      <c r="S473" s="677">
        <f t="shared" si="238"/>
        <v>1.082441892871169</v>
      </c>
      <c r="T473" s="680">
        <f t="shared" si="239"/>
        <v>0.39280989822655615</v>
      </c>
      <c r="U473" s="681">
        <f t="shared" si="251"/>
        <v>0.75455647335103981</v>
      </c>
      <c r="V473" s="682">
        <f t="shared" si="252"/>
        <v>-0.91869312959990612</v>
      </c>
      <c r="W473" s="683">
        <f t="shared" si="240"/>
        <v>-38.062908885620764</v>
      </c>
      <c r="X473" s="684">
        <f t="shared" si="241"/>
        <v>-177.50345364981359</v>
      </c>
      <c r="Y473" s="687">
        <f t="shared" si="242"/>
        <v>2.4965463501864065</v>
      </c>
      <c r="AA473" s="170">
        <f t="shared" si="243"/>
        <v>54954</v>
      </c>
      <c r="AB473" s="170">
        <f t="shared" si="244"/>
        <v>3019942116</v>
      </c>
      <c r="AD473" s="686">
        <f t="shared" si="245"/>
        <v>16.459080714536999</v>
      </c>
      <c r="AE473" s="687">
        <f t="shared" si="246"/>
        <v>-23.134848553286396</v>
      </c>
      <c r="AG473" s="686">
        <f t="shared" si="247"/>
        <v>-11.353382523543127</v>
      </c>
      <c r="AH473" s="687">
        <f t="shared" si="248"/>
        <v>-49.094126988754027</v>
      </c>
      <c r="AJ473" s="170">
        <f t="shared" si="249"/>
        <v>0</v>
      </c>
      <c r="AK473" s="170">
        <f t="shared" si="261"/>
        <v>0</v>
      </c>
      <c r="AM473" s="170" t="str">
        <f t="shared" si="253"/>
        <v>0.933431345412286+0.997781847011851i</v>
      </c>
      <c r="AN473" s="170" t="str">
        <f t="shared" si="254"/>
        <v>1.50417840867476i</v>
      </c>
      <c r="AO473" s="170" t="str">
        <f t="shared" si="255"/>
        <v>0.663340094005827-0.620558931061027i</v>
      </c>
      <c r="AP473" s="170" t="str">
        <f t="shared" si="256"/>
        <v>0.011094775764619-0.166296974501975i</v>
      </c>
      <c r="AQ473" s="170" t="str">
        <f t="shared" si="257"/>
        <v>0.988905224235381+0.166296974501975i</v>
      </c>
      <c r="AR473" s="170" t="str">
        <f t="shared" si="258"/>
        <v>0.81918028700594-0.137755570465388i</v>
      </c>
    </row>
    <row r="474" spans="7:44">
      <c r="G474" s="688">
        <v>55274</v>
      </c>
      <c r="H474" s="676">
        <f t="shared" si="250"/>
        <v>55.274000000000001</v>
      </c>
      <c r="I474" s="677">
        <f t="shared" si="230"/>
        <v>445.62691977348118</v>
      </c>
      <c r="J474" s="678">
        <f t="shared" si="231"/>
        <v>1.5685522953082254</v>
      </c>
      <c r="K474" s="678">
        <f t="shared" si="232"/>
        <v>1.0029146368101849</v>
      </c>
      <c r="L474" s="679">
        <f t="shared" si="233"/>
        <v>7.6257132340516995E-2</v>
      </c>
      <c r="M474" s="678">
        <f t="shared" si="234"/>
        <v>1.0418464574837136</v>
      </c>
      <c r="N474" s="679">
        <f t="shared" si="235"/>
        <v>-0.2843851768492171</v>
      </c>
      <c r="O474" s="677">
        <f t="shared" si="236"/>
        <v>2292158.7761967382</v>
      </c>
      <c r="P474" s="680">
        <f t="shared" si="237"/>
        <v>1.5707958905249444</v>
      </c>
      <c r="Q474" s="689">
        <f t="shared" si="259"/>
        <v>91.691804260094955</v>
      </c>
      <c r="R474" s="690">
        <f t="shared" si="260"/>
        <v>1.5598900104346993</v>
      </c>
      <c r="S474" s="677">
        <f t="shared" si="238"/>
        <v>1.0833677497354108</v>
      </c>
      <c r="T474" s="680">
        <f t="shared" si="239"/>
        <v>0.39486735587100291</v>
      </c>
      <c r="U474" s="681">
        <f t="shared" si="251"/>
        <v>0.75260314335799205</v>
      </c>
      <c r="V474" s="682">
        <f t="shared" si="252"/>
        <v>-0.92292114886916854</v>
      </c>
      <c r="W474" s="683">
        <f t="shared" si="240"/>
        <v>-38.139047273617841</v>
      </c>
      <c r="X474" s="684">
        <f t="shared" si="241"/>
        <v>-177.92486573220162</v>
      </c>
      <c r="Y474" s="687">
        <f t="shared" si="242"/>
        <v>2.0751342677983757</v>
      </c>
      <c r="AA474" s="170">
        <f t="shared" si="243"/>
        <v>55274</v>
      </c>
      <c r="AB474" s="170">
        <f t="shared" si="244"/>
        <v>3055215076</v>
      </c>
      <c r="AD474" s="686">
        <f t="shared" si="245"/>
        <v>16.451648459610045</v>
      </c>
      <c r="AE474" s="687">
        <f t="shared" si="246"/>
        <v>-23.249093886511556</v>
      </c>
      <c r="AG474" s="686">
        <f t="shared" si="247"/>
        <v>-11.377059800856337</v>
      </c>
      <c r="AH474" s="687">
        <f t="shared" si="248"/>
        <v>-48.916798417705813</v>
      </c>
      <c r="AJ474" s="170">
        <f t="shared" si="249"/>
        <v>0</v>
      </c>
      <c r="AK474" s="170">
        <f t="shared" si="261"/>
        <v>0</v>
      </c>
      <c r="AM474" s="170" t="str">
        <f t="shared" si="253"/>
        <v>0.942173267674376+0.998326634438118i</v>
      </c>
      <c r="AN474" s="170" t="str">
        <f t="shared" si="254"/>
        <v>1.51293731777648i</v>
      </c>
      <c r="AO474" s="170" t="str">
        <f t="shared" si="255"/>
        <v>0.65985987833609-0.622744416840124i</v>
      </c>
      <c r="AP474" s="170" t="str">
        <f t="shared" si="256"/>
        <v>0.00963778872093737-0.166387772406353i</v>
      </c>
      <c r="AQ474" s="170" t="str">
        <f t="shared" si="257"/>
        <v>0.990362211279063+0.166387772406353i</v>
      </c>
      <c r="AR474" s="170" t="str">
        <f t="shared" si="258"/>
        <v>0.818016779458373-0.137432535465295i</v>
      </c>
    </row>
    <row r="475" spans="7:44">
      <c r="G475" s="688">
        <v>55594</v>
      </c>
      <c r="H475" s="676">
        <f t="shared" si="250"/>
        <v>55.594000000000001</v>
      </c>
      <c r="I475" s="677">
        <f t="shared" si="230"/>
        <v>448.20679273915579</v>
      </c>
      <c r="J475" s="678">
        <f t="shared" si="231"/>
        <v>1.5685652119482547</v>
      </c>
      <c r="K475" s="678">
        <f t="shared" si="232"/>
        <v>1.0029484323981357</v>
      </c>
      <c r="L475" s="679">
        <f t="shared" si="233"/>
        <v>7.6696886511677942E-2</v>
      </c>
      <c r="M475" s="678">
        <f t="shared" si="234"/>
        <v>1.0423225191974221</v>
      </c>
      <c r="N475" s="679">
        <f t="shared" si="235"/>
        <v>-0.28594352435280762</v>
      </c>
      <c r="O475" s="677">
        <f t="shared" si="236"/>
        <v>2305428.863550337</v>
      </c>
      <c r="P475" s="680">
        <f t="shared" si="237"/>
        <v>1.5707958930361214</v>
      </c>
      <c r="Q475" s="689">
        <f t="shared" si="259"/>
        <v>92.222576367308221</v>
      </c>
      <c r="R475" s="690">
        <f t="shared" si="260"/>
        <v>1.5599527824401866</v>
      </c>
      <c r="S475" s="677">
        <f t="shared" si="238"/>
        <v>1.0842981847951618</v>
      </c>
      <c r="T475" s="680">
        <f t="shared" si="239"/>
        <v>0.39692129119341857</v>
      </c>
      <c r="U475" s="681">
        <f t="shared" si="251"/>
        <v>0.75065205216343223</v>
      </c>
      <c r="V475" s="682">
        <f t="shared" si="252"/>
        <v>-0.92713696611067775</v>
      </c>
      <c r="W475" s="683">
        <f t="shared" si="240"/>
        <v>-38.214936394010635</v>
      </c>
      <c r="X475" s="684">
        <f t="shared" si="241"/>
        <v>-178.34533041197898</v>
      </c>
      <c r="Y475" s="687">
        <f t="shared" si="242"/>
        <v>1.6546695880210223</v>
      </c>
      <c r="AA475" s="170">
        <f t="shared" si="243"/>
        <v>55594</v>
      </c>
      <c r="AB475" s="170">
        <f t="shared" si="244"/>
        <v>3090692836</v>
      </c>
      <c r="AD475" s="686">
        <f t="shared" si="245"/>
        <v>16.444185978158544</v>
      </c>
      <c r="AE475" s="687">
        <f t="shared" si="246"/>
        <v>-23.363179284903023</v>
      </c>
      <c r="AG475" s="686">
        <f t="shared" si="247"/>
        <v>-11.400392373650043</v>
      </c>
      <c r="AH475" s="687">
        <f t="shared" si="248"/>
        <v>-48.74008062826578</v>
      </c>
      <c r="AJ475" s="170">
        <f t="shared" si="249"/>
        <v>0</v>
      </c>
      <c r="AK475" s="170">
        <f t="shared" si="261"/>
        <v>0</v>
      </c>
      <c r="AM475" s="170" t="str">
        <f t="shared" si="253"/>
        <v>0.950919626287611+0.998794832243465i</v>
      </c>
      <c r="AN475" s="170" t="str">
        <f t="shared" si="254"/>
        <v>1.5216962268782i</v>
      </c>
      <c r="AO475" s="170" t="str">
        <f t="shared" si="255"/>
        <v>0.65636939528497-0.624907658632004i</v>
      </c>
      <c r="AP475" s="170" t="str">
        <f t="shared" si="256"/>
        <v>0.00818006228539823-0.166465805373911i</v>
      </c>
      <c r="AQ475" s="170" t="str">
        <f t="shared" si="257"/>
        <v>0.991819937714602+0.166465805373911i</v>
      </c>
      <c r="AR475" s="170" t="str">
        <f t="shared" si="258"/>
        <v>0.816859390872416-0.137100648220632i</v>
      </c>
    </row>
    <row r="476" spans="7:44">
      <c r="G476" s="688">
        <v>55914</v>
      </c>
      <c r="H476" s="676">
        <f t="shared" si="250"/>
        <v>55.914000000000001</v>
      </c>
      <c r="I476" s="677">
        <f t="shared" si="230"/>
        <v>450.7866657787531</v>
      </c>
      <c r="J476" s="678">
        <f t="shared" si="231"/>
        <v>1.5685779807432239</v>
      </c>
      <c r="K476" s="678">
        <f t="shared" si="232"/>
        <v>1.0029824219269039</v>
      </c>
      <c r="L476" s="679">
        <f t="shared" si="233"/>
        <v>7.7136610962687174E-2</v>
      </c>
      <c r="M476" s="678">
        <f t="shared" si="234"/>
        <v>1.042801109821361</v>
      </c>
      <c r="N476" s="679">
        <f t="shared" si="235"/>
        <v>-0.2875004452360429</v>
      </c>
      <c r="O476" s="677">
        <f t="shared" si="236"/>
        <v>2318698.9509039358</v>
      </c>
      <c r="P476" s="680">
        <f t="shared" si="237"/>
        <v>1.5707958955185555</v>
      </c>
      <c r="Q476" s="689">
        <f t="shared" si="259"/>
        <v>92.753348833749499</v>
      </c>
      <c r="R476" s="690">
        <f t="shared" si="260"/>
        <v>1.5600148360319162</v>
      </c>
      <c r="S476" s="677">
        <f t="shared" si="238"/>
        <v>1.0852331862749423</v>
      </c>
      <c r="T476" s="680">
        <f t="shared" si="239"/>
        <v>0.39897169594616239</v>
      </c>
      <c r="U476" s="681">
        <f t="shared" si="251"/>
        <v>0.748703270196455</v>
      </c>
      <c r="V476" s="682">
        <f t="shared" si="252"/>
        <v>-0.9313406458780189</v>
      </c>
      <c r="W476" s="683">
        <f t="shared" si="240"/>
        <v>-38.290578754990122</v>
      </c>
      <c r="X476" s="684">
        <f t="shared" si="241"/>
        <v>-178.76485003201543</v>
      </c>
      <c r="Y476" s="687">
        <f t="shared" si="242"/>
        <v>1.2351499679845688</v>
      </c>
      <c r="AA476" s="170">
        <f t="shared" si="243"/>
        <v>55914</v>
      </c>
      <c r="AB476" s="170">
        <f t="shared" si="244"/>
        <v>3126375396</v>
      </c>
      <c r="AD476" s="686">
        <f t="shared" si="245"/>
        <v>16.436693445559513</v>
      </c>
      <c r="AE476" s="687">
        <f t="shared" si="246"/>
        <v>-23.477103556982254</v>
      </c>
      <c r="AG476" s="686">
        <f t="shared" si="247"/>
        <v>-11.423384354859344</v>
      </c>
      <c r="AH476" s="687">
        <f t="shared" si="248"/>
        <v>-48.563969757486191</v>
      </c>
      <c r="AJ476" s="170">
        <f t="shared" si="249"/>
        <v>0</v>
      </c>
      <c r="AK476" s="170">
        <f t="shared" si="261"/>
        <v>0</v>
      </c>
      <c r="AM476" s="170" t="str">
        <f t="shared" si="253"/>
        <v>0.959669750248866+0.999186404508694i</v>
      </c>
      <c r="AN476" s="170" t="str">
        <f t="shared" si="254"/>
        <v>1.53045513597992i</v>
      </c>
      <c r="AO476" s="170" t="str">
        <f t="shared" si="255"/>
        <v>0.652868797665823-0.627048599914958i</v>
      </c>
      <c r="AP476" s="170" t="str">
        <f t="shared" si="256"/>
        <v>0.0067217082918556-0.166531067418116i</v>
      </c>
      <c r="AQ476" s="170" t="str">
        <f t="shared" si="257"/>
        <v>0.993278291708144+0.166531067418116i</v>
      </c>
      <c r="AR476" s="170" t="str">
        <f t="shared" si="258"/>
        <v>0.815708161575907-0.136760011753905i</v>
      </c>
    </row>
    <row r="477" spans="7:44">
      <c r="G477" s="688">
        <v>56234</v>
      </c>
      <c r="H477" s="676">
        <f t="shared" si="250"/>
        <v>56.234000000000002</v>
      </c>
      <c r="I477" s="677">
        <f t="shared" si="230"/>
        <v>453.36653889101115</v>
      </c>
      <c r="J477" s="678">
        <f t="shared" si="231"/>
        <v>1.5685906042170565</v>
      </c>
      <c r="K477" s="678">
        <f t="shared" si="232"/>
        <v>1.0030166053767731</v>
      </c>
      <c r="L477" s="679">
        <f t="shared" si="233"/>
        <v>7.7576305526526668E-2</v>
      </c>
      <c r="M477" s="678">
        <f t="shared" si="234"/>
        <v>1.0432822258752272</v>
      </c>
      <c r="N477" s="679">
        <f t="shared" si="235"/>
        <v>-0.28905593391949846</v>
      </c>
      <c r="O477" s="677">
        <f t="shared" si="236"/>
        <v>2331969.0382575342</v>
      </c>
      <c r="P477" s="680">
        <f t="shared" si="237"/>
        <v>1.5707958979727366</v>
      </c>
      <c r="Q477" s="689">
        <f t="shared" si="259"/>
        <v>93.284121653286931</v>
      </c>
      <c r="R477" s="690">
        <f t="shared" si="260"/>
        <v>1.5600761834724088</v>
      </c>
      <c r="S477" s="677">
        <f t="shared" si="238"/>
        <v>1.0861727423821268</v>
      </c>
      <c r="T477" s="680">
        <f t="shared" si="239"/>
        <v>0.40101856202866709</v>
      </c>
      <c r="U477" s="681">
        <f t="shared" si="251"/>
        <v>0.74675686632917682</v>
      </c>
      <c r="V477" s="682">
        <f t="shared" si="252"/>
        <v>-0.93553225314098865</v>
      </c>
      <c r="W477" s="683">
        <f t="shared" si="240"/>
        <v>-38.365976817740425</v>
      </c>
      <c r="X477" s="684">
        <f t="shared" si="241"/>
        <v>-179.18342698261725</v>
      </c>
      <c r="Y477" s="687">
        <f t="shared" si="242"/>
        <v>0.81657301738275123</v>
      </c>
      <c r="AA477" s="170">
        <f t="shared" si="243"/>
        <v>56234</v>
      </c>
      <c r="AB477" s="170">
        <f t="shared" si="244"/>
        <v>3162262756</v>
      </c>
      <c r="AD477" s="686">
        <f t="shared" si="245"/>
        <v>16.429171037235669</v>
      </c>
      <c r="AE477" s="687">
        <f t="shared" si="246"/>
        <v>-23.590865536058296</v>
      </c>
      <c r="AG477" s="686">
        <f t="shared" si="247"/>
        <v>-11.44603979026204</v>
      </c>
      <c r="AH477" s="687">
        <f t="shared" si="248"/>
        <v>-48.388461917374023</v>
      </c>
      <c r="AJ477" s="170">
        <f t="shared" si="249"/>
        <v>0</v>
      </c>
      <c r="AK477" s="170">
        <f t="shared" si="261"/>
        <v>0</v>
      </c>
      <c r="AM477" s="170" t="str">
        <f t="shared" si="253"/>
        <v>0.968422968266149+0.999501321193163i</v>
      </c>
      <c r="AN477" s="170" t="str">
        <f t="shared" si="254"/>
        <v>1.53921404508164i</v>
      </c>
      <c r="AO477" s="170" t="str">
        <f t="shared" si="255"/>
        <v>0.649358238632853-0.629167185266156i</v>
      </c>
      <c r="AP477" s="170" t="str">
        <f t="shared" si="256"/>
        <v>0.00526283862230847-0.166583553532194i</v>
      </c>
      <c r="AQ477" s="170" t="str">
        <f t="shared" si="257"/>
        <v>0.994737161377692+0.166583553532194i</v>
      </c>
      <c r="AR477" s="170" t="str">
        <f t="shared" si="258"/>
        <v>0.814563130411157-0.136410728490596i</v>
      </c>
    </row>
    <row r="478" spans="7:44">
      <c r="G478" s="688">
        <v>56561.5</v>
      </c>
      <c r="H478" s="676">
        <f t="shared" si="250"/>
        <v>56.561500000000002</v>
      </c>
      <c r="I478" s="677">
        <f t="shared" si="230"/>
        <v>456.00687785328603</v>
      </c>
      <c r="J478" s="678">
        <f t="shared" si="231"/>
        <v>1.5686033756573745</v>
      </c>
      <c r="K478" s="678">
        <f t="shared" si="232"/>
        <v>1.0030517907724605</v>
      </c>
      <c r="L478" s="679">
        <f t="shared" si="233"/>
        <v>7.8026274311392502E-2</v>
      </c>
      <c r="M478" s="678">
        <f t="shared" si="234"/>
        <v>1.0437772293505203</v>
      </c>
      <c r="N478" s="679">
        <f t="shared" si="235"/>
        <v>-0.29064639064267916</v>
      </c>
      <c r="O478" s="677">
        <f t="shared" si="236"/>
        <v>2345550.1432834836</v>
      </c>
      <c r="P478" s="680">
        <f t="shared" si="237"/>
        <v>1.5707959004556846</v>
      </c>
      <c r="Q478" s="689">
        <f t="shared" si="259"/>
        <v>93.827334820135817</v>
      </c>
      <c r="R478" s="690">
        <f t="shared" si="260"/>
        <v>1.560138250077689</v>
      </c>
      <c r="S478" s="677">
        <f t="shared" si="238"/>
        <v>1.0871390230143221</v>
      </c>
      <c r="T478" s="680">
        <f t="shared" si="239"/>
        <v>0.40310972918714794</v>
      </c>
      <c r="U478" s="681">
        <f t="shared" si="251"/>
        <v>0.74476737623295708</v>
      </c>
      <c r="V478" s="682">
        <f t="shared" si="252"/>
        <v>-0.93980966917285691</v>
      </c>
      <c r="W478" s="683">
        <f t="shared" si="240"/>
        <v>-38.442891588930621</v>
      </c>
      <c r="X478" s="684">
        <f t="shared" si="241"/>
        <v>-179.61084080420136</v>
      </c>
      <c r="Y478" s="687">
        <f t="shared" si="242"/>
        <v>0.38915919579864067</v>
      </c>
      <c r="AA478" s="170">
        <f t="shared" si="243"/>
        <v>56561.5</v>
      </c>
      <c r="AB478" s="170">
        <f t="shared" si="244"/>
        <v>3199203282.25</v>
      </c>
      <c r="AD478" s="686">
        <f t="shared" si="245"/>
        <v>16.421441571309636</v>
      </c>
      <c r="AE478" s="687">
        <f t="shared" si="246"/>
        <v>-23.707124576359647</v>
      </c>
      <c r="AG478" s="686">
        <f t="shared" si="247"/>
        <v>-11.468881895282792</v>
      </c>
      <c r="AH478" s="687">
        <f t="shared" si="248"/>
        <v>-48.20946092640137</v>
      </c>
      <c r="AJ478" s="170">
        <f t="shared" si="249"/>
        <v>0</v>
      </c>
      <c r="AK478" s="170">
        <f t="shared" si="261"/>
        <v>0</v>
      </c>
      <c r="AM478" s="170" t="str">
        <f t="shared" si="253"/>
        <v>0.97738384275629+0.999744222004572i</v>
      </c>
      <c r="AN478" s="170" t="str">
        <f t="shared" si="254"/>
        <v>1.54817824111543i</v>
      </c>
      <c r="AO478" s="170" t="str">
        <f t="shared" si="255"/>
        <v>0.64575524668547-0.631312220259668i</v>
      </c>
      <c r="AP478" s="170" t="str">
        <f t="shared" si="256"/>
        <v>0.00376935954061833-0.166624037000762i</v>
      </c>
      <c r="AQ478" s="170" t="str">
        <f t="shared" si="257"/>
        <v>0.996230640459382+0.166624037000762i</v>
      </c>
      <c r="AR478" s="170" t="str">
        <f t="shared" si="258"/>
        <v>0.81339771931776-0.136044411982191i</v>
      </c>
    </row>
    <row r="479" spans="7:44">
      <c r="G479" s="688">
        <v>56889</v>
      </c>
      <c r="H479" s="676">
        <f t="shared" si="250"/>
        <v>56.889000000000003</v>
      </c>
      <c r="I479" s="677">
        <f t="shared" si="230"/>
        <v>458.64721688908367</v>
      </c>
      <c r="J479" s="678">
        <f t="shared" si="231"/>
        <v>1.5686160000525098</v>
      </c>
      <c r="K479" s="678">
        <f t="shared" si="232"/>
        <v>1.003087179243686</v>
      </c>
      <c r="L479" s="679">
        <f t="shared" si="233"/>
        <v>7.8476211437953913E-2</v>
      </c>
      <c r="M479" s="678">
        <f t="shared" si="234"/>
        <v>1.0442748706082303</v>
      </c>
      <c r="N479" s="679">
        <f t="shared" si="235"/>
        <v>-0.29223533554185355</v>
      </c>
      <c r="O479" s="677">
        <f t="shared" si="236"/>
        <v>2359131.2483094321</v>
      </c>
      <c r="P479" s="680">
        <f t="shared" si="237"/>
        <v>1.5707959029100447</v>
      </c>
      <c r="Q479" s="689">
        <f t="shared" si="259"/>
        <v>94.370548344271228</v>
      </c>
      <c r="R479" s="690">
        <f t="shared" si="260"/>
        <v>1.5601996021505451</v>
      </c>
      <c r="S479" s="677">
        <f t="shared" si="238"/>
        <v>1.0881100492281892</v>
      </c>
      <c r="T479" s="680">
        <f t="shared" si="239"/>
        <v>0.40519717315756998</v>
      </c>
      <c r="U479" s="681">
        <f t="shared" si="251"/>
        <v>0.74278051806465462</v>
      </c>
      <c r="V479" s="682">
        <f t="shared" si="252"/>
        <v>-0.94407457913576487</v>
      </c>
      <c r="W479" s="683">
        <f t="shared" si="240"/>
        <v>-38.519555547019507</v>
      </c>
      <c r="X479" s="684">
        <f t="shared" si="241"/>
        <v>-180.03727246359065</v>
      </c>
      <c r="Y479" s="687">
        <f t="shared" si="242"/>
        <v>-3.7272463590653615E-2</v>
      </c>
      <c r="AA479" s="170">
        <f t="shared" si="243"/>
        <v>56889</v>
      </c>
      <c r="AB479" s="170">
        <f t="shared" si="244"/>
        <v>3236358321</v>
      </c>
      <c r="AD479" s="686">
        <f t="shared" si="245"/>
        <v>16.413681184705773</v>
      </c>
      <c r="AE479" s="687">
        <f t="shared" si="246"/>
        <v>-23.823211231752957</v>
      </c>
      <c r="AG479" s="686">
        <f t="shared" si="247"/>
        <v>-11.4913798589753</v>
      </c>
      <c r="AH479" s="687">
        <f t="shared" si="248"/>
        <v>-48.0310832480831</v>
      </c>
      <c r="AJ479" s="170">
        <f t="shared" si="249"/>
        <v>0</v>
      </c>
      <c r="AK479" s="170">
        <f t="shared" si="261"/>
        <v>0</v>
      </c>
      <c r="AM479" s="170" t="str">
        <f t="shared" si="253"/>
        <v>0.986346534596534+0.999906787096915i</v>
      </c>
      <c r="AN479" s="170" t="str">
        <f t="shared" si="254"/>
        <v>1.55714243714923i</v>
      </c>
      <c r="AO479" s="170" t="str">
        <f t="shared" si="255"/>
        <v>0.642142146564006-0.633433725178223i</v>
      </c>
      <c r="AP479" s="170" t="str">
        <f t="shared" si="256"/>
        <v>0.00227557756724437-0.166651131182819i</v>
      </c>
      <c r="AQ479" s="170" t="str">
        <f t="shared" si="257"/>
        <v>0.997724422432756+0.166651131182819i</v>
      </c>
      <c r="AR479" s="170" t="str">
        <f t="shared" si="258"/>
        <v>0.81223887797163-0.135669253714954i</v>
      </c>
    </row>
    <row r="480" spans="7:44">
      <c r="G480" s="688">
        <v>57216.5</v>
      </c>
      <c r="H480" s="676">
        <f t="shared" si="250"/>
        <v>57.216500000000003</v>
      </c>
      <c r="I480" s="677">
        <f t="shared" si="230"/>
        <v>461.28755599714162</v>
      </c>
      <c r="J480" s="678">
        <f t="shared" si="231"/>
        <v>1.5686284799274501</v>
      </c>
      <c r="K480" s="678">
        <f t="shared" si="232"/>
        <v>1.0031227707689563</v>
      </c>
      <c r="L480" s="679">
        <f t="shared" si="233"/>
        <v>7.8926116727397522E-2</v>
      </c>
      <c r="M480" s="678">
        <f t="shared" si="234"/>
        <v>1.0447751458791177</v>
      </c>
      <c r="N480" s="679">
        <f t="shared" si="235"/>
        <v>-0.29382276275971947</v>
      </c>
      <c r="O480" s="677">
        <f t="shared" si="236"/>
        <v>2372712.353335381</v>
      </c>
      <c r="P480" s="680">
        <f t="shared" si="237"/>
        <v>1.5707959053363079</v>
      </c>
      <c r="Q480" s="689">
        <f t="shared" si="259"/>
        <v>94.91376221955862</v>
      </c>
      <c r="R480" s="690">
        <f t="shared" si="260"/>
        <v>1.5602602519588242</v>
      </c>
      <c r="S480" s="677">
        <f t="shared" si="238"/>
        <v>1.0890858083302821</v>
      </c>
      <c r="T480" s="680">
        <f t="shared" si="239"/>
        <v>0.40728088573132409</v>
      </c>
      <c r="U480" s="681">
        <f t="shared" si="251"/>
        <v>0.74079636070351196</v>
      </c>
      <c r="V480" s="682">
        <f t="shared" si="252"/>
        <v>-0.9483270539293438</v>
      </c>
      <c r="W480" s="683">
        <f t="shared" si="240"/>
        <v>-38.59597118548492</v>
      </c>
      <c r="X480" s="684">
        <f t="shared" si="241"/>
        <v>-180.46272466916616</v>
      </c>
      <c r="Y480" s="687">
        <f t="shared" si="242"/>
        <v>-0.46272466916616395</v>
      </c>
      <c r="AA480" s="170">
        <f t="shared" si="243"/>
        <v>57216.5</v>
      </c>
      <c r="AB480" s="170">
        <f t="shared" si="244"/>
        <v>3273727872.25</v>
      </c>
      <c r="AD480" s="686">
        <f t="shared" si="245"/>
        <v>16.405890065538955</v>
      </c>
      <c r="AE480" s="687">
        <f t="shared" si="246"/>
        <v>-23.939124329051825</v>
      </c>
      <c r="AG480" s="686">
        <f t="shared" si="247"/>
        <v>-11.513537808497691</v>
      </c>
      <c r="AH480" s="687">
        <f t="shared" si="248"/>
        <v>-47.853324639487262</v>
      </c>
      <c r="AJ480" s="170">
        <f t="shared" si="249"/>
        <v>0</v>
      </c>
      <c r="AK480" s="170">
        <f t="shared" si="261"/>
        <v>0</v>
      </c>
      <c r="AM480" s="170" t="str">
        <f t="shared" si="253"/>
        <v>0.995310323578353+0.999989003407068i</v>
      </c>
      <c r="AN480" s="170" t="str">
        <f t="shared" si="254"/>
        <v>1.56610663318302i</v>
      </c>
      <c r="AO480" s="170" t="str">
        <f t="shared" si="255"/>
        <v>0.638519103501049-0.635531644199376i</v>
      </c>
      <c r="AP480" s="170" t="str">
        <f t="shared" si="256"/>
        <v>0.000781612736941132-0.166664833901178i</v>
      </c>
      <c r="AQ480" s="170" t="str">
        <f t="shared" si="257"/>
        <v>0.999218387263059+0.166664833901178i</v>
      </c>
      <c r="AR480" s="170" t="str">
        <f t="shared" si="258"/>
        <v>0.81108664335491-0.135285361455846i</v>
      </c>
    </row>
    <row r="481" spans="7:44">
      <c r="G481" s="688">
        <v>57544</v>
      </c>
      <c r="H481" s="676">
        <f t="shared" si="250"/>
        <v>57.543999999999997</v>
      </c>
      <c r="I481" s="677">
        <f t="shared" si="230"/>
        <v>463.92789517622606</v>
      </c>
      <c r="J481" s="678">
        <f t="shared" si="231"/>
        <v>1.5686408177497024</v>
      </c>
      <c r="K481" s="678">
        <f t="shared" si="232"/>
        <v>1.0031585653266593</v>
      </c>
      <c r="L481" s="679">
        <f t="shared" si="233"/>
        <v>7.9375990000986815E-2</v>
      </c>
      <c r="M481" s="678">
        <f t="shared" si="234"/>
        <v>1.045278051381227</v>
      </c>
      <c r="N481" s="679">
        <f t="shared" si="235"/>
        <v>-0.29540866648075398</v>
      </c>
      <c r="O481" s="677">
        <f t="shared" si="236"/>
        <v>2386293.4583613295</v>
      </c>
      <c r="P481" s="680">
        <f t="shared" si="237"/>
        <v>1.5707959077349538</v>
      </c>
      <c r="Q481" s="689">
        <f t="shared" si="259"/>
        <v>95.456976440003174</v>
      </c>
      <c r="R481" s="690">
        <f t="shared" si="260"/>
        <v>1.5603202114911463</v>
      </c>
      <c r="S481" s="677">
        <f t="shared" si="238"/>
        <v>1.0900662876108447</v>
      </c>
      <c r="T481" s="680">
        <f t="shared" si="239"/>
        <v>0.40936085885872969</v>
      </c>
      <c r="U481" s="681">
        <f t="shared" si="251"/>
        <v>0.73881497139911112</v>
      </c>
      <c r="V481" s="682">
        <f t="shared" si="252"/>
        <v>-0.95256716484305848</v>
      </c>
      <c r="W481" s="683">
        <f t="shared" si="240"/>
        <v>-38.672140951566568</v>
      </c>
      <c r="X481" s="684">
        <f t="shared" si="241"/>
        <v>-180.88720017584447</v>
      </c>
      <c r="Y481" s="687">
        <f t="shared" si="242"/>
        <v>-0.88720017584446964</v>
      </c>
      <c r="AA481" s="170">
        <f t="shared" si="243"/>
        <v>57544</v>
      </c>
      <c r="AB481" s="170">
        <f t="shared" si="244"/>
        <v>3311311936</v>
      </c>
      <c r="AD481" s="686">
        <f t="shared" si="245"/>
        <v>16.398068401919307</v>
      </c>
      <c r="AE481" s="687">
        <f t="shared" si="246"/>
        <v>-24.054862720173691</v>
      </c>
      <c r="AG481" s="686">
        <f t="shared" si="247"/>
        <v>-11.535359803076862</v>
      </c>
      <c r="AH481" s="687">
        <f t="shared" si="248"/>
        <v>-47.676180834442036</v>
      </c>
      <c r="AJ481" s="170">
        <f t="shared" si="249"/>
        <v>0</v>
      </c>
      <c r="AK481" s="170">
        <f t="shared" si="261"/>
        <v>0</v>
      </c>
      <c r="AM481" s="170" t="str">
        <f t="shared" si="253"/>
        <v>1.00427448940509+0.999990864328433i</v>
      </c>
      <c r="AN481" s="170" t="str">
        <f t="shared" si="254"/>
        <v>1.57507082921681i</v>
      </c>
      <c r="AO481" s="170" t="str">
        <f t="shared" si="255"/>
        <v>0.634886283066819-0.637605922715524i</v>
      </c>
      <c r="AP481" s="170" t="str">
        <f t="shared" si="256"/>
        <v>-0.00071241490084813-0.166665144054739i</v>
      </c>
      <c r="AQ481" s="170" t="str">
        <f t="shared" si="257"/>
        <v>1.00071241490085+0.166665144054739i</v>
      </c>
      <c r="AR481" s="170" t="str">
        <f t="shared" si="258"/>
        <v>0.809941050939317-0.134892842259804i</v>
      </c>
    </row>
    <row r="482" spans="7:44">
      <c r="G482" s="688">
        <v>57879</v>
      </c>
      <c r="H482" s="676">
        <f t="shared" si="250"/>
        <v>57.878999999999998</v>
      </c>
      <c r="I482" s="677">
        <f t="shared" si="230"/>
        <v>466.62870021026566</v>
      </c>
      <c r="J482" s="678">
        <f t="shared" si="231"/>
        <v>1.5686532936617403</v>
      </c>
      <c r="K482" s="678">
        <f t="shared" si="232"/>
        <v>1.0031953896444685</v>
      </c>
      <c r="L482" s="679">
        <f t="shared" si="233"/>
        <v>7.9836132405671362E-2</v>
      </c>
      <c r="M482" s="678">
        <f t="shared" si="234"/>
        <v>1.045795191119683</v>
      </c>
      <c r="N482" s="679">
        <f t="shared" si="235"/>
        <v>-0.29702930635851693</v>
      </c>
      <c r="O482" s="677">
        <f t="shared" si="236"/>
        <v>2400185.5810596282</v>
      </c>
      <c r="P482" s="680">
        <f t="shared" si="237"/>
        <v>1.5707959101604463</v>
      </c>
      <c r="Q482" s="689">
        <f t="shared" si="259"/>
        <v>96.012631031759952</v>
      </c>
      <c r="R482" s="690">
        <f t="shared" si="260"/>
        <v>1.56038084218762</v>
      </c>
      <c r="S482" s="677">
        <f t="shared" si="238"/>
        <v>1.0910740909086258</v>
      </c>
      <c r="T482" s="680">
        <f t="shared" si="239"/>
        <v>0.41148458785141628</v>
      </c>
      <c r="U482" s="681">
        <f t="shared" si="251"/>
        <v>0.73679113905645177</v>
      </c>
      <c r="V482" s="682">
        <f t="shared" si="252"/>
        <v>-0.95689166040987483</v>
      </c>
      <c r="W482" s="683">
        <f t="shared" si="240"/>
        <v>-38.749803184690379</v>
      </c>
      <c r="X482" s="684">
        <f t="shared" si="241"/>
        <v>-181.32038890935351</v>
      </c>
      <c r="Y482" s="687">
        <f t="shared" si="242"/>
        <v>-1.3203889093535111</v>
      </c>
      <c r="AA482" s="170">
        <f t="shared" si="243"/>
        <v>57879</v>
      </c>
      <c r="AB482" s="170">
        <f t="shared" si="244"/>
        <v>3349978641</v>
      </c>
      <c r="AD482" s="686">
        <f t="shared" si="245"/>
        <v>16.390036210620586</v>
      </c>
      <c r="AE482" s="687">
        <f t="shared" si="246"/>
        <v>-24.173069684372887</v>
      </c>
      <c r="AG482" s="686">
        <f t="shared" si="247"/>
        <v>-11.557338116511476</v>
      </c>
      <c r="AH482" s="687">
        <f t="shared" si="248"/>
        <v>-47.495611914182433</v>
      </c>
      <c r="AJ482" s="170">
        <f t="shared" si="249"/>
        <v>0</v>
      </c>
      <c r="AK482" s="170">
        <f t="shared" si="261"/>
        <v>0</v>
      </c>
      <c r="AM482" s="170" t="str">
        <f t="shared" si="253"/>
        <v>1.01344358041211+0.999909630989573i</v>
      </c>
      <c r="AN482" s="170" t="str">
        <f t="shared" si="254"/>
        <v>1.58424031218267i</v>
      </c>
      <c r="AO482" s="170" t="str">
        <f t="shared" si="255"/>
        <v>0.631160325425603-0.639703189357585i</v>
      </c>
      <c r="AP482" s="170" t="str">
        <f t="shared" si="256"/>
        <v>-0.0022405967353525-0.166651605164929i</v>
      </c>
      <c r="AQ482" s="170" t="str">
        <f t="shared" si="257"/>
        <v>1.00224059673535+0.166651605164929i</v>
      </c>
      <c r="AR482" s="170" t="str">
        <f t="shared" si="258"/>
        <v>0.808776131120282-0.1344825193764i</v>
      </c>
    </row>
    <row r="483" spans="7:44">
      <c r="G483" s="688">
        <v>58214</v>
      </c>
      <c r="H483" s="676">
        <f t="shared" si="250"/>
        <v>58.213999999999999</v>
      </c>
      <c r="I483" s="677">
        <f t="shared" si="230"/>
        <v>469.32950531609941</v>
      </c>
      <c r="J483" s="678">
        <f t="shared" si="231"/>
        <v>1.5686656259859317</v>
      </c>
      <c r="K483" s="678">
        <f t="shared" si="232"/>
        <v>1.0032324263542545</v>
      </c>
      <c r="L483" s="679">
        <f t="shared" si="233"/>
        <v>8.0296240933267843E-2</v>
      </c>
      <c r="M483" s="678">
        <f t="shared" si="234"/>
        <v>1.0463150748922496</v>
      </c>
      <c r="N483" s="679">
        <f t="shared" si="235"/>
        <v>-0.29864833998672308</v>
      </c>
      <c r="O483" s="677">
        <f t="shared" si="236"/>
        <v>2414077.7037579273</v>
      </c>
      <c r="P483" s="680">
        <f t="shared" si="237"/>
        <v>1.5707959125580233</v>
      </c>
      <c r="Q483" s="689">
        <f t="shared" si="259"/>
        <v>96.568285972405221</v>
      </c>
      <c r="R483" s="690">
        <f t="shared" si="260"/>
        <v>1.560440775144972</v>
      </c>
      <c r="S483" s="677">
        <f t="shared" si="238"/>
        <v>1.092086806100526</v>
      </c>
      <c r="T483" s="680">
        <f t="shared" si="239"/>
        <v>0.41360438763251811</v>
      </c>
      <c r="U483" s="681">
        <f t="shared" si="251"/>
        <v>0.73477034021061527</v>
      </c>
      <c r="V483" s="682">
        <f t="shared" si="252"/>
        <v>-0.96120337140012668</v>
      </c>
      <c r="W483" s="683">
        <f t="shared" si="240"/>
        <v>-38.827213192230403</v>
      </c>
      <c r="X483" s="684">
        <f t="shared" si="241"/>
        <v>-181.75256167196434</v>
      </c>
      <c r="Y483" s="687">
        <f t="shared" si="242"/>
        <v>-1.7525616719643438</v>
      </c>
      <c r="AA483" s="170">
        <f t="shared" si="243"/>
        <v>58214</v>
      </c>
      <c r="AB483" s="170">
        <f t="shared" si="244"/>
        <v>3388869796</v>
      </c>
      <c r="AD483" s="686">
        <f t="shared" si="245"/>
        <v>16.381972457951267</v>
      </c>
      <c r="AE483" s="687">
        <f t="shared" si="246"/>
        <v>-24.291091497238668</v>
      </c>
      <c r="AG483" s="686">
        <f t="shared" si="247"/>
        <v>-11.578973291590337</v>
      </c>
      <c r="AH483" s="687">
        <f t="shared" si="248"/>
        <v>-47.315677178919685</v>
      </c>
      <c r="AJ483" s="170">
        <f t="shared" si="249"/>
        <v>0</v>
      </c>
      <c r="AK483" s="170">
        <f t="shared" si="261"/>
        <v>0</v>
      </c>
      <c r="AM483" s="170" t="str">
        <f t="shared" si="253"/>
        <v>1.02261154109865+0.999744326420082i</v>
      </c>
      <c r="AN483" s="170" t="str">
        <f t="shared" si="254"/>
        <v>1.59340979514853i</v>
      </c>
      <c r="AO483" s="170" t="str">
        <f t="shared" si="255"/>
        <v>0.627424488956961-0.641775608642676i</v>
      </c>
      <c r="AP483" s="170" t="str">
        <f t="shared" si="256"/>
        <v>-0.00376859018310765-0.166624054403347i</v>
      </c>
      <c r="AQ483" s="170" t="str">
        <f t="shared" si="257"/>
        <v>1.00376859018311+0.166624054403347i</v>
      </c>
      <c r="AR483" s="170" t="str">
        <f t="shared" si="258"/>
        <v>0.807618231578023-0.134063394164429i</v>
      </c>
    </row>
    <row r="484" spans="7:44">
      <c r="G484" s="688">
        <v>58549</v>
      </c>
      <c r="H484" s="676">
        <f t="shared" si="250"/>
        <v>58.548999999999999</v>
      </c>
      <c r="I484" s="677">
        <f t="shared" si="230"/>
        <v>472.03031049249478</v>
      </c>
      <c r="J484" s="678">
        <f t="shared" si="231"/>
        <v>1.5686778171869631</v>
      </c>
      <c r="K484" s="678">
        <f t="shared" si="232"/>
        <v>1.0032696754324946</v>
      </c>
      <c r="L484" s="679">
        <f t="shared" si="233"/>
        <v>8.0756315392729122E-2</v>
      </c>
      <c r="M484" s="678">
        <f t="shared" si="234"/>
        <v>1.0468376986106749</v>
      </c>
      <c r="N484" s="679">
        <f t="shared" si="235"/>
        <v>-0.30026576127697036</v>
      </c>
      <c r="O484" s="677">
        <f t="shared" si="236"/>
        <v>2427969.8264562259</v>
      </c>
      <c r="P484" s="680">
        <f t="shared" si="237"/>
        <v>1.5707959149281636</v>
      </c>
      <c r="Q484" s="689">
        <f t="shared" si="259"/>
        <v>97.123941255950911</v>
      </c>
      <c r="R484" s="690">
        <f t="shared" si="260"/>
        <v>1.5605000223382632</v>
      </c>
      <c r="S484" s="677">
        <f t="shared" si="238"/>
        <v>1.0931044195345565</v>
      </c>
      <c r="T484" s="680">
        <f t="shared" si="239"/>
        <v>0.4157202500984572</v>
      </c>
      <c r="U484" s="681">
        <f t="shared" si="251"/>
        <v>0.73275264167638599</v>
      </c>
      <c r="V484" s="682">
        <f t="shared" si="252"/>
        <v>-0.96550237527592553</v>
      </c>
      <c r="W484" s="683">
        <f t="shared" si="240"/>
        <v>-38.904373451287192</v>
      </c>
      <c r="X484" s="684">
        <f t="shared" si="241"/>
        <v>-182.18372155485773</v>
      </c>
      <c r="Y484" s="687">
        <f t="shared" si="242"/>
        <v>-2.1837215548577262</v>
      </c>
      <c r="AA484" s="170">
        <f t="shared" si="243"/>
        <v>58549</v>
      </c>
      <c r="AB484" s="170">
        <f t="shared" si="244"/>
        <v>3427985401</v>
      </c>
      <c r="AD484" s="686">
        <f t="shared" si="245"/>
        <v>16.373877345140791</v>
      </c>
      <c r="AE484" s="687">
        <f t="shared" si="246"/>
        <v>-24.408927008377216</v>
      </c>
      <c r="AG484" s="686">
        <f t="shared" si="247"/>
        <v>-11.600269460994305</v>
      </c>
      <c r="AH484" s="687">
        <f t="shared" si="248"/>
        <v>-47.136371993724318</v>
      </c>
      <c r="AJ484" s="170">
        <f t="shared" si="249"/>
        <v>0</v>
      </c>
      <c r="AK484" s="170">
        <f t="shared" si="261"/>
        <v>0</v>
      </c>
      <c r="AM484" s="170" t="str">
        <f t="shared" si="253"/>
        <v>1.0317776006333+0.999494964518577i</v>
      </c>
      <c r="AN484" s="170" t="str">
        <f t="shared" si="254"/>
        <v>1.6025792781144i</v>
      </c>
      <c r="AO484" s="170" t="str">
        <f t="shared" si="255"/>
        <v>0.623678951904698-0.643823126084154i</v>
      </c>
      <c r="AP484" s="170" t="str">
        <f t="shared" si="256"/>
        <v>-0.00529626677221585-0.16658249408643i</v>
      </c>
      <c r="AQ484" s="170" t="str">
        <f t="shared" si="257"/>
        <v>1.00529626677222+0.16658249408643i</v>
      </c>
      <c r="AR484" s="170" t="str">
        <f t="shared" si="258"/>
        <v>0.806467385565881-0.133635578811282i</v>
      </c>
    </row>
    <row r="485" spans="7:44">
      <c r="G485" s="688">
        <v>58884</v>
      </c>
      <c r="H485" s="676">
        <f t="shared" si="250"/>
        <v>58.884</v>
      </c>
      <c r="I485" s="677">
        <f t="shared" si="230"/>
        <v>474.73111573824769</v>
      </c>
      <c r="J485" s="678">
        <f t="shared" si="231"/>
        <v>1.5686898696734328</v>
      </c>
      <c r="K485" s="678">
        <f t="shared" si="232"/>
        <v>1.003307136855536</v>
      </c>
      <c r="L485" s="679">
        <f t="shared" si="233"/>
        <v>8.1216355593093981E-2</v>
      </c>
      <c r="M485" s="678">
        <f t="shared" si="234"/>
        <v>1.0473630581733415</v>
      </c>
      <c r="N485" s="679">
        <f t="shared" si="235"/>
        <v>-0.3018815641867208</v>
      </c>
      <c r="O485" s="677">
        <f t="shared" si="236"/>
        <v>2441861.9491545251</v>
      </c>
      <c r="P485" s="680">
        <f t="shared" si="237"/>
        <v>1.5707959172713359</v>
      </c>
      <c r="Q485" s="689">
        <f t="shared" si="259"/>
        <v>97.679596876545176</v>
      </c>
      <c r="R485" s="690">
        <f t="shared" si="260"/>
        <v>1.5605585954700911</v>
      </c>
      <c r="S485" s="677">
        <f t="shared" si="238"/>
        <v>1.0941269175436088</v>
      </c>
      <c r="T485" s="680">
        <f t="shared" si="239"/>
        <v>0.41783216731674433</v>
      </c>
      <c r="U485" s="681">
        <f t="shared" si="251"/>
        <v>0.73073810857283739</v>
      </c>
      <c r="V485" s="682">
        <f t="shared" si="252"/>
        <v>-0.96978874985701014</v>
      </c>
      <c r="W485" s="683">
        <f t="shared" si="240"/>
        <v>-38.981286393616593</v>
      </c>
      <c r="X485" s="684">
        <f t="shared" si="241"/>
        <v>-182.61387169452743</v>
      </c>
      <c r="Y485" s="687">
        <f t="shared" si="242"/>
        <v>-2.6138716945274325</v>
      </c>
      <c r="AA485" s="170">
        <f t="shared" si="243"/>
        <v>58884</v>
      </c>
      <c r="AB485" s="170">
        <f t="shared" si="244"/>
        <v>3467325456</v>
      </c>
      <c r="AD485" s="686">
        <f t="shared" si="245"/>
        <v>16.365751073355348</v>
      </c>
      <c r="AE485" s="687">
        <f t="shared" si="246"/>
        <v>-24.5265750928078</v>
      </c>
      <c r="AG485" s="686">
        <f t="shared" si="247"/>
        <v>-11.62123068881902</v>
      </c>
      <c r="AH485" s="687">
        <f t="shared" si="248"/>
        <v>-46.957691702585592</v>
      </c>
      <c r="AJ485" s="170">
        <f t="shared" si="249"/>
        <v>0</v>
      </c>
      <c r="AK485" s="170">
        <f t="shared" si="261"/>
        <v>0</v>
      </c>
      <c r="AM485" s="170" t="str">
        <f t="shared" si="253"/>
        <v>1.04094098834449+0.999161566251112i</v>
      </c>
      <c r="AN485" s="170" t="str">
        <f t="shared" si="254"/>
        <v>1.61174876108026i</v>
      </c>
      <c r="AO485" s="170" t="str">
        <f t="shared" si="255"/>
        <v>0.619923892841359-0.645845688534489i</v>
      </c>
      <c r="AP485" s="170" t="str">
        <f t="shared" si="256"/>
        <v>-0.00682349805741545-0.166526927708519i</v>
      </c>
      <c r="AQ485" s="170" t="str">
        <f t="shared" si="257"/>
        <v>1.00682349805742+0.166526927708519i</v>
      </c>
      <c r="AR485" s="170" t="str">
        <f t="shared" si="258"/>
        <v>0.805323624813546-0.133199184673419i</v>
      </c>
    </row>
    <row r="486" spans="7:44">
      <c r="G486" s="688">
        <v>59227</v>
      </c>
      <c r="H486" s="676">
        <f t="shared" si="250"/>
        <v>59.226999999999997</v>
      </c>
      <c r="I486" s="677">
        <f t="shared" si="230"/>
        <v>477.49641789632273</v>
      </c>
      <c r="J486" s="678">
        <f t="shared" si="231"/>
        <v>1.5687020687156588</v>
      </c>
      <c r="K486" s="678">
        <f t="shared" si="232"/>
        <v>1.0033457128666143</v>
      </c>
      <c r="L486" s="679">
        <f t="shared" si="233"/>
        <v>8.1687346132697652E-2</v>
      </c>
      <c r="M486" s="678">
        <f t="shared" si="234"/>
        <v>1.0479037939633156</v>
      </c>
      <c r="N486" s="679">
        <f t="shared" si="235"/>
        <v>-0.30353427035847463</v>
      </c>
      <c r="O486" s="677">
        <f t="shared" si="236"/>
        <v>2456085.8240366639</v>
      </c>
      <c r="P486" s="680">
        <f t="shared" si="237"/>
        <v>1.5707959196430006</v>
      </c>
      <c r="Q486" s="689">
        <f t="shared" si="259"/>
        <v>98.248522228339766</v>
      </c>
      <c r="R486" s="690">
        <f t="shared" si="260"/>
        <v>1.5606178809076596</v>
      </c>
      <c r="S486" s="677">
        <f t="shared" si="238"/>
        <v>1.0951788800647724</v>
      </c>
      <c r="T486" s="680">
        <f t="shared" si="239"/>
        <v>0.41999042257875485</v>
      </c>
      <c r="U486" s="681">
        <f t="shared" si="251"/>
        <v>0.72867881318732874</v>
      </c>
      <c r="V486" s="682">
        <f t="shared" si="252"/>
        <v>-0.97416448196318095</v>
      </c>
      <c r="W486" s="683">
        <f t="shared" si="240"/>
        <v>-39.059782309849595</v>
      </c>
      <c r="X486" s="684">
        <f t="shared" si="241"/>
        <v>-183.05325119708573</v>
      </c>
      <c r="Y486" s="687">
        <f t="shared" si="242"/>
        <v>-3.0532511970857286</v>
      </c>
      <c r="AA486" s="170">
        <f t="shared" si="243"/>
        <v>59227</v>
      </c>
      <c r="AB486" s="170">
        <f t="shared" si="244"/>
        <v>3507837529</v>
      </c>
      <c r="AD486" s="686">
        <f t="shared" si="245"/>
        <v>16.357398667353376</v>
      </c>
      <c r="AE486" s="687">
        <f t="shared" si="246"/>
        <v>-24.646837341097427</v>
      </c>
      <c r="AG486" s="686">
        <f t="shared" si="247"/>
        <v>-11.642349622028629</v>
      </c>
      <c r="AH486" s="687">
        <f t="shared" si="248"/>
        <v>-46.775386992354292</v>
      </c>
      <c r="AJ486" s="170">
        <f t="shared" si="249"/>
        <v>0</v>
      </c>
      <c r="AK486" s="170">
        <f t="shared" si="261"/>
        <v>0</v>
      </c>
      <c r="AM486" s="170" t="str">
        <f t="shared" si="253"/>
        <v>1.05031963031521+0.99873316496697i</v>
      </c>
      <c r="AN486" s="170" t="str">
        <f t="shared" si="254"/>
        <v>1.62113721677367i</v>
      </c>
      <c r="AO486" s="170" t="str">
        <f t="shared" si="255"/>
        <v>0.61606948173987-0.647890640870931i</v>
      </c>
      <c r="AP486" s="170" t="str">
        <f t="shared" si="256"/>
        <v>-0.0083866050525352-0.166455527494495i</v>
      </c>
      <c r="AQ486" s="170" t="str">
        <f t="shared" si="257"/>
        <v>1.00838660505254+0.166455527494495i</v>
      </c>
      <c r="AR486" s="170" t="str">
        <f t="shared" si="258"/>
        <v>0.804159923022318-0.132743596063177i</v>
      </c>
    </row>
    <row r="487" spans="7:44">
      <c r="G487" s="688">
        <v>59570</v>
      </c>
      <c r="H487" s="676">
        <f t="shared" si="250"/>
        <v>59.57</v>
      </c>
      <c r="I487" s="677">
        <f t="shared" si="230"/>
        <v>480.26172012463888</v>
      </c>
      <c r="J487" s="678">
        <f t="shared" si="231"/>
        <v>1.5687141272759899</v>
      </c>
      <c r="K487" s="678">
        <f t="shared" si="232"/>
        <v>1.0033845114348245</v>
      </c>
      <c r="L487" s="679">
        <f t="shared" si="233"/>
        <v>8.2158300352528454E-2</v>
      </c>
      <c r="M487" s="678">
        <f t="shared" si="234"/>
        <v>1.0484473890802097</v>
      </c>
      <c r="N487" s="679">
        <f t="shared" si="235"/>
        <v>-0.30518526725799433</v>
      </c>
      <c r="O487" s="677">
        <f t="shared" si="236"/>
        <v>2470309.6989188027</v>
      </c>
      <c r="P487" s="680">
        <f t="shared" si="237"/>
        <v>1.5707959219873535</v>
      </c>
      <c r="Q487" s="689">
        <f t="shared" si="259"/>
        <v>98.817447921478362</v>
      </c>
      <c r="R487" s="690">
        <f t="shared" si="260"/>
        <v>1.5606764836925331</v>
      </c>
      <c r="S487" s="677">
        <f t="shared" si="238"/>
        <v>1.0962359341965784</v>
      </c>
      <c r="T487" s="680">
        <f t="shared" si="239"/>
        <v>0.4221445256293716</v>
      </c>
      <c r="U487" s="681">
        <f t="shared" si="251"/>
        <v>0.72662296903499546</v>
      </c>
      <c r="V487" s="682">
        <f t="shared" si="252"/>
        <v>-0.97852714056967549</v>
      </c>
      <c r="W487" s="683">
        <f t="shared" si="240"/>
        <v>-39.138023975254384</v>
      </c>
      <c r="X487" s="684">
        <f t="shared" si="241"/>
        <v>-183.49157894851774</v>
      </c>
      <c r="Y487" s="687">
        <f t="shared" si="242"/>
        <v>-3.4915789485177413</v>
      </c>
      <c r="AA487" s="170">
        <f t="shared" si="243"/>
        <v>59570</v>
      </c>
      <c r="AB487" s="170">
        <f t="shared" si="244"/>
        <v>3548584900</v>
      </c>
      <c r="AD487" s="686">
        <f t="shared" si="245"/>
        <v>16.349014022967065</v>
      </c>
      <c r="AE487" s="687">
        <f t="shared" si="246"/>
        <v>-24.766900796751788</v>
      </c>
      <c r="AG487" s="686">
        <f t="shared" si="247"/>
        <v>-11.66312583378331</v>
      </c>
      <c r="AH487" s="687">
        <f t="shared" si="248"/>
        <v>-46.593727436343613</v>
      </c>
      <c r="AJ487" s="170">
        <f t="shared" si="249"/>
        <v>0</v>
      </c>
      <c r="AK487" s="170">
        <f t="shared" si="261"/>
        <v>0</v>
      </c>
      <c r="AM487" s="170" t="str">
        <f t="shared" si="253"/>
        <v>1.05969383699028+0.9982167328919i</v>
      </c>
      <c r="AN487" s="170" t="str">
        <f t="shared" si="254"/>
        <v>1.63052567246707i</v>
      </c>
      <c r="AO487" s="170" t="str">
        <f t="shared" si="255"/>
        <v>0.612205468302469-0.64990932365199i</v>
      </c>
      <c r="AP487" s="170" t="str">
        <f t="shared" si="256"/>
        <v>-0.0099489728317127-0.166369455481983i</v>
      </c>
      <c r="AQ487" s="170" t="str">
        <f t="shared" si="257"/>
        <v>1.00994897283171+0.166369455481983i</v>
      </c>
      <c r="AR487" s="170" t="str">
        <f t="shared" si="258"/>
        <v>0.803003711497218-0.132279247591318i</v>
      </c>
    </row>
    <row r="488" spans="7:44">
      <c r="G488" s="688">
        <v>59913</v>
      </c>
      <c r="H488" s="676">
        <f t="shared" si="250"/>
        <v>59.912999999999997</v>
      </c>
      <c r="I488" s="677">
        <f t="shared" si="230"/>
        <v>483.02702242198978</v>
      </c>
      <c r="J488" s="678">
        <f t="shared" si="231"/>
        <v>1.5687260477671754</v>
      </c>
      <c r="K488" s="678">
        <f t="shared" si="232"/>
        <v>1.0034235325343503</v>
      </c>
      <c r="L488" s="679">
        <f t="shared" si="233"/>
        <v>8.2629218047898342E-2</v>
      </c>
      <c r="M488" s="678">
        <f t="shared" si="234"/>
        <v>1.0489938390788609</v>
      </c>
      <c r="N488" s="679">
        <f t="shared" si="235"/>
        <v>-0.30683454854902165</v>
      </c>
      <c r="O488" s="677">
        <f t="shared" si="236"/>
        <v>2484533.5738009415</v>
      </c>
      <c r="P488" s="680">
        <f t="shared" si="237"/>
        <v>1.5707959243048637</v>
      </c>
      <c r="Q488" s="689">
        <f t="shared" si="259"/>
        <v>99.386373950099042</v>
      </c>
      <c r="R488" s="690">
        <f t="shared" si="260"/>
        <v>1.5607344155476091</v>
      </c>
      <c r="S488" s="677">
        <f t="shared" si="238"/>
        <v>1.0972980652244064</v>
      </c>
      <c r="T488" s="680">
        <f t="shared" si="239"/>
        <v>0.42429446850655689</v>
      </c>
      <c r="U488" s="681">
        <f t="shared" si="251"/>
        <v>0.72457064063375154</v>
      </c>
      <c r="V488" s="682">
        <f t="shared" si="252"/>
        <v>-0.98287681026330065</v>
      </c>
      <c r="W488" s="683">
        <f t="shared" si="240"/>
        <v>-39.216013860191808</v>
      </c>
      <c r="X488" s="684">
        <f t="shared" si="241"/>
        <v>-183.92885845438107</v>
      </c>
      <c r="Y488" s="687">
        <f t="shared" si="242"/>
        <v>-3.9288584543810714</v>
      </c>
      <c r="AA488" s="170">
        <f t="shared" si="243"/>
        <v>59913</v>
      </c>
      <c r="AB488" s="170">
        <f t="shared" si="244"/>
        <v>3589567569</v>
      </c>
      <c r="AD488" s="686">
        <f t="shared" si="245"/>
        <v>16.340597355823196</v>
      </c>
      <c r="AE488" s="687">
        <f t="shared" si="246"/>
        <v>-24.886764331934014</v>
      </c>
      <c r="AG488" s="686">
        <f t="shared" si="247"/>
        <v>-11.683563471706419</v>
      </c>
      <c r="AH488" s="687">
        <f t="shared" si="248"/>
        <v>-46.41270797501376</v>
      </c>
      <c r="AJ488" s="170">
        <f t="shared" si="249"/>
        <v>0</v>
      </c>
      <c r="AK488" s="170">
        <f t="shared" si="261"/>
        <v>0</v>
      </c>
      <c r="AM488" s="170" t="str">
        <f t="shared" si="253"/>
        <v>1.06906278210414+0.997612315545491i</v>
      </c>
      <c r="AN488" s="170" t="str">
        <f t="shared" si="254"/>
        <v>1.63991412816048i</v>
      </c>
      <c r="AO488" s="170" t="str">
        <f t="shared" si="255"/>
        <v>0.608332045205641-0.651901684207896i</v>
      </c>
      <c r="AP488" s="170" t="str">
        <f t="shared" si="256"/>
        <v>-0.0115104636840229-0.166268719257582i</v>
      </c>
      <c r="AQ488" s="170" t="str">
        <f t="shared" si="257"/>
        <v>1.01151046368402+0.166268719257582i</v>
      </c>
      <c r="AR488" s="170" t="str">
        <f t="shared" si="258"/>
        <v>0.80185501954141-0.131806256006326i</v>
      </c>
    </row>
    <row r="489" spans="7:44">
      <c r="G489" s="688">
        <v>60256</v>
      </c>
      <c r="H489" s="676">
        <f t="shared" si="250"/>
        <v>60.256</v>
      </c>
      <c r="I489" s="677">
        <f t="shared" si="230"/>
        <v>485.79232478719649</v>
      </c>
      <c r="J489" s="678">
        <f t="shared" si="231"/>
        <v>1.5687378325470274</v>
      </c>
      <c r="K489" s="678">
        <f t="shared" si="232"/>
        <v>1.0034627761392316</v>
      </c>
      <c r="L489" s="679">
        <f t="shared" si="233"/>
        <v>8.3100099014215736E-2</v>
      </c>
      <c r="M489" s="678">
        <f t="shared" si="234"/>
        <v>1.049543139500043</v>
      </c>
      <c r="N489" s="679">
        <f t="shared" si="235"/>
        <v>-0.30848210794579317</v>
      </c>
      <c r="O489" s="677">
        <f t="shared" si="236"/>
        <v>2498757.4486830803</v>
      </c>
      <c r="P489" s="680">
        <f t="shared" si="237"/>
        <v>1.5707959265959897</v>
      </c>
      <c r="Q489" s="689">
        <f t="shared" si="259"/>
        <v>99.955300308473298</v>
      </c>
      <c r="R489" s="690">
        <f t="shared" si="260"/>
        <v>1.5607916879289057</v>
      </c>
      <c r="S489" s="677">
        <f t="shared" si="238"/>
        <v>1.0983652584200176</v>
      </c>
      <c r="T489" s="680">
        <f t="shared" si="239"/>
        <v>0.42644024343283038</v>
      </c>
      <c r="U489" s="681">
        <f t="shared" si="251"/>
        <v>0.72252189073708961</v>
      </c>
      <c r="V489" s="682">
        <f t="shared" si="252"/>
        <v>-0.98721357595243331</v>
      </c>
      <c r="W489" s="683">
        <f t="shared" si="240"/>
        <v>-39.293754390427083</v>
      </c>
      <c r="X489" s="684">
        <f t="shared" si="241"/>
        <v>-184.36509326426241</v>
      </c>
      <c r="Y489" s="687">
        <f t="shared" si="242"/>
        <v>-4.3650932642624127</v>
      </c>
      <c r="AA489" s="170">
        <f t="shared" si="243"/>
        <v>60256</v>
      </c>
      <c r="AB489" s="170">
        <f t="shared" si="244"/>
        <v>3630785536</v>
      </c>
      <c r="AD489" s="686">
        <f t="shared" si="245"/>
        <v>16.332148881417538</v>
      </c>
      <c r="AE489" s="687">
        <f t="shared" si="246"/>
        <v>-25.006426844672099</v>
      </c>
      <c r="AG489" s="686">
        <f t="shared" si="247"/>
        <v>-11.703666613897843</v>
      </c>
      <c r="AH489" s="687">
        <f t="shared" si="248"/>
        <v>-46.232323530140313</v>
      </c>
      <c r="AJ489" s="170">
        <f t="shared" si="249"/>
        <v>0</v>
      </c>
      <c r="AK489" s="170">
        <f t="shared" si="261"/>
        <v>0</v>
      </c>
      <c r="AM489" s="170" t="str">
        <f t="shared" si="253"/>
        <v>1.07842563985498+0.996919966202572i</v>
      </c>
      <c r="AN489" s="170" t="str">
        <f t="shared" si="254"/>
        <v>1.64930258385389i</v>
      </c>
      <c r="AO489" s="170" t="str">
        <f t="shared" si="255"/>
        <v>0.604449405440869-0.653867671349332i</v>
      </c>
      <c r="AP489" s="170" t="str">
        <f t="shared" si="256"/>
        <v>-0.0130709399758302-0.166153327700429i</v>
      </c>
      <c r="AQ489" s="170" t="str">
        <f t="shared" si="257"/>
        <v>1.01307093997583+0.166153327700429i</v>
      </c>
      <c r="AR489" s="170" t="str">
        <f t="shared" si="258"/>
        <v>0.800713874924714-0.131324737098688i</v>
      </c>
    </row>
    <row r="490" spans="7:44">
      <c r="G490" s="688">
        <v>60607</v>
      </c>
      <c r="H490" s="676">
        <f t="shared" si="250"/>
        <v>60.606999999999999</v>
      </c>
      <c r="I490" s="677">
        <f t="shared" si="230"/>
        <v>488.62212406961748</v>
      </c>
      <c r="J490" s="678">
        <f t="shared" si="231"/>
        <v>1.5687497540982938</v>
      </c>
      <c r="K490" s="678">
        <f t="shared" si="232"/>
        <v>1.0035031653699344</v>
      </c>
      <c r="L490" s="679">
        <f t="shared" si="233"/>
        <v>8.3581924389604101E-2</v>
      </c>
      <c r="M490" s="678">
        <f t="shared" si="234"/>
        <v>1.0501081978469966</v>
      </c>
      <c r="N490" s="679">
        <f t="shared" si="235"/>
        <v>-0.31016630527511652</v>
      </c>
      <c r="O490" s="677">
        <f t="shared" si="236"/>
        <v>2513313.0757490592</v>
      </c>
      <c r="P490" s="680">
        <f t="shared" si="237"/>
        <v>1.5707959289137057</v>
      </c>
      <c r="Q490" s="689">
        <f t="shared" si="259"/>
        <v>100.5374964218242</v>
      </c>
      <c r="R490" s="690">
        <f t="shared" si="260"/>
        <v>1.5608496250640937</v>
      </c>
      <c r="S490" s="677">
        <f t="shared" si="238"/>
        <v>1.0994625676862069</v>
      </c>
      <c r="T490" s="680">
        <f t="shared" si="239"/>
        <v>0.42863174276402838</v>
      </c>
      <c r="U490" s="681">
        <f t="shared" si="251"/>
        <v>0.72042912490546973</v>
      </c>
      <c r="V490" s="682">
        <f t="shared" si="252"/>
        <v>-0.99163822063407159</v>
      </c>
      <c r="W490" s="683">
        <f t="shared" si="240"/>
        <v>-39.373052449875829</v>
      </c>
      <c r="X490" s="684">
        <f t="shared" si="241"/>
        <v>-184.81042486576774</v>
      </c>
      <c r="Y490" s="687">
        <f t="shared" si="242"/>
        <v>-4.8104248657677431</v>
      </c>
      <c r="AA490" s="170">
        <f t="shared" si="243"/>
        <v>60607</v>
      </c>
      <c r="AB490" s="170">
        <f t="shared" si="244"/>
        <v>3673208449</v>
      </c>
      <c r="AD490" s="686">
        <f t="shared" si="245"/>
        <v>16.323470654017211</v>
      </c>
      <c r="AE490" s="687">
        <f t="shared" si="246"/>
        <v>-25.128671086767174</v>
      </c>
      <c r="AG490" s="686">
        <f t="shared" si="247"/>
        <v>-11.723896528062493</v>
      </c>
      <c r="AH490" s="687">
        <f t="shared" si="248"/>
        <v>-46.048383956765441</v>
      </c>
      <c r="AJ490" s="170">
        <f t="shared" si="249"/>
        <v>0</v>
      </c>
      <c r="AK490" s="170">
        <f t="shared" si="261"/>
        <v>0</v>
      </c>
      <c r="AM490" s="170" t="str">
        <f t="shared" si="253"/>
        <v>1.08799971030846+0.996120500233595i</v>
      </c>
      <c r="AN490" s="170" t="str">
        <f t="shared" si="254"/>
        <v>1.65891001227484i</v>
      </c>
      <c r="AO490" s="170" t="str">
        <f t="shared" si="255"/>
        <v>0.600466868523886-0.655852157294838i</v>
      </c>
      <c r="AP490" s="170" t="str">
        <f t="shared" si="256"/>
        <v>-0.0146666183847438-0.166020083372266i</v>
      </c>
      <c r="AQ490" s="170" t="str">
        <f t="shared" si="257"/>
        <v>1.01466661838474+0.166020083372266i</v>
      </c>
      <c r="AR490" s="170" t="str">
        <f t="shared" si="258"/>
        <v>0.799553955528957-0.130823279245016i</v>
      </c>
    </row>
    <row r="491" spans="7:44">
      <c r="G491" s="688">
        <v>60958</v>
      </c>
      <c r="H491" s="676">
        <f t="shared" si="250"/>
        <v>60.957999999999998</v>
      </c>
      <c r="I491" s="677">
        <f t="shared" si="230"/>
        <v>491.4519234206835</v>
      </c>
      <c r="J491" s="678">
        <f t="shared" si="231"/>
        <v>1.5687615383600471</v>
      </c>
      <c r="K491" s="678">
        <f t="shared" si="232"/>
        <v>1.0035437875508255</v>
      </c>
      <c r="L491" s="679">
        <f t="shared" si="233"/>
        <v>8.4063710869473118E-2</v>
      </c>
      <c r="M491" s="678">
        <f t="shared" si="234"/>
        <v>1.0506762316387399</v>
      </c>
      <c r="N491" s="679">
        <f t="shared" si="235"/>
        <v>-0.31184868629557333</v>
      </c>
      <c r="O491" s="677">
        <f t="shared" si="236"/>
        <v>2527868.7028150382</v>
      </c>
      <c r="P491" s="680">
        <f t="shared" si="237"/>
        <v>1.5707959312047306</v>
      </c>
      <c r="Q491" s="689">
        <f t="shared" si="259"/>
        <v>101.11969286876445</v>
      </c>
      <c r="R491" s="690">
        <f t="shared" si="260"/>
        <v>1.5609068950535721</v>
      </c>
      <c r="S491" s="677">
        <f t="shared" si="238"/>
        <v>1.1005651467632931</v>
      </c>
      <c r="T491" s="680">
        <f t="shared" si="239"/>
        <v>0.43081886156260452</v>
      </c>
      <c r="U491" s="681">
        <f t="shared" si="251"/>
        <v>0.71834023386357437</v>
      </c>
      <c r="V491" s="682">
        <f t="shared" si="252"/>
        <v>-0.99604953321813705</v>
      </c>
      <c r="W491" s="683">
        <f t="shared" si="240"/>
        <v>-39.452094389213428</v>
      </c>
      <c r="X491" s="684">
        <f t="shared" si="241"/>
        <v>-185.25467012702885</v>
      </c>
      <c r="Y491" s="687">
        <f t="shared" si="242"/>
        <v>-5.2546701270288452</v>
      </c>
      <c r="AA491" s="170">
        <f t="shared" si="243"/>
        <v>60958</v>
      </c>
      <c r="AB491" s="170">
        <f t="shared" si="244"/>
        <v>3715877764</v>
      </c>
      <c r="AD491" s="686">
        <f t="shared" si="245"/>
        <v>16.314759574441041</v>
      </c>
      <c r="AE491" s="687">
        <f t="shared" si="246"/>
        <v>-25.250702565934951</v>
      </c>
      <c r="AG491" s="686">
        <f t="shared" si="247"/>
        <v>-11.743784584900027</v>
      </c>
      <c r="AH491" s="687">
        <f t="shared" si="248"/>
        <v>-45.865098551921371</v>
      </c>
      <c r="AJ491" s="170">
        <f t="shared" si="249"/>
        <v>0</v>
      </c>
      <c r="AK491" s="170">
        <f t="shared" si="261"/>
        <v>0</v>
      </c>
      <c r="AM491" s="170" t="str">
        <f t="shared" si="253"/>
        <v>1.09756565821524+0.995229090379209i</v>
      </c>
      <c r="AN491" s="170" t="str">
        <f t="shared" si="254"/>
        <v>1.66851744069578i</v>
      </c>
      <c r="AO491" s="170" t="str">
        <f t="shared" si="255"/>
        <v>0.596475089864325-0.657808921528294i</v>
      </c>
      <c r="AP491" s="170" t="str">
        <f t="shared" si="256"/>
        <v>-0.0162609430358727-0.165871515063201i</v>
      </c>
      <c r="AQ491" s="170" t="str">
        <f t="shared" si="257"/>
        <v>1.01626094303587+0.165871515063201i</v>
      </c>
      <c r="AR491" s="170" t="str">
        <f t="shared" si="258"/>
        <v>0.798401993711303-0.130313133879533i</v>
      </c>
    </row>
    <row r="492" spans="7:44">
      <c r="G492" s="688">
        <v>61309</v>
      </c>
      <c r="H492" s="676">
        <f t="shared" si="250"/>
        <v>61.308999999999997</v>
      </c>
      <c r="I492" s="677">
        <f t="shared" si="230"/>
        <v>494.28172283921532</v>
      </c>
      <c r="J492" s="678">
        <f t="shared" si="231"/>
        <v>1.5687731876902618</v>
      </c>
      <c r="K492" s="678">
        <f t="shared" si="232"/>
        <v>1.0035846426536172</v>
      </c>
      <c r="L492" s="679">
        <f t="shared" si="233"/>
        <v>8.4545458234896689E-2</v>
      </c>
      <c r="M492" s="678">
        <f t="shared" si="234"/>
        <v>1.0512472360519938</v>
      </c>
      <c r="N492" s="679">
        <f t="shared" si="235"/>
        <v>-0.31352924443555358</v>
      </c>
      <c r="O492" s="677">
        <f t="shared" si="236"/>
        <v>2542424.3298810166</v>
      </c>
      <c r="P492" s="680">
        <f t="shared" si="237"/>
        <v>1.5707959334695227</v>
      </c>
      <c r="Q492" s="689">
        <f t="shared" si="259"/>
        <v>101.70188964356514</v>
      </c>
      <c r="R492" s="690">
        <f t="shared" si="260"/>
        <v>1.5609635093542735</v>
      </c>
      <c r="S492" s="677">
        <f t="shared" si="238"/>
        <v>1.1016729798288405</v>
      </c>
      <c r="T492" s="680">
        <f t="shared" si="239"/>
        <v>0.43300159208832328</v>
      </c>
      <c r="U492" s="681">
        <f t="shared" si="251"/>
        <v>0.71625527928378163</v>
      </c>
      <c r="V492" s="682">
        <f t="shared" si="252"/>
        <v>-1.0004476056292344</v>
      </c>
      <c r="W492" s="683">
        <f t="shared" si="240"/>
        <v>-39.530882670766317</v>
      </c>
      <c r="X492" s="684">
        <f t="shared" si="241"/>
        <v>-185.69783298616721</v>
      </c>
      <c r="Y492" s="687">
        <f t="shared" si="242"/>
        <v>-5.6978329861672137</v>
      </c>
      <c r="AA492" s="170">
        <f t="shared" si="243"/>
        <v>61309</v>
      </c>
      <c r="AB492" s="170">
        <f t="shared" si="244"/>
        <v>3758793481</v>
      </c>
      <c r="AD492" s="686">
        <f t="shared" si="245"/>
        <v>16.306015873094207</v>
      </c>
      <c r="AE492" s="687">
        <f t="shared" si="246"/>
        <v>-25.372520182284951</v>
      </c>
      <c r="AG492" s="686">
        <f t="shared" si="247"/>
        <v>-11.763334937388493</v>
      </c>
      <c r="AH492" s="687">
        <f t="shared" si="248"/>
        <v>-45.682461819836242</v>
      </c>
      <c r="AJ492" s="170">
        <f t="shared" si="249"/>
        <v>0</v>
      </c>
      <c r="AK492" s="170">
        <f t="shared" si="261"/>
        <v>0</v>
      </c>
      <c r="AM492" s="170" t="str">
        <f t="shared" si="253"/>
        <v>1.10712260061948+0.9942458189183i</v>
      </c>
      <c r="AN492" s="170" t="str">
        <f t="shared" si="254"/>
        <v>1.67812486911673i</v>
      </c>
      <c r="AO492" s="170" t="str">
        <f t="shared" si="255"/>
        <v>0.592474277222061-0.65973791402198i</v>
      </c>
      <c r="AP492" s="170" t="str">
        <f t="shared" si="256"/>
        <v>-0.0178537667699127-0.165707636486383i</v>
      </c>
      <c r="AQ492" s="170" t="str">
        <f t="shared" si="257"/>
        <v>1.01785376676991+0.165707636486383i</v>
      </c>
      <c r="AR492" s="170" t="str">
        <f t="shared" si="258"/>
        <v>0.797258014470242-0.129794421910859i</v>
      </c>
    </row>
    <row r="493" spans="7:44">
      <c r="G493" s="688">
        <v>61660</v>
      </c>
      <c r="H493" s="676">
        <f t="shared" si="250"/>
        <v>61.66</v>
      </c>
      <c r="I493" s="677">
        <f t="shared" si="230"/>
        <v>497.11152232406101</v>
      </c>
      <c r="J493" s="678">
        <f t="shared" si="231"/>
        <v>1.5687847043932217</v>
      </c>
      <c r="K493" s="678">
        <f t="shared" si="232"/>
        <v>1.0036257306498648</v>
      </c>
      <c r="L493" s="679">
        <f t="shared" si="233"/>
        <v>8.5027166267056975E-2</v>
      </c>
      <c r="M493" s="678">
        <f t="shared" si="234"/>
        <v>1.0518212062487546</v>
      </c>
      <c r="N493" s="679">
        <f t="shared" si="235"/>
        <v>-0.3152079731788664</v>
      </c>
      <c r="O493" s="677">
        <f t="shared" si="236"/>
        <v>2556979.9569469956</v>
      </c>
      <c r="P493" s="680">
        <f t="shared" si="237"/>
        <v>1.5707959357085304</v>
      </c>
      <c r="Q493" s="689">
        <f t="shared" si="259"/>
        <v>102.28408674062773</v>
      </c>
      <c r="R493" s="690">
        <f t="shared" si="260"/>
        <v>1.5610194791622982</v>
      </c>
      <c r="S493" s="677">
        <f t="shared" si="238"/>
        <v>1.1027860510487477</v>
      </c>
      <c r="T493" s="680">
        <f t="shared" si="239"/>
        <v>0.43517992679923351</v>
      </c>
      <c r="U493" s="681">
        <f t="shared" si="251"/>
        <v>0.71417432101360734</v>
      </c>
      <c r="V493" s="682">
        <f t="shared" si="252"/>
        <v>-1.004832530071414</v>
      </c>
      <c r="W493" s="683">
        <f t="shared" si="240"/>
        <v>-39.60941971314319</v>
      </c>
      <c r="X493" s="684">
        <f t="shared" si="241"/>
        <v>-186.13991742371306</v>
      </c>
      <c r="Y493" s="687">
        <f t="shared" si="242"/>
        <v>-6.139917423713058</v>
      </c>
      <c r="AA493" s="170">
        <f t="shared" si="243"/>
        <v>61660</v>
      </c>
      <c r="AB493" s="170">
        <f t="shared" si="244"/>
        <v>3801955600</v>
      </c>
      <c r="AD493" s="686">
        <f t="shared" si="245"/>
        <v>16.297239780173264</v>
      </c>
      <c r="AE493" s="687">
        <f t="shared" si="246"/>
        <v>-25.494122862231606</v>
      </c>
      <c r="AG493" s="686">
        <f t="shared" si="247"/>
        <v>-11.782551668174484</v>
      </c>
      <c r="AH493" s="687">
        <f t="shared" si="248"/>
        <v>-45.500468248819928</v>
      </c>
      <c r="AJ493" s="170">
        <f t="shared" si="249"/>
        <v>0</v>
      </c>
      <c r="AK493" s="170">
        <f t="shared" si="261"/>
        <v>0</v>
      </c>
      <c r="AM493" s="170" t="str">
        <f t="shared" si="253"/>
        <v>1.11666965539655+0.993170776608761i</v>
      </c>
      <c r="AN493" s="170" t="str">
        <f t="shared" si="254"/>
        <v>1.68773229753768i</v>
      </c>
      <c r="AO493" s="170" t="str">
        <f t="shared" si="255"/>
        <v>0.588464638650187-0.661639086379823i</v>
      </c>
      <c r="AP493" s="170" t="str">
        <f t="shared" si="256"/>
        <v>-0.019444942566092-0.165528462768127i</v>
      </c>
      <c r="AQ493" s="170" t="str">
        <f t="shared" si="257"/>
        <v>1.01944494256609+0.165528462768127i</v>
      </c>
      <c r="AR493" s="170" t="str">
        <f t="shared" si="258"/>
        <v>0.796122041274666-0.129267263160193i</v>
      </c>
    </row>
    <row r="494" spans="7:44">
      <c r="G494" s="688">
        <v>62019</v>
      </c>
      <c r="H494" s="676">
        <f t="shared" si="250"/>
        <v>62.018999999999998</v>
      </c>
      <c r="I494" s="677">
        <f t="shared" si="230"/>
        <v>500.0058187306866</v>
      </c>
      <c r="J494" s="678">
        <f t="shared" si="231"/>
        <v>1.5687963487362593</v>
      </c>
      <c r="K494" s="678">
        <f t="shared" si="232"/>
        <v>1.0036679960109625</v>
      </c>
      <c r="L494" s="679">
        <f t="shared" si="233"/>
        <v>8.551981248349734E-2</v>
      </c>
      <c r="M494" s="678">
        <f t="shared" si="234"/>
        <v>1.0524113212775335</v>
      </c>
      <c r="N494" s="679">
        <f t="shared" si="235"/>
        <v>-0.31692306439687712</v>
      </c>
      <c r="O494" s="677">
        <f t="shared" si="236"/>
        <v>2571867.3361968142</v>
      </c>
      <c r="P494" s="680">
        <f t="shared" si="237"/>
        <v>1.5707959379723528</v>
      </c>
      <c r="Q494" s="689">
        <f t="shared" si="259"/>
        <v>102.87955361485662</v>
      </c>
      <c r="R494" s="690">
        <f t="shared" si="260"/>
        <v>1.5610760693455745</v>
      </c>
      <c r="S494" s="677">
        <f t="shared" si="238"/>
        <v>1.1039298934950101</v>
      </c>
      <c r="T494" s="680">
        <f t="shared" si="239"/>
        <v>0.43740335526938506</v>
      </c>
      <c r="U494" s="681">
        <f t="shared" si="251"/>
        <v>0.71205012796426292</v>
      </c>
      <c r="V494" s="682">
        <f t="shared" si="252"/>
        <v>-1.0093038913037877</v>
      </c>
      <c r="W494" s="683">
        <f t="shared" si="240"/>
        <v>-39.689489356154915</v>
      </c>
      <c r="X494" s="684">
        <f t="shared" si="241"/>
        <v>-186.59096648094277</v>
      </c>
      <c r="Y494" s="687">
        <f t="shared" si="242"/>
        <v>-6.5909664809427682</v>
      </c>
      <c r="AA494" s="170">
        <f t="shared" si="243"/>
        <v>62019</v>
      </c>
      <c r="AB494" s="170">
        <f t="shared" si="244"/>
        <v>3846356361</v>
      </c>
      <c r="AD494" s="686">
        <f t="shared" si="245"/>
        <v>16.288230394650888</v>
      </c>
      <c r="AE494" s="687">
        <f t="shared" si="246"/>
        <v>-25.618273680806258</v>
      </c>
      <c r="AG494" s="686">
        <f t="shared" si="247"/>
        <v>-11.80186545601817</v>
      </c>
      <c r="AH494" s="687">
        <f t="shared" si="248"/>
        <v>-45.314986232302658</v>
      </c>
      <c r="AJ494" s="170">
        <f t="shared" si="249"/>
        <v>0</v>
      </c>
      <c r="AK494" s="170">
        <f t="shared" si="261"/>
        <v>0</v>
      </c>
      <c r="AM494" s="170" t="str">
        <f t="shared" si="253"/>
        <v>1.12642316014237+0.991976403237303i</v>
      </c>
      <c r="AN494" s="170" t="str">
        <f t="shared" si="254"/>
        <v>1.69755869868618i</v>
      </c>
      <c r="AO494" s="170" t="str">
        <f t="shared" si="255"/>
        <v>0.584354699489944-0.663554763092529i</v>
      </c>
      <c r="AP494" s="170" t="str">
        <f t="shared" si="256"/>
        <v>-0.0210705266903957-0.165329400539551i</v>
      </c>
      <c r="AQ494" s="170" t="str">
        <f t="shared" si="257"/>
        <v>1.0210705266904+0.165329400539551i</v>
      </c>
      <c r="AR494" s="170" t="str">
        <f t="shared" si="258"/>
        <v>0.794968481685728-0.1287194753833i</v>
      </c>
    </row>
    <row r="495" spans="7:44">
      <c r="G495" s="688">
        <v>62378</v>
      </c>
      <c r="H495" s="676">
        <f t="shared" si="250"/>
        <v>62.378</v>
      </c>
      <c r="I495" s="677">
        <f t="shared" si="230"/>
        <v>502.90011520432807</v>
      </c>
      <c r="J495" s="678">
        <f t="shared" si="231"/>
        <v>1.568807859047987</v>
      </c>
      <c r="K495" s="678">
        <f t="shared" si="232"/>
        <v>1.003710504942029</v>
      </c>
      <c r="L495" s="679">
        <f t="shared" si="233"/>
        <v>8.6012417090591736E-2</v>
      </c>
      <c r="M495" s="678">
        <f t="shared" si="234"/>
        <v>1.0530045285390415</v>
      </c>
      <c r="N495" s="679">
        <f t="shared" si="235"/>
        <v>-0.31863622826547972</v>
      </c>
      <c r="O495" s="677">
        <f t="shared" si="236"/>
        <v>2586754.7154466333</v>
      </c>
      <c r="P495" s="680">
        <f t="shared" si="237"/>
        <v>1.5707959402101177</v>
      </c>
      <c r="Q495" s="689">
        <f t="shared" si="259"/>
        <v>103.47502081476006</v>
      </c>
      <c r="R495" s="690">
        <f t="shared" si="260"/>
        <v>1.5611320082105227</v>
      </c>
      <c r="S495" s="677">
        <f t="shared" si="238"/>
        <v>1.1050791820533714</v>
      </c>
      <c r="T495" s="680">
        <f t="shared" si="239"/>
        <v>0.43962216993337677</v>
      </c>
      <c r="U495" s="681">
        <f t="shared" si="251"/>
        <v>0.70993023638353348</v>
      </c>
      <c r="V495" s="682">
        <f t="shared" si="252"/>
        <v>-1.013761694328392</v>
      </c>
      <c r="W495" s="683">
        <f t="shared" si="240"/>
        <v>-39.769301160051484</v>
      </c>
      <c r="X495" s="684">
        <f t="shared" si="241"/>
        <v>-187.0408959503909</v>
      </c>
      <c r="Y495" s="687">
        <f t="shared" si="242"/>
        <v>-7.0408959503909045</v>
      </c>
      <c r="AA495" s="170">
        <f t="shared" si="243"/>
        <v>62378</v>
      </c>
      <c r="AB495" s="170">
        <f t="shared" si="244"/>
        <v>3891014884</v>
      </c>
      <c r="AD495" s="686">
        <f t="shared" si="245"/>
        <v>16.279187610560456</v>
      </c>
      <c r="AE495" s="687">
        <f t="shared" si="246"/>
        <v>-25.742197464058524</v>
      </c>
      <c r="AG495" s="686">
        <f t="shared" si="247"/>
        <v>-11.820838660867711</v>
      </c>
      <c r="AH495" s="687">
        <f t="shared" si="248"/>
        <v>-45.130165319493891</v>
      </c>
      <c r="AJ495" s="170">
        <f t="shared" si="249"/>
        <v>0</v>
      </c>
      <c r="AK495" s="170">
        <f t="shared" si="261"/>
        <v>0</v>
      </c>
      <c r="AM495" s="170" t="str">
        <f t="shared" si="253"/>
        <v>1.13616445779875+0.99068624722077i</v>
      </c>
      <c r="AN495" s="170" t="str">
        <f t="shared" si="254"/>
        <v>1.70738509983467i</v>
      </c>
      <c r="AO495" s="170" t="str">
        <f t="shared" si="255"/>
        <v>0.580235968626352-0.665441239887104i</v>
      </c>
      <c r="AP495" s="170" t="str">
        <f t="shared" si="256"/>
        <v>-0.022694076299791-0.165114374536795i</v>
      </c>
      <c r="AQ495" s="170" t="str">
        <f t="shared" si="257"/>
        <v>1.02269407629979+0.165114374536795i</v>
      </c>
      <c r="AR495" s="170" t="str">
        <f t="shared" si="258"/>
        <v>0.793823342172417-0.128163101432774i</v>
      </c>
    </row>
    <row r="496" spans="7:44">
      <c r="G496" s="688">
        <v>62737</v>
      </c>
      <c r="H496" s="676">
        <f t="shared" si="250"/>
        <v>62.737000000000002</v>
      </c>
      <c r="I496" s="677">
        <f t="shared" si="230"/>
        <v>505.79441174383487</v>
      </c>
      <c r="J496" s="678">
        <f t="shared" si="231"/>
        <v>1.5688192376292951</v>
      </c>
      <c r="K496" s="678">
        <f t="shared" si="232"/>
        <v>1.0037532574121188</v>
      </c>
      <c r="L496" s="679">
        <f t="shared" si="233"/>
        <v>8.6504979854571687E-2</v>
      </c>
      <c r="M496" s="678">
        <f t="shared" si="234"/>
        <v>1.0536008228102334</v>
      </c>
      <c r="N496" s="679">
        <f t="shared" si="235"/>
        <v>-0.3203474579926186</v>
      </c>
      <c r="O496" s="677">
        <f t="shared" si="236"/>
        <v>2601642.0946964524</v>
      </c>
      <c r="P496" s="680">
        <f t="shared" si="237"/>
        <v>1.5707959424222722</v>
      </c>
      <c r="Q496" s="689">
        <f t="shared" si="259"/>
        <v>104.07048833474776</v>
      </c>
      <c r="R496" s="690">
        <f t="shared" si="260"/>
        <v>1.5611873069368722</v>
      </c>
      <c r="S496" s="677">
        <f t="shared" si="238"/>
        <v>1.1062338997496075</v>
      </c>
      <c r="T496" s="680">
        <f t="shared" si="239"/>
        <v>0.44183636335838106</v>
      </c>
      <c r="U496" s="681">
        <f t="shared" si="251"/>
        <v>0.70781470456065476</v>
      </c>
      <c r="V496" s="682">
        <f t="shared" si="252"/>
        <v>-1.0182060385935516</v>
      </c>
      <c r="W496" s="683">
        <f t="shared" si="240"/>
        <v>-39.848857578463509</v>
      </c>
      <c r="X496" s="684">
        <f t="shared" si="241"/>
        <v>-187.48971021970064</v>
      </c>
      <c r="Y496" s="687">
        <f t="shared" si="242"/>
        <v>-7.4897102197006404</v>
      </c>
      <c r="AA496" s="170">
        <f t="shared" si="243"/>
        <v>62737</v>
      </c>
      <c r="AB496" s="170">
        <f t="shared" si="244"/>
        <v>3935931169</v>
      </c>
      <c r="AD496" s="686">
        <f t="shared" si="245"/>
        <v>16.270111673420203</v>
      </c>
      <c r="AE496" s="687">
        <f t="shared" si="246"/>
        <v>-25.86589314559307</v>
      </c>
      <c r="AG496" s="686">
        <f t="shared" si="247"/>
        <v>-11.839475431619118</v>
      </c>
      <c r="AH496" s="687">
        <f t="shared" si="248"/>
        <v>-44.94599956849347</v>
      </c>
      <c r="AJ496" s="170">
        <f t="shared" si="249"/>
        <v>0</v>
      </c>
      <c r="AK496" s="170">
        <f t="shared" si="261"/>
        <v>0</v>
      </c>
      <c r="AM496" s="170" t="str">
        <f t="shared" si="253"/>
        <v>1.14589260777147+0.989300433133252i</v>
      </c>
      <c r="AN496" s="170" t="str">
        <f t="shared" si="254"/>
        <v>1.71721150098316i</v>
      </c>
      <c r="AO496" s="170" t="str">
        <f t="shared" si="255"/>
        <v>0.576108669530134-0.66729847029059i</v>
      </c>
      <c r="AP496" s="170" t="str">
        <f t="shared" si="256"/>
        <v>-0.0243154346285788-0.164883405522209i</v>
      </c>
      <c r="AQ496" s="170" t="str">
        <f t="shared" si="257"/>
        <v>1.02431543462858+0.164883405522209i</v>
      </c>
      <c r="AR496" s="170" t="str">
        <f t="shared" si="258"/>
        <v>0.792686643121989-0.127598265935838i</v>
      </c>
    </row>
    <row r="497" spans="7:44">
      <c r="G497" s="688">
        <v>63096</v>
      </c>
      <c r="H497" s="676">
        <f t="shared" si="250"/>
        <v>63.095999999999997</v>
      </c>
      <c r="I497" s="677">
        <f t="shared" si="230"/>
        <v>508.68870834808274</v>
      </c>
      <c r="J497" s="678">
        <f t="shared" si="231"/>
        <v>1.5688304867287084</v>
      </c>
      <c r="K497" s="678">
        <f t="shared" si="232"/>
        <v>1.003796253390115</v>
      </c>
      <c r="L497" s="679">
        <f t="shared" si="233"/>
        <v>8.6997500541789688E-2</v>
      </c>
      <c r="M497" s="678">
        <f t="shared" si="234"/>
        <v>1.0542001988527319</v>
      </c>
      <c r="N497" s="679">
        <f t="shared" si="235"/>
        <v>-0.32205674684687513</v>
      </c>
      <c r="O497" s="677">
        <f t="shared" si="236"/>
        <v>2616529.473946271</v>
      </c>
      <c r="P497" s="680">
        <f t="shared" si="237"/>
        <v>1.5707959446092534</v>
      </c>
      <c r="Q497" s="689">
        <f t="shared" si="259"/>
        <v>104.66595616935662</v>
      </c>
      <c r="R497" s="690">
        <f t="shared" si="260"/>
        <v>1.5612419764499539</v>
      </c>
      <c r="S497" s="677">
        <f t="shared" si="238"/>
        <v>1.107394029600274</v>
      </c>
      <c r="T497" s="680">
        <f t="shared" si="239"/>
        <v>0.44404592832374834</v>
      </c>
      <c r="U497" s="681">
        <f t="shared" si="251"/>
        <v>0.70570358890885976</v>
      </c>
      <c r="V497" s="682">
        <f t="shared" si="252"/>
        <v>-1.0226370237791578</v>
      </c>
      <c r="W497" s="683">
        <f t="shared" si="240"/>
        <v>-39.92816102229547</v>
      </c>
      <c r="X497" s="684">
        <f t="shared" si="241"/>
        <v>-187.93741371698201</v>
      </c>
      <c r="Y497" s="687">
        <f t="shared" si="242"/>
        <v>-7.9374137169820074</v>
      </c>
      <c r="AA497" s="170">
        <f t="shared" si="243"/>
        <v>63096</v>
      </c>
      <c r="AB497" s="170">
        <f t="shared" si="244"/>
        <v>3981105216</v>
      </c>
      <c r="AD497" s="686">
        <f t="shared" si="245"/>
        <v>16.261002828451787</v>
      </c>
      <c r="AE497" s="687">
        <f t="shared" si="246"/>
        <v>-25.989359685746862</v>
      </c>
      <c r="AG497" s="686">
        <f t="shared" si="247"/>
        <v>-11.857779846157452</v>
      </c>
      <c r="AH497" s="687">
        <f t="shared" si="248"/>
        <v>-44.762483024600428</v>
      </c>
      <c r="AJ497" s="170">
        <f t="shared" si="249"/>
        <v>0</v>
      </c>
      <c r="AK497" s="170">
        <f t="shared" si="261"/>
        <v>0</v>
      </c>
      <c r="AM497" s="170" t="str">
        <f t="shared" si="253"/>
        <v>1.15560667073586+0.987819094785327i</v>
      </c>
      <c r="AN497" s="170" t="str">
        <f t="shared" si="254"/>
        <v>1.72703790213165i</v>
      </c>
      <c r="AO497" s="170" t="str">
        <f t="shared" si="255"/>
        <v>0.57197302593422-0.66912640962281i</v>
      </c>
      <c r="AP497" s="170" t="str">
        <f t="shared" si="256"/>
        <v>-0.0259344451226427-0.164636515797555i</v>
      </c>
      <c r="AQ497" s="170" t="str">
        <f t="shared" si="257"/>
        <v>1.02593444512264+0.164636515797555i</v>
      </c>
      <c r="AR497" s="170" t="str">
        <f t="shared" si="258"/>
        <v>0.791558403409908-0.127025092302174i</v>
      </c>
    </row>
    <row r="498" spans="7:44">
      <c r="G498" s="688">
        <v>63463.25</v>
      </c>
      <c r="H498" s="676">
        <f t="shared" si="250"/>
        <v>63.463250000000002</v>
      </c>
      <c r="I498" s="677">
        <f t="shared" si="230"/>
        <v>511.64951740531984</v>
      </c>
      <c r="J498" s="678">
        <f t="shared" si="231"/>
        <v>1.5688418626497402</v>
      </c>
      <c r="K498" s="678">
        <f t="shared" si="232"/>
        <v>1.0038404893707231</v>
      </c>
      <c r="L498" s="679">
        <f t="shared" si="233"/>
        <v>8.7501295819568531E-2</v>
      </c>
      <c r="M498" s="678">
        <f t="shared" si="234"/>
        <v>1.0548165321955145</v>
      </c>
      <c r="N498" s="679">
        <f t="shared" si="235"/>
        <v>-0.32380330077229336</v>
      </c>
      <c r="O498" s="677">
        <f t="shared" si="236"/>
        <v>2631758.9726356752</v>
      </c>
      <c r="P498" s="680">
        <f t="shared" si="237"/>
        <v>1.5707959468208905</v>
      </c>
      <c r="Q498" s="689">
        <f t="shared" si="259"/>
        <v>105.27510847335098</v>
      </c>
      <c r="R498" s="690">
        <f t="shared" si="260"/>
        <v>1.5612972623592076</v>
      </c>
      <c r="S498" s="677">
        <f t="shared" si="238"/>
        <v>1.1085864022444241</v>
      </c>
      <c r="T498" s="680">
        <f t="shared" si="239"/>
        <v>0.44630147366410117</v>
      </c>
      <c r="U498" s="681">
        <f t="shared" si="251"/>
        <v>0.7035485852110781</v>
      </c>
      <c r="V498" s="682">
        <f t="shared" si="252"/>
        <v>-1.0271561162779987</v>
      </c>
      <c r="W498" s="683">
        <f t="shared" si="240"/>
        <v>-40.009027607636789</v>
      </c>
      <c r="X498" s="684">
        <f t="shared" si="241"/>
        <v>-188.39426096859646</v>
      </c>
      <c r="Y498" s="687">
        <f t="shared" si="242"/>
        <v>-8.3942609685964555</v>
      </c>
      <c r="AA498" s="170">
        <f t="shared" si="243"/>
        <v>63463.25</v>
      </c>
      <c r="AB498" s="170">
        <f t="shared" si="244"/>
        <v>4027584100.5625</v>
      </c>
      <c r="AD498" s="686">
        <f t="shared" si="245"/>
        <v>16.251650862138323</v>
      </c>
      <c r="AE498" s="687">
        <f t="shared" si="246"/>
        <v>-26.115425391844212</v>
      </c>
      <c r="AG498" s="686">
        <f t="shared" si="247"/>
        <v>-11.876165183648705</v>
      </c>
      <c r="AH498" s="687">
        <f t="shared" si="248"/>
        <v>-44.575414714700173</v>
      </c>
      <c r="AJ498" s="170">
        <f t="shared" si="249"/>
        <v>0</v>
      </c>
      <c r="AK498" s="170">
        <f t="shared" si="261"/>
        <v>0</v>
      </c>
      <c r="AM498" s="170" t="str">
        <f t="shared" si="253"/>
        <v>1.16552841344945+0.98620502145391i</v>
      </c>
      <c r="AN498" s="170" t="str">
        <f t="shared" si="254"/>
        <v>1.73709011890542i</v>
      </c>
      <c r="AO498" s="170" t="str">
        <f t="shared" si="255"/>
        <v>0.567733942367561-0.670966002721768i</v>
      </c>
      <c r="AP498" s="170" t="str">
        <f t="shared" si="256"/>
        <v>-0.0275880689082422-0.164367503575652i</v>
      </c>
      <c r="AQ498" s="170" t="str">
        <f t="shared" si="257"/>
        <v>1.02758806890824+0.164367503575652i</v>
      </c>
      <c r="AR498" s="170" t="str">
        <f t="shared" si="258"/>
        <v>0.790413007492433-0.12643024648319i</v>
      </c>
    </row>
    <row r="499" spans="7:44">
      <c r="G499" s="688">
        <v>63830.5</v>
      </c>
      <c r="H499" s="676">
        <f t="shared" si="250"/>
        <v>63.830500000000001</v>
      </c>
      <c r="I499" s="677">
        <f t="shared" si="230"/>
        <v>514.61032652800839</v>
      </c>
      <c r="J499" s="678">
        <f t="shared" si="231"/>
        <v>1.5688531076681114</v>
      </c>
      <c r="K499" s="678">
        <f t="shared" si="232"/>
        <v>1.0038849801132745</v>
      </c>
      <c r="L499" s="679">
        <f t="shared" si="233"/>
        <v>8.8005046570226439E-2</v>
      </c>
      <c r="M499" s="678">
        <f t="shared" si="234"/>
        <v>1.0554360794403326</v>
      </c>
      <c r="N499" s="679">
        <f t="shared" si="235"/>
        <v>-0.32554780953900925</v>
      </c>
      <c r="O499" s="677">
        <f t="shared" si="236"/>
        <v>2646988.4713250794</v>
      </c>
      <c r="P499" s="680">
        <f t="shared" si="237"/>
        <v>1.5707959490070782</v>
      </c>
      <c r="Q499" s="689">
        <f t="shared" si="259"/>
        <v>105.88426109541969</v>
      </c>
      <c r="R499" s="690">
        <f t="shared" si="260"/>
        <v>1.5613519121484662</v>
      </c>
      <c r="S499" s="677">
        <f t="shared" si="238"/>
        <v>1.10978440266905</v>
      </c>
      <c r="T499" s="680">
        <f t="shared" si="239"/>
        <v>0.44855216075997173</v>
      </c>
      <c r="U499" s="681">
        <f t="shared" si="251"/>
        <v>0.70139831653526907</v>
      </c>
      <c r="V499" s="682">
        <f t="shared" si="252"/>
        <v>-1.0316614403372191</v>
      </c>
      <c r="W499" s="683">
        <f t="shared" si="240"/>
        <v>-40.089634429995307</v>
      </c>
      <c r="X499" s="684">
        <f t="shared" si="241"/>
        <v>-188.84995530744106</v>
      </c>
      <c r="Y499" s="687">
        <f t="shared" si="242"/>
        <v>-8.8499553074410642</v>
      </c>
      <c r="AA499" s="170">
        <f t="shared" si="243"/>
        <v>63830.5</v>
      </c>
      <c r="AB499" s="170">
        <f t="shared" si="244"/>
        <v>4074332730.25</v>
      </c>
      <c r="AD499" s="686">
        <f t="shared" si="245"/>
        <v>16.242264976260671</v>
      </c>
      <c r="AE499" s="687">
        <f t="shared" si="246"/>
        <v>-26.241249186569451</v>
      </c>
      <c r="AG499" s="686">
        <f t="shared" si="247"/>
        <v>-11.894211125486795</v>
      </c>
      <c r="AH499" s="687">
        <f t="shared" si="248"/>
        <v>-44.389013150365464</v>
      </c>
      <c r="AJ499" s="170">
        <f t="shared" si="249"/>
        <v>0</v>
      </c>
      <c r="AK499" s="170">
        <f t="shared" si="261"/>
        <v>0</v>
      </c>
      <c r="AM499" s="170" t="str">
        <f t="shared" si="253"/>
        <v>1.17543343014403+0.984491295841615i</v>
      </c>
      <c r="AN499" s="170" t="str">
        <f t="shared" si="254"/>
        <v>1.74714233567919i</v>
      </c>
      <c r="AO499" s="170" t="str">
        <f t="shared" si="255"/>
        <v>0.563486600797697-0.672774854194743i</v>
      </c>
      <c r="AP499" s="170" t="str">
        <f t="shared" si="256"/>
        <v>-0.0292389050240042-0.164081882640269i</v>
      </c>
      <c r="AQ499" s="170" t="str">
        <f t="shared" si="257"/>
        <v>1.029238905024+0.164081882640269i</v>
      </c>
      <c r="AR499" s="170" t="str">
        <f t="shared" si="258"/>
        <v>0.789276499466442-0.125826932235092i</v>
      </c>
    </row>
    <row r="500" spans="7:44">
      <c r="G500" s="688">
        <v>64197.75</v>
      </c>
      <c r="H500" s="676">
        <f t="shared" si="250"/>
        <v>64.197749999999999</v>
      </c>
      <c r="I500" s="677">
        <f t="shared" si="230"/>
        <v>517.57113571502521</v>
      </c>
      <c r="J500" s="678">
        <f t="shared" si="231"/>
        <v>1.5688642240303385</v>
      </c>
      <c r="K500" s="678">
        <f t="shared" si="232"/>
        <v>1.0039297255838993</v>
      </c>
      <c r="L500" s="679">
        <f t="shared" si="233"/>
        <v>8.8508752544031927E-2</v>
      </c>
      <c r="M500" s="678">
        <f t="shared" si="234"/>
        <v>1.0560588349307849</v>
      </c>
      <c r="N500" s="679">
        <f t="shared" si="235"/>
        <v>-0.32729026613766826</v>
      </c>
      <c r="O500" s="677">
        <f t="shared" si="236"/>
        <v>2662217.9700144827</v>
      </c>
      <c r="P500" s="680">
        <f t="shared" si="237"/>
        <v>1.5707959511682532</v>
      </c>
      <c r="Q500" s="689">
        <f t="shared" si="259"/>
        <v>106.49341403010449</v>
      </c>
      <c r="R500" s="690">
        <f t="shared" si="260"/>
        <v>1.5614059367334097</v>
      </c>
      <c r="S500" s="677">
        <f t="shared" si="238"/>
        <v>1.1109880126685099</v>
      </c>
      <c r="T500" s="680">
        <f t="shared" si="239"/>
        <v>0.45079798256240394</v>
      </c>
      <c r="U500" s="681">
        <f t="shared" si="251"/>
        <v>0.6992528373762753</v>
      </c>
      <c r="V500" s="682">
        <f t="shared" si="252"/>
        <v>-1.0361531033066795</v>
      </c>
      <c r="W500" s="683">
        <f t="shared" si="240"/>
        <v>-40.16998393921088</v>
      </c>
      <c r="X500" s="684">
        <f t="shared" si="241"/>
        <v>-189.30450159635504</v>
      </c>
      <c r="Y500" s="687">
        <f t="shared" si="242"/>
        <v>-9.3045015963550384</v>
      </c>
      <c r="AA500" s="170">
        <f t="shared" si="243"/>
        <v>64197.75</v>
      </c>
      <c r="AB500" s="170">
        <f t="shared" si="244"/>
        <v>4121351105.0625</v>
      </c>
      <c r="AD500" s="686">
        <f t="shared" si="245"/>
        <v>16.232845432266792</v>
      </c>
      <c r="AE500" s="687">
        <f t="shared" si="246"/>
        <v>-26.366830040649766</v>
      </c>
      <c r="AG500" s="686">
        <f t="shared" si="247"/>
        <v>-11.911921815605822</v>
      </c>
      <c r="AH500" s="687">
        <f t="shared" si="248"/>
        <v>-44.203271922320397</v>
      </c>
      <c r="AJ500" s="170">
        <f t="shared" si="249"/>
        <v>0</v>
      </c>
      <c r="AK500" s="170">
        <f t="shared" si="261"/>
        <v>0</v>
      </c>
      <c r="AM500" s="170" t="str">
        <f t="shared" si="253"/>
        <v>1.18532071995516+0.982678091113921i</v>
      </c>
      <c r="AN500" s="170" t="str">
        <f t="shared" si="254"/>
        <v>1.75719455245296i</v>
      </c>
      <c r="AO500" s="170" t="str">
        <f t="shared" si="255"/>
        <v>0.559231241493521-0.674552922042985i</v>
      </c>
      <c r="AP500" s="170" t="str">
        <f t="shared" si="256"/>
        <v>-0.0308867866591942-0.16377968185232i</v>
      </c>
      <c r="AQ500" s="170" t="str">
        <f t="shared" si="257"/>
        <v>1.03088678665919+0.16377968185232i</v>
      </c>
      <c r="AR500" s="170" t="str">
        <f t="shared" si="258"/>
        <v>0.788148894885193-0.12521527768813i</v>
      </c>
    </row>
    <row r="501" spans="7:44">
      <c r="G501" s="688">
        <v>64565</v>
      </c>
      <c r="H501" s="676">
        <f t="shared" si="250"/>
        <v>64.564999999999998</v>
      </c>
      <c r="I501" s="677">
        <f t="shared" si="230"/>
        <v>520.53194496527249</v>
      </c>
      <c r="J501" s="678">
        <f t="shared" si="231"/>
        <v>1.5688752139318245</v>
      </c>
      <c r="K501" s="678">
        <f t="shared" si="232"/>
        <v>1.0039747257485385</v>
      </c>
      <c r="L501" s="679">
        <f t="shared" si="233"/>
        <v>8.9012413491388748E-2</v>
      </c>
      <c r="M501" s="678">
        <f t="shared" si="234"/>
        <v>1.0566847929945482</v>
      </c>
      <c r="N501" s="679">
        <f t="shared" si="235"/>
        <v>-0.32903066362524236</v>
      </c>
      <c r="O501" s="677">
        <f t="shared" si="236"/>
        <v>2677447.468703887</v>
      </c>
      <c r="P501" s="680">
        <f t="shared" si="237"/>
        <v>1.5707959533048426</v>
      </c>
      <c r="Q501" s="689">
        <f t="shared" si="259"/>
        <v>107.10256727207133</v>
      </c>
      <c r="R501" s="690">
        <f t="shared" si="260"/>
        <v>1.5614593467813978</v>
      </c>
      <c r="S501" s="677">
        <f t="shared" si="238"/>
        <v>1.1121972140309069</v>
      </c>
      <c r="T501" s="680">
        <f t="shared" si="239"/>
        <v>0.45303893224919523</v>
      </c>
      <c r="U501" s="681">
        <f t="shared" si="251"/>
        <v>0.69711220030653887</v>
      </c>
      <c r="V501" s="682">
        <f t="shared" si="252"/>
        <v>-1.0406312127149588</v>
      </c>
      <c r="W501" s="683">
        <f t="shared" si="240"/>
        <v>-40.250078543379161</v>
      </c>
      <c r="X501" s="684">
        <f t="shared" si="241"/>
        <v>-189.75790473650039</v>
      </c>
      <c r="Y501" s="687">
        <f t="shared" si="242"/>
        <v>-9.757904736500393</v>
      </c>
      <c r="AA501" s="170">
        <f t="shared" si="243"/>
        <v>64565</v>
      </c>
      <c r="AB501" s="170">
        <f t="shared" si="244"/>
        <v>4168639225</v>
      </c>
      <c r="AD501" s="686">
        <f t="shared" si="245"/>
        <v>16.223392491208116</v>
      </c>
      <c r="AE501" s="687">
        <f t="shared" si="246"/>
        <v>-26.492166952031557</v>
      </c>
      <c r="AG501" s="686">
        <f t="shared" si="247"/>
        <v>-11.929301326179107</v>
      </c>
      <c r="AH501" s="687">
        <f t="shared" si="248"/>
        <v>-44.018184611913149</v>
      </c>
      <c r="AJ501" s="170">
        <f t="shared" si="249"/>
        <v>0</v>
      </c>
      <c r="AK501" s="170">
        <f t="shared" si="261"/>
        <v>0</v>
      </c>
      <c r="AM501" s="170" t="str">
        <f t="shared" si="253"/>
        <v>1.1951892838097+0.980765590488297i</v>
      </c>
      <c r="AN501" s="170" t="str">
        <f t="shared" si="254"/>
        <v>1.76724676922673i</v>
      </c>
      <c r="AO501" s="170" t="str">
        <f t="shared" si="255"/>
        <v>0.554968104945207-0.676300166236922i</v>
      </c>
      <c r="AP501" s="170" t="str">
        <f t="shared" si="256"/>
        <v>-0.0325315473016163-0.16346093174805i</v>
      </c>
      <c r="AQ501" s="170" t="str">
        <f t="shared" si="257"/>
        <v>1.03253154730162+0.16346093174805i</v>
      </c>
      <c r="AR501" s="170" t="str">
        <f t="shared" si="258"/>
        <v>0.787030207818194-0.124595409622136i</v>
      </c>
    </row>
    <row r="502" spans="7:44">
      <c r="G502" s="688">
        <v>64941</v>
      </c>
      <c r="H502" s="676">
        <f t="shared" si="250"/>
        <v>64.941000000000003</v>
      </c>
      <c r="I502" s="677">
        <f t="shared" si="230"/>
        <v>523.56329772698643</v>
      </c>
      <c r="J502" s="678">
        <f t="shared" si="231"/>
        <v>1.5688863368999748</v>
      </c>
      <c r="K502" s="678">
        <f t="shared" si="232"/>
        <v>1.0040210619079801</v>
      </c>
      <c r="L502" s="679">
        <f t="shared" si="233"/>
        <v>8.9528027620481732E-2</v>
      </c>
      <c r="M502" s="678">
        <f t="shared" si="234"/>
        <v>1.0573289769652152</v>
      </c>
      <c r="N502" s="679">
        <f t="shared" si="235"/>
        <v>-0.33081038689067455</v>
      </c>
      <c r="O502" s="677">
        <f t="shared" si="236"/>
        <v>2693039.8213443658</v>
      </c>
      <c r="P502" s="680">
        <f t="shared" si="237"/>
        <v>1.5707959554673017</v>
      </c>
      <c r="Q502" s="689">
        <f t="shared" si="259"/>
        <v>107.72623434870816</v>
      </c>
      <c r="R502" s="690">
        <f t="shared" si="260"/>
        <v>1.5615134035747462</v>
      </c>
      <c r="S502" s="677">
        <f t="shared" si="238"/>
        <v>1.1134409992547152</v>
      </c>
      <c r="T502" s="680">
        <f t="shared" si="239"/>
        <v>0.45532821969367093</v>
      </c>
      <c r="U502" s="681">
        <f t="shared" si="251"/>
        <v>0.6949256304191227</v>
      </c>
      <c r="V502" s="682">
        <f t="shared" si="252"/>
        <v>-1.0452020870193666</v>
      </c>
      <c r="W502" s="683">
        <f t="shared" si="240"/>
        <v>-40.331819844804912</v>
      </c>
      <c r="X502" s="684">
        <f t="shared" si="241"/>
        <v>-190.22093136729131</v>
      </c>
      <c r="Y502" s="687">
        <f t="shared" si="242"/>
        <v>-10.220931367291314</v>
      </c>
      <c r="AA502" s="170">
        <f t="shared" si="243"/>
        <v>64941</v>
      </c>
      <c r="AB502" s="170">
        <f t="shared" si="244"/>
        <v>4217333481</v>
      </c>
      <c r="AD502" s="686">
        <f t="shared" si="245"/>
        <v>16.213679998971099</v>
      </c>
      <c r="AE502" s="687">
        <f t="shared" si="246"/>
        <v>-26.620236358625537</v>
      </c>
      <c r="AG502" s="686">
        <f t="shared" si="247"/>
        <v>-11.94675598535888</v>
      </c>
      <c r="AH502" s="687">
        <f t="shared" si="248"/>
        <v>-43.829358222856861</v>
      </c>
      <c r="AJ502" s="170">
        <f t="shared" si="249"/>
        <v>0</v>
      </c>
      <c r="AK502" s="170">
        <f t="shared" si="261"/>
        <v>0</v>
      </c>
      <c r="AM502" s="170" t="str">
        <f t="shared" si="253"/>
        <v>1.20527253161432+0.9787048522229i</v>
      </c>
      <c r="AN502" s="170" t="str">
        <f t="shared" si="254"/>
        <v>1.77753848742126i</v>
      </c>
      <c r="AO502" s="170" t="str">
        <f t="shared" si="255"/>
        <v>0.550595589996334-0.678057066073913i</v>
      </c>
      <c r="AP502" s="170" t="str">
        <f t="shared" si="256"/>
        <v>-0.0342120886023865-0.163117475370483i</v>
      </c>
      <c r="AQ502" s="170" t="str">
        <f t="shared" si="257"/>
        <v>1.03421208860239+0.163117475370483i</v>
      </c>
      <c r="AR502" s="170" t="str">
        <f t="shared" si="258"/>
        <v>0.785894119135646-0.123952394324798i</v>
      </c>
    </row>
    <row r="503" spans="7:44">
      <c r="G503" s="688">
        <v>65317</v>
      </c>
      <c r="H503" s="676">
        <f t="shared" si="250"/>
        <v>65.316999999999993</v>
      </c>
      <c r="I503" s="677">
        <f t="shared" si="230"/>
        <v>526.59465055273017</v>
      </c>
      <c r="J503" s="678">
        <f t="shared" si="231"/>
        <v>1.5688973318089412</v>
      </c>
      <c r="K503" s="678">
        <f t="shared" si="232"/>
        <v>1.0040676649697053</v>
      </c>
      <c r="L503" s="679">
        <f t="shared" si="233"/>
        <v>9.0043594022930898E-2</v>
      </c>
      <c r="M503" s="678">
        <f t="shared" si="234"/>
        <v>1.0579765058509578</v>
      </c>
      <c r="N503" s="679">
        <f t="shared" si="235"/>
        <v>-0.33258793724032559</v>
      </c>
      <c r="O503" s="677">
        <f t="shared" si="236"/>
        <v>2708632.1739848447</v>
      </c>
      <c r="P503" s="680">
        <f t="shared" si="237"/>
        <v>1.5707959576048642</v>
      </c>
      <c r="Q503" s="689">
        <f t="shared" si="259"/>
        <v>108.34990173651191</v>
      </c>
      <c r="R503" s="690">
        <f t="shared" si="260"/>
        <v>1.5615668380611027</v>
      </c>
      <c r="S503" s="677">
        <f t="shared" si="238"/>
        <v>1.1146906068011606</v>
      </c>
      <c r="T503" s="680">
        <f t="shared" si="239"/>
        <v>0.45761238634259443</v>
      </c>
      <c r="U503" s="681">
        <f t="shared" si="251"/>
        <v>0.69274424159716841</v>
      </c>
      <c r="V503" s="682">
        <f t="shared" si="252"/>
        <v>-1.0497589828324401</v>
      </c>
      <c r="W503" s="683">
        <f t="shared" si="240"/>
        <v>-40.41329892942511</v>
      </c>
      <c r="X503" s="684">
        <f t="shared" si="241"/>
        <v>-190.6827702420693</v>
      </c>
      <c r="Y503" s="687">
        <f t="shared" si="242"/>
        <v>-10.682770242069296</v>
      </c>
      <c r="AA503" s="170">
        <f t="shared" si="243"/>
        <v>65317</v>
      </c>
      <c r="AB503" s="170">
        <f t="shared" si="244"/>
        <v>4266310489</v>
      </c>
      <c r="AD503" s="686">
        <f t="shared" si="245"/>
        <v>16.203933051741622</v>
      </c>
      <c r="AE503" s="687">
        <f t="shared" si="246"/>
        <v>-26.748048019384076</v>
      </c>
      <c r="AG503" s="686">
        <f t="shared" si="247"/>
        <v>-11.963871910192612</v>
      </c>
      <c r="AH503" s="687">
        <f t="shared" si="248"/>
        <v>-43.641203640739747</v>
      </c>
      <c r="AJ503" s="170">
        <f t="shared" si="249"/>
        <v>0</v>
      </c>
      <c r="AK503" s="170">
        <f t="shared" si="261"/>
        <v>0</v>
      </c>
      <c r="AM503" s="170" t="str">
        <f t="shared" si="253"/>
        <v>1.21533403725444+0.976540450979734i</v>
      </c>
      <c r="AN503" s="170" t="str">
        <f t="shared" si="254"/>
        <v>1.78783020561578i</v>
      </c>
      <c r="AO503" s="170" t="str">
        <f t="shared" si="255"/>
        <v>0.546215433609024-0.679781577376272i</v>
      </c>
      <c r="AP503" s="170" t="str">
        <f t="shared" si="256"/>
        <v>-0.0358890062090737-0.162756741829956i</v>
      </c>
      <c r="AQ503" s="170" t="str">
        <f t="shared" si="257"/>
        <v>1.03588900620907+0.162756741829956i</v>
      </c>
      <c r="AR503" s="170" t="str">
        <f t="shared" si="258"/>
        <v>0.784767403224174-0.123301034065944i</v>
      </c>
    </row>
    <row r="504" spans="7:44">
      <c r="G504" s="688">
        <v>65693</v>
      </c>
      <c r="H504" s="676">
        <f t="shared" si="250"/>
        <v>65.692999999999998</v>
      </c>
      <c r="I504" s="677">
        <f t="shared" si="230"/>
        <v>529.62600344140412</v>
      </c>
      <c r="J504" s="678">
        <f t="shared" si="231"/>
        <v>1.5689082008575892</v>
      </c>
      <c r="K504" s="678">
        <f t="shared" si="232"/>
        <v>1.0041145348965514</v>
      </c>
      <c r="L504" s="679">
        <f t="shared" si="233"/>
        <v>9.0559112431316591E-2</v>
      </c>
      <c r="M504" s="678">
        <f t="shared" si="234"/>
        <v>1.0586273735138401</v>
      </c>
      <c r="N504" s="679">
        <f t="shared" si="235"/>
        <v>-0.33436330743884596</v>
      </c>
      <c r="O504" s="677">
        <f t="shared" si="236"/>
        <v>2724224.5266253236</v>
      </c>
      <c r="P504" s="680">
        <f t="shared" si="237"/>
        <v>1.5707959597179577</v>
      </c>
      <c r="Q504" s="689">
        <f t="shared" si="259"/>
        <v>108.97356943014003</v>
      </c>
      <c r="R504" s="690">
        <f t="shared" si="260"/>
        <v>1.5616196609247528</v>
      </c>
      <c r="S504" s="677">
        <f t="shared" si="238"/>
        <v>1.1159460171111832</v>
      </c>
      <c r="T504" s="680">
        <f t="shared" si="239"/>
        <v>0.45989142560356849</v>
      </c>
      <c r="U504" s="681">
        <f t="shared" si="251"/>
        <v>0.69056808421237736</v>
      </c>
      <c r="V504" s="682">
        <f t="shared" si="252"/>
        <v>-1.0543020160214234</v>
      </c>
      <c r="W504" s="683">
        <f t="shared" si="240"/>
        <v>-40.4945182531808</v>
      </c>
      <c r="X504" s="684">
        <f t="shared" si="241"/>
        <v>-191.14342673643469</v>
      </c>
      <c r="Y504" s="687">
        <f t="shared" si="242"/>
        <v>-11.143426736434691</v>
      </c>
      <c r="AA504" s="170">
        <f t="shared" si="243"/>
        <v>65693</v>
      </c>
      <c r="AB504" s="170">
        <f t="shared" si="244"/>
        <v>4315570249</v>
      </c>
      <c r="AD504" s="686">
        <f t="shared" si="245"/>
        <v>16.194151928273499</v>
      </c>
      <c r="AE504" s="687">
        <f t="shared" si="246"/>
        <v>-26.875600944450643</v>
      </c>
      <c r="AG504" s="686">
        <f t="shared" si="247"/>
        <v>-11.980653246315843</v>
      </c>
      <c r="AH504" s="687">
        <f t="shared" si="248"/>
        <v>-43.453713953610475</v>
      </c>
      <c r="AJ504" s="170">
        <f t="shared" si="249"/>
        <v>0</v>
      </c>
      <c r="AK504" s="170">
        <f t="shared" si="261"/>
        <v>0</v>
      </c>
      <c r="AM504" s="170" t="str">
        <f t="shared" si="253"/>
        <v>1.22537273503021+0.974272616008992i</v>
      </c>
      <c r="AN504" s="170" t="str">
        <f t="shared" si="254"/>
        <v>1.7981219238103i</v>
      </c>
      <c r="AO504" s="170" t="str">
        <f t="shared" si="255"/>
        <v>0.541827894486968-0.681473663606521i</v>
      </c>
      <c r="AP504" s="170" t="str">
        <f t="shared" si="256"/>
        <v>-0.0375621225050343-0.162378769334832i</v>
      </c>
      <c r="AQ504" s="170" t="str">
        <f t="shared" si="257"/>
        <v>1.03756212250503+0.162378769334832i</v>
      </c>
      <c r="AR504" s="170" t="str">
        <f t="shared" si="258"/>
        <v>0.783650070621868-0.122641460493481i</v>
      </c>
    </row>
    <row r="505" spans="7:44">
      <c r="G505" s="688">
        <v>66069</v>
      </c>
      <c r="H505" s="676">
        <f t="shared" si="250"/>
        <v>66.069000000000003</v>
      </c>
      <c r="I505" s="677">
        <f t="shared" si="230"/>
        <v>532.65735639193406</v>
      </c>
      <c r="J505" s="678">
        <f t="shared" si="231"/>
        <v>1.5689189461947295</v>
      </c>
      <c r="K505" s="678">
        <f t="shared" si="232"/>
        <v>1.0041616716511501</v>
      </c>
      <c r="L505" s="679">
        <f t="shared" si="233"/>
        <v>9.1074582578371005E-2</v>
      </c>
      <c r="M505" s="678">
        <f t="shared" si="234"/>
        <v>1.0592815737994017</v>
      </c>
      <c r="N505" s="679">
        <f t="shared" si="235"/>
        <v>-0.33613649032359655</v>
      </c>
      <c r="O505" s="677">
        <f t="shared" si="236"/>
        <v>2739816.8792658029</v>
      </c>
      <c r="P505" s="680">
        <f t="shared" si="237"/>
        <v>1.570795961807</v>
      </c>
      <c r="Q505" s="689">
        <f t="shared" si="259"/>
        <v>109.59723742437161</v>
      </c>
      <c r="R505" s="690">
        <f t="shared" si="260"/>
        <v>1.5616718826067986</v>
      </c>
      <c r="S505" s="677">
        <f t="shared" si="238"/>
        <v>1.1172072106230158</v>
      </c>
      <c r="T505" s="680">
        <f t="shared" si="239"/>
        <v>0.46216533112681124</v>
      </c>
      <c r="U505" s="681">
        <f t="shared" si="251"/>
        <v>0.68839720666802606</v>
      </c>
      <c r="V505" s="682">
        <f t="shared" si="252"/>
        <v>-1.0588313025747487</v>
      </c>
      <c r="W505" s="683">
        <f t="shared" si="240"/>
        <v>-40.575480231140048</v>
      </c>
      <c r="X505" s="684">
        <f t="shared" si="241"/>
        <v>-191.60290626205432</v>
      </c>
      <c r="Y505" s="687">
        <f t="shared" si="242"/>
        <v>-11.602906262054319</v>
      </c>
      <c r="AA505" s="170">
        <f t="shared" si="243"/>
        <v>66069</v>
      </c>
      <c r="AB505" s="170">
        <f t="shared" si="244"/>
        <v>4365112761</v>
      </c>
      <c r="AD505" s="686">
        <f t="shared" si="245"/>
        <v>16.184336906809531</v>
      </c>
      <c r="AE505" s="687">
        <f t="shared" si="246"/>
        <v>-27.002894171802403</v>
      </c>
      <c r="AG505" s="686">
        <f t="shared" si="247"/>
        <v>-11.997104066599366</v>
      </c>
      <c r="AH505" s="687">
        <f t="shared" si="248"/>
        <v>-43.266882243863513</v>
      </c>
      <c r="AJ505" s="170">
        <f t="shared" si="249"/>
        <v>0</v>
      </c>
      <c r="AK505" s="170">
        <f t="shared" si="261"/>
        <v>0</v>
      </c>
      <c r="AM505" s="170" t="str">
        <f t="shared" si="253"/>
        <v>1.23538756165751+0.971901587516416i</v>
      </c>
      <c r="AN505" s="170" t="str">
        <f t="shared" si="254"/>
        <v>1.80841364200482i</v>
      </c>
      <c r="AO505" s="170" t="str">
        <f t="shared" si="255"/>
        <v>0.53743323150281-0.683133290394752i</v>
      </c>
      <c r="AP505" s="170" t="str">
        <f t="shared" si="256"/>
        <v>-0.0392312602762525-0.161983597919403i</v>
      </c>
      <c r="AQ505" s="170" t="str">
        <f t="shared" si="257"/>
        <v>1.03923126027625+0.161983597919403i</v>
      </c>
      <c r="AR505" s="170" t="str">
        <f t="shared" si="258"/>
        <v>0.782542130418449-0.121973803766257i</v>
      </c>
    </row>
    <row r="506" spans="7:44">
      <c r="G506" s="688">
        <v>66453.75</v>
      </c>
      <c r="H506" s="676">
        <f t="shared" si="250"/>
        <v>66.453749999999999</v>
      </c>
      <c r="I506" s="677">
        <f t="shared" si="230"/>
        <v>535.75925285837138</v>
      </c>
      <c r="J506" s="678">
        <f t="shared" si="231"/>
        <v>1.5689298157168163</v>
      </c>
      <c r="K506" s="678">
        <f t="shared" si="232"/>
        <v>1.0042101815131408</v>
      </c>
      <c r="L506" s="679">
        <f t="shared" si="233"/>
        <v>9.1601998136085216E-2</v>
      </c>
      <c r="M506" s="678">
        <f t="shared" si="234"/>
        <v>1.0599544415799476</v>
      </c>
      <c r="N506" s="679">
        <f t="shared" si="235"/>
        <v>-0.33794866578341121</v>
      </c>
      <c r="O506" s="677">
        <f t="shared" si="236"/>
        <v>2755772.0858573569</v>
      </c>
      <c r="P506" s="680">
        <f t="shared" si="237"/>
        <v>1.5707959639201854</v>
      </c>
      <c r="Q506" s="689">
        <f t="shared" si="259"/>
        <v>110.23541927485635</v>
      </c>
      <c r="R506" s="690">
        <f t="shared" si="260"/>
        <v>1.5617247078685881</v>
      </c>
      <c r="S506" s="677">
        <f t="shared" si="238"/>
        <v>1.1185037199506571</v>
      </c>
      <c r="T506" s="680">
        <f t="shared" si="239"/>
        <v>0.4644868326323206</v>
      </c>
      <c r="U506" s="681">
        <f t="shared" si="251"/>
        <v>0.68618132407168031</v>
      </c>
      <c r="V506" s="682">
        <f t="shared" si="252"/>
        <v>-1.0634518823063261</v>
      </c>
      <c r="W506" s="683">
        <f t="shared" si="240"/>
        <v>-40.658062376813284</v>
      </c>
      <c r="X506" s="684">
        <f t="shared" si="241"/>
        <v>-192.07186577285549</v>
      </c>
      <c r="Y506" s="687">
        <f t="shared" si="242"/>
        <v>-12.071865772855489</v>
      </c>
      <c r="AA506" s="170">
        <f t="shared" si="243"/>
        <v>66453.75</v>
      </c>
      <c r="AB506" s="170">
        <f t="shared" si="244"/>
        <v>4416100889.0625</v>
      </c>
      <c r="AD506" s="686">
        <f t="shared" si="245"/>
        <v>16.174258676526794</v>
      </c>
      <c r="AE506" s="687">
        <f t="shared" si="246"/>
        <v>-27.132879866874291</v>
      </c>
      <c r="AG506" s="686">
        <f t="shared" si="247"/>
        <v>-12.01359974986744</v>
      </c>
      <c r="AH506" s="687">
        <f t="shared" si="248"/>
        <v>-43.076376623941648</v>
      </c>
      <c r="AJ506" s="170">
        <f t="shared" si="249"/>
        <v>0</v>
      </c>
      <c r="AK506" s="170">
        <f t="shared" si="261"/>
        <v>0</v>
      </c>
      <c r="AM506" s="170" t="str">
        <f t="shared" si="253"/>
        <v>1.24560962863241+0.969368820585359i</v>
      </c>
      <c r="AN506" s="170" t="str">
        <f t="shared" si="254"/>
        <v>1.81894486162009i</v>
      </c>
      <c r="AO506" s="170" t="str">
        <f t="shared" si="255"/>
        <v>0.53292919485309-0.684797903946894i</v>
      </c>
      <c r="AP506" s="170" t="str">
        <f t="shared" si="256"/>
        <v>-0.0409349381054013-0.16156147009756i</v>
      </c>
      <c r="AQ506" s="170" t="str">
        <f t="shared" si="257"/>
        <v>1.0409349381054+0.16156147009756i</v>
      </c>
      <c r="AR506" s="170" t="str">
        <f t="shared" si="258"/>
        <v>0.781418137843171-0.12128237653414i</v>
      </c>
    </row>
    <row r="507" spans="7:44">
      <c r="G507" s="688">
        <v>66838.5</v>
      </c>
      <c r="H507" s="676">
        <f t="shared" si="250"/>
        <v>66.838499999999996</v>
      </c>
      <c r="I507" s="677">
        <f t="shared" si="230"/>
        <v>538.86114938737819</v>
      </c>
      <c r="J507" s="678">
        <f t="shared" si="231"/>
        <v>1.5689405601004236</v>
      </c>
      <c r="K507" s="678">
        <f t="shared" si="232"/>
        <v>1.0042589706864045</v>
      </c>
      <c r="L507" s="679">
        <f t="shared" si="233"/>
        <v>9.2129362594400577E-2</v>
      </c>
      <c r="M507" s="678">
        <f t="shared" si="234"/>
        <v>1.0606307858063579</v>
      </c>
      <c r="N507" s="679">
        <f t="shared" si="235"/>
        <v>-0.33975853600035238</v>
      </c>
      <c r="O507" s="677">
        <f t="shared" si="236"/>
        <v>2771727.2924489104</v>
      </c>
      <c r="P507" s="680">
        <f t="shared" si="237"/>
        <v>1.570795966009042</v>
      </c>
      <c r="Q507" s="689">
        <f t="shared" si="259"/>
        <v>110.87360142941272</v>
      </c>
      <c r="R507" s="690">
        <f t="shared" si="260"/>
        <v>1.561776925012107</v>
      </c>
      <c r="S507" s="677">
        <f t="shared" si="238"/>
        <v>1.1198062433304361</v>
      </c>
      <c r="T507" s="680">
        <f t="shared" si="239"/>
        <v>0.46680294600110483</v>
      </c>
      <c r="U507" s="681">
        <f t="shared" si="251"/>
        <v>0.68397106629732551</v>
      </c>
      <c r="V507" s="682">
        <f t="shared" si="252"/>
        <v>-1.068058314193151</v>
      </c>
      <c r="W507" s="683">
        <f t="shared" si="240"/>
        <v>-40.740380050116983</v>
      </c>
      <c r="X507" s="684">
        <f t="shared" si="241"/>
        <v>-192.53960447277012</v>
      </c>
      <c r="Y507" s="687">
        <f t="shared" si="242"/>
        <v>-12.539604472770122</v>
      </c>
      <c r="AA507" s="170">
        <f t="shared" si="243"/>
        <v>66838.5</v>
      </c>
      <c r="AB507" s="170">
        <f t="shared" si="244"/>
        <v>4467385082.25</v>
      </c>
      <c r="AD507" s="686">
        <f t="shared" si="245"/>
        <v>16.164145539941728</v>
      </c>
      <c r="AE507" s="687">
        <f t="shared" si="246"/>
        <v>-27.262591685668475</v>
      </c>
      <c r="AG507" s="686">
        <f t="shared" si="247"/>
        <v>-12.029757756616501</v>
      </c>
      <c r="AH507" s="687">
        <f t="shared" si="248"/>
        <v>-42.886545292999834</v>
      </c>
      <c r="AJ507" s="170">
        <f t="shared" si="249"/>
        <v>0</v>
      </c>
      <c r="AK507" s="170">
        <f t="shared" si="261"/>
        <v>0</v>
      </c>
      <c r="AM507" s="170" t="str">
        <f t="shared" si="253"/>
        <v>1.25580445613351+0.966728545260891i</v>
      </c>
      <c r="AN507" s="170" t="str">
        <f t="shared" si="254"/>
        <v>1.82947608123536i</v>
      </c>
      <c r="AO507" s="170" t="str">
        <f t="shared" si="255"/>
        <v>0.528418247812294-0.686428463872304i</v>
      </c>
      <c r="AP507" s="170" t="str">
        <f t="shared" si="256"/>
        <v>-0.042634076022252-0.161121424210148i</v>
      </c>
      <c r="AQ507" s="170" t="str">
        <f t="shared" si="257"/>
        <v>1.04263407602225+0.161121424210148i</v>
      </c>
      <c r="AR507" s="170" t="str">
        <f t="shared" si="258"/>
        <v>0.780303994701469-0.12058275653412i</v>
      </c>
    </row>
    <row r="508" spans="7:44">
      <c r="G508" s="688">
        <v>67223.25</v>
      </c>
      <c r="H508" s="676">
        <f t="shared" si="250"/>
        <v>67.223249999999993</v>
      </c>
      <c r="I508" s="677">
        <f t="shared" si="230"/>
        <v>541.96304597788003</v>
      </c>
      <c r="J508" s="678">
        <f t="shared" si="231"/>
        <v>1.568951181494219</v>
      </c>
      <c r="K508" s="678">
        <f t="shared" si="232"/>
        <v>1.0043080391302348</v>
      </c>
      <c r="L508" s="679">
        <f t="shared" si="233"/>
        <v>9.2656675667451643E-2</v>
      </c>
      <c r="M508" s="678">
        <f t="shared" si="234"/>
        <v>1.0613105998323009</v>
      </c>
      <c r="N508" s="679">
        <f t="shared" si="235"/>
        <v>-0.34156609353606182</v>
      </c>
      <c r="O508" s="677">
        <f t="shared" si="236"/>
        <v>2787682.4990404644</v>
      </c>
      <c r="P508" s="680">
        <f t="shared" si="237"/>
        <v>1.5707959680739876</v>
      </c>
      <c r="Q508" s="689">
        <f t="shared" si="259"/>
        <v>111.51178388282013</v>
      </c>
      <c r="R508" s="690">
        <f t="shared" si="260"/>
        <v>1.5618285444778588</v>
      </c>
      <c r="S508" s="677">
        <f t="shared" si="238"/>
        <v>1.1211147598007782</v>
      </c>
      <c r="T508" s="680">
        <f t="shared" si="239"/>
        <v>0.46911366520749281</v>
      </c>
      <c r="U508" s="681">
        <f t="shared" si="251"/>
        <v>0.68176647903783627</v>
      </c>
      <c r="V508" s="682">
        <f t="shared" si="252"/>
        <v>-1.0726507227920021</v>
      </c>
      <c r="W508" s="683">
        <f t="shared" si="240"/>
        <v>-40.822435713259615</v>
      </c>
      <c r="X508" s="684">
        <f t="shared" si="241"/>
        <v>-193.00612826825954</v>
      </c>
      <c r="Y508" s="687">
        <f t="shared" si="242"/>
        <v>-13.006128268259545</v>
      </c>
      <c r="AA508" s="170">
        <f t="shared" si="243"/>
        <v>67223.25</v>
      </c>
      <c r="AB508" s="170">
        <f t="shared" si="244"/>
        <v>4518965340.5625</v>
      </c>
      <c r="AD508" s="686">
        <f t="shared" si="245"/>
        <v>16.153997793397846</v>
      </c>
      <c r="AE508" s="687">
        <f t="shared" si="246"/>
        <v>-27.392028684766583</v>
      </c>
      <c r="AG508" s="686">
        <f t="shared" si="247"/>
        <v>-12.045582223417203</v>
      </c>
      <c r="AH508" s="687">
        <f t="shared" si="248"/>
        <v>-42.697380827762267</v>
      </c>
      <c r="AJ508" s="170">
        <f t="shared" si="249"/>
        <v>0</v>
      </c>
      <c r="AK508" s="170">
        <f t="shared" si="261"/>
        <v>0</v>
      </c>
      <c r="AM508" s="170" t="str">
        <f t="shared" si="253"/>
        <v>1.26597091349776+0.963981054364228i</v>
      </c>
      <c r="AN508" s="170" t="str">
        <f t="shared" si="254"/>
        <v>1.84000730085063i</v>
      </c>
      <c r="AO508" s="170" t="str">
        <f t="shared" si="255"/>
        <v>0.523900668175927-0.688024940396978i</v>
      </c>
      <c r="AP508" s="170" t="str">
        <f t="shared" si="256"/>
        <v>-0.0443284855829595-0.160663509060705i</v>
      </c>
      <c r="AQ508" s="170" t="str">
        <f t="shared" si="257"/>
        <v>1.04432848558296+0.160663509060705i</v>
      </c>
      <c r="AR508" s="170" t="str">
        <f t="shared" si="258"/>
        <v>0.77919970630946-0.119875078390557i</v>
      </c>
    </row>
    <row r="509" spans="7:44">
      <c r="G509" s="688">
        <v>67608</v>
      </c>
      <c r="H509" s="676">
        <f t="shared" si="250"/>
        <v>67.608000000000004</v>
      </c>
      <c r="I509" s="677">
        <f t="shared" si="230"/>
        <v>545.06494262882688</v>
      </c>
      <c r="J509" s="678">
        <f t="shared" si="231"/>
        <v>1.5689616819979588</v>
      </c>
      <c r="K509" s="678">
        <f t="shared" si="232"/>
        <v>1.0043573868036997</v>
      </c>
      <c r="L509" s="679">
        <f t="shared" si="233"/>
        <v>9.3183937069543005E-2</v>
      </c>
      <c r="M509" s="678">
        <f t="shared" si="234"/>
        <v>1.0619938769944095</v>
      </c>
      <c r="N509" s="679">
        <f t="shared" si="235"/>
        <v>-0.34337133103162754</v>
      </c>
      <c r="O509" s="677">
        <f t="shared" si="236"/>
        <v>2803637.7056320184</v>
      </c>
      <c r="P509" s="680">
        <f t="shared" si="237"/>
        <v>1.5707959701154306</v>
      </c>
      <c r="Q509" s="689">
        <f t="shared" si="259"/>
        <v>112.1499666299768</v>
      </c>
      <c r="R509" s="690">
        <f t="shared" si="260"/>
        <v>1.5618795764687161</v>
      </c>
      <c r="S509" s="677">
        <f t="shared" si="238"/>
        <v>1.1224292484016338</v>
      </c>
      <c r="T509" s="680">
        <f t="shared" si="239"/>
        <v>0.47141898448425962</v>
      </c>
      <c r="U509" s="681">
        <f t="shared" si="251"/>
        <v>0.67956760598329902</v>
      </c>
      <c r="V509" s="682">
        <f t="shared" si="252"/>
        <v>-1.0772292327179673</v>
      </c>
      <c r="W509" s="683">
        <f t="shared" si="240"/>
        <v>-40.904231788565198</v>
      </c>
      <c r="X509" s="684">
        <f t="shared" si="241"/>
        <v>-193.47144309928825</v>
      </c>
      <c r="Y509" s="687">
        <f t="shared" si="242"/>
        <v>-13.471443099288251</v>
      </c>
      <c r="AA509" s="170">
        <f t="shared" si="243"/>
        <v>67608</v>
      </c>
      <c r="AB509" s="170">
        <f t="shared" si="244"/>
        <v>4570841664</v>
      </c>
      <c r="AD509" s="686">
        <f t="shared" si="245"/>
        <v>16.143815732599649</v>
      </c>
      <c r="AE509" s="687">
        <f t="shared" si="246"/>
        <v>-27.521189949172868</v>
      </c>
      <c r="AG509" s="686">
        <f t="shared" si="247"/>
        <v>-12.061077213212609</v>
      </c>
      <c r="AH509" s="687">
        <f t="shared" si="248"/>
        <v>-42.508875803352062</v>
      </c>
      <c r="AJ509" s="170">
        <f t="shared" si="249"/>
        <v>0</v>
      </c>
      <c r="AK509" s="170">
        <f t="shared" si="261"/>
        <v>0</v>
      </c>
      <c r="AM509" s="170" t="str">
        <f t="shared" si="253"/>
        <v>1.27610787320848+0.961126652607392i</v>
      </c>
      <c r="AN509" s="170" t="str">
        <f t="shared" si="254"/>
        <v>1.8505385204659i</v>
      </c>
      <c r="AO509" s="170" t="str">
        <f t="shared" si="255"/>
        <v>0.519376733841463-0.689587306124923i</v>
      </c>
      <c r="AP509" s="170" t="str">
        <f t="shared" si="256"/>
        <v>-0.04601797886808-0.160187775434565i</v>
      </c>
      <c r="AQ509" s="170" t="str">
        <f t="shared" si="257"/>
        <v>1.04601797886808+0.160187775434565i</v>
      </c>
      <c r="AR509" s="170" t="str">
        <f t="shared" si="258"/>
        <v>0.778105276586211-0.11915947510302i</v>
      </c>
    </row>
    <row r="510" spans="7:44">
      <c r="G510" s="688">
        <v>68001.75</v>
      </c>
      <c r="H510" s="676">
        <f t="shared" si="250"/>
        <v>68.001750000000001</v>
      </c>
      <c r="I510" s="677">
        <f t="shared" si="230"/>
        <v>548.23939832727297</v>
      </c>
      <c r="J510" s="678">
        <f t="shared" si="231"/>
        <v>1.5689723051037148</v>
      </c>
      <c r="K510" s="678">
        <f t="shared" si="232"/>
        <v>1.0044081778693215</v>
      </c>
      <c r="L510" s="679">
        <f t="shared" si="233"/>
        <v>9.372347827564588E-2</v>
      </c>
      <c r="M510" s="678">
        <f t="shared" si="234"/>
        <v>1.0626967158748402</v>
      </c>
      <c r="N510" s="679">
        <f t="shared" si="235"/>
        <v>-0.34521638662982362</v>
      </c>
      <c r="O510" s="677">
        <f t="shared" si="236"/>
        <v>2819966.1334303925</v>
      </c>
      <c r="P510" s="680">
        <f t="shared" si="237"/>
        <v>1.5707959721807088</v>
      </c>
      <c r="Q510" s="689">
        <f t="shared" si="259"/>
        <v>112.80307792746336</v>
      </c>
      <c r="R510" s="690">
        <f t="shared" si="260"/>
        <v>1.5619312043452904</v>
      </c>
      <c r="S510" s="677">
        <f t="shared" si="238"/>
        <v>1.1237806467190457</v>
      </c>
      <c r="T510" s="680">
        <f t="shared" si="239"/>
        <v>0.47377263273143033</v>
      </c>
      <c r="U510" s="681">
        <f t="shared" si="251"/>
        <v>0.6773232570945249</v>
      </c>
      <c r="V510" s="682">
        <f t="shared" si="252"/>
        <v>-1.0819005822137642</v>
      </c>
      <c r="W510" s="683">
        <f t="shared" si="240"/>
        <v>-40.987674942042609</v>
      </c>
      <c r="X510" s="684">
        <f t="shared" si="241"/>
        <v>-193.94639700437639</v>
      </c>
      <c r="Y510" s="687">
        <f t="shared" si="242"/>
        <v>-13.946397004376394</v>
      </c>
      <c r="AA510" s="170">
        <f t="shared" si="243"/>
        <v>68001.75</v>
      </c>
      <c r="AB510" s="170">
        <f t="shared" si="244"/>
        <v>4624238003.0625</v>
      </c>
      <c r="AD510" s="686">
        <f t="shared" si="245"/>
        <v>16.13336027514698</v>
      </c>
      <c r="AE510" s="687">
        <f t="shared" si="246"/>
        <v>-27.653086119243603</v>
      </c>
      <c r="AG510" s="686">
        <f t="shared" si="247"/>
        <v>-12.076597694842032</v>
      </c>
      <c r="AH510" s="687">
        <f t="shared" si="248"/>
        <v>-42.316636316278327</v>
      </c>
      <c r="AJ510" s="170">
        <f t="shared" si="249"/>
        <v>0</v>
      </c>
      <c r="AK510" s="170">
        <f t="shared" si="261"/>
        <v>0</v>
      </c>
      <c r="AM510" s="170" t="str">
        <f t="shared" si="253"/>
        <v>1.28645024099922+0.958095120241977i</v>
      </c>
      <c r="AN510" s="170" t="str">
        <f t="shared" si="254"/>
        <v>1.86131608439966i</v>
      </c>
      <c r="AO510" s="170" t="str">
        <f t="shared" si="255"/>
        <v>0.514740687125689-0.691150875330315i</v>
      </c>
      <c r="AP510" s="170" t="str">
        <f t="shared" si="256"/>
        <v>-0.0477417068332035-0.159682520040329i</v>
      </c>
      <c r="AQ510" s="170" t="str">
        <f t="shared" si="257"/>
        <v>1.0477417068332+0.159682520040329i</v>
      </c>
      <c r="AR510" s="170" t="str">
        <f t="shared" si="258"/>
        <v>0.776995456123554-0.118419064245045i</v>
      </c>
    </row>
    <row r="511" spans="7:44">
      <c r="G511" s="688">
        <v>68395.5</v>
      </c>
      <c r="H511" s="676">
        <f t="shared" si="250"/>
        <v>68.395499999999998</v>
      </c>
      <c r="I511" s="677">
        <f t="shared" si="230"/>
        <v>551.41385408687574</v>
      </c>
      <c r="J511" s="678">
        <f t="shared" si="231"/>
        <v>1.5689828058963344</v>
      </c>
      <c r="K511" s="678">
        <f t="shared" si="232"/>
        <v>1.0044592612932786</v>
      </c>
      <c r="L511" s="679">
        <f t="shared" si="233"/>
        <v>9.4262964760275764E-2</v>
      </c>
      <c r="M511" s="678">
        <f t="shared" si="234"/>
        <v>1.0634031676302322</v>
      </c>
      <c r="N511" s="679">
        <f t="shared" si="235"/>
        <v>-0.34705899703827325</v>
      </c>
      <c r="O511" s="677">
        <f t="shared" si="236"/>
        <v>2836294.5612287661</v>
      </c>
      <c r="P511" s="680">
        <f t="shared" si="237"/>
        <v>1.5707959742222077</v>
      </c>
      <c r="Q511" s="689">
        <f t="shared" si="259"/>
        <v>113.45618952215789</v>
      </c>
      <c r="R511" s="690">
        <f t="shared" si="260"/>
        <v>1.5619822378293102</v>
      </c>
      <c r="S511" s="677">
        <f t="shared" si="238"/>
        <v>1.1251382554246372</v>
      </c>
      <c r="T511" s="680">
        <f t="shared" si="239"/>
        <v>0.47612061406492912</v>
      </c>
      <c r="U511" s="681">
        <f t="shared" si="251"/>
        <v>0.67508497919495714</v>
      </c>
      <c r="V511" s="682">
        <f t="shared" si="252"/>
        <v>-1.0865576393936371</v>
      </c>
      <c r="W511" s="683">
        <f t="shared" si="240"/>
        <v>-41.070851231452188</v>
      </c>
      <c r="X511" s="684">
        <f t="shared" si="241"/>
        <v>-194.42009741289758</v>
      </c>
      <c r="Y511" s="687">
        <f t="shared" si="242"/>
        <v>-14.420097412897576</v>
      </c>
      <c r="AA511" s="170">
        <f t="shared" si="243"/>
        <v>68395.5</v>
      </c>
      <c r="AB511" s="170">
        <f t="shared" si="244"/>
        <v>4677944420.25</v>
      </c>
      <c r="AD511" s="686">
        <f t="shared" si="245"/>
        <v>16.122869503832927</v>
      </c>
      <c r="AE511" s="687">
        <f t="shared" si="246"/>
        <v>-27.784691653900058</v>
      </c>
      <c r="AG511" s="686">
        <f t="shared" si="247"/>
        <v>-12.09178148514804</v>
      </c>
      <c r="AH511" s="687">
        <f t="shared" si="248"/>
        <v>-42.125071746817667</v>
      </c>
      <c r="AJ511" s="170">
        <f t="shared" si="249"/>
        <v>0</v>
      </c>
      <c r="AK511" s="170">
        <f t="shared" si="261"/>
        <v>0</v>
      </c>
      <c r="AM511" s="170" t="str">
        <f t="shared" si="253"/>
        <v>1.29675933623097+0.954952300567812i</v>
      </c>
      <c r="AN511" s="170" t="str">
        <f t="shared" si="254"/>
        <v>1.87209364833342i</v>
      </c>
      <c r="AO511" s="170" t="str">
        <f t="shared" si="255"/>
        <v>0.510098574084652-0.692678668818397i</v>
      </c>
      <c r="AP511" s="170" t="str">
        <f t="shared" si="256"/>
        <v>-0.0494598893718278-0.159158716761302i</v>
      </c>
      <c r="AQ511" s="170" t="str">
        <f t="shared" si="257"/>
        <v>1.04945988937183+0.159158716761302i</v>
      </c>
      <c r="AR511" s="170" t="str">
        <f t="shared" si="258"/>
        <v>0.77589596497017-0.117670629793047i</v>
      </c>
    </row>
    <row r="512" spans="7:44">
      <c r="G512" s="688">
        <v>68789.25</v>
      </c>
      <c r="H512" s="676">
        <f t="shared" si="250"/>
        <v>68.789249999999996</v>
      </c>
      <c r="I512" s="677">
        <f t="shared" si="230"/>
        <v>554.58830990658475</v>
      </c>
      <c r="J512" s="678">
        <f t="shared" si="231"/>
        <v>1.5689931864761717</v>
      </c>
      <c r="K512" s="678">
        <f t="shared" si="232"/>
        <v>1.004510637030968</v>
      </c>
      <c r="L512" s="679">
        <f t="shared" si="233"/>
        <v>9.4802396217774795E-2</v>
      </c>
      <c r="M512" s="678">
        <f t="shared" si="234"/>
        <v>1.0641132250649552</v>
      </c>
      <c r="N512" s="679">
        <f t="shared" si="235"/>
        <v>-0.34889915462735754</v>
      </c>
      <c r="O512" s="677">
        <f t="shared" si="236"/>
        <v>2852622.9890271402</v>
      </c>
      <c r="P512" s="680">
        <f t="shared" si="237"/>
        <v>1.5707959762403354</v>
      </c>
      <c r="Q512" s="689">
        <f t="shared" si="259"/>
        <v>114.10930140895711</v>
      </c>
      <c r="R512" s="690">
        <f t="shared" si="260"/>
        <v>1.5620326871266388</v>
      </c>
      <c r="S512" s="677">
        <f t="shared" si="238"/>
        <v>1.1265020520649824</v>
      </c>
      <c r="T512" s="680">
        <f t="shared" si="239"/>
        <v>0.47846292313121691</v>
      </c>
      <c r="U512" s="681">
        <f t="shared" si="251"/>
        <v>0.67285281284696474</v>
      </c>
      <c r="V512" s="682">
        <f t="shared" si="252"/>
        <v>-1.0912005379019591</v>
      </c>
      <c r="W512" s="683">
        <f t="shared" si="240"/>
        <v>-41.153763130754641</v>
      </c>
      <c r="X512" s="684">
        <f t="shared" si="241"/>
        <v>-194.89255079135506</v>
      </c>
      <c r="Y512" s="687">
        <f t="shared" si="242"/>
        <v>-14.892550791355063</v>
      </c>
      <c r="AA512" s="170">
        <f t="shared" si="243"/>
        <v>68789.25</v>
      </c>
      <c r="AB512" s="170">
        <f t="shared" si="244"/>
        <v>4731960915.5625</v>
      </c>
      <c r="AD512" s="686">
        <f t="shared" si="245"/>
        <v>16.11234373340038</v>
      </c>
      <c r="AE512" s="687">
        <f t="shared" si="246"/>
        <v>-27.916005661677506</v>
      </c>
      <c r="AG512" s="686">
        <f t="shared" si="247"/>
        <v>-12.106632708802616</v>
      </c>
      <c r="AH512" s="687">
        <f t="shared" si="248"/>
        <v>-41.934174138420886</v>
      </c>
      <c r="AJ512" s="170">
        <f t="shared" si="249"/>
        <v>0</v>
      </c>
      <c r="AK512" s="170">
        <f t="shared" si="261"/>
        <v>0</v>
      </c>
      <c r="AM512" s="170" t="str">
        <f t="shared" si="253"/>
        <v>1.30703396145323+0.951698558638361i</v>
      </c>
      <c r="AN512" s="170" t="str">
        <f t="shared" si="254"/>
        <v>1.88287121226718i</v>
      </c>
      <c r="AO512" s="170" t="str">
        <f t="shared" si="255"/>
        <v>0.505450692770651-0.69417066495983i</v>
      </c>
      <c r="AP512" s="170" t="str">
        <f t="shared" si="256"/>
        <v>-0.0511723269088723-0.158616426439727i</v>
      </c>
      <c r="AQ512" s="170" t="str">
        <f t="shared" si="257"/>
        <v>1.05117232690887+0.158616426439727i</v>
      </c>
      <c r="AR512" s="170" t="str">
        <f t="shared" si="258"/>
        <v>0.774806803081389-0.116914309043272i</v>
      </c>
    </row>
    <row r="513" spans="7:44">
      <c r="G513" s="688">
        <v>69183</v>
      </c>
      <c r="H513" s="676">
        <f t="shared" si="250"/>
        <v>69.183000000000007</v>
      </c>
      <c r="I513" s="677">
        <f t="shared" si="230"/>
        <v>557.7627657853742</v>
      </c>
      <c r="J513" s="678">
        <f t="shared" si="231"/>
        <v>1.5690034488957645</v>
      </c>
      <c r="K513" s="678">
        <f t="shared" si="232"/>
        <v>1.0045623050375412</v>
      </c>
      <c r="L513" s="679">
        <f t="shared" si="233"/>
        <v>9.5341772342675463E-2</v>
      </c>
      <c r="M513" s="678">
        <f t="shared" si="234"/>
        <v>1.0648268809658945</v>
      </c>
      <c r="N513" s="679">
        <f t="shared" si="235"/>
        <v>-0.35073685185420145</v>
      </c>
      <c r="O513" s="677">
        <f t="shared" si="236"/>
        <v>2868951.4168255143</v>
      </c>
      <c r="P513" s="680">
        <f t="shared" si="237"/>
        <v>1.5707959782354912</v>
      </c>
      <c r="Q513" s="689">
        <f t="shared" si="259"/>
        <v>114.76241358287392</v>
      </c>
      <c r="R513" s="690">
        <f t="shared" si="260"/>
        <v>1.5620825622108254</v>
      </c>
      <c r="S513" s="677">
        <f t="shared" si="238"/>
        <v>1.1278720141931604</v>
      </c>
      <c r="T513" s="680">
        <f t="shared" si="239"/>
        <v>0.48079955485155068</v>
      </c>
      <c r="U513" s="681">
        <f t="shared" si="251"/>
        <v>0.67062679658282953</v>
      </c>
      <c r="V513" s="682">
        <f t="shared" si="252"/>
        <v>-1.0958294113738603</v>
      </c>
      <c r="W513" s="683">
        <f t="shared" si="240"/>
        <v>-41.236413075023307</v>
      </c>
      <c r="X513" s="684">
        <f t="shared" si="241"/>
        <v>-195.36376363699668</v>
      </c>
      <c r="Y513" s="687">
        <f t="shared" si="242"/>
        <v>-15.36376363699668</v>
      </c>
      <c r="AA513" s="170">
        <f t="shared" si="243"/>
        <v>69183</v>
      </c>
      <c r="AB513" s="170">
        <f t="shared" si="244"/>
        <v>4786287489</v>
      </c>
      <c r="AD513" s="686">
        <f t="shared" si="245"/>
        <v>16.101783277809353</v>
      </c>
      <c r="AE513" s="687">
        <f t="shared" si="246"/>
        <v>-28.047027280165988</v>
      </c>
      <c r="AG513" s="686">
        <f t="shared" si="247"/>
        <v>-12.121155415935608</v>
      </c>
      <c r="AH513" s="687">
        <f t="shared" si="248"/>
        <v>-41.743935537287882</v>
      </c>
      <c r="AJ513" s="170">
        <f t="shared" si="249"/>
        <v>0</v>
      </c>
      <c r="AK513" s="170">
        <f t="shared" si="261"/>
        <v>0</v>
      </c>
      <c r="AM513" s="170" t="str">
        <f t="shared" si="253"/>
        <v>1.31727292321939+0.948334272391241i</v>
      </c>
      <c r="AN513" s="170" t="str">
        <f t="shared" si="254"/>
        <v>1.89364877620093i</v>
      </c>
      <c r="AO513" s="170" t="str">
        <f t="shared" si="255"/>
        <v>0.500797341254488-0.695626844732065i</v>
      </c>
      <c r="AP513" s="170" t="str">
        <f t="shared" si="256"/>
        <v>-0.0528788205365645-0.158055712065207i</v>
      </c>
      <c r="AQ513" s="170" t="str">
        <f t="shared" si="257"/>
        <v>1.05287882053656+0.158055712065207i</v>
      </c>
      <c r="AR513" s="170" t="str">
        <f t="shared" si="258"/>
        <v>0.773727969079296-0.116150237531868i</v>
      </c>
    </row>
    <row r="514" spans="7:44">
      <c r="G514" s="688">
        <v>69586</v>
      </c>
      <c r="H514" s="676">
        <f t="shared" si="250"/>
        <v>69.585999999999999</v>
      </c>
      <c r="I514" s="677">
        <f t="shared" si="230"/>
        <v>561.01179624335259</v>
      </c>
      <c r="J514" s="678">
        <f t="shared" si="231"/>
        <v>1.569013832137486</v>
      </c>
      <c r="K514" s="678">
        <f t="shared" si="232"/>
        <v>1.0046154894336723</v>
      </c>
      <c r="L514" s="679">
        <f t="shared" si="233"/>
        <v>9.589376190947442E-2</v>
      </c>
      <c r="M514" s="678">
        <f t="shared" si="234"/>
        <v>1.0655610208330313</v>
      </c>
      <c r="N514" s="679">
        <f t="shared" si="235"/>
        <v>-0.35261516486037014</v>
      </c>
      <c r="O514" s="677">
        <f t="shared" si="236"/>
        <v>2885663.4330864535</v>
      </c>
      <c r="P514" s="680">
        <f t="shared" si="237"/>
        <v>1.5707959802541362</v>
      </c>
      <c r="Q514" s="689">
        <f t="shared" si="259"/>
        <v>115.43086900167596</v>
      </c>
      <c r="R514" s="690">
        <f t="shared" si="260"/>
        <v>1.5621330245295726</v>
      </c>
      <c r="S514" s="677">
        <f t="shared" si="238"/>
        <v>1.1292805205897753</v>
      </c>
      <c r="T514" s="680">
        <f t="shared" si="239"/>
        <v>0.48318519488703132</v>
      </c>
      <c r="U514" s="681">
        <f t="shared" si="251"/>
        <v>0.66835489322663866</v>
      </c>
      <c r="V514" s="682">
        <f t="shared" si="252"/>
        <v>-1.1005526429503125</v>
      </c>
      <c r="W514" s="683">
        <f t="shared" si="240"/>
        <v>-41.320735880588245</v>
      </c>
      <c r="X514" s="684">
        <f t="shared" si="241"/>
        <v>-195.84476846705505</v>
      </c>
      <c r="Y514" s="687">
        <f t="shared" si="242"/>
        <v>-15.844768467055047</v>
      </c>
      <c r="AA514" s="170">
        <f t="shared" si="243"/>
        <v>69586</v>
      </c>
      <c r="AB514" s="170">
        <f t="shared" si="244"/>
        <v>4842211396</v>
      </c>
      <c r="AD514" s="686">
        <f t="shared" si="245"/>
        <v>16.090939145169926</v>
      </c>
      <c r="AE514" s="687">
        <f t="shared" si="246"/>
        <v>-28.180823223560537</v>
      </c>
      <c r="AG514" s="686">
        <f t="shared" si="247"/>
        <v>-12.135683258069236</v>
      </c>
      <c r="AH514" s="687">
        <f t="shared" si="248"/>
        <v>-41.549901953346001</v>
      </c>
      <c r="AJ514" s="170">
        <f t="shared" si="249"/>
        <v>0</v>
      </c>
      <c r="AK514" s="170">
        <f t="shared" si="261"/>
        <v>0</v>
      </c>
      <c r="AM514" s="170" t="str">
        <f t="shared" si="253"/>
        <v>1.32771424815729+0.944776889828866i</v>
      </c>
      <c r="AN514" s="170" t="str">
        <f t="shared" si="254"/>
        <v>1.90467952735091i</v>
      </c>
      <c r="AO514" s="170" t="str">
        <f t="shared" si="255"/>
        <v>0.496029319505992-0.69708012770207i</v>
      </c>
      <c r="AP514" s="170" t="str">
        <f t="shared" si="256"/>
        <v>-0.0546190413595475-0.157462814971478i</v>
      </c>
      <c r="AQ514" s="170" t="str">
        <f t="shared" si="257"/>
        <v>1.05461904135955+0.157462814971478i</v>
      </c>
      <c r="AR514" s="170" t="str">
        <f t="shared" si="258"/>
        <v>0.772634482924979-0.115360329990402i</v>
      </c>
    </row>
    <row r="515" spans="7:44">
      <c r="G515" s="688">
        <v>69989</v>
      </c>
      <c r="H515" s="676">
        <f t="shared" si="250"/>
        <v>69.989000000000004</v>
      </c>
      <c r="I515" s="677">
        <f t="shared" si="230"/>
        <v>564.2608267611181</v>
      </c>
      <c r="J515" s="678">
        <f t="shared" si="231"/>
        <v>1.5690240958051833</v>
      </c>
      <c r="K515" s="678">
        <f t="shared" si="232"/>
        <v>1.0046689798961279</v>
      </c>
      <c r="L515" s="679">
        <f t="shared" si="233"/>
        <v>9.6445692866506255E-2</v>
      </c>
      <c r="M515" s="678">
        <f t="shared" si="234"/>
        <v>1.0662989148787914</v>
      </c>
      <c r="N515" s="679">
        <f t="shared" si="235"/>
        <v>-0.35449088483783886</v>
      </c>
      <c r="O515" s="677">
        <f t="shared" si="236"/>
        <v>2902375.4493473927</v>
      </c>
      <c r="P515" s="680">
        <f t="shared" si="237"/>
        <v>1.5707959822495345</v>
      </c>
      <c r="Q515" s="689">
        <f t="shared" si="259"/>
        <v>116.09932471103167</v>
      </c>
      <c r="R515" s="690">
        <f t="shared" si="260"/>
        <v>1.5621829057628076</v>
      </c>
      <c r="S515" s="677">
        <f t="shared" si="238"/>
        <v>1.1306954380025527</v>
      </c>
      <c r="T515" s="680">
        <f t="shared" si="239"/>
        <v>0.48556487780498875</v>
      </c>
      <c r="U515" s="681">
        <f t="shared" si="251"/>
        <v>0.66608950764290931</v>
      </c>
      <c r="V515" s="682">
        <f t="shared" si="252"/>
        <v>-1.1052614659579481</v>
      </c>
      <c r="W515" s="683">
        <f t="shared" si="240"/>
        <v>-41.404789320475487</v>
      </c>
      <c r="X515" s="684">
        <f t="shared" si="241"/>
        <v>-196.32448765905795</v>
      </c>
      <c r="Y515" s="687">
        <f t="shared" si="242"/>
        <v>-16.324487659057951</v>
      </c>
      <c r="AA515" s="170">
        <f t="shared" si="243"/>
        <v>69989</v>
      </c>
      <c r="AB515" s="170">
        <f t="shared" si="244"/>
        <v>4898460121</v>
      </c>
      <c r="AD515" s="686">
        <f t="shared" si="245"/>
        <v>16.080059341476726</v>
      </c>
      <c r="AE515" s="687">
        <f t="shared" si="246"/>
        <v>-28.314311141678033</v>
      </c>
      <c r="AG515" s="686">
        <f t="shared" si="247"/>
        <v>-12.149875319436727</v>
      </c>
      <c r="AH515" s="687">
        <f t="shared" si="248"/>
        <v>-41.356541856991612</v>
      </c>
      <c r="AJ515" s="170">
        <f t="shared" si="249"/>
        <v>0</v>
      </c>
      <c r="AK515" s="170">
        <f t="shared" si="261"/>
        <v>0</v>
      </c>
      <c r="AM515" s="170" t="str">
        <f t="shared" si="253"/>
        <v>1.33811569805861+0.941104550369586i</v>
      </c>
      <c r="AN515" s="170" t="str">
        <f t="shared" si="254"/>
        <v>1.91571027850089i</v>
      </c>
      <c r="AO515" s="170" t="str">
        <f t="shared" si="255"/>
        <v>0.4912561992965-0.698495859773604i</v>
      </c>
      <c r="AP515" s="170" t="str">
        <f t="shared" si="256"/>
        <v>-0.0563526163431012-0.156850758394931i</v>
      </c>
      <c r="AQ515" s="170" t="str">
        <f t="shared" si="257"/>
        <v>1.0563526163431+0.156850758394931i</v>
      </c>
      <c r="AR515" s="170" t="str">
        <f t="shared" si="258"/>
        <v>0.771551808611177-0.114562584926033i</v>
      </c>
    </row>
    <row r="516" spans="7:44">
      <c r="G516" s="688">
        <v>70392</v>
      </c>
      <c r="H516" s="676">
        <f t="shared" si="250"/>
        <v>70.391999999999996</v>
      </c>
      <c r="I516" s="677">
        <f t="shared" si="230"/>
        <v>567.50985733764389</v>
      </c>
      <c r="J516" s="678">
        <f t="shared" si="231"/>
        <v>1.5690342419525611</v>
      </c>
      <c r="K516" s="678">
        <f t="shared" si="232"/>
        <v>1.0047227763760236</v>
      </c>
      <c r="L516" s="679">
        <f t="shared" si="233"/>
        <v>9.6997564886891915E-2</v>
      </c>
      <c r="M516" s="678">
        <f t="shared" si="234"/>
        <v>1.0670405553147562</v>
      </c>
      <c r="N516" s="679">
        <f t="shared" si="235"/>
        <v>-0.35636400398104806</v>
      </c>
      <c r="O516" s="677">
        <f t="shared" si="236"/>
        <v>2919087.4656083314</v>
      </c>
      <c r="P516" s="680">
        <f t="shared" si="237"/>
        <v>1.5707959842220851</v>
      </c>
      <c r="Q516" s="689">
        <f t="shared" si="259"/>
        <v>116.76778070595105</v>
      </c>
      <c r="R516" s="690">
        <f t="shared" si="260"/>
        <v>1.5622322158898334</v>
      </c>
      <c r="S516" s="677">
        <f t="shared" si="238"/>
        <v>1.1321167423940641</v>
      </c>
      <c r="T516" s="680">
        <f t="shared" si="239"/>
        <v>0.48793859903982734</v>
      </c>
      <c r="U516" s="681">
        <f t="shared" si="251"/>
        <v>0.66383067480395452</v>
      </c>
      <c r="V516" s="682">
        <f t="shared" si="252"/>
        <v>-1.109956023534264</v>
      </c>
      <c r="W516" s="683">
        <f t="shared" si="240"/>
        <v>-41.488575886179653</v>
      </c>
      <c r="X516" s="684">
        <f t="shared" si="241"/>
        <v>-196.80292827001321</v>
      </c>
      <c r="Y516" s="687">
        <f t="shared" si="242"/>
        <v>-16.802928270013211</v>
      </c>
      <c r="AA516" s="170">
        <f t="shared" si="243"/>
        <v>70392</v>
      </c>
      <c r="AB516" s="170">
        <f t="shared" si="244"/>
        <v>4955033664</v>
      </c>
      <c r="AD516" s="686">
        <f t="shared" si="245"/>
        <v>16.069144200664841</v>
      </c>
      <c r="AE516" s="687">
        <f t="shared" si="246"/>
        <v>-28.447490201180031</v>
      </c>
      <c r="AG516" s="686">
        <f t="shared" si="247"/>
        <v>-12.163735709304166</v>
      </c>
      <c r="AH516" s="687">
        <f t="shared" si="248"/>
        <v>-41.163846736222013</v>
      </c>
      <c r="AJ516" s="170">
        <f t="shared" si="249"/>
        <v>0</v>
      </c>
      <c r="AK516" s="170">
        <f t="shared" si="261"/>
        <v>0</v>
      </c>
      <c r="AM516" s="170" t="str">
        <f t="shared" si="253"/>
        <v>1.34847600731406+0.937317700849849i</v>
      </c>
      <c r="AN516" s="170" t="str">
        <f t="shared" si="254"/>
        <v>1.92674102965087i</v>
      </c>
      <c r="AO516" s="170" t="str">
        <f t="shared" si="255"/>
        <v>0.48647830010642-0.69987402902735i</v>
      </c>
      <c r="AP516" s="170" t="str">
        <f t="shared" si="256"/>
        <v>-0.0580793345523442-0.156219616808308i</v>
      </c>
      <c r="AQ516" s="170" t="str">
        <f t="shared" si="257"/>
        <v>1.05807933455234+0.156219616808308i</v>
      </c>
      <c r="AR516" s="170" t="str">
        <f t="shared" si="258"/>
        <v>0.770479940633156-0.113757141977566i</v>
      </c>
    </row>
    <row r="517" spans="7:44">
      <c r="G517" s="688">
        <v>70795</v>
      </c>
      <c r="H517" s="676">
        <f t="shared" si="250"/>
        <v>70.795000000000002</v>
      </c>
      <c r="I517" s="677">
        <f t="shared" si="230"/>
        <v>570.75888797192636</v>
      </c>
      <c r="J517" s="678">
        <f t="shared" si="231"/>
        <v>1.5690442725865617</v>
      </c>
      <c r="K517" s="678">
        <f t="shared" si="232"/>
        <v>1.0047768788242066</v>
      </c>
      <c r="L517" s="679">
        <f t="shared" si="233"/>
        <v>9.7549377643965748E-2</v>
      </c>
      <c r="M517" s="678">
        <f t="shared" si="234"/>
        <v>1.0677859343346578</v>
      </c>
      <c r="N517" s="679">
        <f t="shared" si="235"/>
        <v>-0.35823451457907013</v>
      </c>
      <c r="O517" s="677">
        <f t="shared" si="236"/>
        <v>2935799.4818692706</v>
      </c>
      <c r="P517" s="680">
        <f t="shared" si="237"/>
        <v>1.5707959861721783</v>
      </c>
      <c r="Q517" s="689">
        <f t="shared" si="259"/>
        <v>117.4362369815578</v>
      </c>
      <c r="R517" s="690">
        <f t="shared" si="260"/>
        <v>1.5622809646627522</v>
      </c>
      <c r="S517" s="677">
        <f t="shared" si="238"/>
        <v>1.1335444097392058</v>
      </c>
      <c r="T517" s="680">
        <f t="shared" si="239"/>
        <v>0.49030635431752811</v>
      </c>
      <c r="U517" s="681">
        <f t="shared" si="251"/>
        <v>0.66157842763247843</v>
      </c>
      <c r="V517" s="682">
        <f t="shared" si="252"/>
        <v>-1.1146364587355062</v>
      </c>
      <c r="W517" s="683">
        <f t="shared" si="240"/>
        <v>-41.572098031319996</v>
      </c>
      <c r="X517" s="684">
        <f t="shared" si="241"/>
        <v>-197.28009738472704</v>
      </c>
      <c r="Y517" s="687">
        <f t="shared" si="242"/>
        <v>-17.280097384727043</v>
      </c>
      <c r="AA517" s="170">
        <f t="shared" si="243"/>
        <v>70795</v>
      </c>
      <c r="AB517" s="170">
        <f t="shared" si="244"/>
        <v>5011932025</v>
      </c>
      <c r="AD517" s="686">
        <f t="shared" si="245"/>
        <v>16.058194055725345</v>
      </c>
      <c r="AE517" s="687">
        <f t="shared" si="246"/>
        <v>-28.580359598451373</v>
      </c>
      <c r="AG517" s="686">
        <f t="shared" si="247"/>
        <v>-12.177268461433563</v>
      </c>
      <c r="AH517" s="687">
        <f t="shared" si="248"/>
        <v>-40.97180808642036</v>
      </c>
      <c r="AJ517" s="170">
        <f t="shared" si="249"/>
        <v>0</v>
      </c>
      <c r="AK517" s="170">
        <f t="shared" si="261"/>
        <v>0</v>
      </c>
      <c r="AM517" s="170" t="str">
        <f t="shared" si="253"/>
        <v>1.35879391532022+0.933416802039255i</v>
      </c>
      <c r="AN517" s="170" t="str">
        <f t="shared" si="254"/>
        <v>1.93777178080085i</v>
      </c>
      <c r="AO517" s="170" t="str">
        <f t="shared" si="255"/>
        <v>0.481695941331899-0.701214626398704i</v>
      </c>
      <c r="AP517" s="170" t="str">
        <f t="shared" si="256"/>
        <v>-0.0597989858867027-0.155569467006543i</v>
      </c>
      <c r="AQ517" s="170" t="str">
        <f t="shared" si="257"/>
        <v>1.0597989858867+0.155569467006543i</v>
      </c>
      <c r="AR517" s="170" t="str">
        <f t="shared" si="258"/>
        <v>0.769418872229915-0.112944138890108i</v>
      </c>
    </row>
    <row r="518" spans="7:44">
      <c r="G518" s="688">
        <v>71207.25</v>
      </c>
      <c r="H518" s="676">
        <f t="shared" si="250"/>
        <v>71.207250000000002</v>
      </c>
      <c r="I518" s="677">
        <f t="shared" si="230"/>
        <v>574.08249318943115</v>
      </c>
      <c r="J518" s="678">
        <f t="shared" si="231"/>
        <v>1.5690544159762034</v>
      </c>
      <c r="K518" s="678">
        <f t="shared" si="232"/>
        <v>1.0048325396095847</v>
      </c>
      <c r="L518" s="679">
        <f t="shared" si="233"/>
        <v>9.8113794418790645E-2</v>
      </c>
      <c r="M518" s="678">
        <f t="shared" si="234"/>
        <v>1.0685522820583255</v>
      </c>
      <c r="N518" s="679">
        <f t="shared" si="235"/>
        <v>-0.3601452517499294</v>
      </c>
      <c r="O518" s="677">
        <f t="shared" si="236"/>
        <v>2952895.0865927748</v>
      </c>
      <c r="P518" s="680">
        <f t="shared" si="237"/>
        <v>1.5707959881441926</v>
      </c>
      <c r="Q518" s="689">
        <f t="shared" si="259"/>
        <v>118.12003652165198</v>
      </c>
      <c r="R518" s="690">
        <f t="shared" si="260"/>
        <v>1.5623302614662855</v>
      </c>
      <c r="S518" s="677">
        <f t="shared" si="238"/>
        <v>1.1350114047910316</v>
      </c>
      <c r="T518" s="680">
        <f t="shared" si="239"/>
        <v>0.49272227925012141</v>
      </c>
      <c r="U518" s="681">
        <f t="shared" si="251"/>
        <v>0.65928133132556377</v>
      </c>
      <c r="V518" s="682">
        <f t="shared" si="252"/>
        <v>-1.1194098600116666</v>
      </c>
      <c r="W518" s="683">
        <f t="shared" si="240"/>
        <v>-41.657266173631797</v>
      </c>
      <c r="X518" s="684">
        <f t="shared" si="241"/>
        <v>-197.7669106987714</v>
      </c>
      <c r="Y518" s="687">
        <f t="shared" si="242"/>
        <v>-17.766910698771397</v>
      </c>
      <c r="AA518" s="170">
        <f t="shared" si="243"/>
        <v>71207.25</v>
      </c>
      <c r="AB518" s="170">
        <f t="shared" si="244"/>
        <v>5070472452.5625</v>
      </c>
      <c r="AD518" s="686">
        <f t="shared" si="245"/>
        <v>16.046956701365154</v>
      </c>
      <c r="AE518" s="687">
        <f t="shared" si="246"/>
        <v>-28.715957515066478</v>
      </c>
      <c r="AG518" s="686">
        <f t="shared" si="247"/>
        <v>-12.190776952500253</v>
      </c>
      <c r="AH518" s="687">
        <f t="shared" si="248"/>
        <v>-40.776031989131873</v>
      </c>
      <c r="AJ518" s="170">
        <f t="shared" si="249"/>
        <v>0</v>
      </c>
      <c r="AK518" s="170">
        <f t="shared" si="261"/>
        <v>0</v>
      </c>
      <c r="AM518" s="170" t="str">
        <f t="shared" si="253"/>
        <v>1.36930346758931+0.929308855454691i</v>
      </c>
      <c r="AN518" s="170" t="str">
        <f t="shared" si="254"/>
        <v>1.94905571916705i</v>
      </c>
      <c r="AO518" s="170" t="str">
        <f t="shared" si="255"/>
        <v>0.476799532366289-0.702547112493273i</v>
      </c>
      <c r="AP518" s="170" t="str">
        <f t="shared" si="256"/>
        <v>-0.0615505779315525-0.154884809242448i</v>
      </c>
      <c r="AQ518" s="170" t="str">
        <f t="shared" si="257"/>
        <v>1.06155057793155+0.154884809242448i</v>
      </c>
      <c r="AR518" s="170" t="str">
        <f t="shared" si="258"/>
        <v>0.768344615205991-0.112104794281706i</v>
      </c>
    </row>
    <row r="519" spans="7:44">
      <c r="G519" s="688">
        <v>71619.5</v>
      </c>
      <c r="H519" s="676">
        <f t="shared" si="250"/>
        <v>71.619500000000002</v>
      </c>
      <c r="I519" s="677">
        <f t="shared" si="230"/>
        <v>577.40609846532243</v>
      </c>
      <c r="J519" s="678">
        <f t="shared" si="231"/>
        <v>1.569064442593185</v>
      </c>
      <c r="K519" s="678">
        <f t="shared" si="232"/>
        <v>1.0048885204652218</v>
      </c>
      <c r="L519" s="679">
        <f t="shared" si="233"/>
        <v>9.8678148487732889E-2</v>
      </c>
      <c r="M519" s="678">
        <f t="shared" si="234"/>
        <v>1.0693225253771752</v>
      </c>
      <c r="N519" s="679">
        <f t="shared" si="235"/>
        <v>-0.36205324323357352</v>
      </c>
      <c r="O519" s="677">
        <f t="shared" si="236"/>
        <v>2969990.6913162787</v>
      </c>
      <c r="P519" s="680">
        <f t="shared" si="237"/>
        <v>1.5707959900935047</v>
      </c>
      <c r="Q519" s="689">
        <f t="shared" si="259"/>
        <v>118.80383634549413</v>
      </c>
      <c r="R519" s="690">
        <f t="shared" si="260"/>
        <v>1.5623789907942278</v>
      </c>
      <c r="S519" s="677">
        <f t="shared" si="238"/>
        <v>1.1364850074311788</v>
      </c>
      <c r="T519" s="680">
        <f t="shared" si="239"/>
        <v>0.4951319530865696</v>
      </c>
      <c r="U519" s="681">
        <f t="shared" si="251"/>
        <v>0.65699118978913074</v>
      </c>
      <c r="V519" s="682">
        <f t="shared" si="252"/>
        <v>-1.1241687856786073</v>
      </c>
      <c r="W519" s="683">
        <f t="shared" si="240"/>
        <v>-41.742162695121195</v>
      </c>
      <c r="X519" s="684">
        <f t="shared" si="241"/>
        <v>-198.2524085586418</v>
      </c>
      <c r="Y519" s="687">
        <f t="shared" si="242"/>
        <v>-18.252408558641804</v>
      </c>
      <c r="AA519" s="170">
        <f t="shared" si="243"/>
        <v>71619.5</v>
      </c>
      <c r="AB519" s="170">
        <f t="shared" si="244"/>
        <v>5129352780.25</v>
      </c>
      <c r="AD519" s="686">
        <f t="shared" si="245"/>
        <v>16.035683419338692</v>
      </c>
      <c r="AE519" s="687">
        <f t="shared" si="246"/>
        <v>-28.851229782910384</v>
      </c>
      <c r="AG519" s="686">
        <f t="shared" si="247"/>
        <v>-12.203950896262354</v>
      </c>
      <c r="AH519" s="687">
        <f t="shared" si="248"/>
        <v>-40.580924869070877</v>
      </c>
      <c r="AJ519" s="170">
        <f t="shared" si="249"/>
        <v>0</v>
      </c>
      <c r="AK519" s="170">
        <f t="shared" si="261"/>
        <v>0</v>
      </c>
      <c r="AM519" s="170" t="str">
        <f t="shared" si="253"/>
        <v>1.37976599795685+0.925082583770682i</v>
      </c>
      <c r="AN519" s="170" t="str">
        <f t="shared" si="254"/>
        <v>1.96033965753325i</v>
      </c>
      <c r="AO519" s="170" t="str">
        <f t="shared" si="255"/>
        <v>0.471899132487448-0.703840272095014i</v>
      </c>
      <c r="AP519" s="170" t="str">
        <f t="shared" si="256"/>
        <v>-0.0632943329928077-0.154180430628447i</v>
      </c>
      <c r="AQ519" s="170" t="str">
        <f t="shared" si="257"/>
        <v>1.06329433299281+0.154180430628447i</v>
      </c>
      <c r="AR519" s="170" t="str">
        <f t="shared" si="258"/>
        <v>0.767281641083939-0.111257824070829i</v>
      </c>
    </row>
    <row r="520" spans="7:44">
      <c r="G520" s="688">
        <v>72031.75</v>
      </c>
      <c r="H520" s="676">
        <f t="shared" si="250"/>
        <v>72.031750000000002</v>
      </c>
      <c r="I520" s="677">
        <f t="shared" si="230"/>
        <v>580.7297037985976</v>
      </c>
      <c r="J520" s="678">
        <f t="shared" si="231"/>
        <v>1.5690743544424284</v>
      </c>
      <c r="K520" s="678">
        <f t="shared" si="232"/>
        <v>1.0049448213376293</v>
      </c>
      <c r="L520" s="679">
        <f t="shared" si="233"/>
        <v>9.9242439501813343E-2</v>
      </c>
      <c r="M520" s="678">
        <f t="shared" si="234"/>
        <v>1.0700966558791927</v>
      </c>
      <c r="N520" s="679">
        <f t="shared" si="235"/>
        <v>-0.36395848108216095</v>
      </c>
      <c r="O520" s="677">
        <f t="shared" si="236"/>
        <v>2987086.2960397825</v>
      </c>
      <c r="P520" s="680">
        <f t="shared" si="237"/>
        <v>1.5707959920205041</v>
      </c>
      <c r="Q520" s="689">
        <f t="shared" si="259"/>
        <v>119.4876364482128</v>
      </c>
      <c r="R520" s="690">
        <f t="shared" si="260"/>
        <v>1.5624271623889405</v>
      </c>
      <c r="S520" s="677">
        <f t="shared" si="238"/>
        <v>1.1379651919902518</v>
      </c>
      <c r="T520" s="680">
        <f t="shared" si="239"/>
        <v>0.49753537218209487</v>
      </c>
      <c r="U520" s="681">
        <f t="shared" si="251"/>
        <v>0.65470803189028093</v>
      </c>
      <c r="V520" s="682">
        <f t="shared" si="252"/>
        <v>-1.128913388502998</v>
      </c>
      <c r="W520" s="683">
        <f t="shared" si="240"/>
        <v>-41.826790106419466</v>
      </c>
      <c r="X520" s="684">
        <f t="shared" si="241"/>
        <v>-198.73659862971024</v>
      </c>
      <c r="Y520" s="687">
        <f t="shared" si="242"/>
        <v>-18.736598629710244</v>
      </c>
      <c r="AA520" s="170">
        <f t="shared" si="243"/>
        <v>72031.75</v>
      </c>
      <c r="AB520" s="170">
        <f t="shared" si="244"/>
        <v>5188573008.0625</v>
      </c>
      <c r="AD520" s="686">
        <f t="shared" si="245"/>
        <v>16.024374562898636</v>
      </c>
      <c r="AE520" s="687">
        <f t="shared" si="246"/>
        <v>-28.986175634978803</v>
      </c>
      <c r="AG520" s="686">
        <f t="shared" si="247"/>
        <v>-12.216794375018615</v>
      </c>
      <c r="AH520" s="687">
        <f t="shared" si="248"/>
        <v>-40.386477652842743</v>
      </c>
      <c r="AJ520" s="170">
        <f t="shared" si="249"/>
        <v>0</v>
      </c>
      <c r="AK520" s="170">
        <f t="shared" si="261"/>
        <v>0</v>
      </c>
      <c r="AM520" s="170" t="str">
        <f t="shared" si="253"/>
        <v>1.39018017427157+0.920738525101133i</v>
      </c>
      <c r="AN520" s="170" t="str">
        <f t="shared" si="254"/>
        <v>1.97162359589945i</v>
      </c>
      <c r="AO520" s="170" t="str">
        <f t="shared" si="255"/>
        <v>0.466995083146737-0.705094104758557i</v>
      </c>
      <c r="AP520" s="170" t="str">
        <f t="shared" si="256"/>
        <v>-0.0650300290452612-0.153456420850189i</v>
      </c>
      <c r="AQ520" s="170" t="str">
        <f t="shared" si="257"/>
        <v>1.06503002904526+0.153456420850189i</v>
      </c>
      <c r="AR520" s="170" t="str">
        <f t="shared" si="258"/>
        <v>0.766229938866513-0.110403369632799i</v>
      </c>
    </row>
    <row r="521" spans="7:44">
      <c r="G521" s="688">
        <v>72444</v>
      </c>
      <c r="H521" s="676">
        <f t="shared" si="250"/>
        <v>72.444000000000003</v>
      </c>
      <c r="I521" s="677">
        <f t="shared" si="230"/>
        <v>584.05330918827701</v>
      </c>
      <c r="J521" s="678">
        <f t="shared" si="231"/>
        <v>1.5690841534832181</v>
      </c>
      <c r="K521" s="678">
        <f t="shared" si="232"/>
        <v>1.0050014421730242</v>
      </c>
      <c r="L521" s="679">
        <f t="shared" si="233"/>
        <v>9.9806667112291483E-2</v>
      </c>
      <c r="M521" s="678">
        <f t="shared" si="234"/>
        <v>1.0708746651342962</v>
      </c>
      <c r="N521" s="679">
        <f t="shared" si="235"/>
        <v>-0.36586095745073749</v>
      </c>
      <c r="O521" s="677">
        <f t="shared" si="236"/>
        <v>3004181.9007632863</v>
      </c>
      <c r="P521" s="680">
        <f t="shared" si="237"/>
        <v>1.570795993925572</v>
      </c>
      <c r="Q521" s="689">
        <f t="shared" si="259"/>
        <v>120.17143682504732</v>
      </c>
      <c r="R521" s="690">
        <f t="shared" si="260"/>
        <v>1.5624747857710513</v>
      </c>
      <c r="S521" s="677">
        <f t="shared" si="238"/>
        <v>1.1394519328178805</v>
      </c>
      <c r="T521" s="680">
        <f t="shared" si="239"/>
        <v>0.49993253319985442</v>
      </c>
      <c r="U521" s="681">
        <f t="shared" si="251"/>
        <v>0.65243188444025935</v>
      </c>
      <c r="V521" s="682">
        <f t="shared" si="252"/>
        <v>-1.133643821094608</v>
      </c>
      <c r="W521" s="683">
        <f t="shared" si="240"/>
        <v>-41.911150881404986</v>
      </c>
      <c r="X521" s="684">
        <f t="shared" si="241"/>
        <v>-199.21948860197276</v>
      </c>
      <c r="Y521" s="687">
        <f t="shared" si="242"/>
        <v>-19.219488601972756</v>
      </c>
      <c r="AA521" s="170">
        <f t="shared" si="243"/>
        <v>72444</v>
      </c>
      <c r="AB521" s="170">
        <f t="shared" si="244"/>
        <v>5248133136</v>
      </c>
      <c r="AD521" s="686">
        <f t="shared" si="245"/>
        <v>16.013030484176593</v>
      </c>
      <c r="AE521" s="687">
        <f t="shared" si="246"/>
        <v>-29.1207943346148</v>
      </c>
      <c r="AG521" s="686">
        <f t="shared" si="247"/>
        <v>-12.229311394739739</v>
      </c>
      <c r="AH521" s="687">
        <f t="shared" si="248"/>
        <v>-40.192681279309099</v>
      </c>
      <c r="AJ521" s="170">
        <f t="shared" si="249"/>
        <v>0</v>
      </c>
      <c r="AK521" s="170">
        <f t="shared" si="261"/>
        <v>0</v>
      </c>
      <c r="AM521" s="170" t="str">
        <f t="shared" si="253"/>
        <v>1.40054467053896+0.916277232557285i</v>
      </c>
      <c r="AN521" s="170" t="str">
        <f t="shared" si="254"/>
        <v>1.98290753426565i</v>
      </c>
      <c r="AO521" s="170" t="str">
        <f t="shared" si="255"/>
        <v>0.462087725586569-0.706308613153582i</v>
      </c>
      <c r="AP521" s="170" t="str">
        <f t="shared" si="256"/>
        <v>-0.0667574450898263-0.152712872092881i</v>
      </c>
      <c r="AQ521" s="170" t="str">
        <f t="shared" si="257"/>
        <v>1.06675744508983+0.152712872092881i</v>
      </c>
      <c r="AR521" s="170" t="str">
        <f t="shared" si="258"/>
        <v>0.76518949639351-0.109541570323625i</v>
      </c>
    </row>
    <row r="522" spans="7:44">
      <c r="G522" s="688">
        <v>72865.75</v>
      </c>
      <c r="H522" s="676">
        <f t="shared" si="250"/>
        <v>72.865750000000006</v>
      </c>
      <c r="I522" s="677">
        <f t="shared" si="230"/>
        <v>587.4535046928213</v>
      </c>
      <c r="J522" s="678">
        <f t="shared" si="231"/>
        <v>1.5690940635945552</v>
      </c>
      <c r="K522" s="678">
        <f t="shared" si="232"/>
        <v>1.0050596988457177</v>
      </c>
      <c r="L522" s="679">
        <f t="shared" si="233"/>
        <v>0.10038383096026593</v>
      </c>
      <c r="M522" s="678">
        <f t="shared" si="234"/>
        <v>1.0716746080923847</v>
      </c>
      <c r="N522" s="679">
        <f t="shared" si="235"/>
        <v>-0.3678044092564548</v>
      </c>
      <c r="O522" s="677">
        <f t="shared" si="236"/>
        <v>3021671.4612051006</v>
      </c>
      <c r="P522" s="680">
        <f t="shared" si="237"/>
        <v>1.5707959958522337</v>
      </c>
      <c r="Q522" s="689">
        <f t="shared" si="259"/>
        <v>120.87099516069431</v>
      </c>
      <c r="R522" s="690">
        <f t="shared" si="260"/>
        <v>1.5625229489932855</v>
      </c>
      <c r="S522" s="677">
        <f t="shared" si="238"/>
        <v>1.1409796924111129</v>
      </c>
      <c r="T522" s="680">
        <f t="shared" si="239"/>
        <v>0.50237845582321872</v>
      </c>
      <c r="U522" s="681">
        <f t="shared" si="251"/>
        <v>0.65011056532224676</v>
      </c>
      <c r="V522" s="682">
        <f t="shared" si="252"/>
        <v>-1.1384687581970816</v>
      </c>
      <c r="W522" s="683">
        <f t="shared" si="240"/>
        <v>-41.997182307361527</v>
      </c>
      <c r="X522" s="684">
        <f t="shared" si="241"/>
        <v>-199.71216908041802</v>
      </c>
      <c r="Y522" s="687">
        <f t="shared" si="242"/>
        <v>-19.712169080418022</v>
      </c>
      <c r="AA522" s="170">
        <f t="shared" si="243"/>
        <v>72865.75</v>
      </c>
      <c r="AB522" s="170">
        <f t="shared" si="244"/>
        <v>5309417523.0625</v>
      </c>
      <c r="AD522" s="686">
        <f t="shared" si="245"/>
        <v>16.001388906306641</v>
      </c>
      <c r="AE522" s="687">
        <f t="shared" si="246"/>
        <v>-29.258175939133942</v>
      </c>
      <c r="AG522" s="686">
        <f t="shared" si="247"/>
        <v>-12.241783128684649</v>
      </c>
      <c r="AH522" s="687">
        <f t="shared" si="248"/>
        <v>-39.995083087827837</v>
      </c>
      <c r="AJ522" s="170">
        <f t="shared" si="249"/>
        <v>0</v>
      </c>
      <c r="AK522" s="170">
        <f t="shared" si="261"/>
        <v>0</v>
      </c>
      <c r="AM522" s="170" t="str">
        <f t="shared" si="253"/>
        <v>1.41109522246333+0.911592407859909i</v>
      </c>
      <c r="AN522" s="170" t="str">
        <f t="shared" si="254"/>
        <v>1.99445150274581i</v>
      </c>
      <c r="AO522" s="170" t="str">
        <f t="shared" si="255"/>
        <v>0.457064213697298-0.707510421045907i</v>
      </c>
      <c r="AP522" s="170" t="str">
        <f t="shared" si="256"/>
        <v>-0.0685158704105545-0.151932067976652i</v>
      </c>
      <c r="AQ522" s="170" t="str">
        <f t="shared" si="257"/>
        <v>1.06851587041055+0.151932067976652i</v>
      </c>
      <c r="AR522" s="170" t="str">
        <f t="shared" si="258"/>
        <v>0.76413671578048-0.108652453988174i</v>
      </c>
    </row>
    <row r="523" spans="7:44">
      <c r="G523" s="688">
        <v>73287.5</v>
      </c>
      <c r="H523" s="676">
        <f t="shared" si="250"/>
        <v>73.287499999999994</v>
      </c>
      <c r="I523" s="677">
        <f t="shared" si="230"/>
        <v>590.85370025439556</v>
      </c>
      <c r="J523" s="678">
        <f t="shared" si="231"/>
        <v>1.5691038596461302</v>
      </c>
      <c r="K523" s="678">
        <f t="shared" si="232"/>
        <v>1.0051182902831204</v>
      </c>
      <c r="L523" s="679">
        <f t="shared" si="233"/>
        <v>0.10096092771115044</v>
      </c>
      <c r="M523" s="678">
        <f t="shared" si="234"/>
        <v>1.0724785927235843</v>
      </c>
      <c r="N523" s="679">
        <f t="shared" si="235"/>
        <v>-0.36974495456137429</v>
      </c>
      <c r="O523" s="677">
        <f t="shared" si="236"/>
        <v>3039161.0216469145</v>
      </c>
      <c r="P523" s="680">
        <f t="shared" si="237"/>
        <v>1.5707959977567203</v>
      </c>
      <c r="Q523" s="689">
        <f t="shared" si="259"/>
        <v>121.57055377349842</v>
      </c>
      <c r="R523" s="690">
        <f t="shared" si="260"/>
        <v>1.5625705579202691</v>
      </c>
      <c r="S523" s="677">
        <f t="shared" si="238"/>
        <v>1.142514259679128</v>
      </c>
      <c r="T523" s="680">
        <f t="shared" si="239"/>
        <v>0.50481782252890972</v>
      </c>
      <c r="U523" s="681">
        <f t="shared" si="251"/>
        <v>0.64779663385495578</v>
      </c>
      <c r="V523" s="682">
        <f t="shared" si="252"/>
        <v>-1.1432791870176253</v>
      </c>
      <c r="W523" s="683">
        <f t="shared" si="240"/>
        <v>-42.082939791541385</v>
      </c>
      <c r="X523" s="684">
        <f t="shared" si="241"/>
        <v>-200.20350520564187</v>
      </c>
      <c r="Y523" s="687">
        <f t="shared" si="242"/>
        <v>-20.203505205641875</v>
      </c>
      <c r="AA523" s="170">
        <f t="shared" si="243"/>
        <v>73287.5</v>
      </c>
      <c r="AB523" s="170">
        <f t="shared" si="244"/>
        <v>5371057656.25</v>
      </c>
      <c r="AD523" s="686">
        <f t="shared" si="245"/>
        <v>15.989711206013768</v>
      </c>
      <c r="AE523" s="687">
        <f t="shared" si="246"/>
        <v>-29.395213674747104</v>
      </c>
      <c r="AG523" s="686">
        <f t="shared" si="247"/>
        <v>-12.253921428121231</v>
      </c>
      <c r="AH523" s="687">
        <f t="shared" si="248"/>
        <v>-39.798146938678109</v>
      </c>
      <c r="AJ523" s="170">
        <f t="shared" si="249"/>
        <v>0</v>
      </c>
      <c r="AK523" s="170">
        <f t="shared" si="261"/>
        <v>0</v>
      </c>
      <c r="AM523" s="170" t="str">
        <f t="shared" si="253"/>
        <v>1.42159099112782+0.906786102782712i</v>
      </c>
      <c r="AN523" s="170" t="str">
        <f t="shared" si="254"/>
        <v>2.00599547122596i</v>
      </c>
      <c r="AO523" s="170" t="str">
        <f t="shared" si="255"/>
        <v>0.452037961096957-0.708671087008495i</v>
      </c>
      <c r="AP523" s="170" t="str">
        <f t="shared" si="256"/>
        <v>-0.0702651651879705-0.151131017130452i</v>
      </c>
      <c r="AQ523" s="170" t="str">
        <f t="shared" si="257"/>
        <v>1.07026516518797+0.151131017130452i</v>
      </c>
      <c r="AR523" s="170" t="str">
        <f t="shared" si="258"/>
        <v>0.763095690579833-0.107755939029315i</v>
      </c>
    </row>
    <row r="524" spans="7:44">
      <c r="G524" s="688">
        <v>73709.25</v>
      </c>
      <c r="H524" s="676">
        <f t="shared" si="250"/>
        <v>73.709249999999997</v>
      </c>
      <c r="I524" s="677">
        <f t="shared" si="230"/>
        <v>594.25389587202085</v>
      </c>
      <c r="J524" s="678">
        <f t="shared" si="231"/>
        <v>1.5691135435958188</v>
      </c>
      <c r="K524" s="678">
        <f t="shared" si="232"/>
        <v>1.0051772164266926</v>
      </c>
      <c r="L524" s="679">
        <f t="shared" si="233"/>
        <v>0.10153795699231857</v>
      </c>
      <c r="M524" s="678">
        <f t="shared" si="234"/>
        <v>1.0732866099452052</v>
      </c>
      <c r="N524" s="679">
        <f t="shared" si="235"/>
        <v>-0.37168258529853926</v>
      </c>
      <c r="O524" s="677">
        <f t="shared" si="236"/>
        <v>3056650.5820887284</v>
      </c>
      <c r="P524" s="680">
        <f t="shared" si="237"/>
        <v>1.5707959996394127</v>
      </c>
      <c r="Q524" s="689">
        <f t="shared" si="259"/>
        <v>122.27011265870243</v>
      </c>
      <c r="R524" s="690">
        <f t="shared" si="260"/>
        <v>1.562617622065855</v>
      </c>
      <c r="S524" s="677">
        <f t="shared" si="238"/>
        <v>1.1440556072277122</v>
      </c>
      <c r="T524" s="680">
        <f t="shared" si="239"/>
        <v>0.50725063072558385</v>
      </c>
      <c r="U524" s="681">
        <f t="shared" si="251"/>
        <v>0.64549011236413212</v>
      </c>
      <c r="V524" s="682">
        <f t="shared" si="252"/>
        <v>-1.14807527035348</v>
      </c>
      <c r="W524" s="683">
        <f t="shared" si="240"/>
        <v>-42.168425870467033</v>
      </c>
      <c r="X524" s="684">
        <f t="shared" si="241"/>
        <v>-200.69350528300953</v>
      </c>
      <c r="Y524" s="687">
        <f t="shared" si="242"/>
        <v>-20.693505283009529</v>
      </c>
      <c r="AA524" s="170">
        <f t="shared" si="243"/>
        <v>73709.25</v>
      </c>
      <c r="AB524" s="170">
        <f t="shared" si="244"/>
        <v>5433053535.5625</v>
      </c>
      <c r="AD524" s="686">
        <f t="shared" si="245"/>
        <v>15.97799775656144</v>
      </c>
      <c r="AE524" s="687">
        <f t="shared" si="246"/>
        <v>-29.531906847899425</v>
      </c>
      <c r="AG524" s="686">
        <f t="shared" si="247"/>
        <v>-12.265730344081593</v>
      </c>
      <c r="AH524" s="687">
        <f t="shared" si="248"/>
        <v>-39.601863175590474</v>
      </c>
      <c r="AJ524" s="170">
        <f t="shared" si="249"/>
        <v>0</v>
      </c>
      <c r="AK524" s="170">
        <f t="shared" si="261"/>
        <v>0</v>
      </c>
      <c r="AM524" s="170" t="str">
        <f t="shared" si="253"/>
        <v>1.43203057784819+0.901858957822207i</v>
      </c>
      <c r="AN524" s="170" t="str">
        <f t="shared" si="254"/>
        <v>2.01753943970612i</v>
      </c>
      <c r="AO524" s="170" t="str">
        <f t="shared" si="255"/>
        <v>0.447009332295171-0.70979062399731i</v>
      </c>
      <c r="AP524" s="170" t="str">
        <f t="shared" si="256"/>
        <v>-0.0720050963080322-0.150309826303701i</v>
      </c>
      <c r="AQ524" s="170" t="str">
        <f t="shared" si="257"/>
        <v>1.07200509630803+0.150309826303701i</v>
      </c>
      <c r="AR524" s="170" t="str">
        <f t="shared" si="258"/>
        <v>0.762066404320961-0.106852168203178i</v>
      </c>
    </row>
    <row r="525" spans="7:44">
      <c r="G525" s="688">
        <v>74131</v>
      </c>
      <c r="H525" s="676">
        <f t="shared" si="250"/>
        <v>74.131</v>
      </c>
      <c r="I525" s="677">
        <f t="shared" ref="I525:I588" si="262">SQRT(1+(G525/pole1)^2)</f>
        <v>597.65409154474048</v>
      </c>
      <c r="J525" s="678">
        <f t="shared" ref="J525:J588" si="263">ATAN(G525/pole1)</f>
        <v>1.5691231173569415</v>
      </c>
      <c r="K525" s="678">
        <f t="shared" ref="K525:K588" si="264">SQRT(1+(G525/Zero1)^2)</f>
        <v>1.005236477217573</v>
      </c>
      <c r="L525" s="679">
        <f t="shared" ref="L525:L588" si="265">ATAN(G525/Zero1)</f>
        <v>0.10211491843141079</v>
      </c>
      <c r="M525" s="678">
        <f t="shared" ref="M525:M588" si="266">SQRT(1+(G525/z_RHP)^2)</f>
        <v>1.074098650656401</v>
      </c>
      <c r="N525" s="679">
        <f t="shared" ref="N525:N588" si="267">-ATAN(G525/z_RHP)</f>
        <v>-0.37361729351274575</v>
      </c>
      <c r="O525" s="677">
        <f t="shared" ref="O525:O588" si="268">SQRT(1+(G525/Pole2)^2)</f>
        <v>3074140.1425305428</v>
      </c>
      <c r="P525" s="680">
        <f t="shared" ref="P525:P588" si="269">ATAN(G525/Pole2)</f>
        <v>1.570796001500683</v>
      </c>
      <c r="Q525" s="689">
        <f t="shared" si="259"/>
        <v>122.96967181165741</v>
      </c>
      <c r="R525" s="690">
        <f t="shared" si="260"/>
        <v>1.5626641507274139</v>
      </c>
      <c r="S525" s="677">
        <f t="shared" ref="S525:S588" si="270">SQRT(1+(G525/pole4)^2)</f>
        <v>1.1456037076893679</v>
      </c>
      <c r="T525" s="680">
        <f t="shared" ref="T525:T588" si="271">ATAN(G525/pole4)</f>
        <v>0.50967687814634532</v>
      </c>
      <c r="U525" s="681">
        <f t="shared" si="251"/>
        <v>0.64319102112199367</v>
      </c>
      <c r="V525" s="682">
        <f t="shared" si="252"/>
        <v>-1.1528571707662187</v>
      </c>
      <c r="W525" s="683">
        <f t="shared" ref="W525:W588" si="272">20*LOG10(((K525*Q525*M525*U525)/(I525*O525*S525))*Adc)</f>
        <v>-42.253643045048868</v>
      </c>
      <c r="X525" s="684">
        <f t="shared" ref="X525:X588" si="273">((L525+R525+N525+V525)-(J525+P525+T525))*radconv</f>
        <v>-201.18217763921101</v>
      </c>
      <c r="Y525" s="687">
        <f t="shared" ref="Y525:Y588" si="274">IF(X525&gt;0,X525,X525+180)</f>
        <v>-21.182177639211005</v>
      </c>
      <c r="AA525" s="170">
        <f t="shared" ref="AA525:AA588" si="275">IF(W525&lt;0,G525,1000000000)</f>
        <v>74131</v>
      </c>
      <c r="AB525" s="170">
        <f t="shared" ref="AB525:AB588" si="276">G525^2</f>
        <v>5495405161</v>
      </c>
      <c r="AD525" s="686">
        <f t="shared" ref="AD525:AD588" si="277">20*LOG10((Q525/(O525*S525))*Aea)</f>
        <v>15.966248929895867</v>
      </c>
      <c r="AE525" s="687">
        <f t="shared" ref="AE525:AE588" si="278">(R525-(P525+T525))*radconv</f>
        <v>-29.668254796028567</v>
      </c>
      <c r="AG525" s="686">
        <f t="shared" ref="AG525:AG588" si="279">20*LOG10((K525*M525/(I525*U525))*Acs*Am)</f>
        <v>-12.277213850394293</v>
      </c>
      <c r="AH525" s="687">
        <f t="shared" ref="AH525:AH588" si="280">(L525+N525-(J525+V525))*radconv</f>
        <v>-39.406222159633074</v>
      </c>
      <c r="AJ525" s="170">
        <f t="shared" ref="AJ525:AJ588" si="281">SUM((W526&lt;0)*(W525&gt;0))*G525</f>
        <v>0</v>
      </c>
      <c r="AK525" s="170">
        <f t="shared" si="261"/>
        <v>0</v>
      </c>
      <c r="AM525" s="170" t="str">
        <f t="shared" si="253"/>
        <v>1.44241259142706+0.89681162957825i</v>
      </c>
      <c r="AN525" s="170" t="str">
        <f t="shared" si="254"/>
        <v>2.02908340818628i</v>
      </c>
      <c r="AO525" s="170" t="str">
        <f t="shared" si="255"/>
        <v>0.441978691442692-0.710869048363259i</v>
      </c>
      <c r="AP525" s="170" t="str">
        <f t="shared" si="256"/>
        <v>-0.0737354319045093-0.149468604929708i</v>
      </c>
      <c r="AQ525" s="170" t="str">
        <f t="shared" si="257"/>
        <v>1.07373543190451+0.149468604929708i</v>
      </c>
      <c r="AR525" s="170" t="str">
        <f t="shared" si="258"/>
        <v>0.761048839476918-0.105941282125916i</v>
      </c>
    </row>
    <row r="526" spans="7:44">
      <c r="G526" s="688">
        <v>74562.75</v>
      </c>
      <c r="H526" s="676">
        <f t="shared" ref="H526:H589" si="282">G526/1000</f>
        <v>74.562749999999994</v>
      </c>
      <c r="I526" s="677">
        <f t="shared" si="262"/>
        <v>601.13490839205292</v>
      </c>
      <c r="J526" s="678">
        <f t="shared" si="263"/>
        <v>1.5691328059325134</v>
      </c>
      <c r="K526" s="678">
        <f t="shared" si="264"/>
        <v>1.0052974897066991</v>
      </c>
      <c r="L526" s="679">
        <f t="shared" si="265"/>
        <v>0.10270548938439106</v>
      </c>
      <c r="M526" s="678">
        <f t="shared" si="266"/>
        <v>1.0749341036450717</v>
      </c>
      <c r="N526" s="679">
        <f t="shared" si="267"/>
        <v>-0.37559483959370038</v>
      </c>
      <c r="O526" s="677">
        <f t="shared" si="268"/>
        <v>3092044.3932021568</v>
      </c>
      <c r="P526" s="680">
        <f t="shared" si="269"/>
        <v>1.5707960033842747</v>
      </c>
      <c r="Q526" s="689">
        <f t="shared" si="259"/>
        <v>123.68581829478687</v>
      </c>
      <c r="R526" s="690">
        <f t="shared" si="260"/>
        <v>1.562711237423712</v>
      </c>
      <c r="S526" s="677">
        <f t="shared" si="270"/>
        <v>1.14719548118472</v>
      </c>
      <c r="T526" s="680">
        <f t="shared" si="271"/>
        <v>0.51215385567170468</v>
      </c>
      <c r="U526" s="681">
        <f t="shared" ref="U526:U589" si="283">IMABS(IMPRODUCT(AO526, AR526))</f>
        <v>0.64084513241150132</v>
      </c>
      <c r="V526" s="682">
        <f t="shared" ref="V526:V589" si="284">IMARGUMENT(IMPRODUCT(AO526, AR526))</f>
        <v>-1.1577379316404552</v>
      </c>
      <c r="W526" s="683">
        <f t="shared" si="272"/>
        <v>-42.340604811940537</v>
      </c>
      <c r="X526" s="684">
        <f t="shared" si="273"/>
        <v>-201.68107017140431</v>
      </c>
      <c r="Y526" s="687">
        <f t="shared" si="274"/>
        <v>-21.681070171404315</v>
      </c>
      <c r="AA526" s="170">
        <f t="shared" si="275"/>
        <v>74562.75</v>
      </c>
      <c r="AB526" s="170">
        <f t="shared" si="276"/>
        <v>5559603687.5625</v>
      </c>
      <c r="AD526" s="686">
        <f t="shared" si="277"/>
        <v>15.954185271515602</v>
      </c>
      <c r="AE526" s="687">
        <f t="shared" si="278"/>
        <v>-29.80747739329226</v>
      </c>
      <c r="AG526" s="686">
        <f t="shared" si="279"/>
        <v>-12.288636633676033</v>
      </c>
      <c r="AH526" s="687">
        <f t="shared" si="280"/>
        <v>-39.206598096110937</v>
      </c>
      <c r="AJ526" s="170">
        <f t="shared" si="281"/>
        <v>0</v>
      </c>
      <c r="AK526" s="170">
        <f t="shared" si="261"/>
        <v>0</v>
      </c>
      <c r="AM526" s="170" t="str">
        <f t="shared" ref="AM526:AM589" si="285">IMSUB(1,IMEXP(COMPLEX(0,-2*Pi*G526*Tsw)))</f>
        <v>1.45297968874149+0.891520836317168i</v>
      </c>
      <c r="AN526" s="170" t="str">
        <f t="shared" ref="AN526:AN589" si="286">COMPLEX(0, 2*Pi*G526*Tsw)</f>
        <v>2.04090109257587i</v>
      </c>
      <c r="AO526" s="170" t="str">
        <f t="shared" ref="AO526:AO589" si="287">IMDIV(AM526, AN526)</f>
        <v>0.436827066025017-0.711930477193116i</v>
      </c>
      <c r="AP526" s="170" t="str">
        <f t="shared" ref="AP526:AP589" si="288">IMDIV(IMEXP(COMPLEX(0,-2*Pi*G526*Tsw)),6)</f>
        <v>-0.0754966147902485-0.148586806052861i</v>
      </c>
      <c r="AQ526" s="170" t="str">
        <f t="shared" ref="AQ526:AQ589" si="289">IMSUB(1, AP526)</f>
        <v>1.07549661479025+0.148586806052861i</v>
      </c>
      <c r="AR526" s="170" t="str">
        <f t="shared" ref="AR526:AR589" si="290">IMDIV(0.833, AQ526)</f>
        <v>0.76001926966972-0.105001572544118i</v>
      </c>
    </row>
    <row r="527" spans="7:44">
      <c r="G527" s="688">
        <v>74994.5</v>
      </c>
      <c r="H527" s="676">
        <f t="shared" si="282"/>
        <v>74.994500000000002</v>
      </c>
      <c r="I527" s="677">
        <f t="shared" si="262"/>
        <v>604.61572529514331</v>
      </c>
      <c r="J527" s="678">
        <f t="shared" si="263"/>
        <v>1.5691423829524112</v>
      </c>
      <c r="K527" s="678">
        <f t="shared" si="264"/>
        <v>1.0053588527748749</v>
      </c>
      <c r="L527" s="679">
        <f t="shared" si="265"/>
        <v>0.10329598845114113</v>
      </c>
      <c r="M527" s="678">
        <f t="shared" si="266"/>
        <v>1.0757737538273084</v>
      </c>
      <c r="N527" s="679">
        <f t="shared" si="267"/>
        <v>-0.37756930640449521</v>
      </c>
      <c r="O527" s="677">
        <f t="shared" si="268"/>
        <v>3109948.6438737707</v>
      </c>
      <c r="P527" s="680">
        <f t="shared" si="269"/>
        <v>1.5707960052461785</v>
      </c>
      <c r="Q527" s="689">
        <f t="shared" si="259"/>
        <v>124.40196504898985</v>
      </c>
      <c r="R527" s="690">
        <f t="shared" si="260"/>
        <v>1.5627577819906582</v>
      </c>
      <c r="S527" s="677">
        <f t="shared" si="270"/>
        <v>1.1487942736731307</v>
      </c>
      <c r="T527" s="680">
        <f t="shared" si="271"/>
        <v>0.51462395383100901</v>
      </c>
      <c r="U527" s="681">
        <f t="shared" si="283"/>
        <v>0.63850706708763549</v>
      </c>
      <c r="V527" s="682">
        <f t="shared" si="284"/>
        <v>-1.1626041729889145</v>
      </c>
      <c r="W527" s="683">
        <f t="shared" si="272"/>
        <v>-42.427289965744336</v>
      </c>
      <c r="X527" s="684">
        <f t="shared" si="273"/>
        <v>-202.17858899581319</v>
      </c>
      <c r="Y527" s="687">
        <f t="shared" si="274"/>
        <v>-22.178588995813186</v>
      </c>
      <c r="AA527" s="170">
        <f t="shared" si="275"/>
        <v>74994.5</v>
      </c>
      <c r="AB527" s="170">
        <f t="shared" si="276"/>
        <v>5624175030.25</v>
      </c>
      <c r="AD527" s="686">
        <f t="shared" si="277"/>
        <v>15.942085322903308</v>
      </c>
      <c r="AE527" s="687">
        <f t="shared" si="278"/>
        <v>-29.94633689239604</v>
      </c>
      <c r="AG527" s="686">
        <f t="shared" si="279"/>
        <v>-12.299726579354932</v>
      </c>
      <c r="AH527" s="687">
        <f t="shared" si="280"/>
        <v>-39.007627238061282</v>
      </c>
      <c r="AJ527" s="170">
        <f t="shared" si="281"/>
        <v>0</v>
      </c>
      <c r="AK527" s="170">
        <f t="shared" si="261"/>
        <v>0</v>
      </c>
      <c r="AM527" s="170" t="str">
        <f t="shared" si="285"/>
        <v>1.46348352470685+0.886105536787418i</v>
      </c>
      <c r="AN527" s="170" t="str">
        <f t="shared" si="286"/>
        <v>2.05271877696545i</v>
      </c>
      <c r="AO527" s="170" t="str">
        <f t="shared" si="287"/>
        <v>0.43167410301442-0.712948866220403i</v>
      </c>
      <c r="AP527" s="170" t="str">
        <f t="shared" si="288"/>
        <v>-0.0772472541178078-0.147684256131236i</v>
      </c>
      <c r="AQ527" s="170" t="str">
        <f t="shared" si="289"/>
        <v>1.07724725411781+0.147684256131236i</v>
      </c>
      <c r="AR527" s="170" t="str">
        <f t="shared" si="290"/>
        <v>0.759001943372939-0.104054697731387i</v>
      </c>
    </row>
    <row r="528" spans="7:44">
      <c r="G528" s="688">
        <v>75426.25</v>
      </c>
      <c r="H528" s="676">
        <f t="shared" si="282"/>
        <v>75.426249999999996</v>
      </c>
      <c r="I528" s="677">
        <f t="shared" si="262"/>
        <v>608.09654225305383</v>
      </c>
      <c r="J528" s="678">
        <f t="shared" si="263"/>
        <v>1.569151850332307</v>
      </c>
      <c r="K528" s="678">
        <f t="shared" si="264"/>
        <v>1.0054205663579103</v>
      </c>
      <c r="L528" s="679">
        <f t="shared" si="265"/>
        <v>0.10388641523305982</v>
      </c>
      <c r="M528" s="678">
        <f t="shared" si="266"/>
        <v>1.076617591382983</v>
      </c>
      <c r="N528" s="679">
        <f t="shared" si="267"/>
        <v>-0.37954068577272831</v>
      </c>
      <c r="O528" s="677">
        <f t="shared" si="268"/>
        <v>3127852.8945453851</v>
      </c>
      <c r="P528" s="680">
        <f t="shared" si="269"/>
        <v>1.5707960070867666</v>
      </c>
      <c r="Q528" s="689">
        <f t="shared" si="259"/>
        <v>125.11811206961168</v>
      </c>
      <c r="R528" s="690">
        <f t="shared" si="260"/>
        <v>1.562803793737116</v>
      </c>
      <c r="S528" s="677">
        <f t="shared" si="270"/>
        <v>1.1504000558902236</v>
      </c>
      <c r="T528" s="680">
        <f t="shared" si="271"/>
        <v>0.51708717122733672</v>
      </c>
      <c r="U528" s="681">
        <f t="shared" si="283"/>
        <v>0.63617684052444479</v>
      </c>
      <c r="V528" s="682">
        <f t="shared" si="284"/>
        <v>-1.1674560683547466</v>
      </c>
      <c r="W528" s="683">
        <f t="shared" si="272"/>
        <v>-42.513701080515041</v>
      </c>
      <c r="X528" s="684">
        <f t="shared" si="273"/>
        <v>-202.67474310670664</v>
      </c>
      <c r="Y528" s="687">
        <f t="shared" si="274"/>
        <v>-22.674743106706643</v>
      </c>
      <c r="AA528" s="170">
        <f t="shared" si="275"/>
        <v>75426.25</v>
      </c>
      <c r="AB528" s="170">
        <f t="shared" si="276"/>
        <v>5689119189.0625</v>
      </c>
      <c r="AD528" s="686">
        <f t="shared" si="277"/>
        <v>15.929949478667691</v>
      </c>
      <c r="AE528" s="687">
        <f t="shared" si="278"/>
        <v>-30.084832679964951</v>
      </c>
      <c r="AG528" s="686">
        <f t="shared" si="279"/>
        <v>-12.310487709057419</v>
      </c>
      <c r="AH528" s="687">
        <f t="shared" si="280"/>
        <v>-38.809299306547963</v>
      </c>
      <c r="AJ528" s="170">
        <f t="shared" si="281"/>
        <v>0</v>
      </c>
      <c r="AK528" s="170">
        <f t="shared" si="261"/>
        <v>0</v>
      </c>
      <c r="AM528" s="170" t="str">
        <f t="shared" si="285"/>
        <v>1.47392263239902+0.880566487268273i</v>
      </c>
      <c r="AN528" s="170" t="str">
        <f t="shared" si="286"/>
        <v>2.06453646135504i</v>
      </c>
      <c r="AO528" s="170" t="str">
        <f t="shared" si="287"/>
        <v>0.426520191699749-0.713924244007599i</v>
      </c>
      <c r="AP528" s="170" t="str">
        <f t="shared" si="288"/>
        <v>-0.0789871053998362-0.146761081211379i</v>
      </c>
      <c r="AQ528" s="170" t="str">
        <f t="shared" si="289"/>
        <v>1.07898710539984+0.146761081211379i</v>
      </c>
      <c r="AR528" s="170" t="str">
        <f t="shared" si="290"/>
        <v>0.75799683867817-0.103100801707905i</v>
      </c>
    </row>
    <row r="529" spans="7:44">
      <c r="G529" s="688">
        <v>75858</v>
      </c>
      <c r="H529" s="676">
        <f t="shared" si="282"/>
        <v>75.858000000000004</v>
      </c>
      <c r="I529" s="677">
        <f t="shared" si="262"/>
        <v>611.5773592648485</v>
      </c>
      <c r="J529" s="678">
        <f t="shared" si="263"/>
        <v>1.5691612099442607</v>
      </c>
      <c r="K529" s="678">
        <f t="shared" si="264"/>
        <v>1.0054826303912645</v>
      </c>
      <c r="L529" s="679">
        <f t="shared" si="265"/>
        <v>0.10447676933184505</v>
      </c>
      <c r="M529" s="678">
        <f t="shared" si="266"/>
        <v>1.0774656064738333</v>
      </c>
      <c r="N529" s="679">
        <f t="shared" si="267"/>
        <v>-0.38150896964752579</v>
      </c>
      <c r="O529" s="677">
        <f t="shared" si="268"/>
        <v>3145757.1452169991</v>
      </c>
      <c r="P529" s="680">
        <f t="shared" si="269"/>
        <v>1.570796008906403</v>
      </c>
      <c r="Q529" s="689">
        <f t="shared" si="259"/>
        <v>125.83425935210366</v>
      </c>
      <c r="R529" s="690">
        <f t="shared" si="260"/>
        <v>1.562849281760045</v>
      </c>
      <c r="S529" s="677">
        <f t="shared" si="270"/>
        <v>1.1520127986072046</v>
      </c>
      <c r="T529" s="680">
        <f t="shared" si="271"/>
        <v>0.51954350680552419</v>
      </c>
      <c r="U529" s="681">
        <f t="shared" si="283"/>
        <v>0.63385446604908113</v>
      </c>
      <c r="V529" s="682">
        <f t="shared" si="284"/>
        <v>-1.1722937909635551</v>
      </c>
      <c r="W529" s="683">
        <f t="shared" si="272"/>
        <v>-42.599840695785119</v>
      </c>
      <c r="X529" s="684">
        <f t="shared" si="273"/>
        <v>-203.16954151632871</v>
      </c>
      <c r="Y529" s="687">
        <f t="shared" si="274"/>
        <v>-23.169541516328707</v>
      </c>
      <c r="AA529" s="170">
        <f t="shared" si="275"/>
        <v>75858</v>
      </c>
      <c r="AB529" s="170">
        <f t="shared" si="276"/>
        <v>5754436164</v>
      </c>
      <c r="AD529" s="686">
        <f t="shared" si="277"/>
        <v>15.91777813187996</v>
      </c>
      <c r="AE529" s="687">
        <f t="shared" si="278"/>
        <v>-30.222964174346018</v>
      </c>
      <c r="AG529" s="686">
        <f t="shared" si="279"/>
        <v>-12.320923966099567</v>
      </c>
      <c r="AH529" s="687">
        <f t="shared" si="280"/>
        <v>-38.611604045276053</v>
      </c>
      <c r="AJ529" s="170">
        <f t="shared" si="281"/>
        <v>0</v>
      </c>
      <c r="AK529" s="170">
        <f t="shared" si="261"/>
        <v>0</v>
      </c>
      <c r="AM529" s="170" t="str">
        <f t="shared" si="285"/>
        <v>1.48429555393355+0.874904461321459i</v>
      </c>
      <c r="AN529" s="170" t="str">
        <f t="shared" si="286"/>
        <v>2.07635414574462i</v>
      </c>
      <c r="AO529" s="170" t="str">
        <f t="shared" si="287"/>
        <v>0.421365720830683-0.71485664282056i</v>
      </c>
      <c r="AP529" s="170" t="str">
        <f t="shared" si="288"/>
        <v>-0.0807159256555922-0.145817410220243i</v>
      </c>
      <c r="AQ529" s="170" t="str">
        <f t="shared" si="289"/>
        <v>1.08071592565559+0.145817410220243i</v>
      </c>
      <c r="AR529" s="170" t="str">
        <f t="shared" si="290"/>
        <v>0.757003932738729-0.102140026234497i</v>
      </c>
    </row>
    <row r="530" spans="7:44">
      <c r="G530" s="688">
        <v>76299.75</v>
      </c>
      <c r="H530" s="676">
        <f t="shared" si="282"/>
        <v>76.299750000000003</v>
      </c>
      <c r="I530" s="677">
        <f t="shared" si="262"/>
        <v>615.13879745506779</v>
      </c>
      <c r="J530" s="678">
        <f t="shared" si="263"/>
        <v>1.5691706767065041</v>
      </c>
      <c r="K530" s="678">
        <f t="shared" si="264"/>
        <v>1.0055464945760397</v>
      </c>
      <c r="L530" s="679">
        <f t="shared" si="265"/>
        <v>0.10508072130475926</v>
      </c>
      <c r="M530" s="678">
        <f t="shared" si="266"/>
        <v>1.0783375764232981</v>
      </c>
      <c r="N530" s="679">
        <f t="shared" si="267"/>
        <v>-0.38351962989298138</v>
      </c>
      <c r="O530" s="677">
        <f t="shared" si="268"/>
        <v>3164076.0861184131</v>
      </c>
      <c r="P530" s="680">
        <f t="shared" si="269"/>
        <v>1.570796010746871</v>
      </c>
      <c r="Q530" s="689">
        <f t="shared" si="259"/>
        <v>126.56699398339468</v>
      </c>
      <c r="R530" s="690">
        <f t="shared" si="260"/>
        <v>1.5628952905689548</v>
      </c>
      <c r="S530" s="677">
        <f t="shared" si="270"/>
        <v>1.1536700686923202</v>
      </c>
      <c r="T530" s="680">
        <f t="shared" si="271"/>
        <v>0.52204961142716599</v>
      </c>
      <c r="U530" s="681">
        <f t="shared" si="283"/>
        <v>0.63148644057675696</v>
      </c>
      <c r="V530" s="682">
        <f t="shared" si="284"/>
        <v>-1.1772290741099745</v>
      </c>
      <c r="W530" s="683">
        <f t="shared" si="272"/>
        <v>-42.687697047018361</v>
      </c>
      <c r="X530" s="684">
        <f t="shared" si="273"/>
        <v>-203.67440647716083</v>
      </c>
      <c r="Y530" s="687">
        <f t="shared" si="274"/>
        <v>-23.674406477160829</v>
      </c>
      <c r="AA530" s="170">
        <f t="shared" si="275"/>
        <v>76299.75</v>
      </c>
      <c r="AB530" s="170">
        <f t="shared" si="276"/>
        <v>5821651850.0625</v>
      </c>
      <c r="AD530" s="686">
        <f t="shared" si="277"/>
        <v>15.905288540634871</v>
      </c>
      <c r="AE530" s="687">
        <f t="shared" si="278"/>
        <v>-30.363917387225499</v>
      </c>
      <c r="AG530" s="686">
        <f t="shared" si="279"/>
        <v>-12.331269728765772</v>
      </c>
      <c r="AH530" s="687">
        <f t="shared" si="280"/>
        <v>-38.409974002598751</v>
      </c>
      <c r="AJ530" s="170">
        <f t="shared" si="281"/>
        <v>0</v>
      </c>
      <c r="AK530" s="170">
        <f t="shared" si="261"/>
        <v>0</v>
      </c>
      <c r="AM530" s="170" t="str">
        <f t="shared" si="285"/>
        <v>1.49483871417807+0.868984837008447i</v>
      </c>
      <c r="AN530" s="170" t="str">
        <f t="shared" si="286"/>
        <v>2.08844554604364i</v>
      </c>
      <c r="AO530" s="170" t="str">
        <f t="shared" si="287"/>
        <v>0.416091690135113-0.715766191275563i</v>
      </c>
      <c r="AP530" s="170" t="str">
        <f t="shared" si="288"/>
        <v>-0.0824731190296778-0.144830806168075i</v>
      </c>
      <c r="AQ530" s="170" t="str">
        <f t="shared" si="289"/>
        <v>1.08247311902968+0.144830806168075i</v>
      </c>
      <c r="AR530" s="170" t="str">
        <f t="shared" si="290"/>
        <v>0.756000630639475-0.101150022919032i</v>
      </c>
    </row>
    <row r="531" spans="7:44">
      <c r="G531" s="688">
        <v>76741.5</v>
      </c>
      <c r="H531" s="676">
        <f t="shared" si="282"/>
        <v>76.741500000000002</v>
      </c>
      <c r="I531" s="677">
        <f t="shared" si="262"/>
        <v>618.70023569978105</v>
      </c>
      <c r="J531" s="678">
        <f t="shared" si="263"/>
        <v>1.5691800344812705</v>
      </c>
      <c r="K531" s="678">
        <f t="shared" si="264"/>
        <v>1.0056107254952635</v>
      </c>
      <c r="L531" s="679">
        <f t="shared" si="265"/>
        <v>0.10568459634601571</v>
      </c>
      <c r="M531" s="678">
        <f t="shared" si="266"/>
        <v>1.0792138987721174</v>
      </c>
      <c r="N531" s="679">
        <f t="shared" si="267"/>
        <v>-0.38552703292821094</v>
      </c>
      <c r="O531" s="677">
        <f t="shared" si="268"/>
        <v>3182395.0270198272</v>
      </c>
      <c r="P531" s="680">
        <f t="shared" si="269"/>
        <v>1.5707960125661502</v>
      </c>
      <c r="Q531" s="689">
        <f t="shared" si="259"/>
        <v>127.29972887951979</v>
      </c>
      <c r="R531" s="690">
        <f t="shared" si="260"/>
        <v>1.5629407697262456</v>
      </c>
      <c r="S531" s="677">
        <f t="shared" si="270"/>
        <v>1.1553345636582746</v>
      </c>
      <c r="T531" s="680">
        <f t="shared" si="271"/>
        <v>0.52454851059649865</v>
      </c>
      <c r="U531" s="681">
        <f t="shared" si="283"/>
        <v>0.62912665701844317</v>
      </c>
      <c r="V531" s="682">
        <f t="shared" si="284"/>
        <v>-1.1821498861834081</v>
      </c>
      <c r="W531" s="683">
        <f t="shared" si="272"/>
        <v>-42.775274448957063</v>
      </c>
      <c r="X531" s="684">
        <f t="shared" si="273"/>
        <v>-204.1778713491037</v>
      </c>
      <c r="Y531" s="687">
        <f t="shared" si="274"/>
        <v>-24.177871349103697</v>
      </c>
      <c r="AA531" s="170">
        <f t="shared" si="275"/>
        <v>76741.5</v>
      </c>
      <c r="AB531" s="170">
        <f t="shared" si="276"/>
        <v>5889257822.25</v>
      </c>
      <c r="AD531" s="686">
        <f t="shared" si="277"/>
        <v>15.892762610694655</v>
      </c>
      <c r="AE531" s="687">
        <f t="shared" si="278"/>
        <v>-30.504488103686075</v>
      </c>
      <c r="AG531" s="686">
        <f t="shared" si="279"/>
        <v>-12.341283502718486</v>
      </c>
      <c r="AH531" s="687">
        <f t="shared" si="280"/>
        <v>-38.208984630267189</v>
      </c>
      <c r="AJ531" s="170">
        <f t="shared" si="281"/>
        <v>0</v>
      </c>
      <c r="AK531" s="170">
        <f t="shared" si="261"/>
        <v>0</v>
      </c>
      <c r="AM531" s="170" t="str">
        <f t="shared" si="285"/>
        <v>1.50530952891351+0.862938166955897i</v>
      </c>
      <c r="AN531" s="170" t="str">
        <f t="shared" si="286"/>
        <v>2.10053694634265i</v>
      </c>
      <c r="AO531" s="170" t="str">
        <f t="shared" si="287"/>
        <v>0.410817895137908-0.716630826958069i</v>
      </c>
      <c r="AP531" s="170" t="str">
        <f t="shared" si="288"/>
        <v>-0.0842182548189188-0.143823027825983i</v>
      </c>
      <c r="AQ531" s="170" t="str">
        <f t="shared" si="289"/>
        <v>1.08421825481892+0.143823027825983i</v>
      </c>
      <c r="AR531" s="170" t="str">
        <f t="shared" si="290"/>
        <v>0.755010047752727-0.100153110892763i</v>
      </c>
    </row>
    <row r="532" spans="7:44">
      <c r="G532" s="688">
        <v>77183.25</v>
      </c>
      <c r="H532" s="676">
        <f t="shared" si="282"/>
        <v>77.183250000000001</v>
      </c>
      <c r="I532" s="677">
        <f t="shared" si="262"/>
        <v>622.26167399805252</v>
      </c>
      <c r="J532" s="678">
        <f t="shared" si="263"/>
        <v>1.5691892851398874</v>
      </c>
      <c r="K532" s="678">
        <f t="shared" si="264"/>
        <v>1.0056753230786681</v>
      </c>
      <c r="L532" s="679">
        <f t="shared" si="265"/>
        <v>0.106288394029973</v>
      </c>
      <c r="M532" s="678">
        <f t="shared" si="266"/>
        <v>1.0800945629264831</v>
      </c>
      <c r="N532" s="679">
        <f t="shared" si="267"/>
        <v>-0.38753117052272229</v>
      </c>
      <c r="O532" s="677">
        <f t="shared" si="268"/>
        <v>3200713.9679212412</v>
      </c>
      <c r="P532" s="680">
        <f t="shared" si="269"/>
        <v>1.5707960143646045</v>
      </c>
      <c r="Q532" s="689">
        <f t="shared" si="259"/>
        <v>128.03246403593198</v>
      </c>
      <c r="R532" s="690">
        <f t="shared" si="260"/>
        <v>1.562985728325383</v>
      </c>
      <c r="S532" s="677">
        <f t="shared" si="270"/>
        <v>1.1570062523234443</v>
      </c>
      <c r="T532" s="680">
        <f t="shared" si="271"/>
        <v>0.52704020426995279</v>
      </c>
      <c r="U532" s="681">
        <f t="shared" si="283"/>
        <v>0.62677512332186869</v>
      </c>
      <c r="V532" s="682">
        <f t="shared" si="284"/>
        <v>-1.187056411613155</v>
      </c>
      <c r="W532" s="683">
        <f t="shared" si="272"/>
        <v>-42.862575516374633</v>
      </c>
      <c r="X532" s="684">
        <f t="shared" si="273"/>
        <v>-204.67994583571928</v>
      </c>
      <c r="Y532" s="687">
        <f t="shared" si="274"/>
        <v>-24.67994583571928</v>
      </c>
      <c r="AA532" s="170">
        <f t="shared" si="275"/>
        <v>77183.25</v>
      </c>
      <c r="AB532" s="170">
        <f t="shared" si="276"/>
        <v>5957254080.5625</v>
      </c>
      <c r="AD532" s="686">
        <f t="shared" si="277"/>
        <v>15.880200757944259</v>
      </c>
      <c r="AE532" s="687">
        <f t="shared" si="278"/>
        <v>-30.644675800235063</v>
      </c>
      <c r="AG532" s="686">
        <f t="shared" si="279"/>
        <v>-12.350969267004498</v>
      </c>
      <c r="AH532" s="687">
        <f t="shared" si="280"/>
        <v>-38.008625021295074</v>
      </c>
      <c r="AJ532" s="170">
        <f t="shared" si="281"/>
        <v>0</v>
      </c>
      <c r="AK532" s="170">
        <f t="shared" si="261"/>
        <v>0</v>
      </c>
      <c r="AM532" s="170" t="str">
        <f t="shared" si="285"/>
        <v>1.51570646730491+0.856765335188048i</v>
      </c>
      <c r="AN532" s="170" t="str">
        <f t="shared" si="286"/>
        <v>2.11262834664167i</v>
      </c>
      <c r="AO532" s="170" t="str">
        <f t="shared" si="287"/>
        <v>0.405544750239672-0.717450596416708i</v>
      </c>
      <c r="AP532" s="170" t="str">
        <f t="shared" si="288"/>
        <v>-0.085951077884152-0.142794222531341i</v>
      </c>
      <c r="AQ532" s="170" t="str">
        <f t="shared" si="289"/>
        <v>1.08595107788415+0.142794222531341i</v>
      </c>
      <c r="AR532" s="170" t="str">
        <f t="shared" si="290"/>
        <v>0.754032156896749-0.099149434813847i</v>
      </c>
    </row>
    <row r="533" spans="7:44">
      <c r="G533" s="688">
        <v>77625</v>
      </c>
      <c r="H533" s="676">
        <f t="shared" si="282"/>
        <v>77.625</v>
      </c>
      <c r="I533" s="677">
        <f t="shared" si="262"/>
        <v>625.82311234896781</v>
      </c>
      <c r="J533" s="678">
        <f t="shared" si="263"/>
        <v>1.5691984305110855</v>
      </c>
      <c r="K533" s="678">
        <f t="shared" si="264"/>
        <v>1.0057402872556016</v>
      </c>
      <c r="L533" s="679">
        <f t="shared" si="265"/>
        <v>0.10689211393132449</v>
      </c>
      <c r="M533" s="678">
        <f t="shared" si="266"/>
        <v>1.0809795582747075</v>
      </c>
      <c r="N533" s="679">
        <f t="shared" si="267"/>
        <v>-0.3895320345777043</v>
      </c>
      <c r="O533" s="677">
        <f t="shared" si="268"/>
        <v>3219032.9088226552</v>
      </c>
      <c r="P533" s="680">
        <f t="shared" si="269"/>
        <v>1.5707960161425893</v>
      </c>
      <c r="Q533" s="689">
        <f t="shared" si="259"/>
        <v>128.76519944818784</v>
      </c>
      <c r="R533" s="690">
        <f t="shared" si="260"/>
        <v>1.5630301752528561</v>
      </c>
      <c r="S533" s="677">
        <f t="shared" si="270"/>
        <v>1.1586851035517811</v>
      </c>
      <c r="T533" s="680">
        <f t="shared" si="271"/>
        <v>0.52952469276209213</v>
      </c>
      <c r="U533" s="681">
        <f t="shared" si="283"/>
        <v>0.62443184540860741</v>
      </c>
      <c r="V533" s="682">
        <f t="shared" si="284"/>
        <v>-1.1919488344280311</v>
      </c>
      <c r="W533" s="683">
        <f t="shared" si="272"/>
        <v>-42.949602830737525</v>
      </c>
      <c r="X533" s="684">
        <f t="shared" si="273"/>
        <v>-205.18063965508634</v>
      </c>
      <c r="Y533" s="687">
        <f t="shared" si="274"/>
        <v>-25.180639655086338</v>
      </c>
      <c r="AA533" s="170">
        <f t="shared" si="275"/>
        <v>77625</v>
      </c>
      <c r="AB533" s="170">
        <f t="shared" si="276"/>
        <v>6025640625</v>
      </c>
      <c r="AD533" s="686">
        <f t="shared" si="277"/>
        <v>15.867603396492282</v>
      </c>
      <c r="AE533" s="687">
        <f t="shared" si="278"/>
        <v>-30.784479985757724</v>
      </c>
      <c r="AG533" s="686">
        <f t="shared" si="279"/>
        <v>-12.360330921382117</v>
      </c>
      <c r="AH533" s="687">
        <f t="shared" si="280"/>
        <v>-37.808884296727065</v>
      </c>
      <c r="AJ533" s="170">
        <f t="shared" si="281"/>
        <v>0</v>
      </c>
      <c r="AK533" s="170">
        <f t="shared" si="261"/>
        <v>0</v>
      </c>
      <c r="AM533" s="170" t="str">
        <f t="shared" si="285"/>
        <v>1.52602800931798+0.850467244174026i</v>
      </c>
      <c r="AN533" s="170" t="str">
        <f t="shared" si="286"/>
        <v>2.12471974694068i</v>
      </c>
      <c r="AO533" s="170" t="str">
        <f t="shared" si="287"/>
        <v>0.400272669088988-0.718225550223864i</v>
      </c>
      <c r="AP533" s="170" t="str">
        <f t="shared" si="288"/>
        <v>-0.0876713348863302-0.141744540695671i</v>
      </c>
      <c r="AQ533" s="170" t="str">
        <f t="shared" si="289"/>
        <v>1.08767133488633+0.141744540695671i</v>
      </c>
      <c r="AR533" s="170" t="str">
        <f t="shared" si="290"/>
        <v>0.753066930085842-0.098139136974932i</v>
      </c>
    </row>
    <row r="534" spans="7:44">
      <c r="G534" s="688">
        <v>78077</v>
      </c>
      <c r="H534" s="676">
        <f t="shared" si="282"/>
        <v>78.076999999999998</v>
      </c>
      <c r="I534" s="677">
        <f t="shared" si="262"/>
        <v>629.46718741014024</v>
      </c>
      <c r="J534" s="678">
        <f t="shared" si="263"/>
        <v>1.5692076809677058</v>
      </c>
      <c r="K534" s="678">
        <f t="shared" si="264"/>
        <v>1.0058071381846405</v>
      </c>
      <c r="L534" s="679">
        <f t="shared" si="265"/>
        <v>0.10750976109367981</v>
      </c>
      <c r="M534" s="678">
        <f t="shared" si="266"/>
        <v>1.0818895603386058</v>
      </c>
      <c r="N534" s="679">
        <f t="shared" si="267"/>
        <v>-0.39157592835446586</v>
      </c>
      <c r="O534" s="677">
        <f t="shared" si="268"/>
        <v>3237776.9072096148</v>
      </c>
      <c r="P534" s="680">
        <f t="shared" si="269"/>
        <v>1.5707960179410043</v>
      </c>
      <c r="Q534" s="689">
        <f t="shared" si="259"/>
        <v>129.51493690449055</v>
      </c>
      <c r="R534" s="690">
        <f t="shared" si="260"/>
        <v>1.5630751329302408</v>
      </c>
      <c r="S534" s="677">
        <f t="shared" si="270"/>
        <v>1.1604102908039031</v>
      </c>
      <c r="T534" s="680">
        <f t="shared" si="271"/>
        <v>0.53205937206512832</v>
      </c>
      <c r="U534" s="681">
        <f t="shared" si="283"/>
        <v>0.62204274547371563</v>
      </c>
      <c r="V534" s="682">
        <f t="shared" si="284"/>
        <v>-1.1969403712328113</v>
      </c>
      <c r="W534" s="683">
        <f t="shared" si="272"/>
        <v>-43.038368758791378</v>
      </c>
      <c r="X534" s="684">
        <f t="shared" si="273"/>
        <v>-205.69153221589534</v>
      </c>
      <c r="Y534" s="687">
        <f t="shared" si="274"/>
        <v>-25.691532215895336</v>
      </c>
      <c r="AA534" s="170">
        <f t="shared" si="275"/>
        <v>78077</v>
      </c>
      <c r="AB534" s="170">
        <f t="shared" si="276"/>
        <v>6096017929</v>
      </c>
      <c r="AD534" s="686">
        <f t="shared" si="277"/>
        <v>15.854677412260953</v>
      </c>
      <c r="AE534" s="687">
        <f t="shared" si="278"/>
        <v>-30.92713063027459</v>
      </c>
      <c r="AG534" s="686">
        <f t="shared" si="279"/>
        <v>-12.369578304290659</v>
      </c>
      <c r="AH534" s="687">
        <f t="shared" si="280"/>
        <v>-37.605138227969334</v>
      </c>
      <c r="AJ534" s="170">
        <f t="shared" si="281"/>
        <v>0</v>
      </c>
      <c r="AK534" s="170">
        <f t="shared" si="261"/>
        <v>0</v>
      </c>
      <c r="AM534" s="170" t="str">
        <f t="shared" si="285"/>
        <v>1.53650942903885+0.843894325465223i</v>
      </c>
      <c r="AN534" s="170" t="str">
        <f t="shared" si="286"/>
        <v>2.13709170604686i</v>
      </c>
      <c r="AO534" s="170" t="str">
        <f t="shared" si="287"/>
        <v>0.394879790641384-0.718972154864167i</v>
      </c>
      <c r="AP534" s="170" t="str">
        <f t="shared" si="288"/>
        <v>-0.0894182381731422-0.140649054244204i</v>
      </c>
      <c r="AQ534" s="170" t="str">
        <f t="shared" si="289"/>
        <v>1.08941823817314+0.140649054244204i</v>
      </c>
      <c r="AR534" s="170" t="str">
        <f t="shared" si="290"/>
        <v>0.75209238519813-0.0970986889844715i</v>
      </c>
    </row>
    <row r="535" spans="7:44">
      <c r="G535" s="688">
        <v>78529</v>
      </c>
      <c r="H535" s="676">
        <f t="shared" si="282"/>
        <v>78.528999999999996</v>
      </c>
      <c r="I535" s="677">
        <f t="shared" si="262"/>
        <v>633.11126252455688</v>
      </c>
      <c r="J535" s="678">
        <f t="shared" si="263"/>
        <v>1.5692168249363814</v>
      </c>
      <c r="K535" s="678">
        <f t="shared" si="264"/>
        <v>1.0058743727659625</v>
      </c>
      <c r="L535" s="679">
        <f t="shared" si="265"/>
        <v>0.10812732592214956</v>
      </c>
      <c r="M535" s="678">
        <f t="shared" si="266"/>
        <v>1.0828040743904059</v>
      </c>
      <c r="N535" s="679">
        <f t="shared" si="267"/>
        <v>-0.39361637818194584</v>
      </c>
      <c r="O535" s="677">
        <f t="shared" si="268"/>
        <v>3256520.9055965738</v>
      </c>
      <c r="P535" s="680">
        <f t="shared" si="269"/>
        <v>1.5707960197187165</v>
      </c>
      <c r="Q535" s="689">
        <f t="shared" ref="Q535:Q598" si="291">SQRT(1+(G535/Zero2)^2)</f>
        <v>130.26467461955465</v>
      </c>
      <c r="R535" s="690">
        <f t="shared" ref="R535:R598" si="292">ATAN(G535/Zero2)</f>
        <v>1.563119573100318</v>
      </c>
      <c r="S535" s="677">
        <f t="shared" si="270"/>
        <v>1.1621429110648991</v>
      </c>
      <c r="T535" s="680">
        <f t="shared" si="271"/>
        <v>0.534586509738181</v>
      </c>
      <c r="U535" s="681">
        <f t="shared" si="283"/>
        <v>0.61966229515883653</v>
      </c>
      <c r="V535" s="682">
        <f t="shared" si="284"/>
        <v>-1.2019175318542881</v>
      </c>
      <c r="W535" s="683">
        <f t="shared" si="272"/>
        <v>-43.126853448275106</v>
      </c>
      <c r="X535" s="684">
        <f t="shared" si="273"/>
        <v>-206.20099992061927</v>
      </c>
      <c r="Y535" s="687">
        <f t="shared" si="274"/>
        <v>-26.200999920619267</v>
      </c>
      <c r="AA535" s="170">
        <f t="shared" si="275"/>
        <v>78529</v>
      </c>
      <c r="AB535" s="170">
        <f t="shared" si="276"/>
        <v>6166803841</v>
      </c>
      <c r="AD535" s="686">
        <f t="shared" si="277"/>
        <v>15.841715123752465</v>
      </c>
      <c r="AE535" s="687">
        <f t="shared" si="278"/>
        <v>-31.069378821020702</v>
      </c>
      <c r="AG535" s="686">
        <f t="shared" si="279"/>
        <v>-12.3784943748499</v>
      </c>
      <c r="AH535" s="687">
        <f t="shared" si="280"/>
        <v>-37.40201714615678</v>
      </c>
      <c r="AJ535" s="170">
        <f t="shared" si="281"/>
        <v>0</v>
      </c>
      <c r="AK535" s="170">
        <f t="shared" ref="AK535:AK598" si="293">IF(AJ535&gt;0,Y535,0)</f>
        <v>0</v>
      </c>
      <c r="AM535" s="170" t="str">
        <f t="shared" si="285"/>
        <v>1.5469087287918+0.837192237405085i</v>
      </c>
      <c r="AN535" s="170" t="str">
        <f t="shared" si="286"/>
        <v>2.14946366515304i</v>
      </c>
      <c r="AO535" s="170" t="str">
        <f t="shared" si="287"/>
        <v>0.389488899476455-0.719671959973169i</v>
      </c>
      <c r="AP535" s="170" t="str">
        <f t="shared" si="288"/>
        <v>-0.0911514547986342-0.139532039567514i</v>
      </c>
      <c r="AQ535" s="170" t="str">
        <f t="shared" si="289"/>
        <v>1.09115145479863+0.139532039567514i</v>
      </c>
      <c r="AR535" s="170" t="str">
        <f t="shared" si="290"/>
        <v>0.751131037235996-0.0960516023207271i</v>
      </c>
    </row>
    <row r="536" spans="7:44">
      <c r="G536" s="688">
        <v>78981</v>
      </c>
      <c r="H536" s="676">
        <f t="shared" si="282"/>
        <v>78.980999999999995</v>
      </c>
      <c r="I536" s="677">
        <f t="shared" si="262"/>
        <v>636.75533769130345</v>
      </c>
      <c r="J536" s="678">
        <f t="shared" si="263"/>
        <v>1.5692258642453645</v>
      </c>
      <c r="K536" s="678">
        <f t="shared" si="264"/>
        <v>1.0059419909226406</v>
      </c>
      <c r="L536" s="679">
        <f t="shared" si="265"/>
        <v>0.10874480796222859</v>
      </c>
      <c r="M536" s="678">
        <f t="shared" si="266"/>
        <v>1.0837230890076062</v>
      </c>
      <c r="N536" s="679">
        <f t="shared" si="267"/>
        <v>-0.39565337580980642</v>
      </c>
      <c r="O536" s="677">
        <f t="shared" si="268"/>
        <v>3275264.9039835329</v>
      </c>
      <c r="P536" s="680">
        <f t="shared" si="269"/>
        <v>1.5707960214760814</v>
      </c>
      <c r="Q536" s="689">
        <f t="shared" si="291"/>
        <v>131.0144125889378</v>
      </c>
      <c r="R536" s="690">
        <f t="shared" si="292"/>
        <v>1.5631635046473118</v>
      </c>
      <c r="S536" s="677">
        <f t="shared" si="270"/>
        <v>1.1638829311392098</v>
      </c>
      <c r="T536" s="680">
        <f t="shared" si="271"/>
        <v>0.53710610725527808</v>
      </c>
      <c r="U536" s="681">
        <f t="shared" si="283"/>
        <v>0.61729049455890528</v>
      </c>
      <c r="V536" s="682">
        <f t="shared" si="284"/>
        <v>-1.2068805120583936</v>
      </c>
      <c r="W536" s="683">
        <f t="shared" si="272"/>
        <v>-43.215059563058816</v>
      </c>
      <c r="X536" s="684">
        <f t="shared" si="273"/>
        <v>-206.70905321935007</v>
      </c>
      <c r="Y536" s="687">
        <f t="shared" si="274"/>
        <v>-26.709053219350068</v>
      </c>
      <c r="AA536" s="170">
        <f t="shared" si="275"/>
        <v>78981</v>
      </c>
      <c r="AB536" s="170">
        <f t="shared" si="276"/>
        <v>6237998361</v>
      </c>
      <c r="AD536" s="686">
        <f t="shared" si="277"/>
        <v>15.828716968662253</v>
      </c>
      <c r="AE536" s="687">
        <f t="shared" si="278"/>
        <v>-31.211224133443455</v>
      </c>
      <c r="AG536" s="686">
        <f t="shared" si="279"/>
        <v>-12.387083062818636</v>
      </c>
      <c r="AH536" s="687">
        <f t="shared" si="280"/>
        <v>-37.199509492810513</v>
      </c>
      <c r="AJ536" s="170">
        <f t="shared" si="281"/>
        <v>0</v>
      </c>
      <c r="AK536" s="170">
        <f t="shared" si="293"/>
        <v>0</v>
      </c>
      <c r="AM536" s="170" t="str">
        <f t="shared" si="285"/>
        <v>1.55722431682445+0.830362005838128i</v>
      </c>
      <c r="AN536" s="170" t="str">
        <f t="shared" si="286"/>
        <v>2.16183562425922i</v>
      </c>
      <c r="AO536" s="170" t="str">
        <f t="shared" si="287"/>
        <v>0.384100435999921-0.720325032740661i</v>
      </c>
      <c r="AP536" s="170" t="str">
        <f t="shared" si="288"/>
        <v>-0.0928707194707425-0.138393667639688i</v>
      </c>
      <c r="AQ536" s="170" t="str">
        <f t="shared" si="289"/>
        <v>1.09287071947074+0.138393667639688i</v>
      </c>
      <c r="AR536" s="170" t="str">
        <f t="shared" si="290"/>
        <v>0.750182853947944-0.0949980219147449i</v>
      </c>
    </row>
    <row r="537" spans="7:44">
      <c r="G537" s="688">
        <v>79433</v>
      </c>
      <c r="H537" s="676">
        <f t="shared" si="282"/>
        <v>79.433000000000007</v>
      </c>
      <c r="I537" s="677">
        <f t="shared" si="262"/>
        <v>640.3994129094865</v>
      </c>
      <c r="J537" s="678">
        <f t="shared" si="263"/>
        <v>1.5692348006812937</v>
      </c>
      <c r="K537" s="678">
        <f t="shared" si="264"/>
        <v>1.0060099925773296</v>
      </c>
      <c r="L537" s="679">
        <f t="shared" si="265"/>
        <v>0.10936220675978608</v>
      </c>
      <c r="M537" s="678">
        <f t="shared" si="266"/>
        <v>1.0846465927502995</v>
      </c>
      <c r="N537" s="679">
        <f t="shared" si="267"/>
        <v>-0.39768691313019788</v>
      </c>
      <c r="O537" s="677">
        <f t="shared" si="268"/>
        <v>3294008.902370492</v>
      </c>
      <c r="P537" s="680">
        <f t="shared" si="269"/>
        <v>1.5707960232134464</v>
      </c>
      <c r="Q537" s="689">
        <f t="shared" si="291"/>
        <v>131.76415080829869</v>
      </c>
      <c r="R537" s="690">
        <f t="shared" si="292"/>
        <v>1.5632069362532497</v>
      </c>
      <c r="S537" s="677">
        <f t="shared" si="270"/>
        <v>1.1656303178881382</v>
      </c>
      <c r="T537" s="680">
        <f t="shared" si="271"/>
        <v>0.53961816646460381</v>
      </c>
      <c r="U537" s="681">
        <f t="shared" si="283"/>
        <v>0.61492734177284236</v>
      </c>
      <c r="V537" s="682">
        <f t="shared" si="284"/>
        <v>-1.2118295071271141</v>
      </c>
      <c r="W537" s="683">
        <f t="shared" si="272"/>
        <v>-43.302989734972954</v>
      </c>
      <c r="X537" s="684">
        <f t="shared" si="273"/>
        <v>-207.21570257323197</v>
      </c>
      <c r="Y537" s="687">
        <f t="shared" si="274"/>
        <v>-27.215702573231965</v>
      </c>
      <c r="AA537" s="170">
        <f t="shared" si="275"/>
        <v>79433</v>
      </c>
      <c r="AB537" s="170">
        <f t="shared" si="276"/>
        <v>6309601489</v>
      </c>
      <c r="AD537" s="686">
        <f t="shared" si="277"/>
        <v>15.815683382647725</v>
      </c>
      <c r="AE537" s="687">
        <f t="shared" si="278"/>
        <v>-31.35266617601237</v>
      </c>
      <c r="AG537" s="686">
        <f t="shared" si="279"/>
        <v>-12.395348217627822</v>
      </c>
      <c r="AH537" s="687">
        <f t="shared" si="280"/>
        <v>-36.997603742937976</v>
      </c>
      <c r="AJ537" s="170">
        <f t="shared" si="281"/>
        <v>0</v>
      </c>
      <c r="AK537" s="170">
        <f t="shared" si="293"/>
        <v>0</v>
      </c>
      <c r="AM537" s="170" t="str">
        <f t="shared" si="285"/>
        <v>1.56745461419762+0.823404676222954i</v>
      </c>
      <c r="AN537" s="170" t="str">
        <f t="shared" si="286"/>
        <v>2.1742075833654i</v>
      </c>
      <c r="AO537" s="170" t="str">
        <f t="shared" si="287"/>
        <v>0.378714839614545-0.720931444720378i</v>
      </c>
      <c r="AP537" s="170" t="str">
        <f t="shared" si="288"/>
        <v>-0.094575769032937-0.137234112703826i</v>
      </c>
      <c r="AQ537" s="170" t="str">
        <f t="shared" si="289"/>
        <v>1.09457576903294+0.137234112703826i</v>
      </c>
      <c r="AR537" s="170" t="str">
        <f t="shared" si="290"/>
        <v>0.749247802426659-0.0939380902357795i</v>
      </c>
    </row>
    <row r="538" spans="7:44">
      <c r="G538" s="688">
        <v>79895.5</v>
      </c>
      <c r="H538" s="676">
        <f t="shared" si="282"/>
        <v>79.895499999999998</v>
      </c>
      <c r="I538" s="677">
        <f t="shared" si="262"/>
        <v>644.12814036980478</v>
      </c>
      <c r="J538" s="678">
        <f t="shared" si="263"/>
        <v>1.5692438400472621</v>
      </c>
      <c r="K538" s="678">
        <f t="shared" si="264"/>
        <v>1.0060799707998809</v>
      </c>
      <c r="L538" s="679">
        <f t="shared" si="265"/>
        <v>0.1099938611471466</v>
      </c>
      <c r="M538" s="678">
        <f t="shared" si="266"/>
        <v>1.0855961843765805</v>
      </c>
      <c r="N538" s="679">
        <f t="shared" si="267"/>
        <v>-0.39976409957793874</v>
      </c>
      <c r="O538" s="677">
        <f t="shared" si="268"/>
        <v>3313188.3254987411</v>
      </c>
      <c r="P538" s="680">
        <f t="shared" si="269"/>
        <v>1.5707960249708222</v>
      </c>
      <c r="Q538" s="689">
        <f t="shared" si="291"/>
        <v>132.53130576717427</v>
      </c>
      <c r="R538" s="690">
        <f t="shared" si="292"/>
        <v>1.5632508681331456</v>
      </c>
      <c r="S538" s="677">
        <f t="shared" si="270"/>
        <v>1.1674258874343613</v>
      </c>
      <c r="T538" s="680">
        <f t="shared" si="271"/>
        <v>0.54218078033215356</v>
      </c>
      <c r="U538" s="681">
        <f t="shared" si="283"/>
        <v>0.61251824019944501</v>
      </c>
      <c r="V538" s="682">
        <f t="shared" si="284"/>
        <v>-1.2168791947534585</v>
      </c>
      <c r="W538" s="683">
        <f t="shared" si="272"/>
        <v>-43.392679612798268</v>
      </c>
      <c r="X538" s="684">
        <f t="shared" si="273"/>
        <v>-207.73267911492019</v>
      </c>
      <c r="Y538" s="687">
        <f t="shared" si="274"/>
        <v>-27.732679114920188</v>
      </c>
      <c r="AA538" s="170">
        <f t="shared" si="275"/>
        <v>79895.5</v>
      </c>
      <c r="AB538" s="170">
        <f t="shared" si="276"/>
        <v>6383290920.25</v>
      </c>
      <c r="AD538" s="686">
        <f t="shared" si="277"/>
        <v>15.802310802483943</v>
      </c>
      <c r="AE538" s="687">
        <f t="shared" si="278"/>
        <v>-31.496976124695664</v>
      </c>
      <c r="AG538" s="686">
        <f t="shared" si="279"/>
        <v>-12.40347441152081</v>
      </c>
      <c r="AH538" s="687">
        <f t="shared" si="280"/>
        <v>-36.791618757583741</v>
      </c>
      <c r="AJ538" s="170">
        <f t="shared" si="281"/>
        <v>0</v>
      </c>
      <c r="AK538" s="170">
        <f t="shared" si="293"/>
        <v>0</v>
      </c>
      <c r="AM538" s="170" t="str">
        <f t="shared" si="285"/>
        <v>1.57783264330629+0.816155277094786i</v>
      </c>
      <c r="AN538" s="170" t="str">
        <f t="shared" si="286"/>
        <v>2.18686694417648i</v>
      </c>
      <c r="AO538" s="170" t="str">
        <f t="shared" si="287"/>
        <v>0.373207560372234-0.721503723629817i</v>
      </c>
      <c r="AP538" s="170" t="str">
        <f t="shared" si="288"/>
        <v>-0.0963054405510483-0.136025879515798i</v>
      </c>
      <c r="AQ538" s="170" t="str">
        <f t="shared" si="289"/>
        <v>1.09630544055105+0.136025879515798i</v>
      </c>
      <c r="AR538" s="170" t="str">
        <f t="shared" si="290"/>
        <v>0.748304587505112-0.092847108019391i</v>
      </c>
    </row>
    <row r="539" spans="7:44">
      <c r="G539" s="688">
        <v>80358</v>
      </c>
      <c r="H539" s="676">
        <f t="shared" si="282"/>
        <v>80.358000000000004</v>
      </c>
      <c r="I539" s="677">
        <f t="shared" si="262"/>
        <v>647.85686788214889</v>
      </c>
      <c r="J539" s="678">
        <f t="shared" si="263"/>
        <v>1.5692527753614436</v>
      </c>
      <c r="K539" s="678">
        <f t="shared" si="264"/>
        <v>1.0061503503795974</v>
      </c>
      <c r="L539" s="679">
        <f t="shared" si="265"/>
        <v>0.11062542741881609</v>
      </c>
      <c r="M539" s="678">
        <f t="shared" si="266"/>
        <v>1.0865504518295666</v>
      </c>
      <c r="N539" s="679">
        <f t="shared" si="267"/>
        <v>-0.40183764636408453</v>
      </c>
      <c r="O539" s="677">
        <f t="shared" si="268"/>
        <v>3332367.7486269902</v>
      </c>
      <c r="P539" s="680">
        <f t="shared" si="269"/>
        <v>1.5707960267079688</v>
      </c>
      <c r="Q539" s="689">
        <f t="shared" si="291"/>
        <v>133.29846097889242</v>
      </c>
      <c r="R539" s="690">
        <f t="shared" si="292"/>
        <v>1.5632942943423107</v>
      </c>
      <c r="S539" s="677">
        <f t="shared" si="270"/>
        <v>1.1692290998785992</v>
      </c>
      <c r="T539" s="680">
        <f t="shared" si="271"/>
        <v>0.54473550668755488</v>
      </c>
      <c r="U539" s="681">
        <f t="shared" si="283"/>
        <v>0.61011818268987772</v>
      </c>
      <c r="V539" s="682">
        <f t="shared" si="284"/>
        <v>-1.2219146520246833</v>
      </c>
      <c r="W539" s="683">
        <f t="shared" si="272"/>
        <v>-43.482086055287532</v>
      </c>
      <c r="X539" s="684">
        <f t="shared" si="273"/>
        <v>-208.24820791748076</v>
      </c>
      <c r="Y539" s="687">
        <f t="shared" si="274"/>
        <v>-28.248207917480755</v>
      </c>
      <c r="AA539" s="170">
        <f t="shared" si="275"/>
        <v>80358</v>
      </c>
      <c r="AB539" s="170">
        <f t="shared" si="276"/>
        <v>6457408164</v>
      </c>
      <c r="AD539" s="686">
        <f t="shared" si="277"/>
        <v>15.7889020423865</v>
      </c>
      <c r="AE539" s="687">
        <f t="shared" si="278"/>
        <v>-31.640863123861173</v>
      </c>
      <c r="AG539" s="686">
        <f t="shared" si="279"/>
        <v>-12.411269769689389</v>
      </c>
      <c r="AH539" s="687">
        <f t="shared" si="280"/>
        <v>-36.586239661200231</v>
      </c>
      <c r="AJ539" s="170">
        <f t="shared" si="281"/>
        <v>0</v>
      </c>
      <c r="AK539" s="170">
        <f t="shared" si="293"/>
        <v>0</v>
      </c>
      <c r="AM539" s="170" t="str">
        <f t="shared" si="285"/>
        <v>1.58811807052961+0.808775083145199i</v>
      </c>
      <c r="AN539" s="170" t="str">
        <f t="shared" si="286"/>
        <v>2.19952630498756i</v>
      </c>
      <c r="AO539" s="170" t="str">
        <f t="shared" si="287"/>
        <v>0.367704210361682-0.722027314212363i</v>
      </c>
      <c r="AP539" s="170" t="str">
        <f t="shared" si="288"/>
        <v>-0.0980196784216025-0.134795847190866i</v>
      </c>
      <c r="AQ539" s="170" t="str">
        <f t="shared" si="289"/>
        <v>1.0980196784216+0.134795847190866i</v>
      </c>
      <c r="AR539" s="170" t="str">
        <f t="shared" si="290"/>
        <v>0.747375049956679-0.0917497700706459i</v>
      </c>
    </row>
    <row r="540" spans="7:44">
      <c r="G540" s="688">
        <v>80820.5</v>
      </c>
      <c r="H540" s="676">
        <f t="shared" si="282"/>
        <v>80.820499999999996</v>
      </c>
      <c r="I540" s="677">
        <f t="shared" si="262"/>
        <v>651.58559544562581</v>
      </c>
      <c r="J540" s="678">
        <f t="shared" si="263"/>
        <v>1.5692616084101596</v>
      </c>
      <c r="K540" s="678">
        <f t="shared" si="264"/>
        <v>1.006221131232262</v>
      </c>
      <c r="L540" s="679">
        <f t="shared" si="265"/>
        <v>0.11125690508950409</v>
      </c>
      <c r="M540" s="678">
        <f t="shared" si="266"/>
        <v>1.0875093828004279</v>
      </c>
      <c r="N540" s="679">
        <f t="shared" si="267"/>
        <v>-0.40390754526251882</v>
      </c>
      <c r="O540" s="677">
        <f t="shared" si="268"/>
        <v>3351547.1717552394</v>
      </c>
      <c r="P540" s="680">
        <f t="shared" si="269"/>
        <v>1.5707960284252336</v>
      </c>
      <c r="Q540" s="689">
        <f t="shared" si="291"/>
        <v>134.06561643911266</v>
      </c>
      <c r="R540" s="690">
        <f t="shared" si="292"/>
        <v>1.5633372235612857</v>
      </c>
      <c r="S540" s="677">
        <f t="shared" si="270"/>
        <v>1.1710399199143653</v>
      </c>
      <c r="T540" s="680">
        <f t="shared" si="271"/>
        <v>0.54728234869686121</v>
      </c>
      <c r="U540" s="681">
        <f t="shared" si="283"/>
        <v>0.60772716106683866</v>
      </c>
      <c r="V540" s="682">
        <f t="shared" si="284"/>
        <v>-1.2269360865192667</v>
      </c>
      <c r="W540" s="683">
        <f t="shared" si="272"/>
        <v>-43.571211784517899</v>
      </c>
      <c r="X540" s="684">
        <f t="shared" si="273"/>
        <v>-208.76230021717961</v>
      </c>
      <c r="Y540" s="687">
        <f t="shared" si="274"/>
        <v>-28.762300217179614</v>
      </c>
      <c r="AA540" s="170">
        <f t="shared" si="275"/>
        <v>80820.5</v>
      </c>
      <c r="AB540" s="170">
        <f t="shared" si="276"/>
        <v>6531953220.25</v>
      </c>
      <c r="AD540" s="686">
        <f t="shared" si="277"/>
        <v>15.775457562322115</v>
      </c>
      <c r="AE540" s="687">
        <f t="shared" si="278"/>
        <v>-31.784326857571962</v>
      </c>
      <c r="AG540" s="686">
        <f t="shared" si="279"/>
        <v>-12.418738164962262</v>
      </c>
      <c r="AH540" s="687">
        <f t="shared" si="280"/>
        <v>-36.381454219248745</v>
      </c>
      <c r="AJ540" s="170">
        <f t="shared" si="281"/>
        <v>0</v>
      </c>
      <c r="AK540" s="170">
        <f t="shared" si="293"/>
        <v>0</v>
      </c>
      <c r="AM540" s="170" t="str">
        <f t="shared" si="285"/>
        <v>1.59830924755305+0.801265277103971i</v>
      </c>
      <c r="AN540" s="170" t="str">
        <f t="shared" si="286"/>
        <v>2.21218566579864i</v>
      </c>
      <c r="AO540" s="170" t="str">
        <f t="shared" si="287"/>
        <v>0.362205256770208-0.722502307226564i</v>
      </c>
      <c r="AP540" s="170" t="str">
        <f t="shared" si="288"/>
        <v>-0.0997182079255082-0.133544212850662i</v>
      </c>
      <c r="AQ540" s="170" t="str">
        <f t="shared" si="289"/>
        <v>1.09971820792551+0.133544212850662i</v>
      </c>
      <c r="AR540" s="170" t="str">
        <f t="shared" si="290"/>
        <v>0.746459152736166-0.0906462212400466i</v>
      </c>
    </row>
    <row r="541" spans="7:44">
      <c r="G541" s="688">
        <v>81283</v>
      </c>
      <c r="H541" s="676">
        <f t="shared" si="282"/>
        <v>81.283000000000001</v>
      </c>
      <c r="I541" s="677">
        <f t="shared" si="262"/>
        <v>655.31432305936278</v>
      </c>
      <c r="J541" s="678">
        <f t="shared" si="263"/>
        <v>1.5692703409390756</v>
      </c>
      <c r="K541" s="678">
        <f t="shared" si="264"/>
        <v>1.0062923132731991</v>
      </c>
      <c r="L541" s="679">
        <f t="shared" si="265"/>
        <v>0.11188829367433888</v>
      </c>
      <c r="M541" s="678">
        <f t="shared" si="266"/>
        <v>1.0884729649636631</v>
      </c>
      <c r="N541" s="679">
        <f t="shared" si="267"/>
        <v>-0.40597378820107644</v>
      </c>
      <c r="O541" s="677">
        <f t="shared" si="268"/>
        <v>3370726.5948834885</v>
      </c>
      <c r="P541" s="680">
        <f t="shared" si="269"/>
        <v>1.570796030122956</v>
      </c>
      <c r="Q541" s="689">
        <f t="shared" si="291"/>
        <v>134.83277214359327</v>
      </c>
      <c r="R541" s="690">
        <f t="shared" si="292"/>
        <v>1.5633796642730604</v>
      </c>
      <c r="S541" s="677">
        <f t="shared" si="270"/>
        <v>1.1728583123047198</v>
      </c>
      <c r="T541" s="680">
        <f t="shared" si="271"/>
        <v>0.54982130991574074</v>
      </c>
      <c r="U541" s="681">
        <f t="shared" si="283"/>
        <v>0.60534516519650661</v>
      </c>
      <c r="V541" s="682">
        <f t="shared" si="284"/>
        <v>-1.231943705248868</v>
      </c>
      <c r="W541" s="683">
        <f t="shared" si="272"/>
        <v>-43.660059491862611</v>
      </c>
      <c r="X541" s="684">
        <f t="shared" si="273"/>
        <v>-209.27496725791522</v>
      </c>
      <c r="Y541" s="687">
        <f t="shared" si="274"/>
        <v>-29.274967257915222</v>
      </c>
      <c r="AA541" s="170">
        <f t="shared" si="275"/>
        <v>81283</v>
      </c>
      <c r="AB541" s="170">
        <f t="shared" si="276"/>
        <v>6606926089</v>
      </c>
      <c r="AD541" s="686">
        <f t="shared" si="277"/>
        <v>15.761977819933911</v>
      </c>
      <c r="AE541" s="687">
        <f t="shared" si="278"/>
        <v>-31.927367043532701</v>
      </c>
      <c r="AG541" s="686">
        <f t="shared" si="279"/>
        <v>-12.425883388729673</v>
      </c>
      <c r="AH541" s="687">
        <f t="shared" si="280"/>
        <v>-36.177250236134242</v>
      </c>
      <c r="AJ541" s="170">
        <f t="shared" si="281"/>
        <v>0</v>
      </c>
      <c r="AK541" s="170">
        <f t="shared" si="293"/>
        <v>0</v>
      </c>
      <c r="AM541" s="170" t="str">
        <f t="shared" si="285"/>
        <v>1.60840454116633+0.793627062472162i</v>
      </c>
      <c r="AN541" s="170" t="str">
        <f t="shared" si="286"/>
        <v>2.22484502660972i</v>
      </c>
      <c r="AO541" s="170" t="str">
        <f t="shared" si="287"/>
        <v>0.356711165488013-0.722928798154207i</v>
      </c>
      <c r="AP541" s="170" t="str">
        <f t="shared" si="288"/>
        <v>-0.101400756861054-0.132271177078694i</v>
      </c>
      <c r="AQ541" s="170" t="str">
        <f t="shared" si="289"/>
        <v>1.10140075686105+0.132271177078694i</v>
      </c>
      <c r="AR541" s="170" t="str">
        <f t="shared" si="290"/>
        <v>0.745556858304523-0.0895366038317272i</v>
      </c>
    </row>
    <row r="542" spans="7:44">
      <c r="G542" s="688">
        <v>81756.25</v>
      </c>
      <c r="H542" s="676">
        <f t="shared" si="282"/>
        <v>81.756249999999994</v>
      </c>
      <c r="I542" s="677">
        <f t="shared" si="262"/>
        <v>659.12971844714957</v>
      </c>
      <c r="J542" s="678">
        <f t="shared" si="263"/>
        <v>1.5692791741682766</v>
      </c>
      <c r="K542" s="678">
        <f t="shared" si="264"/>
        <v>1.0063655650108403</v>
      </c>
      <c r="L542" s="679">
        <f t="shared" si="265"/>
        <v>0.11253426505639365</v>
      </c>
      <c r="M542" s="678">
        <f t="shared" si="266"/>
        <v>1.0894637456392029</v>
      </c>
      <c r="N542" s="679">
        <f t="shared" si="267"/>
        <v>-0.40808426465525094</v>
      </c>
      <c r="O542" s="677">
        <f t="shared" si="268"/>
        <v>3390351.8100087726</v>
      </c>
      <c r="P542" s="680">
        <f t="shared" si="269"/>
        <v>1.5707960318402558</v>
      </c>
      <c r="Q542" s="689">
        <f t="shared" si="291"/>
        <v>135.61775928323701</v>
      </c>
      <c r="R542" s="690">
        <f t="shared" si="292"/>
        <v>1.5634225944214162</v>
      </c>
      <c r="S542" s="677">
        <f t="shared" si="270"/>
        <v>1.1747267717581176</v>
      </c>
      <c r="T542" s="680">
        <f t="shared" si="271"/>
        <v>0.55241113125835684</v>
      </c>
      <c r="U542" s="681">
        <f t="shared" si="283"/>
        <v>0.60291713432352645</v>
      </c>
      <c r="V542" s="682">
        <f t="shared" si="284"/>
        <v>-1.2370536314399907</v>
      </c>
      <c r="W542" s="683">
        <f t="shared" si="272"/>
        <v>-43.750687294293094</v>
      </c>
      <c r="X542" s="684">
        <f t="shared" si="273"/>
        <v>-209.79808674405248</v>
      </c>
      <c r="Y542" s="687">
        <f t="shared" si="274"/>
        <v>-29.798086744052483</v>
      </c>
      <c r="AA542" s="170">
        <f t="shared" si="275"/>
        <v>81756.25</v>
      </c>
      <c r="AB542" s="170">
        <f t="shared" si="276"/>
        <v>6684084414.0625</v>
      </c>
      <c r="AD542" s="686">
        <f t="shared" si="277"/>
        <v>15.748148738282257</v>
      </c>
      <c r="AE542" s="687">
        <f t="shared" si="278"/>
        <v>-32.073293258403616</v>
      </c>
      <c r="AG542" s="686">
        <f t="shared" si="279"/>
        <v>-12.432864035744673</v>
      </c>
      <c r="AH542" s="687">
        <f t="shared" si="280"/>
        <v>-35.968889097982121</v>
      </c>
      <c r="AJ542" s="170">
        <f t="shared" si="281"/>
        <v>0</v>
      </c>
      <c r="AK542" s="170">
        <f t="shared" si="293"/>
        <v>0</v>
      </c>
      <c r="AM542" s="170" t="str">
        <f t="shared" si="285"/>
        <v>1.61863354230411+0.78567966776306i</v>
      </c>
      <c r="AN542" s="170" t="str">
        <f t="shared" si="286"/>
        <v>2.23779863202344i</v>
      </c>
      <c r="AO542" s="170" t="str">
        <f t="shared" si="287"/>
        <v>0.351094891434731-0.723315100447856i</v>
      </c>
      <c r="AP542" s="170" t="str">
        <f t="shared" si="288"/>
        <v>-0.103105590384018-0.130946611293843i</v>
      </c>
      <c r="AQ542" s="170" t="str">
        <f t="shared" si="289"/>
        <v>1.10310559038402+0.130946611293843i</v>
      </c>
      <c r="AR542" s="170" t="str">
        <f t="shared" si="290"/>
        <v>0.744647632724965-0.0883950593336862i</v>
      </c>
    </row>
    <row r="543" spans="7:44">
      <c r="G543" s="688">
        <v>82229.5</v>
      </c>
      <c r="H543" s="676">
        <f t="shared" si="282"/>
        <v>82.229500000000002</v>
      </c>
      <c r="I543" s="677">
        <f t="shared" si="262"/>
        <v>662.94511388577359</v>
      </c>
      <c r="J543" s="678">
        <f t="shared" si="263"/>
        <v>1.5692879057231113</v>
      </c>
      <c r="K543" s="678">
        <f t="shared" si="264"/>
        <v>1.0064392366224937</v>
      </c>
      <c r="L543" s="679">
        <f t="shared" si="265"/>
        <v>0.1131801421373831</v>
      </c>
      <c r="M543" s="678">
        <f t="shared" si="266"/>
        <v>1.0904593700764174</v>
      </c>
      <c r="N543" s="679">
        <f t="shared" si="267"/>
        <v>-0.41019089661274705</v>
      </c>
      <c r="O543" s="677">
        <f t="shared" si="268"/>
        <v>3409977.0251340568</v>
      </c>
      <c r="P543" s="680">
        <f t="shared" si="269"/>
        <v>1.5707960335377888</v>
      </c>
      <c r="Q543" s="689">
        <f t="shared" si="291"/>
        <v>136.40274666994716</v>
      </c>
      <c r="R543" s="690">
        <f t="shared" si="292"/>
        <v>1.5634650304504012</v>
      </c>
      <c r="S543" s="677">
        <f t="shared" si="270"/>
        <v>1.1766030852540965</v>
      </c>
      <c r="T543" s="680">
        <f t="shared" si="271"/>
        <v>0.55499270996196548</v>
      </c>
      <c r="U543" s="681">
        <f t="shared" si="283"/>
        <v>0.60049852615124988</v>
      </c>
      <c r="V543" s="682">
        <f t="shared" si="284"/>
        <v>-1.2421495288401287</v>
      </c>
      <c r="W543" s="683">
        <f t="shared" si="272"/>
        <v>-43.841029607724487</v>
      </c>
      <c r="X543" s="684">
        <f t="shared" si="273"/>
        <v>-210.31973778517471</v>
      </c>
      <c r="Y543" s="687">
        <f t="shared" si="274"/>
        <v>-30.319737785174709</v>
      </c>
      <c r="AA543" s="170">
        <f t="shared" si="275"/>
        <v>82229.5</v>
      </c>
      <c r="AB543" s="170">
        <f t="shared" si="276"/>
        <v>6761690670.25</v>
      </c>
      <c r="AD543" s="686">
        <f t="shared" si="277"/>
        <v>15.734283697962887</v>
      </c>
      <c r="AE543" s="687">
        <f t="shared" si="278"/>
        <v>-32.21877551466882</v>
      </c>
      <c r="AG543" s="686">
        <f t="shared" si="279"/>
        <v>-12.439514090756393</v>
      </c>
      <c r="AH543" s="687">
        <f t="shared" si="280"/>
        <v>-35.761111054452698</v>
      </c>
      <c r="AJ543" s="170">
        <f t="shared" si="281"/>
        <v>0</v>
      </c>
      <c r="AK543" s="170">
        <f t="shared" si="293"/>
        <v>0</v>
      </c>
      <c r="AM543" s="170" t="str">
        <f t="shared" si="285"/>
        <v>1.62875874072556+0.777600441075753i</v>
      </c>
      <c r="AN543" s="170" t="str">
        <f t="shared" si="286"/>
        <v>2.25075223743715i</v>
      </c>
      <c r="AO543" s="170" t="str">
        <f t="shared" si="287"/>
        <v>0.345484690914349-0.723650837099764i</v>
      </c>
      <c r="AP543" s="170" t="str">
        <f t="shared" si="288"/>
        <v>-0.10479312345426-0.129600073512626i</v>
      </c>
      <c r="AQ543" s="170" t="str">
        <f t="shared" si="289"/>
        <v>1.10479312345426+0.129600073512626i</v>
      </c>
      <c r="AR543" s="170" t="str">
        <f t="shared" si="290"/>
        <v>0.743752568748485-0.0872474543321131i</v>
      </c>
    </row>
    <row r="544" spans="7:44">
      <c r="G544" s="688">
        <v>82702.75</v>
      </c>
      <c r="H544" s="676">
        <f t="shared" si="282"/>
        <v>82.702749999999995</v>
      </c>
      <c r="I544" s="677">
        <f t="shared" si="262"/>
        <v>666.76050937436219</v>
      </c>
      <c r="J544" s="678">
        <f t="shared" si="263"/>
        <v>1.5692965373490082</v>
      </c>
      <c r="K544" s="678">
        <f t="shared" si="264"/>
        <v>1.0065133280159619</v>
      </c>
      <c r="L544" s="679">
        <f t="shared" si="265"/>
        <v>0.11382592439920919</v>
      </c>
      <c r="M544" s="678">
        <f t="shared" si="266"/>
        <v>1.0914598250199374</v>
      </c>
      <c r="N544" s="679">
        <f t="shared" si="267"/>
        <v>-0.41229367592196403</v>
      </c>
      <c r="O544" s="677">
        <f t="shared" si="268"/>
        <v>3429602.240259341</v>
      </c>
      <c r="P544" s="680">
        <f t="shared" si="269"/>
        <v>1.5707960352158943</v>
      </c>
      <c r="Q544" s="689">
        <f t="shared" si="291"/>
        <v>137.18773429948254</v>
      </c>
      <c r="R544" s="690">
        <f t="shared" si="292"/>
        <v>1.5635069808419078</v>
      </c>
      <c r="S544" s="677">
        <f t="shared" si="270"/>
        <v>1.1784872152785135</v>
      </c>
      <c r="T544" s="680">
        <f t="shared" si="271"/>
        <v>0.55756605106889445</v>
      </c>
      <c r="U544" s="681">
        <f t="shared" si="283"/>
        <v>0.59808932381886659</v>
      </c>
      <c r="V544" s="682">
        <f t="shared" si="284"/>
        <v>-1.2472316173478484</v>
      </c>
      <c r="W544" s="683">
        <f t="shared" si="272"/>
        <v>-43.931089222410613</v>
      </c>
      <c r="X544" s="684">
        <f t="shared" si="273"/>
        <v>-210.8399324461268</v>
      </c>
      <c r="Y544" s="687">
        <f t="shared" si="274"/>
        <v>-30.839932446126795</v>
      </c>
      <c r="AA544" s="170">
        <f t="shared" si="275"/>
        <v>82702.75</v>
      </c>
      <c r="AB544" s="170">
        <f t="shared" si="276"/>
        <v>6839744857.5625</v>
      </c>
      <c r="AD544" s="686">
        <f t="shared" si="277"/>
        <v>15.720383181590201</v>
      </c>
      <c r="AE544" s="687">
        <f t="shared" si="278"/>
        <v>-32.36381361527522</v>
      </c>
      <c r="AG544" s="686">
        <f t="shared" si="279"/>
        <v>-12.445837360990888</v>
      </c>
      <c r="AH544" s="687">
        <f t="shared" si="280"/>
        <v>-35.553903168924407</v>
      </c>
      <c r="AJ544" s="170">
        <f t="shared" si="281"/>
        <v>0</v>
      </c>
      <c r="AK544" s="170">
        <f t="shared" si="293"/>
        <v>0</v>
      </c>
      <c r="AM544" s="170" t="str">
        <f t="shared" si="285"/>
        <v>1.63877843748775+0.76939073805233i</v>
      </c>
      <c r="AN544" s="170" t="str">
        <f t="shared" si="286"/>
        <v>2.26370584285087i</v>
      </c>
      <c r="AO544" s="170" t="str">
        <f t="shared" si="287"/>
        <v>0.339881058522769-0.723936125651336i</v>
      </c>
      <c r="AP544" s="170" t="str">
        <f t="shared" si="288"/>
        <v>-0.106463072914625-0.128231789675388i</v>
      </c>
      <c r="AQ544" s="170" t="str">
        <f t="shared" si="289"/>
        <v>1.10646307291462+0.128231789675388i</v>
      </c>
      <c r="AR544" s="170" t="str">
        <f t="shared" si="290"/>
        <v>0.742871624890432-0.0860939332641553i</v>
      </c>
    </row>
    <row r="545" spans="7:44">
      <c r="G545" s="688">
        <v>83176</v>
      </c>
      <c r="H545" s="676">
        <f t="shared" si="282"/>
        <v>83.176000000000002</v>
      </c>
      <c r="I545" s="677">
        <f t="shared" si="262"/>
        <v>670.57590491206247</v>
      </c>
      <c r="J545" s="678">
        <f t="shared" si="263"/>
        <v>1.569305070751672</v>
      </c>
      <c r="K545" s="678">
        <f t="shared" si="264"/>
        <v>1.0065878390985492</v>
      </c>
      <c r="L545" s="679">
        <f t="shared" si="265"/>
        <v>0.11447161132424227</v>
      </c>
      <c r="M545" s="678">
        <f t="shared" si="266"/>
        <v>1.0924650971987568</v>
      </c>
      <c r="N545" s="679">
        <f t="shared" si="267"/>
        <v>-0.41439259459736966</v>
      </c>
      <c r="O545" s="677">
        <f t="shared" si="268"/>
        <v>3449227.4553846251</v>
      </c>
      <c r="P545" s="680">
        <f t="shared" si="269"/>
        <v>1.5707960368749034</v>
      </c>
      <c r="Q545" s="689">
        <f t="shared" si="291"/>
        <v>137.97272216769861</v>
      </c>
      <c r="R545" s="690">
        <f t="shared" si="292"/>
        <v>1.5635484538848068</v>
      </c>
      <c r="S545" s="677">
        <f t="shared" si="270"/>
        <v>1.1803791244009656</v>
      </c>
      <c r="T545" s="680">
        <f t="shared" si="271"/>
        <v>0.56013116002574259</v>
      </c>
      <c r="U545" s="681">
        <f t="shared" si="283"/>
        <v>0.5956895085577133</v>
      </c>
      <c r="V545" s="682">
        <f t="shared" si="284"/>
        <v>-1.2523001162140552</v>
      </c>
      <c r="W545" s="683">
        <f t="shared" si="272"/>
        <v>-44.020868899325137</v>
      </c>
      <c r="X545" s="684">
        <f t="shared" si="273"/>
        <v>-211.35868279607951</v>
      </c>
      <c r="Y545" s="687">
        <f t="shared" si="274"/>
        <v>-31.358682796079506</v>
      </c>
      <c r="AA545" s="170">
        <f t="shared" si="275"/>
        <v>83176</v>
      </c>
      <c r="AB545" s="170">
        <f t="shared" si="276"/>
        <v>6918246976</v>
      </c>
      <c r="AD545" s="686">
        <f t="shared" si="277"/>
        <v>15.706447669144634</v>
      </c>
      <c r="AE545" s="687">
        <f t="shared" si="278"/>
        <v>-32.508407397391579</v>
      </c>
      <c r="AG545" s="686">
        <f t="shared" si="279"/>
        <v>-12.451837571039903</v>
      </c>
      <c r="AH545" s="687">
        <f t="shared" si="280"/>
        <v>-35.347252549096055</v>
      </c>
      <c r="AJ545" s="170">
        <f t="shared" si="281"/>
        <v>0</v>
      </c>
      <c r="AK545" s="170">
        <f t="shared" si="293"/>
        <v>0</v>
      </c>
      <c r="AM545" s="170" t="str">
        <f t="shared" si="285"/>
        <v>1.6486909513502+0.761051936227993i</v>
      </c>
      <c r="AN545" s="170" t="str">
        <f t="shared" si="286"/>
        <v>2.27665944826458i</v>
      </c>
      <c r="AO545" s="170" t="str">
        <f t="shared" si="287"/>
        <v>0.334284487215739-0.724171088744494i</v>
      </c>
      <c r="AP545" s="170" t="str">
        <f t="shared" si="288"/>
        <v>-0.108115158558366-0.126841989371332i</v>
      </c>
      <c r="AQ545" s="170" t="str">
        <f t="shared" si="289"/>
        <v>1.10811515855837+0.126841989371332i</v>
      </c>
      <c r="AR545" s="170" t="str">
        <f t="shared" si="290"/>
        <v>0.742004759347961-0.0849346379496659i</v>
      </c>
    </row>
    <row r="546" spans="7:44">
      <c r="G546" s="688">
        <v>83660.5</v>
      </c>
      <c r="H546" s="676">
        <f t="shared" si="282"/>
        <v>83.660499999999999</v>
      </c>
      <c r="I546" s="677">
        <f t="shared" si="262"/>
        <v>674.48199928434224</v>
      </c>
      <c r="J546" s="678">
        <f t="shared" si="263"/>
        <v>1.5693137069956709</v>
      </c>
      <c r="K546" s="678">
        <f t="shared" si="264"/>
        <v>1.0066645561185379</v>
      </c>
      <c r="L546" s="679">
        <f t="shared" si="265"/>
        <v>0.11513254808057723</v>
      </c>
      <c r="M546" s="678">
        <f t="shared" si="266"/>
        <v>1.0934992429927455</v>
      </c>
      <c r="N546" s="679">
        <f t="shared" si="267"/>
        <v>-0.41653740077814649</v>
      </c>
      <c r="O546" s="677">
        <f t="shared" si="268"/>
        <v>3469319.1970184343</v>
      </c>
      <c r="P546" s="680">
        <f t="shared" si="269"/>
        <v>1.5707960385539066</v>
      </c>
      <c r="Q546" s="689">
        <f t="shared" si="291"/>
        <v>138.77637084633469</v>
      </c>
      <c r="R546" s="690">
        <f t="shared" si="292"/>
        <v>1.5635904267694118</v>
      </c>
      <c r="S546" s="677">
        <f t="shared" si="270"/>
        <v>1.1823240272788926</v>
      </c>
      <c r="T546" s="680">
        <f t="shared" si="271"/>
        <v>0.56274872430625489</v>
      </c>
      <c r="U546" s="681">
        <f t="shared" si="283"/>
        <v>0.59324234829335176</v>
      </c>
      <c r="V546" s="682">
        <f t="shared" si="284"/>
        <v>-1.2574752525641584</v>
      </c>
      <c r="W546" s="683">
        <f t="shared" si="272"/>
        <v>-44.112495654332875</v>
      </c>
      <c r="X546" s="684">
        <f t="shared" si="273"/>
        <v>-211.8882811565868</v>
      </c>
      <c r="Y546" s="687">
        <f t="shared" si="274"/>
        <v>-31.8882811565868</v>
      </c>
      <c r="AA546" s="170">
        <f t="shared" si="275"/>
        <v>83660.5</v>
      </c>
      <c r="AB546" s="170">
        <f t="shared" si="276"/>
        <v>6999079260.25</v>
      </c>
      <c r="AD546" s="686">
        <f t="shared" si="277"/>
        <v>15.692145129156001</v>
      </c>
      <c r="AE546" s="687">
        <f t="shared" si="278"/>
        <v>-32.655978010495694</v>
      </c>
      <c r="AG546" s="686">
        <f t="shared" si="279"/>
        <v>-12.457649549668226</v>
      </c>
      <c r="AH546" s="687">
        <f t="shared" si="280"/>
        <v>-35.136253353290307</v>
      </c>
      <c r="AJ546" s="170">
        <f t="shared" si="281"/>
        <v>0</v>
      </c>
      <c r="AK546" s="170">
        <f t="shared" si="293"/>
        <v>0</v>
      </c>
      <c r="AM546" s="170" t="str">
        <f t="shared" si="285"/>
        <v>1.65872633176634+0.752382628612371i</v>
      </c>
      <c r="AN546" s="170" t="str">
        <f t="shared" si="286"/>
        <v>2.28992098407641i</v>
      </c>
      <c r="AO546" s="170" t="str">
        <f t="shared" si="287"/>
        <v>0.328562703186821-0.724359636555473i</v>
      </c>
      <c r="AP546" s="170" t="str">
        <f t="shared" si="288"/>
        <v>-0.109787721961057-0.125397104768729i</v>
      </c>
      <c r="AQ546" s="170" t="str">
        <f t="shared" si="289"/>
        <v>1.10978772196106+0.125397104768729i</v>
      </c>
      <c r="AR546" s="170" t="str">
        <f t="shared" si="290"/>
        <v>0.741131827225101-0.0837419477138949i</v>
      </c>
    </row>
    <row r="547" spans="7:44">
      <c r="G547" s="688">
        <v>84145</v>
      </c>
      <c r="H547" s="676">
        <f t="shared" si="282"/>
        <v>84.144999999999996</v>
      </c>
      <c r="I547" s="677">
        <f t="shared" si="262"/>
        <v>678.38809370634863</v>
      </c>
      <c r="J547" s="678">
        <f t="shared" si="263"/>
        <v>1.5693222437863195</v>
      </c>
      <c r="K547" s="678">
        <f t="shared" si="264"/>
        <v>1.006741712820117</v>
      </c>
      <c r="L547" s="679">
        <f t="shared" si="265"/>
        <v>0.11579338381714521</v>
      </c>
      <c r="M547" s="678">
        <f t="shared" si="266"/>
        <v>1.0945384095759099</v>
      </c>
      <c r="N547" s="679">
        <f t="shared" si="267"/>
        <v>-0.41867814418692584</v>
      </c>
      <c r="O547" s="677">
        <f t="shared" si="268"/>
        <v>3489410.9386522435</v>
      </c>
      <c r="P547" s="680">
        <f t="shared" si="269"/>
        <v>1.5707960402135746</v>
      </c>
      <c r="Q547" s="689">
        <f t="shared" si="291"/>
        <v>139.58001976664099</v>
      </c>
      <c r="R547" s="690">
        <f t="shared" si="292"/>
        <v>1.5636319163261252</v>
      </c>
      <c r="S547" s="677">
        <f t="shared" si="270"/>
        <v>1.1842770043787596</v>
      </c>
      <c r="T547" s="680">
        <f t="shared" si="271"/>
        <v>0.56535767322520114</v>
      </c>
      <c r="U547" s="681">
        <f t="shared" si="283"/>
        <v>0.59080498100468459</v>
      </c>
      <c r="V547" s="682">
        <f t="shared" si="284"/>
        <v>-1.2626366084549507</v>
      </c>
      <c r="W547" s="683">
        <f t="shared" si="272"/>
        <v>-44.203834770894588</v>
      </c>
      <c r="X547" s="684">
        <f t="shared" si="273"/>
        <v>-212.41639133267842</v>
      </c>
      <c r="Y547" s="687">
        <f t="shared" si="274"/>
        <v>-32.416391332678415</v>
      </c>
      <c r="AA547" s="170">
        <f t="shared" si="275"/>
        <v>84145</v>
      </c>
      <c r="AB547" s="170">
        <f t="shared" si="276"/>
        <v>7080381025</v>
      </c>
      <c r="AD547" s="686">
        <f t="shared" si="277"/>
        <v>15.677806919039345</v>
      </c>
      <c r="AE547" s="687">
        <f t="shared" si="278"/>
        <v>-32.803082691283066</v>
      </c>
      <c r="AG547" s="686">
        <f t="shared" si="279"/>
        <v>-12.463130567824249</v>
      </c>
      <c r="AH547" s="687">
        <f t="shared" si="280"/>
        <v>-34.925811029703951</v>
      </c>
      <c r="AJ547" s="170">
        <f t="shared" si="281"/>
        <v>0</v>
      </c>
      <c r="AK547" s="170">
        <f t="shared" si="293"/>
        <v>0</v>
      </c>
      <c r="AM547" s="170" t="str">
        <f t="shared" si="285"/>
        <v>1.66864586477905+0.743581002658003i</v>
      </c>
      <c r="AN547" s="170" t="str">
        <f t="shared" si="286"/>
        <v>2.30318251988823i</v>
      </c>
      <c r="AO547" s="170" t="str">
        <f t="shared" si="287"/>
        <v>0.32284936006465-0.724495714243275i</v>
      </c>
      <c r="AP547" s="170" t="str">
        <f t="shared" si="288"/>
        <v>-0.111440977463174-0.123930167109667i</v>
      </c>
      <c r="AQ547" s="170" t="str">
        <f t="shared" si="289"/>
        <v>1.11144097746317+0.123930167109667i</v>
      </c>
      <c r="AR547" s="170" t="str">
        <f t="shared" si="290"/>
        <v>0.740273561238783-0.0825434980457437i</v>
      </c>
    </row>
    <row r="548" spans="7:44">
      <c r="G548" s="688">
        <v>84629.5</v>
      </c>
      <c r="H548" s="676">
        <f t="shared" si="282"/>
        <v>84.629499999999993</v>
      </c>
      <c r="I548" s="677">
        <f t="shared" si="262"/>
        <v>682.29418817722785</v>
      </c>
      <c r="J548" s="678">
        <f t="shared" si="263"/>
        <v>1.5693306828317106</v>
      </c>
      <c r="K548" s="678">
        <f t="shared" si="264"/>
        <v>1.0068193091022033</v>
      </c>
      <c r="L548" s="679">
        <f t="shared" si="265"/>
        <v>0.11645411798005852</v>
      </c>
      <c r="M548" s="678">
        <f t="shared" si="266"/>
        <v>1.0955825826615049</v>
      </c>
      <c r="N548" s="679">
        <f t="shared" si="267"/>
        <v>-0.42081481679125082</v>
      </c>
      <c r="O548" s="677">
        <f t="shared" si="268"/>
        <v>3509502.6802860526</v>
      </c>
      <c r="P548" s="680">
        <f t="shared" si="269"/>
        <v>1.5707960418542395</v>
      </c>
      <c r="Q548" s="689">
        <f t="shared" si="291"/>
        <v>140.38366892446706</v>
      </c>
      <c r="R548" s="690">
        <f t="shared" si="292"/>
        <v>1.56367293085547</v>
      </c>
      <c r="S548" s="677">
        <f t="shared" si="270"/>
        <v>1.1862380158212922</v>
      </c>
      <c r="T548" s="680">
        <f t="shared" si="271"/>
        <v>0.56795801390609213</v>
      </c>
      <c r="U548" s="681">
        <f t="shared" si="283"/>
        <v>0.588377380703201</v>
      </c>
      <c r="V548" s="682">
        <f t="shared" si="284"/>
        <v>-1.2677844170119914</v>
      </c>
      <c r="W548" s="683">
        <f t="shared" si="272"/>
        <v>-44.294889122843557</v>
      </c>
      <c r="X548" s="684">
        <f t="shared" si="273"/>
        <v>-212.9430262834222</v>
      </c>
      <c r="Y548" s="687">
        <f t="shared" si="274"/>
        <v>-32.943026283422199</v>
      </c>
      <c r="AA548" s="170">
        <f t="shared" si="275"/>
        <v>84629.5</v>
      </c>
      <c r="AB548" s="170">
        <f t="shared" si="276"/>
        <v>7162152270.25</v>
      </c>
      <c r="AD548" s="686">
        <f t="shared" si="277"/>
        <v>15.663433545118872</v>
      </c>
      <c r="AE548" s="687">
        <f t="shared" si="278"/>
        <v>-32.949721372334842</v>
      </c>
      <c r="AG548" s="686">
        <f t="shared" si="279"/>
        <v>-12.468284363024075</v>
      </c>
      <c r="AH548" s="687">
        <f t="shared" si="280"/>
        <v>-34.715911890602385</v>
      </c>
      <c r="AJ548" s="170">
        <f t="shared" si="281"/>
        <v>0</v>
      </c>
      <c r="AK548" s="170">
        <f t="shared" si="293"/>
        <v>0</v>
      </c>
      <c r="AM548" s="170" t="str">
        <f t="shared" si="285"/>
        <v>1.67844780588216+0.734648606269473i</v>
      </c>
      <c r="AN548" s="170" t="str">
        <f t="shared" si="286"/>
        <v>2.31644405570005i</v>
      </c>
      <c r="AO548" s="170" t="str">
        <f t="shared" si="287"/>
        <v>0.317144981102276-0.72457946987842i</v>
      </c>
      <c r="AP548" s="170" t="str">
        <f t="shared" si="288"/>
        <v>-0.113074634313694-0.122441434378246i</v>
      </c>
      <c r="AQ548" s="170" t="str">
        <f t="shared" si="289"/>
        <v>1.11307463431369+0.122441434378246i</v>
      </c>
      <c r="AR548" s="170" t="str">
        <f t="shared" si="290"/>
        <v>0.739429915832375-0.081339432887648i</v>
      </c>
    </row>
    <row r="549" spans="7:44">
      <c r="G549" s="688">
        <v>85114</v>
      </c>
      <c r="H549" s="676">
        <f t="shared" si="282"/>
        <v>85.114000000000004</v>
      </c>
      <c r="I549" s="677">
        <f t="shared" si="262"/>
        <v>686.200282696145</v>
      </c>
      <c r="J549" s="678">
        <f t="shared" si="263"/>
        <v>1.5693390258010449</v>
      </c>
      <c r="K549" s="678">
        <f t="shared" si="264"/>
        <v>1.0068973448631675</v>
      </c>
      <c r="L549" s="679">
        <f t="shared" si="265"/>
        <v>0.11711475001595442</v>
      </c>
      <c r="M549" s="678">
        <f t="shared" si="266"/>
        <v>1.096631747948499</v>
      </c>
      <c r="N549" s="679">
        <f t="shared" si="267"/>
        <v>-0.42294741073786057</v>
      </c>
      <c r="O549" s="677">
        <f t="shared" si="268"/>
        <v>3529594.4219198618</v>
      </c>
      <c r="P549" s="680">
        <f t="shared" si="269"/>
        <v>1.5707960434762258</v>
      </c>
      <c r="Q549" s="689">
        <f t="shared" si="291"/>
        <v>141.18731831575698</v>
      </c>
      <c r="R549" s="690">
        <f t="shared" si="292"/>
        <v>1.5637134784689877</v>
      </c>
      <c r="S549" s="677">
        <f t="shared" si="270"/>
        <v>1.1882070218269638</v>
      </c>
      <c r="T549" s="680">
        <f t="shared" si="271"/>
        <v>0.57054975389116236</v>
      </c>
      <c r="U549" s="681">
        <f t="shared" si="283"/>
        <v>0.58595951954633707</v>
      </c>
      <c r="V549" s="682">
        <f t="shared" si="284"/>
        <v>-1.2729189106344785</v>
      </c>
      <c r="W549" s="683">
        <f t="shared" si="272"/>
        <v>-44.385661556211076</v>
      </c>
      <c r="X549" s="684">
        <f t="shared" si="273"/>
        <v>-213.46819896909594</v>
      </c>
      <c r="Y549" s="687">
        <f t="shared" si="274"/>
        <v>-33.468198969095937</v>
      </c>
      <c r="AA549" s="170">
        <f t="shared" si="275"/>
        <v>85114</v>
      </c>
      <c r="AB549" s="170">
        <f t="shared" si="276"/>
        <v>7244392996</v>
      </c>
      <c r="AD549" s="686">
        <f t="shared" si="277"/>
        <v>15.649025510742751</v>
      </c>
      <c r="AE549" s="687">
        <f t="shared" si="278"/>
        <v>-33.095894021050796</v>
      </c>
      <c r="AG549" s="686">
        <f t="shared" si="279"/>
        <v>-12.473114588678849</v>
      </c>
      <c r="AH549" s="687">
        <f t="shared" si="280"/>
        <v>-34.506542297877175</v>
      </c>
      <c r="AJ549" s="170">
        <f t="shared" si="281"/>
        <v>0</v>
      </c>
      <c r="AK549" s="170">
        <f t="shared" si="293"/>
        <v>0</v>
      </c>
      <c r="AM549" s="170" t="str">
        <f t="shared" si="285"/>
        <v>1.68813043124993+0.725587010349406i</v>
      </c>
      <c r="AN549" s="170" t="str">
        <f t="shared" si="286"/>
        <v>2.32970559151188i</v>
      </c>
      <c r="AO549" s="170" t="str">
        <f t="shared" si="287"/>
        <v>0.311450087510212-0.724611057036784i</v>
      </c>
      <c r="AP549" s="170" t="str">
        <f t="shared" si="288"/>
        <v>-0.114688405208321-0.120931168391568i</v>
      </c>
      <c r="AQ549" s="170" t="str">
        <f t="shared" si="289"/>
        <v>1.11468840520832+0.120931168391568i</v>
      </c>
      <c r="AR549" s="170" t="str">
        <f t="shared" si="290"/>
        <v>0.738600845320173-0.0801298935040736i</v>
      </c>
    </row>
    <row r="550" spans="7:44">
      <c r="G550" s="688">
        <v>85609.5</v>
      </c>
      <c r="H550" s="676">
        <f t="shared" si="282"/>
        <v>85.609499999999997</v>
      </c>
      <c r="I550" s="677">
        <f t="shared" si="262"/>
        <v>690.1950605243901</v>
      </c>
      <c r="J550" s="678">
        <f t="shared" si="263"/>
        <v>1.5693474605148203</v>
      </c>
      <c r="K550" s="678">
        <f t="shared" si="264"/>
        <v>1.0069776067863125</v>
      </c>
      <c r="L550" s="679">
        <f t="shared" si="265"/>
        <v>0.1177902747141247</v>
      </c>
      <c r="M550" s="678">
        <f t="shared" si="266"/>
        <v>1.097709881876799</v>
      </c>
      <c r="N550" s="679">
        <f t="shared" si="267"/>
        <v>-0.42512419610222896</v>
      </c>
      <c r="O550" s="677">
        <f t="shared" si="268"/>
        <v>3550142.322806451</v>
      </c>
      <c r="P550" s="680">
        <f t="shared" si="269"/>
        <v>1.5707960451160485</v>
      </c>
      <c r="Q550" s="689">
        <f t="shared" si="291"/>
        <v>142.00921385420361</v>
      </c>
      <c r="R550" s="690">
        <f t="shared" si="292"/>
        <v>1.5637544719917686</v>
      </c>
      <c r="S550" s="677">
        <f t="shared" si="270"/>
        <v>1.1902289593222288</v>
      </c>
      <c r="T550" s="680">
        <f t="shared" si="271"/>
        <v>0.57319144874689121</v>
      </c>
      <c r="U550" s="681">
        <f t="shared" si="283"/>
        <v>0.58349680613859556</v>
      </c>
      <c r="V550" s="682">
        <f t="shared" si="284"/>
        <v>-1.2781564464813036</v>
      </c>
      <c r="W550" s="683">
        <f t="shared" si="272"/>
        <v>-44.478206216143221</v>
      </c>
      <c r="X550" s="684">
        <f t="shared" si="273"/>
        <v>-214.00379614650925</v>
      </c>
      <c r="Y550" s="687">
        <f t="shared" si="274"/>
        <v>-34.003796146509245</v>
      </c>
      <c r="AA550" s="170">
        <f t="shared" si="275"/>
        <v>85609.5</v>
      </c>
      <c r="AB550" s="170">
        <f t="shared" si="276"/>
        <v>7328986490.25</v>
      </c>
      <c r="AD550" s="686">
        <f t="shared" si="277"/>
        <v>15.63425503061649</v>
      </c>
      <c r="AE550" s="687">
        <f t="shared" si="278"/>
        <v>-33.24490332532794</v>
      </c>
      <c r="AG550" s="686">
        <f t="shared" si="279"/>
        <v>-12.477723527439133</v>
      </c>
      <c r="AH550" s="687">
        <f t="shared" si="280"/>
        <v>-34.292952772184442</v>
      </c>
      <c r="AJ550" s="170">
        <f t="shared" si="281"/>
        <v>0</v>
      </c>
      <c r="AK550" s="170">
        <f t="shared" si="293"/>
        <v>0</v>
      </c>
      <c r="AM550" s="170" t="str">
        <f t="shared" si="285"/>
        <v>1.69790770483811+0.716187709701583i</v>
      </c>
      <c r="AN550" s="170" t="str">
        <f t="shared" si="286"/>
        <v>2.34326821482407i</v>
      </c>
      <c r="AO550" s="170" t="str">
        <f t="shared" si="287"/>
        <v>0.305636249905499-0.724589568576377i</v>
      </c>
      <c r="AP550" s="170" t="str">
        <f t="shared" si="288"/>
        <v>-0.116317950806352-0.119364618283597i</v>
      </c>
      <c r="AQ550" s="170" t="str">
        <f t="shared" si="289"/>
        <v>1.11631795080635+0.119364618283597i</v>
      </c>
      <c r="AR550" s="170" t="str">
        <f t="shared" si="290"/>
        <v>0.73776797905857-0.078887375356256i</v>
      </c>
    </row>
    <row r="551" spans="7:44">
      <c r="G551" s="688">
        <v>86105</v>
      </c>
      <c r="H551" s="676">
        <f t="shared" si="282"/>
        <v>86.105000000000004</v>
      </c>
      <c r="I551" s="677">
        <f t="shared" si="262"/>
        <v>694.18983840117357</v>
      </c>
      <c r="J551" s="678">
        <f t="shared" si="263"/>
        <v>1.5693557981519579</v>
      </c>
      <c r="K551" s="678">
        <f t="shared" si="264"/>
        <v>1.0070583281538232</v>
      </c>
      <c r="L551" s="679">
        <f t="shared" si="265"/>
        <v>0.11846569142629028</v>
      </c>
      <c r="M551" s="678">
        <f t="shared" si="266"/>
        <v>1.0987932069660551</v>
      </c>
      <c r="N551" s="679">
        <f t="shared" si="267"/>
        <v>-0.42729669945999693</v>
      </c>
      <c r="O551" s="677">
        <f t="shared" si="268"/>
        <v>3570690.2236930402</v>
      </c>
      <c r="P551" s="680">
        <f t="shared" si="269"/>
        <v>1.5707960467369981</v>
      </c>
      <c r="Q551" s="689">
        <f t="shared" si="291"/>
        <v>142.83110962854587</v>
      </c>
      <c r="R551" s="690">
        <f t="shared" si="292"/>
        <v>1.5637949937349993</v>
      </c>
      <c r="S551" s="677">
        <f t="shared" si="270"/>
        <v>1.1922591746857514</v>
      </c>
      <c r="T551" s="680">
        <f t="shared" si="271"/>
        <v>0.5758241652056717</v>
      </c>
      <c r="U551" s="681">
        <f t="shared" si="283"/>
        <v>0.58104421453293131</v>
      </c>
      <c r="V551" s="682">
        <f t="shared" si="284"/>
        <v>-1.2833805452609406</v>
      </c>
      <c r="W551" s="683">
        <f t="shared" si="272"/>
        <v>-44.570461947332582</v>
      </c>
      <c r="X551" s="684">
        <f t="shared" si="273"/>
        <v>-214.53789132648038</v>
      </c>
      <c r="Y551" s="687">
        <f t="shared" si="274"/>
        <v>-34.537891326480377</v>
      </c>
      <c r="AA551" s="170">
        <f t="shared" si="275"/>
        <v>86105</v>
      </c>
      <c r="AB551" s="170">
        <f t="shared" si="276"/>
        <v>7414071025</v>
      </c>
      <c r="AD551" s="686">
        <f t="shared" si="277"/>
        <v>15.619449353592248</v>
      </c>
      <c r="AE551" s="687">
        <f t="shared" si="278"/>
        <v>-33.393425235248344</v>
      </c>
      <c r="AG551" s="686">
        <f t="shared" si="279"/>
        <v>-12.482001503910947</v>
      </c>
      <c r="AH551" s="687">
        <f t="shared" si="280"/>
        <v>-34.079888417885847</v>
      </c>
      <c r="AJ551" s="170">
        <f t="shared" si="281"/>
        <v>0</v>
      </c>
      <c r="AK551" s="170">
        <f t="shared" si="293"/>
        <v>0</v>
      </c>
      <c r="AM551" s="170" t="str">
        <f t="shared" si="285"/>
        <v>1.70755660393508+0.706656672103124i</v>
      </c>
      <c r="AN551" s="170" t="str">
        <f t="shared" si="286"/>
        <v>2.35683083813627i</v>
      </c>
      <c r="AO551" s="170" t="str">
        <f t="shared" si="287"/>
        <v>0.299833429140775-0.724513858315507i</v>
      </c>
      <c r="AP551" s="170" t="str">
        <f t="shared" si="288"/>
        <v>-0.117926100655846-0.117776112017187i</v>
      </c>
      <c r="AQ551" s="170" t="str">
        <f t="shared" si="289"/>
        <v>1.11792610065585+0.117776112017187i</v>
      </c>
      <c r="AR551" s="170" t="str">
        <f t="shared" si="290"/>
        <v>0.736950260168196-0.0776394220885841i</v>
      </c>
    </row>
    <row r="552" spans="7:44">
      <c r="G552" s="688">
        <v>86600.5</v>
      </c>
      <c r="H552" s="676">
        <f t="shared" si="282"/>
        <v>86.600499999999997</v>
      </c>
      <c r="I552" s="677">
        <f t="shared" si="262"/>
        <v>698.18461632566209</v>
      </c>
      <c r="J552" s="678">
        <f t="shared" si="263"/>
        <v>1.5693640403787763</v>
      </c>
      <c r="K552" s="678">
        <f t="shared" si="264"/>
        <v>1.0071395088552271</v>
      </c>
      <c r="L552" s="679">
        <f t="shared" si="265"/>
        <v>0.11914099956225688</v>
      </c>
      <c r="M552" s="678">
        <f t="shared" si="266"/>
        <v>1.0998817078772143</v>
      </c>
      <c r="N552" s="679">
        <f t="shared" si="267"/>
        <v>-0.42946491298673511</v>
      </c>
      <c r="O552" s="677">
        <f t="shared" si="268"/>
        <v>3591238.1245796294</v>
      </c>
      <c r="P552" s="680">
        <f t="shared" si="269"/>
        <v>1.5707960483393988</v>
      </c>
      <c r="Q552" s="689">
        <f t="shared" si="291"/>
        <v>143.6530056347348</v>
      </c>
      <c r="R552" s="690">
        <f t="shared" si="292"/>
        <v>1.5638350517962611</v>
      </c>
      <c r="S552" s="677">
        <f t="shared" si="270"/>
        <v>1.1942976257022881</v>
      </c>
      <c r="T552" s="680">
        <f t="shared" si="271"/>
        <v>0.57844791265259488</v>
      </c>
      <c r="U552" s="681">
        <f t="shared" si="283"/>
        <v>0.57860170929892207</v>
      </c>
      <c r="V552" s="682">
        <f t="shared" si="284"/>
        <v>-1.2885914531991007</v>
      </c>
      <c r="W552" s="683">
        <f t="shared" si="272"/>
        <v>-44.662431710452012</v>
      </c>
      <c r="X552" s="684">
        <f t="shared" si="273"/>
        <v>-215.07049837147272</v>
      </c>
      <c r="Y552" s="687">
        <f t="shared" si="274"/>
        <v>-35.070498371472723</v>
      </c>
      <c r="AA552" s="170">
        <f t="shared" si="275"/>
        <v>86600.5</v>
      </c>
      <c r="AB552" s="170">
        <f t="shared" si="276"/>
        <v>7499646600.25</v>
      </c>
      <c r="AD552" s="686">
        <f t="shared" si="277"/>
        <v>15.604609008309861</v>
      </c>
      <c r="AE552" s="687">
        <f t="shared" si="278"/>
        <v>-33.541459824599428</v>
      </c>
      <c r="AG552" s="686">
        <f t="shared" si="279"/>
        <v>-12.485952163164676</v>
      </c>
      <c r="AH552" s="687">
        <f t="shared" si="280"/>
        <v>-33.867334808269192</v>
      </c>
      <c r="AJ552" s="170">
        <f t="shared" si="281"/>
        <v>0</v>
      </c>
      <c r="AK552" s="170">
        <f t="shared" si="293"/>
        <v>0</v>
      </c>
      <c r="AM552" s="170" t="str">
        <f t="shared" si="285"/>
        <v>1.71707535370367+0.696995650711508i</v>
      </c>
      <c r="AN552" s="170" t="str">
        <f t="shared" si="286"/>
        <v>2.37039346144846i</v>
      </c>
      <c r="AO552" s="170" t="str">
        <f t="shared" si="287"/>
        <v>0.294042175717781-0.724384108220763i</v>
      </c>
      <c r="AP552" s="170" t="str">
        <f t="shared" si="288"/>
        <v>-0.119512558950611-0.116165941785251i</v>
      </c>
      <c r="AQ552" s="170" t="str">
        <f t="shared" si="289"/>
        <v>1.11951255895061+0.116165941785251i</v>
      </c>
      <c r="AR552" s="170" t="str">
        <f t="shared" si="290"/>
        <v>0.736147639689453-0.0763861764424276i</v>
      </c>
    </row>
    <row r="553" spans="7:44">
      <c r="G553" s="688">
        <v>87096</v>
      </c>
      <c r="H553" s="676">
        <f t="shared" si="282"/>
        <v>87.096000000000004</v>
      </c>
      <c r="I553" s="677">
        <f t="shared" si="262"/>
        <v>702.17939429704177</v>
      </c>
      <c r="J553" s="678">
        <f t="shared" si="263"/>
        <v>1.5693721888236745</v>
      </c>
      <c r="K553" s="678">
        <f t="shared" si="264"/>
        <v>1.0072211487794591</v>
      </c>
      <c r="L553" s="679">
        <f t="shared" si="265"/>
        <v>0.11981619853241611</v>
      </c>
      <c r="M553" s="678">
        <f t="shared" si="266"/>
        <v>1.1009753692587425</v>
      </c>
      <c r="N553" s="679">
        <f t="shared" si="267"/>
        <v>-0.43162882905021938</v>
      </c>
      <c r="O553" s="677">
        <f t="shared" si="268"/>
        <v>3611786.0254662186</v>
      </c>
      <c r="P553" s="680">
        <f t="shared" si="269"/>
        <v>1.5707960499235667</v>
      </c>
      <c r="Q553" s="689">
        <f t="shared" si="291"/>
        <v>144.47490186881356</v>
      </c>
      <c r="R553" s="690">
        <f t="shared" si="292"/>
        <v>1.5638746540888777</v>
      </c>
      <c r="S553" s="677">
        <f t="shared" si="270"/>
        <v>1.1963442702736522</v>
      </c>
      <c r="T553" s="680">
        <f t="shared" si="271"/>
        <v>0.58106270090285983</v>
      </c>
      <c r="U553" s="681">
        <f t="shared" si="283"/>
        <v>0.57616925322178414</v>
      </c>
      <c r="V553" s="682">
        <f t="shared" si="284"/>
        <v>-1.2937894157249015</v>
      </c>
      <c r="W553" s="683">
        <f t="shared" si="272"/>
        <v>-44.754118440106637</v>
      </c>
      <c r="X553" s="684">
        <f t="shared" si="273"/>
        <v>-215.60163114231472</v>
      </c>
      <c r="Y553" s="687">
        <f t="shared" si="274"/>
        <v>-35.601631142314716</v>
      </c>
      <c r="AA553" s="170">
        <f t="shared" si="275"/>
        <v>87096</v>
      </c>
      <c r="AB553" s="170">
        <f t="shared" si="276"/>
        <v>7585713216</v>
      </c>
      <c r="AD553" s="686">
        <f t="shared" si="277"/>
        <v>15.589734520077236</v>
      </c>
      <c r="AE553" s="687">
        <f t="shared" si="278"/>
        <v>-33.689007202368771</v>
      </c>
      <c r="AG553" s="686">
        <f t="shared" si="279"/>
        <v>-12.489579064912242</v>
      </c>
      <c r="AH553" s="687">
        <f t="shared" si="280"/>
        <v>-33.655277571070108</v>
      </c>
      <c r="AJ553" s="170">
        <f t="shared" si="281"/>
        <v>0</v>
      </c>
      <c r="AK553" s="170">
        <f t="shared" si="293"/>
        <v>0</v>
      </c>
      <c r="AM553" s="170" t="str">
        <f t="shared" si="285"/>
        <v>1.72646220324669+0.687206422593655i</v>
      </c>
      <c r="AN553" s="170" t="str">
        <f t="shared" si="286"/>
        <v>2.38395608476066i</v>
      </c>
      <c r="AO553" s="170" t="str">
        <f t="shared" si="287"/>
        <v>0.288263037640078-0.72420050615992i</v>
      </c>
      <c r="AP553" s="170" t="str">
        <f t="shared" si="288"/>
        <v>-0.121077033874448-0.114534403765609i</v>
      </c>
      <c r="AQ553" s="170" t="str">
        <f t="shared" si="289"/>
        <v>1.12107703387445+0.114534403765609i</v>
      </c>
      <c r="AR553" s="170" t="str">
        <f t="shared" si="290"/>
        <v>0.735360068736695-0.0751277784495467i</v>
      </c>
    </row>
    <row r="554" spans="7:44">
      <c r="G554" s="688">
        <v>87603.25</v>
      </c>
      <c r="H554" s="676">
        <f t="shared" si="282"/>
        <v>87.603250000000003</v>
      </c>
      <c r="I554" s="677">
        <f t="shared" si="262"/>
        <v>706.26890216714912</v>
      </c>
      <c r="J554" s="678">
        <f t="shared" si="263"/>
        <v>1.5693804350133718</v>
      </c>
      <c r="K554" s="678">
        <f t="shared" si="264"/>
        <v>1.0073052002355503</v>
      </c>
      <c r="L554" s="679">
        <f t="shared" si="265"/>
        <v>0.12050729508537095</v>
      </c>
      <c r="M554" s="678">
        <f t="shared" si="266"/>
        <v>1.1021002945328364</v>
      </c>
      <c r="N554" s="679">
        <f t="shared" si="267"/>
        <v>-0.43383959966545638</v>
      </c>
      <c r="O554" s="677">
        <f t="shared" si="268"/>
        <v>3632821.1873728232</v>
      </c>
      <c r="P554" s="680">
        <f t="shared" si="269"/>
        <v>1.5707960515267376</v>
      </c>
      <c r="Q554" s="689">
        <f t="shared" si="291"/>
        <v>145.31628830615725</v>
      </c>
      <c r="R554" s="690">
        <f t="shared" si="292"/>
        <v>1.5639147314525872</v>
      </c>
      <c r="S554" s="677">
        <f t="shared" si="270"/>
        <v>1.1984478912660861</v>
      </c>
      <c r="T554" s="680">
        <f t="shared" si="271"/>
        <v>0.58373022502351102</v>
      </c>
      <c r="U554" s="681">
        <f t="shared" si="283"/>
        <v>0.57368948405543874</v>
      </c>
      <c r="V554" s="682">
        <f t="shared" si="284"/>
        <v>-1.2990974856038386</v>
      </c>
      <c r="W554" s="683">
        <f t="shared" si="272"/>
        <v>-44.847689232725841</v>
      </c>
      <c r="X554" s="684">
        <f t="shared" si="273"/>
        <v>-216.14384622815189</v>
      </c>
      <c r="Y554" s="687">
        <f t="shared" si="274"/>
        <v>-36.143846228151887</v>
      </c>
      <c r="AA554" s="170">
        <f t="shared" si="275"/>
        <v>87603.25</v>
      </c>
      <c r="AB554" s="170">
        <f t="shared" si="276"/>
        <v>7674329410.5625</v>
      </c>
      <c r="AD554" s="686">
        <f t="shared" si="277"/>
        <v>15.574472484751938</v>
      </c>
      <c r="AE554" s="687">
        <f t="shared" si="278"/>
        <v>-33.839548904463804</v>
      </c>
      <c r="AG554" s="686">
        <f t="shared" si="279"/>
        <v>-12.49296023675511</v>
      </c>
      <c r="AH554" s="687">
        <f t="shared" si="280"/>
        <v>-33.438690951269997</v>
      </c>
      <c r="AJ554" s="170">
        <f t="shared" si="281"/>
        <v>0</v>
      </c>
      <c r="AK554" s="170">
        <f t="shared" si="293"/>
        <v>0</v>
      </c>
      <c r="AM554" s="170" t="str">
        <f t="shared" si="285"/>
        <v>1.73593321556035+0.677054135379886i</v>
      </c>
      <c r="AN554" s="170" t="str">
        <f t="shared" si="286"/>
        <v>2.39784032426643i</v>
      </c>
      <c r="AO554" s="170" t="str">
        <f t="shared" si="287"/>
        <v>0.28235997556969-0.723956969941868i</v>
      </c>
      <c r="AP554" s="170" t="str">
        <f t="shared" si="288"/>
        <v>-0.122655535926725-0.112842355896648i</v>
      </c>
      <c r="AQ554" s="170" t="str">
        <f t="shared" si="289"/>
        <v>1.12265553592672+0.112842355896648i</v>
      </c>
      <c r="AR554" s="170" t="str">
        <f t="shared" si="290"/>
        <v>0.734569359945187-0.0738343458817793i</v>
      </c>
    </row>
    <row r="555" spans="7:44">
      <c r="G555" s="688">
        <v>88110.5</v>
      </c>
      <c r="H555" s="676">
        <f t="shared" si="282"/>
        <v>88.110500000000002</v>
      </c>
      <c r="I555" s="677">
        <f t="shared" si="262"/>
        <v>710.35841008472948</v>
      </c>
      <c r="J555" s="678">
        <f t="shared" si="263"/>
        <v>1.5693885862570325</v>
      </c>
      <c r="K555" s="678">
        <f t="shared" si="264"/>
        <v>1.0073897327147405</v>
      </c>
      <c r="L555" s="679">
        <f t="shared" si="265"/>
        <v>0.12119827598517656</v>
      </c>
      <c r="M555" s="678">
        <f t="shared" si="266"/>
        <v>1.1032305953292856</v>
      </c>
      <c r="N555" s="679">
        <f t="shared" si="267"/>
        <v>-0.43604585101187837</v>
      </c>
      <c r="O555" s="677">
        <f t="shared" si="268"/>
        <v>3653856.349279427</v>
      </c>
      <c r="P555" s="680">
        <f t="shared" si="269"/>
        <v>1.5707960531114498</v>
      </c>
      <c r="Q555" s="689">
        <f t="shared" si="291"/>
        <v>146.15767497421999</v>
      </c>
      <c r="R555" s="690">
        <f t="shared" si="292"/>
        <v>1.5639543473892124</v>
      </c>
      <c r="S555" s="677">
        <f t="shared" si="270"/>
        <v>1.2005600101160585</v>
      </c>
      <c r="T555" s="680">
        <f t="shared" si="271"/>
        <v>0.5863883821702881</v>
      </c>
      <c r="U555" s="681">
        <f t="shared" si="283"/>
        <v>0.57122016188837144</v>
      </c>
      <c r="V555" s="682">
        <f t="shared" si="284"/>
        <v>-1.3043925067944551</v>
      </c>
      <c r="W555" s="683">
        <f t="shared" si="272"/>
        <v>-44.94096955382652</v>
      </c>
      <c r="X555" s="684">
        <f t="shared" si="273"/>
        <v>-216.68454567931607</v>
      </c>
      <c r="Y555" s="687">
        <f t="shared" si="274"/>
        <v>-36.684545679316074</v>
      </c>
      <c r="AA555" s="170">
        <f t="shared" si="275"/>
        <v>88110.5</v>
      </c>
      <c r="AB555" s="170">
        <f t="shared" si="276"/>
        <v>7763460210.25</v>
      </c>
      <c r="AD555" s="686">
        <f t="shared" si="277"/>
        <v>15.559175771304323</v>
      </c>
      <c r="AE555" s="687">
        <f t="shared" si="278"/>
        <v>-33.989580355255342</v>
      </c>
      <c r="AG555" s="686">
        <f t="shared" si="279"/>
        <v>-12.496009396411797</v>
      </c>
      <c r="AH555" s="687">
        <f t="shared" si="280"/>
        <v>-33.222594217639973</v>
      </c>
      <c r="AJ555" s="170">
        <f t="shared" si="281"/>
        <v>0</v>
      </c>
      <c r="AK555" s="170">
        <f t="shared" si="293"/>
        <v>0</v>
      </c>
      <c r="AM555" s="170" t="str">
        <f t="shared" si="285"/>
        <v>1.74526236275668+0.66677133311078i</v>
      </c>
      <c r="AN555" s="170" t="str">
        <f t="shared" si="286"/>
        <v>2.4117245637722i</v>
      </c>
      <c r="AO555" s="170" t="str">
        <f t="shared" si="287"/>
        <v>0.276470764168806-0.723657414687065i</v>
      </c>
      <c r="AP555" s="170" t="str">
        <f t="shared" si="288"/>
        <v>-0.12421039379278-0.111128555518463i</v>
      </c>
      <c r="AQ555" s="170" t="str">
        <f t="shared" si="289"/>
        <v>1.12421039379278+0.111128555518463i</v>
      </c>
      <c r="AR555" s="170" t="str">
        <f t="shared" si="290"/>
        <v>0.733794319665898-0.0725358022327228i</v>
      </c>
    </row>
    <row r="556" spans="7:44">
      <c r="G556" s="688">
        <v>88617.75</v>
      </c>
      <c r="H556" s="676">
        <f t="shared" si="282"/>
        <v>88.617750000000001</v>
      </c>
      <c r="I556" s="677">
        <f t="shared" si="262"/>
        <v>714.44791804896795</v>
      </c>
      <c r="J556" s="678">
        <f t="shared" si="263"/>
        <v>1.569396644185072</v>
      </c>
      <c r="K556" s="678">
        <f t="shared" si="264"/>
        <v>1.0074747460959483</v>
      </c>
      <c r="L556" s="679">
        <f t="shared" si="265"/>
        <v>0.12188914060120407</v>
      </c>
      <c r="M556" s="678">
        <f t="shared" si="266"/>
        <v>1.1043662551428126</v>
      </c>
      <c r="N556" s="679">
        <f t="shared" si="267"/>
        <v>-0.43824757552065935</v>
      </c>
      <c r="O556" s="677">
        <f t="shared" si="268"/>
        <v>3674891.5111860312</v>
      </c>
      <c r="P556" s="680">
        <f t="shared" si="269"/>
        <v>1.57079605467802</v>
      </c>
      <c r="Q556" s="689">
        <f t="shared" si="291"/>
        <v>146.99906186903999</v>
      </c>
      <c r="R556" s="690">
        <f t="shared" si="292"/>
        <v>1.5639935098219171</v>
      </c>
      <c r="S556" s="677">
        <f t="shared" si="270"/>
        <v>1.2026805820523683</v>
      </c>
      <c r="T556" s="680">
        <f t="shared" si="271"/>
        <v>0.58903718422828155</v>
      </c>
      <c r="U556" s="681">
        <f t="shared" si="283"/>
        <v>0.56876124135590989</v>
      </c>
      <c r="V556" s="682">
        <f t="shared" si="284"/>
        <v>-1.3096747400228945</v>
      </c>
      <c r="W556" s="683">
        <f t="shared" si="272"/>
        <v>-45.033962473484564</v>
      </c>
      <c r="X556" s="684">
        <f t="shared" si="273"/>
        <v>-217.22374435722119</v>
      </c>
      <c r="Y556" s="687">
        <f t="shared" si="274"/>
        <v>-37.223744357221193</v>
      </c>
      <c r="AA556" s="170">
        <f t="shared" si="275"/>
        <v>88617.75</v>
      </c>
      <c r="AB556" s="170">
        <f t="shared" si="276"/>
        <v>7853105615.0625</v>
      </c>
      <c r="AD556" s="686">
        <f t="shared" si="277"/>
        <v>15.543844932348589</v>
      </c>
      <c r="AE556" s="687">
        <f t="shared" si="278"/>
        <v>-34.139101781763216</v>
      </c>
      <c r="AG556" s="686">
        <f t="shared" si="279"/>
        <v>-12.498730094961223</v>
      </c>
      <c r="AH556" s="687">
        <f t="shared" si="280"/>
        <v>-33.006972127558889</v>
      </c>
      <c r="AJ556" s="170">
        <f t="shared" si="281"/>
        <v>0</v>
      </c>
      <c r="AK556" s="170">
        <f t="shared" si="293"/>
        <v>0</v>
      </c>
      <c r="AM556" s="170" t="str">
        <f t="shared" si="285"/>
        <v>1.75444784646523+0.656359997991942i</v>
      </c>
      <c r="AN556" s="170" t="str">
        <f t="shared" si="286"/>
        <v>2.42560880327798i</v>
      </c>
      <c r="AO556" s="170" t="str">
        <f t="shared" si="287"/>
        <v>0.270595982792004-0.72330206094827i</v>
      </c>
      <c r="AP556" s="170" t="str">
        <f t="shared" si="288"/>
        <v>-0.125741307744204-0.109393332998657i</v>
      </c>
      <c r="AQ556" s="170" t="str">
        <f t="shared" si="289"/>
        <v>1.1257413077442+0.109393332998657i</v>
      </c>
      <c r="AR556" s="170" t="str">
        <f t="shared" si="290"/>
        <v>0.733034896012607-0.0712322892724163i</v>
      </c>
    </row>
    <row r="557" spans="7:44">
      <c r="G557" s="688">
        <v>89125</v>
      </c>
      <c r="H557" s="676">
        <f t="shared" si="282"/>
        <v>89.125</v>
      </c>
      <c r="I557" s="677">
        <f t="shared" si="262"/>
        <v>718.53742605906734</v>
      </c>
      <c r="J557" s="678">
        <f t="shared" si="263"/>
        <v>1.5694046103907879</v>
      </c>
      <c r="K557" s="678">
        <f t="shared" si="264"/>
        <v>1.0075602402574453</v>
      </c>
      <c r="L557" s="679">
        <f t="shared" si="265"/>
        <v>0.12257988830348085</v>
      </c>
      <c r="M557" s="678">
        <f t="shared" si="266"/>
        <v>1.1055072574578668</v>
      </c>
      <c r="N557" s="679">
        <f t="shared" si="267"/>
        <v>-0.44044476582955377</v>
      </c>
      <c r="O557" s="677">
        <f t="shared" si="268"/>
        <v>3695926.6730926358</v>
      </c>
      <c r="P557" s="680">
        <f t="shared" si="269"/>
        <v>1.5707960562267582</v>
      </c>
      <c r="Q557" s="689">
        <f t="shared" si="291"/>
        <v>147.84044898674568</v>
      </c>
      <c r="R557" s="690">
        <f t="shared" si="292"/>
        <v>1.5640322264935023</v>
      </c>
      <c r="S557" s="677">
        <f t="shared" si="270"/>
        <v>1.2048095624404658</v>
      </c>
      <c r="T557" s="680">
        <f t="shared" si="271"/>
        <v>0.59167664352416593</v>
      </c>
      <c r="U557" s="681">
        <f t="shared" si="283"/>
        <v>0.5663126753791411</v>
      </c>
      <c r="V557" s="682">
        <f t="shared" si="284"/>
        <v>-1.3149444451527998</v>
      </c>
      <c r="W557" s="683">
        <f t="shared" si="272"/>
        <v>-45.126671037512423</v>
      </c>
      <c r="X557" s="684">
        <f t="shared" si="273"/>
        <v>-217.76145711917005</v>
      </c>
      <c r="Y557" s="687">
        <f t="shared" si="274"/>
        <v>-37.761457119170046</v>
      </c>
      <c r="AA557" s="170">
        <f t="shared" si="275"/>
        <v>89125</v>
      </c>
      <c r="AB557" s="170">
        <f t="shared" si="276"/>
        <v>7943265625</v>
      </c>
      <c r="AD557" s="686">
        <f t="shared" si="277"/>
        <v>15.528480516771193</v>
      </c>
      <c r="AE557" s="687">
        <f t="shared" si="278"/>
        <v>-34.288113446641759</v>
      </c>
      <c r="AG557" s="686">
        <f t="shared" si="279"/>
        <v>-12.501125796364846</v>
      </c>
      <c r="AH557" s="687">
        <f t="shared" si="280"/>
        <v>-32.791809497495159</v>
      </c>
      <c r="AJ557" s="170">
        <f t="shared" si="281"/>
        <v>0</v>
      </c>
      <c r="AK557" s="170">
        <f t="shared" si="293"/>
        <v>0</v>
      </c>
      <c r="AM557" s="170" t="str">
        <f t="shared" si="285"/>
        <v>1.76348789600937+0.64582213700615i</v>
      </c>
      <c r="AN557" s="170" t="str">
        <f t="shared" si="286"/>
        <v>2.43949304278375i</v>
      </c>
      <c r="AO557" s="170" t="str">
        <f t="shared" si="287"/>
        <v>0.264736207761097-0.72289113560948i</v>
      </c>
      <c r="AP557" s="170" t="str">
        <f t="shared" si="288"/>
        <v>-0.127247982668228-0.107637022834358i</v>
      </c>
      <c r="AQ557" s="170" t="str">
        <f t="shared" si="289"/>
        <v>1.12724798266823+0.107637022834358i</v>
      </c>
      <c r="AR557" s="170" t="str">
        <f t="shared" si="290"/>
        <v>0.73229103738965-0.0699239460392134i</v>
      </c>
    </row>
    <row r="558" spans="7:44">
      <c r="G558" s="688">
        <v>89644</v>
      </c>
      <c r="H558" s="676">
        <f t="shared" si="282"/>
        <v>89.644000000000005</v>
      </c>
      <c r="I558" s="677">
        <f t="shared" si="262"/>
        <v>722.72166397115677</v>
      </c>
      <c r="J558" s="678">
        <f t="shared" si="263"/>
        <v>1.5694126678167075</v>
      </c>
      <c r="K558" s="678">
        <f t="shared" si="264"/>
        <v>1.0076482123028925</v>
      </c>
      <c r="L558" s="679">
        <f t="shared" si="265"/>
        <v>0.12328651490480284</v>
      </c>
      <c r="M558" s="678">
        <f t="shared" si="266"/>
        <v>1.1066802024184381</v>
      </c>
      <c r="N558" s="679">
        <f t="shared" si="267"/>
        <v>-0.44268815169311054</v>
      </c>
      <c r="O558" s="677">
        <f t="shared" si="268"/>
        <v>3717449.096019255</v>
      </c>
      <c r="P558" s="680">
        <f t="shared" si="269"/>
        <v>1.5707960577932307</v>
      </c>
      <c r="Q558" s="689">
        <f t="shared" si="291"/>
        <v>148.70132632357183</v>
      </c>
      <c r="R558" s="690">
        <f t="shared" si="292"/>
        <v>1.5640713865254734</v>
      </c>
      <c r="S558" s="677">
        <f t="shared" si="270"/>
        <v>1.2069965152468183</v>
      </c>
      <c r="T558" s="680">
        <f t="shared" si="271"/>
        <v>0.59436758699058045</v>
      </c>
      <c r="U558" s="681">
        <f t="shared" si="283"/>
        <v>0.56381805679957075</v>
      </c>
      <c r="V558" s="682">
        <f t="shared" si="284"/>
        <v>-1.3203235217429776</v>
      </c>
      <c r="W558" s="683">
        <f t="shared" si="272"/>
        <v>-45.221235954109879</v>
      </c>
      <c r="X558" s="684">
        <f t="shared" si="273"/>
        <v>-218.31010307117296</v>
      </c>
      <c r="Y558" s="687">
        <f t="shared" si="274"/>
        <v>-38.310103071172961</v>
      </c>
      <c r="AA558" s="170">
        <f t="shared" si="275"/>
        <v>89644</v>
      </c>
      <c r="AB558" s="170">
        <f t="shared" si="276"/>
        <v>8036046736</v>
      </c>
      <c r="AD558" s="686">
        <f t="shared" si="277"/>
        <v>15.512726014300446</v>
      </c>
      <c r="AE558" s="687">
        <f t="shared" si="278"/>
        <v>-34.440049535543935</v>
      </c>
      <c r="AG558" s="686">
        <f t="shared" si="279"/>
        <v>-12.503244138515475</v>
      </c>
      <c r="AH558" s="687">
        <f t="shared" si="280"/>
        <v>-32.572122587301941</v>
      </c>
      <c r="AJ558" s="170">
        <f t="shared" si="281"/>
        <v>0</v>
      </c>
      <c r="AK558" s="170">
        <f t="shared" si="293"/>
        <v>0</v>
      </c>
      <c r="AM558" s="170" t="str">
        <f t="shared" si="285"/>
        <v>1.77258500646907+0.634911338518366i</v>
      </c>
      <c r="AN558" s="170" t="str">
        <f t="shared" si="286"/>
        <v>2.4536988984831i</v>
      </c>
      <c r="AO558" s="170" t="str">
        <f t="shared" si="287"/>
        <v>0.258756825831757-0.722413417377698i</v>
      </c>
      <c r="AP558" s="170" t="str">
        <f t="shared" si="288"/>
        <v>-0.128764167744846-0.105818556419728i</v>
      </c>
      <c r="AQ558" s="170" t="str">
        <f t="shared" si="289"/>
        <v>1.12876416774485+0.105818556419728i</v>
      </c>
      <c r="AR558" s="170" t="str">
        <f t="shared" si="290"/>
        <v>0.731546004508723-0.0685804390002848i</v>
      </c>
    </row>
    <row r="559" spans="7:44">
      <c r="G559" s="688">
        <v>90163</v>
      </c>
      <c r="H559" s="676">
        <f t="shared" si="282"/>
        <v>90.162999999999997</v>
      </c>
      <c r="I559" s="677">
        <f t="shared" si="262"/>
        <v>726.90590192962679</v>
      </c>
      <c r="J559" s="678">
        <f t="shared" si="263"/>
        <v>1.5694206324818254</v>
      </c>
      <c r="K559" s="678">
        <f t="shared" si="264"/>
        <v>1.0077366874004161</v>
      </c>
      <c r="L559" s="679">
        <f t="shared" si="265"/>
        <v>0.12399301778108114</v>
      </c>
      <c r="M559" s="678">
        <f t="shared" si="266"/>
        <v>1.1078587052470248</v>
      </c>
      <c r="N559" s="679">
        <f t="shared" si="267"/>
        <v>-0.44492677592639301</v>
      </c>
      <c r="O559" s="677">
        <f t="shared" si="268"/>
        <v>3738971.5189458737</v>
      </c>
      <c r="P559" s="680">
        <f t="shared" si="269"/>
        <v>1.5707960593416692</v>
      </c>
      <c r="Q559" s="689">
        <f t="shared" si="291"/>
        <v>149.56220388580755</v>
      </c>
      <c r="R559" s="690">
        <f t="shared" si="292"/>
        <v>1.5641100957485154</v>
      </c>
      <c r="S559" s="677">
        <f t="shared" si="270"/>
        <v>1.2091921764767075</v>
      </c>
      <c r="T559" s="680">
        <f t="shared" si="271"/>
        <v>0.5970487773382207</v>
      </c>
      <c r="U559" s="681">
        <f t="shared" si="283"/>
        <v>0.56133417307963951</v>
      </c>
      <c r="V559" s="682">
        <f t="shared" si="284"/>
        <v>-1.3256900307521777</v>
      </c>
      <c r="W559" s="683">
        <f t="shared" si="272"/>
        <v>-45.315509566406163</v>
      </c>
      <c r="X559" s="684">
        <f t="shared" si="273"/>
        <v>-218.85722492250039</v>
      </c>
      <c r="Y559" s="687">
        <f t="shared" si="274"/>
        <v>-38.857224922500393</v>
      </c>
      <c r="AA559" s="170">
        <f t="shared" si="275"/>
        <v>90163</v>
      </c>
      <c r="AB559" s="170">
        <f t="shared" si="276"/>
        <v>8129366569</v>
      </c>
      <c r="AD559" s="686">
        <f t="shared" si="277"/>
        <v>15.496937512164477</v>
      </c>
      <c r="AE559" s="687">
        <f t="shared" si="278"/>
        <v>-34.591452640318401</v>
      </c>
      <c r="AG559" s="686">
        <f t="shared" si="279"/>
        <v>-12.505029316558662</v>
      </c>
      <c r="AH559" s="687">
        <f t="shared" si="280"/>
        <v>-32.352884699260009</v>
      </c>
      <c r="AJ559" s="170">
        <f t="shared" si="281"/>
        <v>0</v>
      </c>
      <c r="AK559" s="170">
        <f t="shared" si="293"/>
        <v>0</v>
      </c>
      <c r="AM559" s="170" t="str">
        <f t="shared" si="285"/>
        <v>1.78152620700125+0.623872413054332i</v>
      </c>
      <c r="AN559" s="170" t="str">
        <f t="shared" si="286"/>
        <v>2.46790475418245i</v>
      </c>
      <c r="AO559" s="170" t="str">
        <f t="shared" si="287"/>
        <v>0.252794364124885-0.721878023850812i</v>
      </c>
      <c r="AP559" s="170" t="str">
        <f t="shared" si="288"/>
        <v>-0.130254367833542-0.103978735509055i</v>
      </c>
      <c r="AQ559" s="170" t="str">
        <f t="shared" si="289"/>
        <v>1.13025436783354+0.103978735509055i</v>
      </c>
      <c r="AR559" s="170" t="str">
        <f t="shared" si="290"/>
        <v>0.730817157968827-0.0672321613050482i</v>
      </c>
    </row>
    <row r="560" spans="7:44">
      <c r="G560" s="688">
        <v>90682</v>
      </c>
      <c r="H560" s="676">
        <f t="shared" si="282"/>
        <v>90.682000000000002</v>
      </c>
      <c r="I560" s="677">
        <f t="shared" si="262"/>
        <v>731.0901399336808</v>
      </c>
      <c r="J560" s="678">
        <f t="shared" si="263"/>
        <v>1.56942850597883</v>
      </c>
      <c r="K560" s="678">
        <f t="shared" si="264"/>
        <v>1.0078256654175302</v>
      </c>
      <c r="L560" s="679">
        <f t="shared" si="265"/>
        <v>0.12469939625969716</v>
      </c>
      <c r="M560" s="678">
        <f t="shared" si="266"/>
        <v>1.1090427482257446</v>
      </c>
      <c r="N560" s="679">
        <f t="shared" si="267"/>
        <v>-0.44716063130733708</v>
      </c>
      <c r="O560" s="677">
        <f t="shared" si="268"/>
        <v>3760493.9418724934</v>
      </c>
      <c r="P560" s="680">
        <f t="shared" si="269"/>
        <v>1.5707960608723834</v>
      </c>
      <c r="Q560" s="689">
        <f t="shared" si="291"/>
        <v>150.42308166958273</v>
      </c>
      <c r="R560" s="690">
        <f t="shared" si="292"/>
        <v>1.5641483619025087</v>
      </c>
      <c r="S560" s="677">
        <f t="shared" si="270"/>
        <v>1.2113964987779715</v>
      </c>
      <c r="T560" s="680">
        <f t="shared" si="271"/>
        <v>0.59972022915557732</v>
      </c>
      <c r="U560" s="681">
        <f t="shared" si="283"/>
        <v>0.55886096859187018</v>
      </c>
      <c r="V560" s="682">
        <f t="shared" si="284"/>
        <v>-1.3310442477585498</v>
      </c>
      <c r="W560" s="683">
        <f t="shared" si="272"/>
        <v>-45.409495064604393</v>
      </c>
      <c r="X560" s="684">
        <f t="shared" si="273"/>
        <v>-219.40283857103014</v>
      </c>
      <c r="Y560" s="687">
        <f t="shared" si="274"/>
        <v>-39.402838571030145</v>
      </c>
      <c r="AA560" s="170">
        <f t="shared" si="275"/>
        <v>90682</v>
      </c>
      <c r="AB560" s="170">
        <f t="shared" si="276"/>
        <v>8223225124</v>
      </c>
      <c r="AD560" s="686">
        <f t="shared" si="277"/>
        <v>15.481115586074768</v>
      </c>
      <c r="AE560" s="687">
        <f t="shared" si="278"/>
        <v>-34.742323153379346</v>
      </c>
      <c r="AG560" s="686">
        <f t="shared" si="279"/>
        <v>-12.506484767594532</v>
      </c>
      <c r="AH560" s="687">
        <f t="shared" si="280"/>
        <v>-32.13407975990318</v>
      </c>
      <c r="AJ560" s="170">
        <f t="shared" si="281"/>
        <v>0</v>
      </c>
      <c r="AK560" s="170">
        <f t="shared" si="293"/>
        <v>0</v>
      </c>
      <c r="AM560" s="170" t="str">
        <f t="shared" si="285"/>
        <v>1.79030969324534+0.612707588301681i</v>
      </c>
      <c r="AN560" s="170" t="str">
        <f t="shared" si="286"/>
        <v>2.48211060988181i</v>
      </c>
      <c r="AO560" s="170" t="str">
        <f t="shared" si="287"/>
        <v>0.246849429619438-0.721285218361235i</v>
      </c>
      <c r="AP560" s="170" t="str">
        <f t="shared" si="288"/>
        <v>-0.131718282207556-0.102117931383614i</v>
      </c>
      <c r="AQ560" s="170" t="str">
        <f t="shared" si="289"/>
        <v>1.13171828220756+0.102117931383614i</v>
      </c>
      <c r="AR560" s="170" t="str">
        <f t="shared" si="290"/>
        <v>0.730104443757844-0.0658792533996206i</v>
      </c>
    </row>
    <row r="561" spans="7:44">
      <c r="G561" s="688">
        <v>91201</v>
      </c>
      <c r="H561" s="676">
        <f t="shared" si="282"/>
        <v>91.200999999999993</v>
      </c>
      <c r="I561" s="677">
        <f t="shared" si="262"/>
        <v>735.27437798254084</v>
      </c>
      <c r="J561" s="678">
        <f t="shared" si="263"/>
        <v>1.5694362898641561</v>
      </c>
      <c r="K561" s="678">
        <f t="shared" si="264"/>
        <v>1.0079151462210427</v>
      </c>
      <c r="L561" s="679">
        <f t="shared" si="265"/>
        <v>0.1254056496687658</v>
      </c>
      <c r="M561" s="678">
        <f t="shared" si="266"/>
        <v>1.110232313629183</v>
      </c>
      <c r="N561" s="679">
        <f t="shared" si="267"/>
        <v>-0.44938971083499074</v>
      </c>
      <c r="O561" s="677">
        <f t="shared" si="268"/>
        <v>3782016.3647991125</v>
      </c>
      <c r="P561" s="680">
        <f t="shared" si="269"/>
        <v>1.5707960623856758</v>
      </c>
      <c r="Q561" s="689">
        <f t="shared" si="291"/>
        <v>151.28395967111538</v>
      </c>
      <c r="R561" s="690">
        <f t="shared" si="292"/>
        <v>1.5641861925511635</v>
      </c>
      <c r="S561" s="677">
        <f t="shared" si="270"/>
        <v>1.2136094349563691</v>
      </c>
      <c r="T561" s="680">
        <f t="shared" si="271"/>
        <v>0.60238195748136203</v>
      </c>
      <c r="U561" s="681">
        <f t="shared" si="283"/>
        <v>0.55639838607503245</v>
      </c>
      <c r="V561" s="682">
        <f t="shared" si="284"/>
        <v>-1.3363864474234755</v>
      </c>
      <c r="W561" s="683">
        <f t="shared" si="272"/>
        <v>-45.503195616721221</v>
      </c>
      <c r="X561" s="684">
        <f t="shared" si="273"/>
        <v>-219.94695990855195</v>
      </c>
      <c r="Y561" s="687">
        <f t="shared" si="274"/>
        <v>-39.946959908551946</v>
      </c>
      <c r="AA561" s="170">
        <f t="shared" si="275"/>
        <v>91201</v>
      </c>
      <c r="AB561" s="170">
        <f t="shared" si="276"/>
        <v>8317622401</v>
      </c>
      <c r="AD561" s="686">
        <f t="shared" si="277"/>
        <v>15.465260807599428</v>
      </c>
      <c r="AE561" s="687">
        <f t="shared" si="278"/>
        <v>-34.892661503030112</v>
      </c>
      <c r="AG561" s="686">
        <f t="shared" si="279"/>
        <v>-12.507613839818767</v>
      </c>
      <c r="AH561" s="687">
        <f t="shared" si="280"/>
        <v>-31.915691758841803</v>
      </c>
      <c r="AJ561" s="170">
        <f t="shared" si="281"/>
        <v>0</v>
      </c>
      <c r="AK561" s="170">
        <f t="shared" si="293"/>
        <v>0</v>
      </c>
      <c r="AM561" s="170" t="str">
        <f t="shared" si="285"/>
        <v>1.79893369266794+0.601419117354913i</v>
      </c>
      <c r="AN561" s="170" t="str">
        <f t="shared" si="286"/>
        <v>2.49631646558116i</v>
      </c>
      <c r="AO561" s="170" t="str">
        <f t="shared" si="287"/>
        <v>0.240922625655517-0.720635270996835i</v>
      </c>
      <c r="AP561" s="170" t="str">
        <f t="shared" si="288"/>
        <v>-0.133155615444657-0.100236519559152i</v>
      </c>
      <c r="AQ561" s="170" t="str">
        <f t="shared" si="289"/>
        <v>1.13315561544466+0.100236519559152i</v>
      </c>
      <c r="AR561" s="170" t="str">
        <f t="shared" si="290"/>
        <v>0.729407808383776-0.0645218530051305i</v>
      </c>
    </row>
    <row r="562" spans="7:44">
      <c r="G562" s="688">
        <v>91732</v>
      </c>
      <c r="H562" s="676">
        <f t="shared" si="282"/>
        <v>91.731999999999999</v>
      </c>
      <c r="I562" s="677">
        <f t="shared" si="262"/>
        <v>739.55536146539237</v>
      </c>
      <c r="J562" s="678">
        <f t="shared" si="263"/>
        <v>1.5694441625664564</v>
      </c>
      <c r="K562" s="678">
        <f t="shared" si="264"/>
        <v>1.0080072161636897</v>
      </c>
      <c r="L562" s="679">
        <f t="shared" si="265"/>
        <v>0.12612810249582165</v>
      </c>
      <c r="M562" s="678">
        <f t="shared" si="266"/>
        <v>1.1114550803718322</v>
      </c>
      <c r="N562" s="679">
        <f t="shared" si="267"/>
        <v>-0.45166537993630562</v>
      </c>
      <c r="O562" s="677">
        <f t="shared" si="268"/>
        <v>3804036.4160014917</v>
      </c>
      <c r="P562" s="680">
        <f t="shared" si="269"/>
        <v>1.5707960639162355</v>
      </c>
      <c r="Q562" s="689">
        <f t="shared" si="291"/>
        <v>152.16474258783853</v>
      </c>
      <c r="R562" s="690">
        <f t="shared" si="292"/>
        <v>1.5642244548797644</v>
      </c>
      <c r="S562" s="677">
        <f t="shared" si="270"/>
        <v>1.2158824031635596</v>
      </c>
      <c r="T562" s="680">
        <f t="shared" si="271"/>
        <v>0.60509518148472174</v>
      </c>
      <c r="U562" s="681">
        <f t="shared" si="283"/>
        <v>0.55388979706375419</v>
      </c>
      <c r="V562" s="682">
        <f t="shared" si="284"/>
        <v>-1.3418400143153448</v>
      </c>
      <c r="W562" s="683">
        <f t="shared" si="272"/>
        <v>-45.598771032658654</v>
      </c>
      <c r="X562" s="684">
        <f t="shared" si="273"/>
        <v>-220.50213418720151</v>
      </c>
      <c r="Y562" s="687">
        <f t="shared" si="274"/>
        <v>-40.502134187201506</v>
      </c>
      <c r="AA562" s="170">
        <f t="shared" si="275"/>
        <v>91732</v>
      </c>
      <c r="AB562" s="170">
        <f t="shared" si="276"/>
        <v>8414759824</v>
      </c>
      <c r="AD562" s="686">
        <f t="shared" si="277"/>
        <v>15.449006035839014</v>
      </c>
      <c r="AE562" s="687">
        <f t="shared" si="278"/>
        <v>-35.045925605222791</v>
      </c>
      <c r="AG562" s="686">
        <f t="shared" si="279"/>
        <v>-12.508434632487976</v>
      </c>
      <c r="AH562" s="687">
        <f t="shared" si="280"/>
        <v>-31.692669202191819</v>
      </c>
      <c r="AJ562" s="170">
        <f t="shared" si="281"/>
        <v>0</v>
      </c>
      <c r="AK562" s="170">
        <f t="shared" si="293"/>
        <v>0</v>
      </c>
      <c r="AM562" s="170" t="str">
        <f t="shared" si="285"/>
        <v>1.80759021527541+0.589744049729562i</v>
      </c>
      <c r="AN562" s="170" t="str">
        <f t="shared" si="286"/>
        <v>2.51085078037182i</v>
      </c>
      <c r="AO562" s="170" t="str">
        <f t="shared" si="287"/>
        <v>0.234878175294125-0.719911445716313i</v>
      </c>
      <c r="AP562" s="170" t="str">
        <f t="shared" si="288"/>
        <v>-0.134598369212568-0.098290674954927i</v>
      </c>
      <c r="AQ562" s="170" t="str">
        <f t="shared" si="289"/>
        <v>1.13459836921257+0.098290674954927i</v>
      </c>
      <c r="AR562" s="170" t="str">
        <f t="shared" si="290"/>
        <v>0.728711651421686-0.0631285589767472i</v>
      </c>
    </row>
    <row r="563" spans="7:44">
      <c r="G563" s="688">
        <v>92263</v>
      </c>
      <c r="H563" s="676">
        <f t="shared" si="282"/>
        <v>92.263000000000005</v>
      </c>
      <c r="I563" s="677">
        <f t="shared" si="262"/>
        <v>743.83634499355333</v>
      </c>
      <c r="J563" s="678">
        <f t="shared" si="263"/>
        <v>1.5694519446496065</v>
      </c>
      <c r="K563" s="678">
        <f t="shared" si="264"/>
        <v>1.0080998121274343</v>
      </c>
      <c r="L563" s="679">
        <f t="shared" si="265"/>
        <v>0.12685042298238133</v>
      </c>
      <c r="M563" s="678">
        <f t="shared" si="266"/>
        <v>1.112683590305412</v>
      </c>
      <c r="N563" s="679">
        <f t="shared" si="267"/>
        <v>-0.45393603565894125</v>
      </c>
      <c r="O563" s="677">
        <f t="shared" si="268"/>
        <v>3826056.4672038709</v>
      </c>
      <c r="P563" s="680">
        <f t="shared" si="269"/>
        <v>1.5707960654291775</v>
      </c>
      <c r="Q563" s="689">
        <f t="shared" si="291"/>
        <v>153.04552572476763</v>
      </c>
      <c r="R563" s="690">
        <f t="shared" si="292"/>
        <v>1.5642622768059495</v>
      </c>
      <c r="S563" s="677">
        <f t="shared" si="270"/>
        <v>1.2181642887508319</v>
      </c>
      <c r="T563" s="680">
        <f t="shared" si="271"/>
        <v>0.60779826041248142</v>
      </c>
      <c r="U563" s="681">
        <f t="shared" si="283"/>
        <v>0.55139220063411043</v>
      </c>
      <c r="V563" s="682">
        <f t="shared" si="284"/>
        <v>-1.3472815804947897</v>
      </c>
      <c r="W563" s="683">
        <f t="shared" si="272"/>
        <v>-45.694054815942842</v>
      </c>
      <c r="X563" s="684">
        <f t="shared" si="273"/>
        <v>-221.05577998286944</v>
      </c>
      <c r="Y563" s="687">
        <f t="shared" si="274"/>
        <v>-41.055779982869439</v>
      </c>
      <c r="AA563" s="170">
        <f t="shared" si="275"/>
        <v>92263</v>
      </c>
      <c r="AB563" s="170">
        <f t="shared" si="276"/>
        <v>8512461169</v>
      </c>
      <c r="AD563" s="686">
        <f t="shared" si="277"/>
        <v>15.432718072057314</v>
      </c>
      <c r="AE563" s="687">
        <f t="shared" si="278"/>
        <v>-35.198633669590379</v>
      </c>
      <c r="AG563" s="686">
        <f t="shared" si="279"/>
        <v>-12.508920591455229</v>
      </c>
      <c r="AH563" s="687">
        <f t="shared" si="280"/>
        <v>-31.470049380732981</v>
      </c>
      <c r="AJ563" s="170">
        <f t="shared" si="281"/>
        <v>0</v>
      </c>
      <c r="AK563" s="170">
        <f t="shared" si="293"/>
        <v>0</v>
      </c>
      <c r="AM563" s="170" t="str">
        <f t="shared" si="285"/>
        <v>1.81607614043599+0.577944403045051i</v>
      </c>
      <c r="AN563" s="170" t="str">
        <f t="shared" si="286"/>
        <v>2.52538509516249i</v>
      </c>
      <c r="AO563" s="170" t="str">
        <f t="shared" si="287"/>
        <v>0.228853969302398-0.719128399036955i</v>
      </c>
      <c r="AP563" s="170" t="str">
        <f t="shared" si="288"/>
        <v>-0.136012690072665-0.0963240671741752i</v>
      </c>
      <c r="AQ563" s="170" t="str">
        <f t="shared" si="289"/>
        <v>1.13601269007267+0.0963240671741752i</v>
      </c>
      <c r="AR563" s="170" t="str">
        <f t="shared" si="290"/>
        <v>0.72803221400275-0.0617308455260992i</v>
      </c>
    </row>
    <row r="564" spans="7:44">
      <c r="G564" s="688">
        <v>92794</v>
      </c>
      <c r="H564" s="676">
        <f t="shared" si="282"/>
        <v>92.793999999999997</v>
      </c>
      <c r="I564" s="677">
        <f t="shared" si="262"/>
        <v>748.11732856624633</v>
      </c>
      <c r="J564" s="678">
        <f t="shared" si="263"/>
        <v>1.5694596376692669</v>
      </c>
      <c r="K564" s="678">
        <f t="shared" si="264"/>
        <v>1.0081929339673414</v>
      </c>
      <c r="L564" s="679">
        <f t="shared" si="265"/>
        <v>0.1275726104112761</v>
      </c>
      <c r="M564" s="678">
        <f t="shared" si="266"/>
        <v>1.1139178244278911</v>
      </c>
      <c r="N564" s="679">
        <f t="shared" si="267"/>
        <v>-0.45620167121461253</v>
      </c>
      <c r="O564" s="677">
        <f t="shared" si="268"/>
        <v>3848076.51840625</v>
      </c>
      <c r="P564" s="680">
        <f t="shared" si="269"/>
        <v>1.5707960669248042</v>
      </c>
      <c r="Q564" s="689">
        <f t="shared" si="291"/>
        <v>153.92630907812256</v>
      </c>
      <c r="R564" s="690">
        <f t="shared" si="292"/>
        <v>1.5642996658897039</v>
      </c>
      <c r="S564" s="677">
        <f t="shared" si="270"/>
        <v>1.2204550416996935</v>
      </c>
      <c r="T564" s="680">
        <f t="shared" si="271"/>
        <v>0.61049121177930343</v>
      </c>
      <c r="U564" s="681">
        <f t="shared" si="283"/>
        <v>0.54890553051888558</v>
      </c>
      <c r="V564" s="682">
        <f t="shared" si="284"/>
        <v>-1.3527114372034723</v>
      </c>
      <c r="W564" s="683">
        <f t="shared" si="272"/>
        <v>-45.789050294106389</v>
      </c>
      <c r="X564" s="684">
        <f t="shared" si="273"/>
        <v>-221.60791429413555</v>
      </c>
      <c r="Y564" s="687">
        <f t="shared" si="274"/>
        <v>-41.607914294135554</v>
      </c>
      <c r="AA564" s="170">
        <f t="shared" si="275"/>
        <v>92794</v>
      </c>
      <c r="AB564" s="170">
        <f t="shared" si="276"/>
        <v>8610726436</v>
      </c>
      <c r="AD564" s="686">
        <f t="shared" si="277"/>
        <v>15.416397514853319</v>
      </c>
      <c r="AE564" s="687">
        <f t="shared" si="278"/>
        <v>-35.350786266511236</v>
      </c>
      <c r="AG564" s="686">
        <f t="shared" si="279"/>
        <v>-12.509075023465183</v>
      </c>
      <c r="AH564" s="687">
        <f t="shared" si="280"/>
        <v>-31.247815348830652</v>
      </c>
      <c r="AJ564" s="170">
        <f t="shared" si="281"/>
        <v>0</v>
      </c>
      <c r="AK564" s="170">
        <f t="shared" si="293"/>
        <v>0</v>
      </c>
      <c r="AM564" s="170" t="str">
        <f t="shared" si="285"/>
        <v>1.8243896755609+0.566022669889288i</v>
      </c>
      <c r="AN564" s="170" t="str">
        <f t="shared" si="286"/>
        <v>2.53991940995316i</v>
      </c>
      <c r="AO564" s="170" t="str">
        <f t="shared" si="287"/>
        <v>0.222850641509026-0.718286441849958i</v>
      </c>
      <c r="AP564" s="170" t="str">
        <f t="shared" si="288"/>
        <v>-0.13739827926015-0.0943371116482147i</v>
      </c>
      <c r="AQ564" s="170" t="str">
        <f t="shared" si="289"/>
        <v>1.13739827926015+0.0943371116482147i</v>
      </c>
      <c r="AR564" s="170" t="str">
        <f t="shared" si="290"/>
        <v>0.727369440823139-0.0603288517308698i</v>
      </c>
    </row>
    <row r="565" spans="7:44">
      <c r="G565" s="688">
        <v>93325</v>
      </c>
      <c r="H565" s="676">
        <f t="shared" si="282"/>
        <v>93.325000000000003</v>
      </c>
      <c r="I565" s="677">
        <f t="shared" si="262"/>
        <v>752.39831218271092</v>
      </c>
      <c r="J565" s="678">
        <f t="shared" si="263"/>
        <v>1.5694672431456929</v>
      </c>
      <c r="K565" s="678">
        <f t="shared" si="264"/>
        <v>1.0082865815377069</v>
      </c>
      <c r="L565" s="679">
        <f t="shared" si="265"/>
        <v>0.12829466406615647</v>
      </c>
      <c r="M565" s="678">
        <f t="shared" si="266"/>
        <v>1.1151577637330197</v>
      </c>
      <c r="N565" s="679">
        <f t="shared" si="267"/>
        <v>-0.45846228005116824</v>
      </c>
      <c r="O565" s="677">
        <f t="shared" si="268"/>
        <v>3870096.5696086292</v>
      </c>
      <c r="P565" s="680">
        <f t="shared" si="269"/>
        <v>1.5707960684034115</v>
      </c>
      <c r="Q565" s="689">
        <f t="shared" si="291"/>
        <v>154.80709264420918</v>
      </c>
      <c r="R565" s="690">
        <f t="shared" si="292"/>
        <v>1.5643366295189651</v>
      </c>
      <c r="S565" s="677">
        <f t="shared" si="270"/>
        <v>1.2227546121728323</v>
      </c>
      <c r="T565" s="680">
        <f t="shared" si="271"/>
        <v>0.61317405355641375</v>
      </c>
      <c r="U565" s="681">
        <f t="shared" si="283"/>
        <v>0.54642971890298897</v>
      </c>
      <c r="V565" s="682">
        <f t="shared" si="284"/>
        <v>-1.3581298747246879</v>
      </c>
      <c r="W565" s="683">
        <f t="shared" si="272"/>
        <v>-45.883760774847893</v>
      </c>
      <c r="X565" s="684">
        <f t="shared" si="273"/>
        <v>-222.15855411213971</v>
      </c>
      <c r="Y565" s="687">
        <f t="shared" si="274"/>
        <v>-42.158554112139711</v>
      </c>
      <c r="AA565" s="170">
        <f t="shared" si="275"/>
        <v>93325</v>
      </c>
      <c r="AB565" s="170">
        <f t="shared" si="276"/>
        <v>8709555625</v>
      </c>
      <c r="AD565" s="686">
        <f t="shared" si="277"/>
        <v>15.400044958240729</v>
      </c>
      <c r="AE565" s="687">
        <f t="shared" si="278"/>
        <v>-35.502384002380076</v>
      </c>
      <c r="AG565" s="686">
        <f t="shared" si="279"/>
        <v>-12.508901144314347</v>
      </c>
      <c r="AH565" s="687">
        <f t="shared" si="280"/>
        <v>-31.02595022721453</v>
      </c>
      <c r="AJ565" s="170">
        <f t="shared" si="281"/>
        <v>0</v>
      </c>
      <c r="AK565" s="170">
        <f t="shared" si="293"/>
        <v>0</v>
      </c>
      <c r="AM565" s="170" t="str">
        <f t="shared" si="285"/>
        <v>1.83252906447745+0.553981368640043i</v>
      </c>
      <c r="AN565" s="170" t="str">
        <f t="shared" si="286"/>
        <v>2.55445372474382i</v>
      </c>
      <c r="AO565" s="170" t="str">
        <f t="shared" si="287"/>
        <v>0.216868821413314-0.717385892226812i</v>
      </c>
      <c r="AP565" s="170" t="str">
        <f t="shared" si="288"/>
        <v>-0.138754844079576-0.0923302281066738i</v>
      </c>
      <c r="AQ565" s="170" t="str">
        <f t="shared" si="289"/>
        <v>1.13875484407958+0.0923302281066738i</v>
      </c>
      <c r="AR565" s="170" t="str">
        <f t="shared" si="290"/>
        <v>0.726723277341359-0.0589227139767655i</v>
      </c>
    </row>
    <row r="566" spans="7:44">
      <c r="G566" s="688">
        <v>93868.5</v>
      </c>
      <c r="H566" s="676">
        <f t="shared" si="282"/>
        <v>93.868499999999997</v>
      </c>
      <c r="I566" s="677">
        <f t="shared" si="262"/>
        <v>756.78007229421132</v>
      </c>
      <c r="J566" s="678">
        <f t="shared" si="263"/>
        <v>1.5694749385506479</v>
      </c>
      <c r="K566" s="678">
        <f t="shared" si="264"/>
        <v>1.0083829779049074</v>
      </c>
      <c r="L566" s="679">
        <f t="shared" si="265"/>
        <v>0.12903357593608236</v>
      </c>
      <c r="M566" s="678">
        <f t="shared" si="266"/>
        <v>1.1164327801936664</v>
      </c>
      <c r="N566" s="679">
        <f t="shared" si="267"/>
        <v>-0.46077089252523717</v>
      </c>
      <c r="O566" s="677">
        <f t="shared" si="268"/>
        <v>3892634.9835982588</v>
      </c>
      <c r="P566" s="680">
        <f t="shared" si="269"/>
        <v>1.570796069899502</v>
      </c>
      <c r="Q566" s="689">
        <f t="shared" si="291"/>
        <v>155.7086105032449</v>
      </c>
      <c r="R566" s="690">
        <f t="shared" si="292"/>
        <v>1.5643740302300719</v>
      </c>
      <c r="S566" s="677">
        <f t="shared" si="270"/>
        <v>1.2251173951578738</v>
      </c>
      <c r="T566" s="680">
        <f t="shared" si="271"/>
        <v>0.61590960060122768</v>
      </c>
      <c r="U566" s="681">
        <f t="shared" si="283"/>
        <v>0.54390679805393116</v>
      </c>
      <c r="V566" s="682">
        <f t="shared" si="284"/>
        <v>-1.3636643413279022</v>
      </c>
      <c r="W566" s="683">
        <f t="shared" si="272"/>
        <v>-45.980409079418123</v>
      </c>
      <c r="X566" s="684">
        <f t="shared" si="273"/>
        <v>-222.72062630809415</v>
      </c>
      <c r="Y566" s="687">
        <f t="shared" si="274"/>
        <v>-42.720626308094154</v>
      </c>
      <c r="AA566" s="170">
        <f t="shared" si="275"/>
        <v>93868.5</v>
      </c>
      <c r="AB566" s="170">
        <f t="shared" si="276"/>
        <v>8811295292.25</v>
      </c>
      <c r="AD566" s="686">
        <f t="shared" si="277"/>
        <v>15.383274931398589</v>
      </c>
      <c r="AE566" s="687">
        <f t="shared" si="278"/>
        <v>-35.656976485706494</v>
      </c>
      <c r="AG566" s="686">
        <f t="shared" si="279"/>
        <v>-12.508386439401358</v>
      </c>
      <c r="AH566" s="687">
        <f t="shared" si="280"/>
        <v>-30.79922678267728</v>
      </c>
      <c r="AJ566" s="170">
        <f t="shared" si="281"/>
        <v>0</v>
      </c>
      <c r="AK566" s="170">
        <f t="shared" si="293"/>
        <v>0</v>
      </c>
      <c r="AM566" s="170" t="str">
        <f t="shared" si="285"/>
        <v>1.84067792058481+0.541535440983497i</v>
      </c>
      <c r="AN566" s="170" t="str">
        <f t="shared" si="286"/>
        <v>2.56933018442128i</v>
      </c>
      <c r="AO566" s="170" t="str">
        <f t="shared" si="287"/>
        <v>0.210769111835843-0.716403805063851i</v>
      </c>
      <c r="AP566" s="170" t="str">
        <f t="shared" si="288"/>
        <v>-0.140112986764136-0.0902559068305828i</v>
      </c>
      <c r="AQ566" s="170" t="str">
        <f t="shared" si="289"/>
        <v>1.14011298676414+0.0902559068305828i</v>
      </c>
      <c r="AR566" s="170" t="str">
        <f t="shared" si="290"/>
        <v>0.726079047576298-0.0574793232166224i</v>
      </c>
    </row>
    <row r="567" spans="7:44">
      <c r="G567" s="688">
        <v>94412</v>
      </c>
      <c r="H567" s="676">
        <f t="shared" si="282"/>
        <v>94.412000000000006</v>
      </c>
      <c r="I567" s="677">
        <f t="shared" si="262"/>
        <v>761.16183245001173</v>
      </c>
      <c r="J567" s="678">
        <f t="shared" si="263"/>
        <v>1.5694825453557359</v>
      </c>
      <c r="K567" s="678">
        <f t="shared" si="264"/>
        <v>1.0084799247344594</v>
      </c>
      <c r="L567" s="679">
        <f t="shared" si="265"/>
        <v>0.1297723461436851</v>
      </c>
      <c r="M567" s="678">
        <f t="shared" si="266"/>
        <v>1.1177137333028861</v>
      </c>
      <c r="N567" s="679">
        <f t="shared" si="267"/>
        <v>-0.46307422569253581</v>
      </c>
      <c r="O567" s="677">
        <f t="shared" si="268"/>
        <v>3915173.3975878879</v>
      </c>
      <c r="P567" s="680">
        <f t="shared" si="269"/>
        <v>1.5707960713783675</v>
      </c>
      <c r="Q567" s="689">
        <f t="shared" si="291"/>
        <v>156.61012857758024</v>
      </c>
      <c r="R567" s="690">
        <f t="shared" si="292"/>
        <v>1.5644110003507266</v>
      </c>
      <c r="S567" s="677">
        <f t="shared" si="270"/>
        <v>1.2274893106289737</v>
      </c>
      <c r="T567" s="680">
        <f t="shared" si="271"/>
        <v>0.61863459600833814</v>
      </c>
      <c r="U567" s="681">
        <f t="shared" si="283"/>
        <v>0.5413951044611357</v>
      </c>
      <c r="V567" s="682">
        <f t="shared" si="284"/>
        <v>-1.3691874571544442</v>
      </c>
      <c r="W567" s="683">
        <f t="shared" si="272"/>
        <v>-46.076765763704103</v>
      </c>
      <c r="X567" s="684">
        <f t="shared" si="273"/>
        <v>-223.2811688164287</v>
      </c>
      <c r="Y567" s="687">
        <f t="shared" si="274"/>
        <v>-43.281168816428703</v>
      </c>
      <c r="AA567" s="170">
        <f t="shared" si="275"/>
        <v>94412</v>
      </c>
      <c r="AB567" s="170">
        <f t="shared" si="276"/>
        <v>8913625744</v>
      </c>
      <c r="AD567" s="686">
        <f t="shared" si="277"/>
        <v>15.36647262537106</v>
      </c>
      <c r="AE567" s="687">
        <f t="shared" si="278"/>
        <v>-35.810989074753607</v>
      </c>
      <c r="AG567" s="686">
        <f t="shared" si="279"/>
        <v>-12.507534316022502</v>
      </c>
      <c r="AH567" s="687">
        <f t="shared" si="280"/>
        <v>-30.572854247996037</v>
      </c>
      <c r="AJ567" s="170">
        <f t="shared" si="281"/>
        <v>0</v>
      </c>
      <c r="AK567" s="170">
        <f t="shared" si="293"/>
        <v>0</v>
      </c>
      <c r="AM567" s="170" t="str">
        <f t="shared" si="285"/>
        <v>1.84864073048926+0.528969668841848i</v>
      </c>
      <c r="AN567" s="170" t="str">
        <f t="shared" si="286"/>
        <v>2.58420664409873i</v>
      </c>
      <c r="AO567" s="170" t="str">
        <f t="shared" si="287"/>
        <v>0.204693254716993-0.715361031483608i</v>
      </c>
      <c r="AP567" s="170" t="str">
        <f t="shared" si="288"/>
        <v>-0.14144012174821-0.0881616114736413i</v>
      </c>
      <c r="AQ567" s="170" t="str">
        <f t="shared" si="289"/>
        <v>1.14144012174821+0.0881616114736413i</v>
      </c>
      <c r="AR567" s="170" t="str">
        <f t="shared" si="290"/>
        <v>0.725452105723116-0.0560318719036622i</v>
      </c>
    </row>
    <row r="568" spans="7:44">
      <c r="G568" s="688">
        <v>94955.5</v>
      </c>
      <c r="H568" s="676">
        <f t="shared" si="282"/>
        <v>94.955500000000001</v>
      </c>
      <c r="I568" s="677">
        <f t="shared" si="262"/>
        <v>765.54359264935147</v>
      </c>
      <c r="J568" s="678">
        <f t="shared" si="263"/>
        <v>1.5694900650823194</v>
      </c>
      <c r="K568" s="678">
        <f t="shared" si="264"/>
        <v>1.008577421867628</v>
      </c>
      <c r="L568" s="679">
        <f t="shared" si="265"/>
        <v>0.13051097392351804</v>
      </c>
      <c r="M568" s="678">
        <f t="shared" si="266"/>
        <v>1.1190006026731067</v>
      </c>
      <c r="N568" s="679">
        <f t="shared" si="267"/>
        <v>-0.4653722732852833</v>
      </c>
      <c r="O568" s="677">
        <f t="shared" si="268"/>
        <v>3937711.8115775175</v>
      </c>
      <c r="P568" s="680">
        <f t="shared" si="269"/>
        <v>1.5707960728403036</v>
      </c>
      <c r="Q568" s="689">
        <f t="shared" si="291"/>
        <v>157.51164686351848</v>
      </c>
      <c r="R568" s="690">
        <f t="shared" si="292"/>
        <v>1.5644475472742834</v>
      </c>
      <c r="S568" s="677">
        <f t="shared" si="270"/>
        <v>1.2298703057476714</v>
      </c>
      <c r="T568" s="680">
        <f t="shared" si="271"/>
        <v>0.62134906047463345</v>
      </c>
      <c r="U568" s="681">
        <f t="shared" si="283"/>
        <v>0.53889456073162667</v>
      </c>
      <c r="V568" s="682">
        <f t="shared" si="284"/>
        <v>-1.3746995304482574</v>
      </c>
      <c r="W568" s="683">
        <f t="shared" si="272"/>
        <v>-46.172834316907732</v>
      </c>
      <c r="X568" s="684">
        <f t="shared" si="273"/>
        <v>-223.84019983238096</v>
      </c>
      <c r="Y568" s="687">
        <f t="shared" si="274"/>
        <v>-43.840199832380961</v>
      </c>
      <c r="AA568" s="170">
        <f t="shared" si="275"/>
        <v>94955.5</v>
      </c>
      <c r="AB568" s="170">
        <f t="shared" si="276"/>
        <v>9016546980.25</v>
      </c>
      <c r="AD568" s="686">
        <f t="shared" si="277"/>
        <v>15.349638662142839</v>
      </c>
      <c r="AE568" s="687">
        <f t="shared" si="278"/>
        <v>-35.964422531774645</v>
      </c>
      <c r="AG568" s="686">
        <f t="shared" si="279"/>
        <v>-12.506347936107094</v>
      </c>
      <c r="AH568" s="687">
        <f t="shared" si="280"/>
        <v>-30.346814734000883</v>
      </c>
      <c r="AJ568" s="170">
        <f t="shared" si="281"/>
        <v>0</v>
      </c>
      <c r="AK568" s="170">
        <f t="shared" si="293"/>
        <v>0</v>
      </c>
      <c r="AM568" s="170" t="str">
        <f t="shared" si="285"/>
        <v>1.85641573198138+0.516286833082928i</v>
      </c>
      <c r="AN568" s="170" t="str">
        <f t="shared" si="286"/>
        <v>2.59908310377618i</v>
      </c>
      <c r="AO568" s="170" t="str">
        <f t="shared" si="287"/>
        <v>0.198641910423264-0.714257935532809i</v>
      </c>
      <c r="AP568" s="170" t="str">
        <f t="shared" si="288"/>
        <v>-0.14273595533023-0.0860478055138213i</v>
      </c>
      <c r="AQ568" s="170" t="str">
        <f t="shared" si="289"/>
        <v>1.14273595533023+0.0860478055138213i</v>
      </c>
      <c r="AR568" s="170" t="str">
        <f t="shared" si="290"/>
        <v>0.724842396058066-0.0545804979997786i</v>
      </c>
    </row>
    <row r="569" spans="7:44">
      <c r="G569" s="688">
        <v>95499</v>
      </c>
      <c r="H569" s="676">
        <f t="shared" si="282"/>
        <v>95.498999999999995</v>
      </c>
      <c r="I569" s="677">
        <f t="shared" si="262"/>
        <v>769.92535289148702</v>
      </c>
      <c r="J569" s="678">
        <f t="shared" si="263"/>
        <v>1.5694974992171278</v>
      </c>
      <c r="K569" s="678">
        <f t="shared" si="264"/>
        <v>1.0086754691448383</v>
      </c>
      <c r="L569" s="679">
        <f t="shared" si="265"/>
        <v>0.13124945851105144</v>
      </c>
      <c r="M569" s="678">
        <f t="shared" si="266"/>
        <v>1.1202933679164855</v>
      </c>
      <c r="N569" s="679">
        <f t="shared" si="267"/>
        <v>-0.46766502928773557</v>
      </c>
      <c r="O569" s="677">
        <f t="shared" si="268"/>
        <v>3960250.2255671467</v>
      </c>
      <c r="P569" s="680">
        <f t="shared" si="269"/>
        <v>1.5707960742855998</v>
      </c>
      <c r="Q569" s="689">
        <f t="shared" si="291"/>
        <v>158.4131653574469</v>
      </c>
      <c r="R569" s="690">
        <f t="shared" si="292"/>
        <v>1.5644836782258014</v>
      </c>
      <c r="S569" s="677">
        <f t="shared" si="270"/>
        <v>1.2322603278824031</v>
      </c>
      <c r="T569" s="680">
        <f t="shared" si="271"/>
        <v>0.62405301515810652</v>
      </c>
      <c r="U569" s="681">
        <f t="shared" si="283"/>
        <v>0.53640508801196296</v>
      </c>
      <c r="V569" s="682">
        <f t="shared" si="284"/>
        <v>-1.3802008684671525</v>
      </c>
      <c r="W569" s="683">
        <f t="shared" si="272"/>
        <v>-46.268618211058467</v>
      </c>
      <c r="X569" s="684">
        <f t="shared" si="273"/>
        <v>-224.39773754315235</v>
      </c>
      <c r="Y569" s="687">
        <f t="shared" si="274"/>
        <v>-44.397737543152346</v>
      </c>
      <c r="AA569" s="170">
        <f t="shared" si="275"/>
        <v>95499</v>
      </c>
      <c r="AB569" s="170">
        <f t="shared" si="276"/>
        <v>9120059001</v>
      </c>
      <c r="AD569" s="686">
        <f t="shared" si="277"/>
        <v>15.332773658636302</v>
      </c>
      <c r="AE569" s="687">
        <f t="shared" si="278"/>
        <v>-36.117277655084557</v>
      </c>
      <c r="AG569" s="686">
        <f t="shared" si="279"/>
        <v>-12.504830368102176</v>
      </c>
      <c r="AH569" s="687">
        <f t="shared" si="280"/>
        <v>-30.121090420426942</v>
      </c>
      <c r="AJ569" s="170">
        <f t="shared" si="281"/>
        <v>0</v>
      </c>
      <c r="AK569" s="170">
        <f t="shared" si="293"/>
        <v>0</v>
      </c>
      <c r="AM569" s="170" t="str">
        <f t="shared" si="285"/>
        <v>1.86400120441469+0.50348974048133i</v>
      </c>
      <c r="AN569" s="170" t="str">
        <f t="shared" si="286"/>
        <v>2.61395956345364i</v>
      </c>
      <c r="AO569" s="170" t="str">
        <f t="shared" si="287"/>
        <v>0.19261573419908-0.713094888871164i</v>
      </c>
      <c r="AP569" s="170" t="str">
        <f t="shared" si="288"/>
        <v>-0.144000200735782-0.0839149567468883i</v>
      </c>
      <c r="AQ569" s="170" t="str">
        <f t="shared" si="289"/>
        <v>1.14400020073578+0.0839149567468883i</v>
      </c>
      <c r="AR569" s="170" t="str">
        <f t="shared" si="290"/>
        <v>0.724249863876427-0.0531253368330194i</v>
      </c>
    </row>
    <row r="570" spans="7:44">
      <c r="G570" s="688">
        <v>96611.5</v>
      </c>
      <c r="H570" s="676">
        <f t="shared" si="282"/>
        <v>96.611500000000007</v>
      </c>
      <c r="I570" s="677">
        <f t="shared" si="262"/>
        <v>778.89445747337686</v>
      </c>
      <c r="J570" s="678">
        <f t="shared" si="263"/>
        <v>1.5695124554499074</v>
      </c>
      <c r="K570" s="678">
        <f t="shared" si="264"/>
        <v>1.0088778787847377</v>
      </c>
      <c r="L570" s="679">
        <f t="shared" si="265"/>
        <v>0.13276062625554283</v>
      </c>
      <c r="M570" s="678">
        <f t="shared" si="266"/>
        <v>1.1229578524306729</v>
      </c>
      <c r="N570" s="679">
        <f t="shared" si="267"/>
        <v>-0.47234158784749869</v>
      </c>
      <c r="O570" s="677">
        <f t="shared" si="268"/>
        <v>4006384.5136323948</v>
      </c>
      <c r="P570" s="680">
        <f t="shared" si="269"/>
        <v>1.5707960771932927</v>
      </c>
      <c r="Q570" s="689">
        <f t="shared" si="291"/>
        <v>160.25850053496686</v>
      </c>
      <c r="R570" s="690">
        <f t="shared" si="292"/>
        <v>1.5645563676900365</v>
      </c>
      <c r="S570" s="677">
        <f t="shared" si="270"/>
        <v>1.2371804370238249</v>
      </c>
      <c r="T570" s="680">
        <f t="shared" si="271"/>
        <v>0.62955510672771786</v>
      </c>
      <c r="U570" s="681">
        <f t="shared" si="283"/>
        <v>0.53134352587043543</v>
      </c>
      <c r="V570" s="682">
        <f t="shared" si="284"/>
        <v>-1.3914294675285568</v>
      </c>
      <c r="W570" s="683">
        <f t="shared" si="272"/>
        <v>-46.463806841741551</v>
      </c>
      <c r="X570" s="684">
        <f t="shared" si="273"/>
        <v>-225.53439133627043</v>
      </c>
      <c r="Y570" s="687">
        <f t="shared" si="274"/>
        <v>-45.534391336270431</v>
      </c>
      <c r="AA570" s="170">
        <f t="shared" si="275"/>
        <v>96611.5</v>
      </c>
      <c r="AB570" s="170">
        <f t="shared" si="276"/>
        <v>9333781932.25</v>
      </c>
      <c r="AD570" s="686">
        <f t="shared" si="277"/>
        <v>15.298158149700221</v>
      </c>
      <c r="AE570" s="687">
        <f t="shared" si="278"/>
        <v>-36.428359647956043</v>
      </c>
      <c r="AG570" s="686">
        <f t="shared" si="279"/>
        <v>-12.500703676041901</v>
      </c>
      <c r="AH570" s="687">
        <f t="shared" si="280"/>
        <v>-29.659959547077225</v>
      </c>
      <c r="AJ570" s="170">
        <f t="shared" si="281"/>
        <v>0</v>
      </c>
      <c r="AK570" s="170">
        <f t="shared" si="293"/>
        <v>0</v>
      </c>
      <c r="AM570" s="170" t="str">
        <f t="shared" si="285"/>
        <v>1.87893000366979+0.476950782208213i</v>
      </c>
      <c r="AN570" s="170" t="str">
        <f t="shared" si="286"/>
        <v>2.64441045837758i</v>
      </c>
      <c r="AO570" s="170" t="str">
        <f t="shared" si="287"/>
        <v>0.180361857478372-0.710528880914564i</v>
      </c>
      <c r="AP570" s="170" t="str">
        <f t="shared" si="288"/>
        <v>-0.146488333944965-0.0794917970347022i</v>
      </c>
      <c r="AQ570" s="170" t="str">
        <f t="shared" si="289"/>
        <v>1.14648833394496+0.0794917970347022i</v>
      </c>
      <c r="AR570" s="170" t="str">
        <f t="shared" si="290"/>
        <v>0.723090340758495-0.0501354866887702i</v>
      </c>
    </row>
    <row r="571" spans="7:44">
      <c r="G571" s="688">
        <v>97724</v>
      </c>
      <c r="H571" s="676">
        <f t="shared" si="282"/>
        <v>97.724000000000004</v>
      </c>
      <c r="I571" s="677">
        <f t="shared" si="262"/>
        <v>787.86356222553002</v>
      </c>
      <c r="J571" s="678">
        <f t="shared" si="263"/>
        <v>1.569527071156678</v>
      </c>
      <c r="K571" s="678">
        <f t="shared" si="264"/>
        <v>1.0090825913990236</v>
      </c>
      <c r="L571" s="679">
        <f t="shared" si="265"/>
        <v>0.13427118430713908</v>
      </c>
      <c r="M571" s="678">
        <f t="shared" si="266"/>
        <v>1.1256467796779694</v>
      </c>
      <c r="N571" s="679">
        <f t="shared" si="267"/>
        <v>-0.47699590521645363</v>
      </c>
      <c r="O571" s="677">
        <f t="shared" si="268"/>
        <v>4052518.8016976435</v>
      </c>
      <c r="P571" s="680">
        <f t="shared" si="269"/>
        <v>1.5707960800347829</v>
      </c>
      <c r="Q571" s="689">
        <f t="shared" si="291"/>
        <v>162.10383653997533</v>
      </c>
      <c r="R571" s="690">
        <f t="shared" si="292"/>
        <v>1.5646274022094093</v>
      </c>
      <c r="S571" s="677">
        <f t="shared" si="270"/>
        <v>1.2421377019804951</v>
      </c>
      <c r="T571" s="680">
        <f t="shared" si="271"/>
        <v>0.63501344569360518</v>
      </c>
      <c r="U571" s="681">
        <f t="shared" si="283"/>
        <v>0.52632730644352588</v>
      </c>
      <c r="V571" s="682">
        <f t="shared" si="284"/>
        <v>-1.4026169839976561</v>
      </c>
      <c r="W571" s="683">
        <f t="shared" si="272"/>
        <v>-46.657846701214552</v>
      </c>
      <c r="X571" s="684">
        <f t="shared" si="273"/>
        <v>-226.66502034401972</v>
      </c>
      <c r="Y571" s="687">
        <f t="shared" si="274"/>
        <v>-46.665020344019723</v>
      </c>
      <c r="AA571" s="170">
        <f t="shared" si="275"/>
        <v>97724</v>
      </c>
      <c r="AB571" s="170">
        <f t="shared" si="276"/>
        <v>9549980176</v>
      </c>
      <c r="AD571" s="686">
        <f t="shared" si="277"/>
        <v>15.263420325088743</v>
      </c>
      <c r="AE571" s="687">
        <f t="shared" si="278"/>
        <v>-36.737029618851508</v>
      </c>
      <c r="AG571" s="686">
        <f t="shared" si="279"/>
        <v>-12.495226069847014</v>
      </c>
      <c r="AH571" s="687">
        <f t="shared" si="280"/>
        <v>-29.199923628641205</v>
      </c>
      <c r="AJ571" s="170">
        <f t="shared" si="281"/>
        <v>0</v>
      </c>
      <c r="AK571" s="170">
        <f t="shared" si="293"/>
        <v>0</v>
      </c>
      <c r="AM571" s="170" t="str">
        <f t="shared" si="285"/>
        <v>1.8930438718988+0.44996960215552i</v>
      </c>
      <c r="AN571" s="170" t="str">
        <f t="shared" si="286"/>
        <v>2.67486135330153i</v>
      </c>
      <c r="AO571" s="170" t="str">
        <f t="shared" si="287"/>
        <v>0.168221654404678-0.70771663344803i</v>
      </c>
      <c r="AP571" s="170" t="str">
        <f t="shared" si="288"/>
        <v>-0.148840645316467-0.0749949336925867i</v>
      </c>
      <c r="AQ571" s="170" t="str">
        <f t="shared" si="289"/>
        <v>1.14884064531647+0.0749949336925867i</v>
      </c>
      <c r="AR571" s="170" t="str">
        <f t="shared" si="290"/>
        <v>0.722002120137956-0.0471314288421066i</v>
      </c>
    </row>
    <row r="572" spans="7:44">
      <c r="G572" s="688">
        <v>98862</v>
      </c>
      <c r="H572" s="676">
        <f t="shared" si="282"/>
        <v>98.861999999999995</v>
      </c>
      <c r="I572" s="677">
        <f t="shared" si="262"/>
        <v>797.03825112194659</v>
      </c>
      <c r="J572" s="678">
        <f t="shared" si="263"/>
        <v>1.5695416815367196</v>
      </c>
      <c r="K572" s="678">
        <f t="shared" si="264"/>
        <v>1.0092943776016883</v>
      </c>
      <c r="L572" s="679">
        <f t="shared" si="265"/>
        <v>0.13581572877267373</v>
      </c>
      <c r="M572" s="678">
        <f t="shared" si="266"/>
        <v>1.1284224481291878</v>
      </c>
      <c r="N572" s="679">
        <f t="shared" si="267"/>
        <v>-0.48173385040383454</v>
      </c>
      <c r="O572" s="677">
        <f t="shared" si="268"/>
        <v>4099710.5498488825</v>
      </c>
      <c r="P572" s="680">
        <f t="shared" si="269"/>
        <v>1.5707960828752374</v>
      </c>
      <c r="Q572" s="689">
        <f t="shared" si="291"/>
        <v>163.99147096134593</v>
      </c>
      <c r="R572" s="690">
        <f t="shared" si="292"/>
        <v>1.5646984108996711</v>
      </c>
      <c r="S572" s="677">
        <f t="shared" si="270"/>
        <v>1.2472465752962163</v>
      </c>
      <c r="T572" s="680">
        <f t="shared" si="271"/>
        <v>0.64055183566470963</v>
      </c>
      <c r="U572" s="681">
        <f t="shared" si="283"/>
        <v>0.52124226344442159</v>
      </c>
      <c r="V572" s="682">
        <f t="shared" si="284"/>
        <v>-1.4140211367061881</v>
      </c>
      <c r="W572" s="683">
        <f t="shared" si="272"/>
        <v>-46.855176113848174</v>
      </c>
      <c r="X572" s="684">
        <f t="shared" si="273"/>
        <v>-227.81549369635238</v>
      </c>
      <c r="Y572" s="687">
        <f t="shared" si="274"/>
        <v>-47.815493696352377</v>
      </c>
      <c r="AA572" s="170">
        <f t="shared" si="275"/>
        <v>98862</v>
      </c>
      <c r="AB572" s="170">
        <f t="shared" si="276"/>
        <v>9773695044</v>
      </c>
      <c r="AD572" s="686">
        <f t="shared" si="277"/>
        <v>15.227765017754562</v>
      </c>
      <c r="AE572" s="687">
        <f t="shared" si="278"/>
        <v>-37.050287654336621</v>
      </c>
      <c r="AG572" s="686">
        <f t="shared" si="279"/>
        <v>-12.488248963904532</v>
      </c>
      <c r="AH572" s="687">
        <f t="shared" si="280"/>
        <v>-28.730319305752325</v>
      </c>
      <c r="AJ572" s="170">
        <f t="shared" si="281"/>
        <v>0</v>
      </c>
      <c r="AK572" s="170">
        <f t="shared" si="293"/>
        <v>0</v>
      </c>
      <c r="AM572" s="170" t="str">
        <f t="shared" si="285"/>
        <v>1.90662444652317+0.421938517993504i</v>
      </c>
      <c r="AN572" s="170" t="str">
        <f t="shared" si="286"/>
        <v>2.70601022379452i</v>
      </c>
      <c r="AO572" s="170" t="str">
        <f t="shared" si="287"/>
        <v>0.155926431571954-0.704588781578805i</v>
      </c>
      <c r="AP572" s="170" t="str">
        <f t="shared" si="288"/>
        <v>-0.151104074420528-0.0703230863322507i</v>
      </c>
      <c r="AQ572" s="170" t="str">
        <f t="shared" si="289"/>
        <v>1.15110407442053+0.0703230863322507i</v>
      </c>
      <c r="AR572" s="170" t="str">
        <f t="shared" si="290"/>
        <v>0.720962285991997-0.0440449253953294i</v>
      </c>
    </row>
    <row r="573" spans="7:44">
      <c r="G573" s="688">
        <v>100000</v>
      </c>
      <c r="H573" s="676">
        <f t="shared" si="282"/>
        <v>100</v>
      </c>
      <c r="I573" s="677">
        <f t="shared" si="262"/>
        <v>806.21294018462936</v>
      </c>
      <c r="J573" s="678">
        <f t="shared" si="263"/>
        <v>1.569555959385029</v>
      </c>
      <c r="K573" s="678">
        <f t="shared" si="264"/>
        <v>1.0095085705811724</v>
      </c>
      <c r="L573" s="679">
        <f t="shared" si="265"/>
        <v>0.1373596214910808</v>
      </c>
      <c r="M573" s="678">
        <f t="shared" si="266"/>
        <v>1.1312233229088096</v>
      </c>
      <c r="N573" s="679">
        <f t="shared" si="267"/>
        <v>-0.48644843897199336</v>
      </c>
      <c r="O573" s="677">
        <f t="shared" si="268"/>
        <v>4146902.298000121</v>
      </c>
      <c r="P573" s="680">
        <f t="shared" si="269"/>
        <v>1.5707960856510432</v>
      </c>
      <c r="Q573" s="689">
        <f t="shared" si="291"/>
        <v>165.8791061907807</v>
      </c>
      <c r="R573" s="690">
        <f t="shared" si="292"/>
        <v>1.5647678034915593</v>
      </c>
      <c r="S573" s="677">
        <f t="shared" si="270"/>
        <v>1.2523933935483531</v>
      </c>
      <c r="T573" s="680">
        <f t="shared" si="271"/>
        <v>0.64604487200071159</v>
      </c>
      <c r="U573" s="681">
        <f t="shared" si="283"/>
        <v>0.51620310354090271</v>
      </c>
      <c r="V573" s="682">
        <f t="shared" si="284"/>
        <v>-1.425387786148288</v>
      </c>
      <c r="W573" s="683">
        <f t="shared" si="272"/>
        <v>-47.051365146919082</v>
      </c>
      <c r="X573" s="684">
        <f t="shared" si="273"/>
        <v>-228.95999234381847</v>
      </c>
      <c r="Y573" s="687">
        <f t="shared" si="274"/>
        <v>-48.95999234381847</v>
      </c>
      <c r="AA573" s="170">
        <f t="shared" si="275"/>
        <v>100000</v>
      </c>
      <c r="AB573" s="170">
        <f t="shared" si="276"/>
        <v>10000000000</v>
      </c>
      <c r="AD573" s="686">
        <f t="shared" si="277"/>
        <v>15.191992405209543</v>
      </c>
      <c r="AE573" s="687">
        <f t="shared" si="278"/>
        <v>-37.361039709853905</v>
      </c>
      <c r="AG573" s="686">
        <f t="shared" si="279"/>
        <v>-12.47990495652161</v>
      </c>
      <c r="AH573" s="687">
        <f t="shared" si="280"/>
        <v>-28.261543815738694</v>
      </c>
      <c r="AJ573" s="170">
        <f t="shared" si="281"/>
        <v>0</v>
      </c>
      <c r="AK573" s="170">
        <f t="shared" si="293"/>
        <v>0</v>
      </c>
      <c r="AM573" s="170" t="str">
        <f t="shared" si="285"/>
        <v>1.91932543796606+0.393498080184032i</v>
      </c>
      <c r="AN573" s="170" t="str">
        <f t="shared" si="286"/>
        <v>2.73715909428752i</v>
      </c>
      <c r="AO573" s="170" t="str">
        <f t="shared" si="287"/>
        <v>0.143761493807673-0.701210770675228i</v>
      </c>
      <c r="AP573" s="170" t="str">
        <f t="shared" si="288"/>
        <v>-0.153220906327676-0.0655830133640053i</v>
      </c>
      <c r="AQ573" s="170" t="str">
        <f t="shared" si="289"/>
        <v>1.15322090632768+0.0655830133640053i</v>
      </c>
      <c r="AR573" s="170" t="str">
        <f t="shared" si="290"/>
        <v>0.719996184930172-0.0409457712388117i</v>
      </c>
    </row>
    <row r="574" spans="7:44">
      <c r="G574" s="688">
        <v>101165</v>
      </c>
      <c r="H574" s="676">
        <f t="shared" si="282"/>
        <v>101.16500000000001</v>
      </c>
      <c r="I574" s="677">
        <f t="shared" si="262"/>
        <v>815.60530657070694</v>
      </c>
      <c r="J574" s="678">
        <f t="shared" si="263"/>
        <v>1.5695702432438325</v>
      </c>
      <c r="K574" s="678">
        <f t="shared" si="264"/>
        <v>1.0097303369770765</v>
      </c>
      <c r="L574" s="679">
        <f t="shared" si="265"/>
        <v>0.13893946197889623</v>
      </c>
      <c r="M574" s="678">
        <f t="shared" si="266"/>
        <v>1.1341165662735713</v>
      </c>
      <c r="N574" s="679">
        <f t="shared" si="267"/>
        <v>-0.49125065336756873</v>
      </c>
      <c r="O574" s="677">
        <f t="shared" si="268"/>
        <v>4195213.7097718194</v>
      </c>
      <c r="P574" s="680">
        <f t="shared" si="269"/>
        <v>1.5707960884280172</v>
      </c>
      <c r="Q574" s="689">
        <f t="shared" si="291"/>
        <v>167.8115279504072</v>
      </c>
      <c r="R574" s="690">
        <f t="shared" si="292"/>
        <v>1.5648372253510332</v>
      </c>
      <c r="S574" s="677">
        <f t="shared" si="270"/>
        <v>1.2577011440024242</v>
      </c>
      <c r="T574" s="680">
        <f t="shared" si="271"/>
        <v>0.65162149218480725</v>
      </c>
      <c r="U574" s="681">
        <f t="shared" si="283"/>
        <v>0.51109105687632528</v>
      </c>
      <c r="V574" s="682">
        <f t="shared" si="284"/>
        <v>-1.4369881408514178</v>
      </c>
      <c r="W574" s="683">
        <f t="shared" si="272"/>
        <v>-47.251059915805477</v>
      </c>
      <c r="X574" s="684">
        <f t="shared" si="273"/>
        <v>-230.12562992029805</v>
      </c>
      <c r="Y574" s="687">
        <f t="shared" si="274"/>
        <v>-50.125629920298053</v>
      </c>
      <c r="AA574" s="170">
        <f t="shared" si="275"/>
        <v>101165</v>
      </c>
      <c r="AB574" s="170">
        <f t="shared" si="276"/>
        <v>10234357225</v>
      </c>
      <c r="AD574" s="686">
        <f t="shared" si="277"/>
        <v>15.155255032368252</v>
      </c>
      <c r="AE574" s="687">
        <f t="shared" si="278"/>
        <v>-37.676579090265705</v>
      </c>
      <c r="AG574" s="686">
        <f t="shared" si="279"/>
        <v>-12.469969168194805</v>
      </c>
      <c r="AH574" s="687">
        <f t="shared" si="280"/>
        <v>-27.782339279599377</v>
      </c>
      <c r="AJ574" s="170">
        <f t="shared" si="281"/>
        <v>0</v>
      </c>
      <c r="AK574" s="170">
        <f t="shared" si="293"/>
        <v>0</v>
      </c>
      <c r="AM574" s="170" t="str">
        <f t="shared" si="285"/>
        <v>1.93140377725054+0.363987642267454i</v>
      </c>
      <c r="AN574" s="170" t="str">
        <f t="shared" si="286"/>
        <v>2.76904699773597i</v>
      </c>
      <c r="AO574" s="170" t="str">
        <f t="shared" si="287"/>
        <v>0.131448705119508-0.697497651296527i</v>
      </c>
      <c r="AP574" s="170" t="str">
        <f t="shared" si="288"/>
        <v>-0.155233962875091-0.0606646070445757i</v>
      </c>
      <c r="AQ574" s="170" t="str">
        <f t="shared" si="289"/>
        <v>1.15523396287509+0.0606646070445757i</v>
      </c>
      <c r="AR574" s="170" t="str">
        <f t="shared" si="290"/>
        <v>0.719083116454665-0.037761090907979i</v>
      </c>
    </row>
    <row r="575" spans="7:44">
      <c r="G575" s="688">
        <v>102330</v>
      </c>
      <c r="H575" s="676">
        <f t="shared" si="282"/>
        <v>102.33</v>
      </c>
      <c r="I575" s="677">
        <f t="shared" si="262"/>
        <v>824.99767311940263</v>
      </c>
      <c r="J575" s="678">
        <f t="shared" si="263"/>
        <v>1.5695842018672064</v>
      </c>
      <c r="K575" s="678">
        <f t="shared" si="264"/>
        <v>1.0099546224444222</v>
      </c>
      <c r="L575" s="679">
        <f t="shared" si="265"/>
        <v>0.1405186047211264</v>
      </c>
      <c r="M575" s="678">
        <f t="shared" si="266"/>
        <v>1.1370358303469728</v>
      </c>
      <c r="N575" s="679">
        <f t="shared" si="267"/>
        <v>-0.49602831873920189</v>
      </c>
      <c r="O575" s="677">
        <f t="shared" si="268"/>
        <v>4243525.1215435173</v>
      </c>
      <c r="P575" s="680">
        <f t="shared" si="269"/>
        <v>1.5707960911417613</v>
      </c>
      <c r="Q575" s="689">
        <f t="shared" si="291"/>
        <v>169.74395050036949</v>
      </c>
      <c r="R575" s="690">
        <f t="shared" si="292"/>
        <v>1.5649050665669664</v>
      </c>
      <c r="S575" s="677">
        <f t="shared" si="270"/>
        <v>1.2630476778810287</v>
      </c>
      <c r="T575" s="680">
        <f t="shared" si="271"/>
        <v>0.65715107098935555</v>
      </c>
      <c r="U575" s="681">
        <f t="shared" si="283"/>
        <v>0.50602533434971264</v>
      </c>
      <c r="V575" s="682">
        <f t="shared" si="284"/>
        <v>-1.4485550069240325</v>
      </c>
      <c r="W575" s="683">
        <f t="shared" si="272"/>
        <v>-47.449624970872904</v>
      </c>
      <c r="X575" s="684">
        <f t="shared" si="273"/>
        <v>-231.28535881544781</v>
      </c>
      <c r="Y575" s="687">
        <f t="shared" si="274"/>
        <v>-51.285358815447808</v>
      </c>
      <c r="AA575" s="170">
        <f t="shared" si="275"/>
        <v>102330</v>
      </c>
      <c r="AB575" s="170">
        <f t="shared" si="276"/>
        <v>10471428900</v>
      </c>
      <c r="AD575" s="686">
        <f t="shared" si="277"/>
        <v>15.11840576513876</v>
      </c>
      <c r="AE575" s="687">
        <f t="shared" si="278"/>
        <v>-37.98951375874497</v>
      </c>
      <c r="AG575" s="686">
        <f t="shared" si="279"/>
        <v>-12.458644108399996</v>
      </c>
      <c r="AH575" s="687">
        <f t="shared" si="280"/>
        <v>-27.303668288447543</v>
      </c>
      <c r="AJ575" s="170">
        <f t="shared" si="281"/>
        <v>0</v>
      </c>
      <c r="AK575" s="170">
        <f t="shared" si="293"/>
        <v>0</v>
      </c>
      <c r="AM575" s="170" t="str">
        <f t="shared" si="285"/>
        <v>1.9425351096713+0.3341071191054i</v>
      </c>
      <c r="AN575" s="170" t="str">
        <f t="shared" si="286"/>
        <v>2.80093490118442i</v>
      </c>
      <c r="AO575" s="170" t="str">
        <f t="shared" si="287"/>
        <v>0.119284142935317-0.693530973836582i</v>
      </c>
      <c r="AP575" s="170" t="str">
        <f t="shared" si="288"/>
        <v>-0.157089184945217-0.0556845198509i</v>
      </c>
      <c r="AQ575" s="170" t="str">
        <f t="shared" si="289"/>
        <v>1.15708918494522+0.0556845198509i</v>
      </c>
      <c r="AR575" s="170" t="str">
        <f t="shared" si="290"/>
        <v>0.718246488705433-0.0345653657285289i</v>
      </c>
    </row>
    <row r="576" spans="7:44">
      <c r="G576" s="688">
        <v>103520</v>
      </c>
      <c r="H576" s="676">
        <f t="shared" si="282"/>
        <v>103.52</v>
      </c>
      <c r="I576" s="677">
        <f t="shared" si="262"/>
        <v>834.59159276050866</v>
      </c>
      <c r="J576" s="678">
        <f t="shared" si="263"/>
        <v>1.5695981356700981</v>
      </c>
      <c r="K576" s="678">
        <f t="shared" si="264"/>
        <v>1.0101863198973022</v>
      </c>
      <c r="L576" s="679">
        <f t="shared" si="265"/>
        <v>0.14213090657764113</v>
      </c>
      <c r="M576" s="678">
        <f t="shared" si="266"/>
        <v>1.1400443959917133</v>
      </c>
      <c r="N576" s="679">
        <f t="shared" si="267"/>
        <v>-0.50088313444731081</v>
      </c>
      <c r="O576" s="677">
        <f t="shared" si="268"/>
        <v>4292873.258889717</v>
      </c>
      <c r="P576" s="680">
        <f t="shared" si="269"/>
        <v>1.5707960938506795</v>
      </c>
      <c r="Q576" s="689">
        <f t="shared" si="291"/>
        <v>171.71784213360903</v>
      </c>
      <c r="R576" s="690">
        <f t="shared" si="292"/>
        <v>1.5649727872030517</v>
      </c>
      <c r="S576" s="677">
        <f t="shared" si="270"/>
        <v>1.2685484750754221</v>
      </c>
      <c r="T576" s="680">
        <f t="shared" si="271"/>
        <v>0.66275101303990458</v>
      </c>
      <c r="U576" s="681">
        <f t="shared" si="283"/>
        <v>0.5008977740925471</v>
      </c>
      <c r="V576" s="682">
        <f t="shared" si="284"/>
        <v>-1.4603385497027703</v>
      </c>
      <c r="W576" s="683">
        <f t="shared" si="272"/>
        <v>-47.651318978611513</v>
      </c>
      <c r="X576" s="684">
        <f t="shared" si="273"/>
        <v>-232.4640598861258</v>
      </c>
      <c r="Y576" s="687">
        <f t="shared" si="274"/>
        <v>-52.464059886125796</v>
      </c>
      <c r="AA576" s="170">
        <f t="shared" si="275"/>
        <v>103520</v>
      </c>
      <c r="AB576" s="170">
        <f t="shared" si="276"/>
        <v>10716390400</v>
      </c>
      <c r="AD576" s="686">
        <f t="shared" si="277"/>
        <v>15.080655862788701</v>
      </c>
      <c r="AE576" s="687">
        <f t="shared" si="278"/>
        <v>-38.306486852697411</v>
      </c>
      <c r="AG576" s="686">
        <f t="shared" si="279"/>
        <v>-12.445661864143592</v>
      </c>
      <c r="AH576" s="687">
        <f t="shared" si="280"/>
        <v>-26.815101725763054</v>
      </c>
      <c r="AJ576" s="170">
        <f t="shared" si="281"/>
        <v>0</v>
      </c>
      <c r="AK576" s="170">
        <f t="shared" si="293"/>
        <v>0</v>
      </c>
      <c r="AM576" s="170" t="str">
        <f t="shared" si="285"/>
        <v>1.95291584104349+0.303234892267341i</v>
      </c>
      <c r="AN576" s="170" t="str">
        <f t="shared" si="286"/>
        <v>2.83350709440644i</v>
      </c>
      <c r="AO576" s="170" t="str">
        <f t="shared" si="287"/>
        <v>0.107017516513705-0.689222146257793i</v>
      </c>
      <c r="AP576" s="170" t="str">
        <f t="shared" si="288"/>
        <v>-0.158819306840581-0.0505391487112235i</v>
      </c>
      <c r="AQ576" s="170" t="str">
        <f t="shared" si="289"/>
        <v>1.15881930684058+0.0505391487112235i</v>
      </c>
      <c r="AR576" s="170" t="str">
        <f t="shared" si="290"/>
        <v>0.717470434228513-0.0312907670396359i</v>
      </c>
    </row>
    <row r="577" spans="7:44">
      <c r="G577" s="688">
        <v>104710</v>
      </c>
      <c r="H577" s="676">
        <f t="shared" si="282"/>
        <v>104.71</v>
      </c>
      <c r="I577" s="677">
        <f t="shared" si="262"/>
        <v>844.18551255996852</v>
      </c>
      <c r="J577" s="678">
        <f t="shared" si="263"/>
        <v>1.569611752765858</v>
      </c>
      <c r="K577" s="678">
        <f t="shared" si="264"/>
        <v>1.0104206421386688</v>
      </c>
      <c r="L577" s="679">
        <f t="shared" si="265"/>
        <v>0.14374246481804442</v>
      </c>
      <c r="M577" s="678">
        <f t="shared" si="266"/>
        <v>1.1430796898004694</v>
      </c>
      <c r="N577" s="679">
        <f t="shared" si="267"/>
        <v>-0.50571228085801845</v>
      </c>
      <c r="O577" s="677">
        <f t="shared" si="268"/>
        <v>4342221.3962359158</v>
      </c>
      <c r="P577" s="680">
        <f t="shared" si="269"/>
        <v>1.5707960964980259</v>
      </c>
      <c r="Q577" s="689">
        <f t="shared" si="291"/>
        <v>173.69173453646195</v>
      </c>
      <c r="R577" s="690">
        <f t="shared" si="292"/>
        <v>1.5650389686383963</v>
      </c>
      <c r="S577" s="677">
        <f t="shared" si="270"/>
        <v>1.2740887088999651</v>
      </c>
      <c r="T577" s="680">
        <f t="shared" si="271"/>
        <v>0.66830242646651206</v>
      </c>
      <c r="U577" s="681">
        <f t="shared" si="283"/>
        <v>0.49581658722881211</v>
      </c>
      <c r="V577" s="682">
        <f t="shared" si="284"/>
        <v>-1.472093292558015</v>
      </c>
      <c r="W577" s="683">
        <f t="shared" si="272"/>
        <v>-47.851903656165845</v>
      </c>
      <c r="X577" s="684">
        <f t="shared" si="273"/>
        <v>-233.63697226125032</v>
      </c>
      <c r="Y577" s="687">
        <f t="shared" si="274"/>
        <v>-53.636972261250321</v>
      </c>
      <c r="AA577" s="170">
        <f t="shared" si="275"/>
        <v>104710</v>
      </c>
      <c r="AB577" s="170">
        <f t="shared" si="276"/>
        <v>10964184100</v>
      </c>
      <c r="AD577" s="686">
        <f t="shared" si="277"/>
        <v>15.042800546427767</v>
      </c>
      <c r="AE577" s="687">
        <f t="shared" si="278"/>
        <v>-38.620767647487789</v>
      </c>
      <c r="AG577" s="686">
        <f t="shared" si="279"/>
        <v>-12.431269223747934</v>
      </c>
      <c r="AH577" s="687">
        <f t="shared" si="280"/>
        <v>-26.326738994823867</v>
      </c>
      <c r="AJ577" s="170">
        <f t="shared" si="281"/>
        <v>0</v>
      </c>
      <c r="AK577" s="170">
        <f t="shared" si="293"/>
        <v>0</v>
      </c>
      <c r="AM577" s="170" t="str">
        <f t="shared" si="285"/>
        <v>1.96228566785904+0.272040977488837i</v>
      </c>
      <c r="AN577" s="170" t="str">
        <f t="shared" si="286"/>
        <v>2.86607928762846i</v>
      </c>
      <c r="AO577" s="170" t="str">
        <f t="shared" si="287"/>
        <v>0.0949174639596023-0.684658542535554i</v>
      </c>
      <c r="AP577" s="170" t="str">
        <f t="shared" si="288"/>
        <v>-0.160380944643173-0.0453401629148062i</v>
      </c>
      <c r="AQ577" s="170" t="str">
        <f t="shared" si="289"/>
        <v>1.16038094464317+0.0453401629148062i</v>
      </c>
      <c r="AR577" s="170" t="str">
        <f t="shared" si="290"/>
        <v>0.716773373817118-0.0280068555864274i</v>
      </c>
    </row>
    <row r="578" spans="7:44">
      <c r="G578" s="688">
        <v>105930</v>
      </c>
      <c r="H578" s="676">
        <f t="shared" si="282"/>
        <v>105.93</v>
      </c>
      <c r="I578" s="677">
        <f t="shared" si="262"/>
        <v>854.02129604258971</v>
      </c>
      <c r="J578" s="678">
        <f t="shared" si="263"/>
        <v>1.5696253955392625</v>
      </c>
      <c r="K578" s="678">
        <f t="shared" si="264"/>
        <v>1.0106635946313645</v>
      </c>
      <c r="L578" s="679">
        <f t="shared" si="265"/>
        <v>0.14539387038639978</v>
      </c>
      <c r="M578" s="678">
        <f t="shared" si="266"/>
        <v>1.1462190287100225</v>
      </c>
      <c r="N578" s="679">
        <f t="shared" si="267"/>
        <v>-0.51063650098678348</v>
      </c>
      <c r="O578" s="677">
        <f t="shared" si="268"/>
        <v>4392813.6042715143</v>
      </c>
      <c r="P578" s="680">
        <f t="shared" si="269"/>
        <v>1.570796099150364</v>
      </c>
      <c r="Q578" s="689">
        <f t="shared" si="291"/>
        <v>175.71538970447358</v>
      </c>
      <c r="R578" s="690">
        <f t="shared" si="292"/>
        <v>1.5651052749199632</v>
      </c>
      <c r="S578" s="677">
        <f t="shared" si="270"/>
        <v>1.2798090167680192</v>
      </c>
      <c r="T578" s="680">
        <f t="shared" si="271"/>
        <v>0.67394371633101224</v>
      </c>
      <c r="U578" s="681">
        <f t="shared" si="283"/>
        <v>0.49065437983347943</v>
      </c>
      <c r="V578" s="682">
        <f t="shared" si="284"/>
        <v>-1.4841177018528411</v>
      </c>
      <c r="W578" s="683">
        <f t="shared" si="272"/>
        <v>-48.056430117263098</v>
      </c>
      <c r="X578" s="684">
        <f t="shared" si="273"/>
        <v>-234.83364348325108</v>
      </c>
      <c r="Y578" s="687">
        <f t="shared" si="274"/>
        <v>-54.83364348325108</v>
      </c>
      <c r="AA578" s="170">
        <f t="shared" si="275"/>
        <v>105930</v>
      </c>
      <c r="AB578" s="170">
        <f t="shared" si="276"/>
        <v>11221164900</v>
      </c>
      <c r="AD578" s="686">
        <f t="shared" si="277"/>
        <v>15.00388727653695</v>
      </c>
      <c r="AE578" s="687">
        <f t="shared" si="278"/>
        <v>-38.940190829977375</v>
      </c>
      <c r="AG578" s="686">
        <f t="shared" si="279"/>
        <v>-12.415067543485478</v>
      </c>
      <c r="AH578" s="687">
        <f t="shared" si="280"/>
        <v>-25.826091225297752</v>
      </c>
      <c r="AJ578" s="170">
        <f t="shared" si="281"/>
        <v>0</v>
      </c>
      <c r="AK578" s="170">
        <f t="shared" si="293"/>
        <v>0</v>
      </c>
      <c r="AM578" s="170" t="str">
        <f t="shared" si="285"/>
        <v>1.97083185687493+0.239761351507672i</v>
      </c>
      <c r="AN578" s="170" t="str">
        <f t="shared" si="286"/>
        <v>2.89947262857877i</v>
      </c>
      <c r="AO578" s="170" t="str">
        <f t="shared" si="287"/>
        <v>0.0826913657140455-0.679720800758505i</v>
      </c>
      <c r="AP578" s="170" t="str">
        <f t="shared" si="288"/>
        <v>-0.161805309479154-0.0399602252512787i</v>
      </c>
      <c r="AQ578" s="170" t="str">
        <f t="shared" si="289"/>
        <v>1.16180530947915+0.0399602252512787i</v>
      </c>
      <c r="AR578" s="170" t="str">
        <f t="shared" si="290"/>
        <v>0.716140396893713-0.0246316068087537i</v>
      </c>
    </row>
    <row r="579" spans="7:44">
      <c r="G579" s="688">
        <v>107150</v>
      </c>
      <c r="H579" s="676">
        <f t="shared" si="282"/>
        <v>107.15</v>
      </c>
      <c r="I579" s="677">
        <f t="shared" si="262"/>
        <v>863.85707968054624</v>
      </c>
      <c r="J579" s="678">
        <f t="shared" si="263"/>
        <v>1.5696387276423736</v>
      </c>
      <c r="K579" s="678">
        <f t="shared" si="264"/>
        <v>1.010909302016338</v>
      </c>
      <c r="L579" s="679">
        <f t="shared" si="265"/>
        <v>0.14704447768692391</v>
      </c>
      <c r="M579" s="678">
        <f t="shared" si="266"/>
        <v>1.149386008856836</v>
      </c>
      <c r="N579" s="679">
        <f t="shared" si="267"/>
        <v>-0.51553370325389625</v>
      </c>
      <c r="O579" s="677">
        <f t="shared" si="268"/>
        <v>4443405.8123071129</v>
      </c>
      <c r="P579" s="680">
        <f t="shared" si="269"/>
        <v>1.5707961017423036</v>
      </c>
      <c r="Q579" s="689">
        <f t="shared" si="291"/>
        <v>177.73904562743047</v>
      </c>
      <c r="R579" s="690">
        <f t="shared" si="292"/>
        <v>1.565170071335489</v>
      </c>
      <c r="S579" s="677">
        <f t="shared" si="270"/>
        <v>1.2855696902633309</v>
      </c>
      <c r="T579" s="680">
        <f t="shared" si="271"/>
        <v>0.6795346252459773</v>
      </c>
      <c r="U579" s="681">
        <f t="shared" si="283"/>
        <v>0.48553873025263272</v>
      </c>
      <c r="V579" s="682">
        <f t="shared" si="284"/>
        <v>-1.4961183880544131</v>
      </c>
      <c r="W579" s="683">
        <f t="shared" si="272"/>
        <v>-48.259865183847182</v>
      </c>
      <c r="X579" s="684">
        <f t="shared" si="273"/>
        <v>-236.02463528967672</v>
      </c>
      <c r="Y579" s="687">
        <f t="shared" si="274"/>
        <v>-56.024635289676723</v>
      </c>
      <c r="AA579" s="170">
        <f t="shared" si="275"/>
        <v>107150</v>
      </c>
      <c r="AB579" s="170">
        <f t="shared" si="276"/>
        <v>11481122500</v>
      </c>
      <c r="AD579" s="686">
        <f t="shared" si="277"/>
        <v>14.964874912939909</v>
      </c>
      <c r="AE579" s="687">
        <f t="shared" si="278"/>
        <v>-39.256813902178742</v>
      </c>
      <c r="AG579" s="686">
        <f t="shared" si="279"/>
        <v>-12.397418179048747</v>
      </c>
      <c r="AH579" s="687">
        <f t="shared" si="280"/>
        <v>-25.325282616728778</v>
      </c>
      <c r="AJ579" s="170">
        <f t="shared" si="281"/>
        <v>0</v>
      </c>
      <c r="AK579" s="170">
        <f t="shared" si="293"/>
        <v>0</v>
      </c>
      <c r="AM579" s="170" t="str">
        <f t="shared" si="285"/>
        <v>1.97829555710857+0.20721438883831i</v>
      </c>
      <c r="AN579" s="170" t="str">
        <f t="shared" si="286"/>
        <v>2.93286596952907i</v>
      </c>
      <c r="AO579" s="170" t="str">
        <f t="shared" si="287"/>
        <v>0.070652525888042-0.674526411251662i</v>
      </c>
      <c r="AP579" s="170" t="str">
        <f t="shared" si="288"/>
        <v>-0.163049259518095-0.0345357314730517i</v>
      </c>
      <c r="AQ579" s="170" t="str">
        <f t="shared" si="289"/>
        <v>1.1630492595181+0.0345357314730517i</v>
      </c>
      <c r="AR579" s="170" t="str">
        <f t="shared" si="290"/>
        <v>0.715589773939067-0.0212488130449962i</v>
      </c>
    </row>
    <row r="580" spans="7:44">
      <c r="G580" s="688">
        <v>108400</v>
      </c>
      <c r="H580" s="676">
        <f t="shared" si="282"/>
        <v>108.4</v>
      </c>
      <c r="I580" s="677">
        <f t="shared" si="262"/>
        <v>873.93472700621101</v>
      </c>
      <c r="J580" s="678">
        <f t="shared" si="263"/>
        <v>1.5696520763293682</v>
      </c>
      <c r="K580" s="678">
        <f t="shared" si="264"/>
        <v>1.0111639066260809</v>
      </c>
      <c r="L580" s="679">
        <f t="shared" si="265"/>
        <v>0.14873483694510584</v>
      </c>
      <c r="M580" s="678">
        <f t="shared" si="266"/>
        <v>1.1526592964539217</v>
      </c>
      <c r="N580" s="679">
        <f t="shared" si="267"/>
        <v>-0.52052329424656063</v>
      </c>
      <c r="O580" s="677">
        <f t="shared" si="268"/>
        <v>4495242.0910321111</v>
      </c>
      <c r="P580" s="680">
        <f t="shared" si="269"/>
        <v>1.5707961043374672</v>
      </c>
      <c r="Q580" s="689">
        <f t="shared" si="291"/>
        <v>179.81246433764596</v>
      </c>
      <c r="R580" s="690">
        <f t="shared" si="292"/>
        <v>1.5652349483969985</v>
      </c>
      <c r="S580" s="677">
        <f t="shared" si="270"/>
        <v>1.2915133215476589</v>
      </c>
      <c r="T580" s="680">
        <f t="shared" si="271"/>
        <v>0.68521110305682364</v>
      </c>
      <c r="U580" s="681">
        <f t="shared" si="283"/>
        <v>0.48034439321830508</v>
      </c>
      <c r="V580" s="682">
        <f t="shared" si="284"/>
        <v>-1.5083930139276556</v>
      </c>
      <c r="W580" s="683">
        <f t="shared" si="272"/>
        <v>-48.46721035243057</v>
      </c>
      <c r="X580" s="684">
        <f t="shared" si="273"/>
        <v>-237.23923761409321</v>
      </c>
      <c r="Y580" s="687">
        <f t="shared" si="274"/>
        <v>-57.239237614093213</v>
      </c>
      <c r="AA580" s="170">
        <f t="shared" si="275"/>
        <v>108400</v>
      </c>
      <c r="AB580" s="170">
        <f t="shared" si="276"/>
        <v>11750560000</v>
      </c>
      <c r="AD580" s="686">
        <f t="shared" si="277"/>
        <v>14.924806449124652</v>
      </c>
      <c r="AE580" s="687">
        <f t="shared" si="278"/>
        <v>-39.578335090487506</v>
      </c>
      <c r="AG580" s="686">
        <f t="shared" si="279"/>
        <v>-12.377848785860724</v>
      </c>
      <c r="AH580" s="687">
        <f t="shared" si="280"/>
        <v>-24.811795235951465</v>
      </c>
      <c r="AJ580" s="170">
        <f t="shared" si="281"/>
        <v>0</v>
      </c>
      <c r="AK580" s="170">
        <f t="shared" si="293"/>
        <v>0</v>
      </c>
      <c r="AM580" s="170" t="str">
        <f t="shared" si="285"/>
        <v>1.98481135249561+0.173627762744816i</v>
      </c>
      <c r="AN580" s="170" t="str">
        <f t="shared" si="286"/>
        <v>2.96708045820767i</v>
      </c>
      <c r="AO580" s="170" t="str">
        <f t="shared" si="287"/>
        <v>0.058518050046307-0.668944230010729i</v>
      </c>
      <c r="AP580" s="170" t="str">
        <f t="shared" si="288"/>
        <v>-0.164135225415935-0.0289379604574693i</v>
      </c>
      <c r="AQ580" s="170" t="str">
        <f t="shared" si="289"/>
        <v>1.16413522541593+0.0289379604574693i</v>
      </c>
      <c r="AR580" s="170" t="str">
        <f t="shared" si="290"/>
        <v>0.715110733019971-0.0177761532020047i</v>
      </c>
    </row>
    <row r="581" spans="7:44">
      <c r="G581" s="688">
        <v>109650</v>
      </c>
      <c r="H581" s="676">
        <f t="shared" si="282"/>
        <v>109.65</v>
      </c>
      <c r="I581" s="677">
        <f t="shared" si="262"/>
        <v>884.01237448404959</v>
      </c>
      <c r="J581" s="678">
        <f t="shared" si="263"/>
        <v>1.5696651206691283</v>
      </c>
      <c r="K581" s="678">
        <f t="shared" si="264"/>
        <v>1.0114213989896221</v>
      </c>
      <c r="L581" s="679">
        <f t="shared" si="265"/>
        <v>0.15042434034964994</v>
      </c>
      <c r="M581" s="678">
        <f t="shared" si="266"/>
        <v>1.1559611177444158</v>
      </c>
      <c r="N581" s="679">
        <f t="shared" si="267"/>
        <v>-0.52548450420329118</v>
      </c>
      <c r="O581" s="677">
        <f t="shared" si="268"/>
        <v>4547078.3697571103</v>
      </c>
      <c r="P581" s="680">
        <f t="shared" si="269"/>
        <v>1.5707961068734617</v>
      </c>
      <c r="Q581" s="689">
        <f t="shared" si="291"/>
        <v>181.88588378744288</v>
      </c>
      <c r="R581" s="690">
        <f t="shared" si="292"/>
        <v>1.5652983463185706</v>
      </c>
      <c r="S581" s="677">
        <f t="shared" si="270"/>
        <v>1.2974981864438924</v>
      </c>
      <c r="T581" s="680">
        <f t="shared" si="271"/>
        <v>0.69083539384969717</v>
      </c>
      <c r="U581" s="681">
        <f t="shared" si="283"/>
        <v>0.4751965131761372</v>
      </c>
      <c r="V581" s="682">
        <f t="shared" si="284"/>
        <v>-1.5206497286732175</v>
      </c>
      <c r="W581" s="683">
        <f t="shared" si="272"/>
        <v>-48.673490387129867</v>
      </c>
      <c r="X581" s="684">
        <f t="shared" si="273"/>
        <v>-238.44831384110336</v>
      </c>
      <c r="Y581" s="687">
        <f t="shared" si="274"/>
        <v>-58.448313841103356</v>
      </c>
      <c r="AA581" s="170">
        <f t="shared" si="275"/>
        <v>109650</v>
      </c>
      <c r="AB581" s="170">
        <f t="shared" si="276"/>
        <v>12023122500</v>
      </c>
      <c r="AD581" s="686">
        <f t="shared" si="277"/>
        <v>14.884646017044236</v>
      </c>
      <c r="AE581" s="687">
        <f t="shared" si="278"/>
        <v>-39.896950928003314</v>
      </c>
      <c r="AG581" s="686">
        <f t="shared" si="279"/>
        <v>-12.356789167923679</v>
      </c>
      <c r="AH581" s="687">
        <f t="shared" si="280"/>
        <v>-24.297739572607981</v>
      </c>
      <c r="AJ581" s="170">
        <f t="shared" si="281"/>
        <v>0</v>
      </c>
      <c r="AK581" s="170">
        <f t="shared" si="293"/>
        <v>0</v>
      </c>
      <c r="AM581" s="170" t="str">
        <f t="shared" si="285"/>
        <v>1.99017440941152+0.139837902396097i</v>
      </c>
      <c r="AN581" s="170" t="str">
        <f t="shared" si="286"/>
        <v>3.00129494688626i</v>
      </c>
      <c r="AO581" s="170" t="str">
        <f t="shared" si="287"/>
        <v>0.0465925225180464-0.663105241114759i</v>
      </c>
      <c r="AP581" s="170" t="str">
        <f t="shared" si="288"/>
        <v>-0.165029068235254-0.0233063170660162i</v>
      </c>
      <c r="AQ581" s="170" t="str">
        <f t="shared" si="289"/>
        <v>1.16502906823525+0.0233063170660162i</v>
      </c>
      <c r="AR581" s="170" t="str">
        <f t="shared" si="290"/>
        <v>0.714717591173182-0.014297870539637i</v>
      </c>
    </row>
    <row r="582" spans="7:44">
      <c r="G582" s="688">
        <v>110925</v>
      </c>
      <c r="H582" s="676">
        <f t="shared" si="282"/>
        <v>110.925</v>
      </c>
      <c r="I582" s="677">
        <f t="shared" si="262"/>
        <v>894.29157506287913</v>
      </c>
      <c r="J582" s="678">
        <f t="shared" si="263"/>
        <v>1.5696781230274885</v>
      </c>
      <c r="K582" s="678">
        <f t="shared" si="264"/>
        <v>1.0116870138775818</v>
      </c>
      <c r="L582" s="679">
        <f t="shared" si="265"/>
        <v>0.15214674280095106</v>
      </c>
      <c r="M582" s="678">
        <f t="shared" si="266"/>
        <v>1.1593581180343642</v>
      </c>
      <c r="N582" s="679">
        <f t="shared" si="267"/>
        <v>-0.53051569953713185</v>
      </c>
      <c r="O582" s="677">
        <f t="shared" si="268"/>
        <v>4599951.3740566093</v>
      </c>
      <c r="P582" s="680">
        <f t="shared" si="269"/>
        <v>1.5707961094012943</v>
      </c>
      <c r="Q582" s="689">
        <f t="shared" si="291"/>
        <v>184.0007723622237</v>
      </c>
      <c r="R582" s="690">
        <f t="shared" si="292"/>
        <v>1.5653615402448389</v>
      </c>
      <c r="S582" s="677">
        <f t="shared" si="270"/>
        <v>1.3036446385395328</v>
      </c>
      <c r="T582" s="680">
        <f t="shared" si="271"/>
        <v>0.69651878640863807</v>
      </c>
      <c r="U582" s="681">
        <f t="shared" si="283"/>
        <v>0.46999224171799053</v>
      </c>
      <c r="V582" s="682">
        <f t="shared" si="284"/>
        <v>-1.5331367798997129</v>
      </c>
      <c r="W582" s="683">
        <f t="shared" si="272"/>
        <v>-48.882841310312799</v>
      </c>
      <c r="X582" s="684">
        <f t="shared" si="273"/>
        <v>-239.67610783056978</v>
      </c>
      <c r="Y582" s="687">
        <f t="shared" si="274"/>
        <v>-59.676107830569777</v>
      </c>
      <c r="AA582" s="170">
        <f t="shared" si="275"/>
        <v>110925</v>
      </c>
      <c r="AB582" s="170">
        <f t="shared" si="276"/>
        <v>12304355625</v>
      </c>
      <c r="AD582" s="686">
        <f t="shared" si="277"/>
        <v>14.8435937489485</v>
      </c>
      <c r="AE582" s="687">
        <f t="shared" si="278"/>
        <v>-40.218964734882732</v>
      </c>
      <c r="AG582" s="686">
        <f t="shared" si="279"/>
        <v>-12.333785570983729</v>
      </c>
      <c r="AH582" s="687">
        <f t="shared" si="280"/>
        <v>-23.772609085876283</v>
      </c>
      <c r="AJ582" s="170">
        <f t="shared" si="281"/>
        <v>0</v>
      </c>
      <c r="AK582" s="170">
        <f t="shared" si="293"/>
        <v>0</v>
      </c>
      <c r="AM582" s="170" t="str">
        <f t="shared" si="285"/>
        <v>1.99445067307538+0.105203891657708i</v>
      </c>
      <c r="AN582" s="170" t="str">
        <f t="shared" si="286"/>
        <v>3.03619372533843i</v>
      </c>
      <c r="AO582" s="170" t="str">
        <f t="shared" si="287"/>
        <v>0.0346499272361092-0.656891770913948i</v>
      </c>
      <c r="AP582" s="170" t="str">
        <f t="shared" si="288"/>
        <v>-0.165741778845896-0.0175339819429513i</v>
      </c>
      <c r="AQ582" s="170" t="str">
        <f t="shared" si="289"/>
        <v>1.1657417788459+0.0175339819429513i</v>
      </c>
      <c r="AR582" s="170" t="str">
        <f t="shared" si="290"/>
        <v>0.714404858314582-0.0107454001503196i</v>
      </c>
    </row>
    <row r="583" spans="7:44">
      <c r="G583" s="688">
        <v>112200</v>
      </c>
      <c r="H583" s="676">
        <f t="shared" si="282"/>
        <v>112.2</v>
      </c>
      <c r="I583" s="677">
        <f t="shared" si="262"/>
        <v>904.57077578946269</v>
      </c>
      <c r="J583" s="678">
        <f t="shared" si="263"/>
        <v>1.5696908298780694</v>
      </c>
      <c r="K583" s="678">
        <f t="shared" si="264"/>
        <v>1.0119556285265037</v>
      </c>
      <c r="L583" s="679">
        <f t="shared" si="265"/>
        <v>0.15386823596418936</v>
      </c>
      <c r="M583" s="678">
        <f t="shared" si="266"/>
        <v>1.1627842931699615</v>
      </c>
      <c r="N583" s="679">
        <f t="shared" si="267"/>
        <v>-0.53551737175505454</v>
      </c>
      <c r="O583" s="677">
        <f t="shared" si="268"/>
        <v>4652824.3783561075</v>
      </c>
      <c r="P583" s="680">
        <f t="shared" si="269"/>
        <v>1.570796111871676</v>
      </c>
      <c r="Q583" s="689">
        <f t="shared" si="291"/>
        <v>186.11566165510692</v>
      </c>
      <c r="R583" s="690">
        <f t="shared" si="292"/>
        <v>1.5654232979874532</v>
      </c>
      <c r="S583" s="677">
        <f t="shared" si="270"/>
        <v>1.3098328036110816</v>
      </c>
      <c r="T583" s="680">
        <f t="shared" si="271"/>
        <v>0.70214865823164574</v>
      </c>
      <c r="U583" s="681">
        <f t="shared" si="283"/>
        <v>0.46483366710138446</v>
      </c>
      <c r="V583" s="682">
        <f t="shared" si="284"/>
        <v>-1.5456125933283695</v>
      </c>
      <c r="W583" s="683">
        <f t="shared" si="272"/>
        <v>-49.091170654664921</v>
      </c>
      <c r="X583" s="684">
        <f t="shared" si="273"/>
        <v>-240.89861733040755</v>
      </c>
      <c r="Y583" s="687">
        <f t="shared" si="274"/>
        <v>-60.898617330407546</v>
      </c>
      <c r="AA583" s="170">
        <f t="shared" si="275"/>
        <v>112200</v>
      </c>
      <c r="AB583" s="170">
        <f t="shared" si="276"/>
        <v>12588840000</v>
      </c>
      <c r="AD583" s="686">
        <f t="shared" si="277"/>
        <v>14.802458052557308</v>
      </c>
      <c r="AE583" s="687">
        <f t="shared" si="278"/>
        <v>-40.537994313443647</v>
      </c>
      <c r="AG583" s="686">
        <f t="shared" si="279"/>
        <v>-12.309254688439335</v>
      </c>
      <c r="AH583" s="687">
        <f t="shared" si="280"/>
        <v>-23.246466094610231</v>
      </c>
      <c r="AJ583" s="170">
        <f t="shared" si="281"/>
        <v>0</v>
      </c>
      <c r="AK583" s="170">
        <f t="shared" si="293"/>
        <v>0</v>
      </c>
      <c r="AM583" s="170" t="str">
        <f t="shared" si="285"/>
        <v>1.99751589358509+0.0704417635011084i</v>
      </c>
      <c r="AN583" s="170" t="str">
        <f t="shared" si="286"/>
        <v>3.07109250379059i</v>
      </c>
      <c r="AO583" s="170" t="str">
        <f t="shared" si="287"/>
        <v>0.022937037361839-0.650425179677784i</v>
      </c>
      <c r="AP583" s="170" t="str">
        <f t="shared" si="288"/>
        <v>-0.166252648930848-0.0117402939168514i</v>
      </c>
      <c r="AQ583" s="170" t="str">
        <f t="shared" si="289"/>
        <v>1.16625264893085+0.0117402939168514i</v>
      </c>
      <c r="AR583" s="170" t="str">
        <f t="shared" si="290"/>
        <v>0.714181095065595-0.00718943358766684i</v>
      </c>
    </row>
    <row r="584" spans="7:44">
      <c r="G584" s="688">
        <v>113510</v>
      </c>
      <c r="H584" s="676">
        <f t="shared" si="282"/>
        <v>113.51</v>
      </c>
      <c r="I584" s="677">
        <f t="shared" si="262"/>
        <v>915.13215080229895</v>
      </c>
      <c r="J584" s="678">
        <f t="shared" si="263"/>
        <v>1.5697035882236026</v>
      </c>
      <c r="K584" s="678">
        <f t="shared" si="264"/>
        <v>1.0122347388113542</v>
      </c>
      <c r="L584" s="679">
        <f t="shared" si="265"/>
        <v>0.15563602877131638</v>
      </c>
      <c r="M584" s="678">
        <f t="shared" si="266"/>
        <v>1.1663346370690941</v>
      </c>
      <c r="N584" s="679">
        <f t="shared" si="267"/>
        <v>-0.54062560653952219</v>
      </c>
      <c r="O584" s="677">
        <f t="shared" si="268"/>
        <v>4707148.7984599061</v>
      </c>
      <c r="P584" s="680">
        <f t="shared" si="269"/>
        <v>1.5707961143520692</v>
      </c>
      <c r="Q584" s="689">
        <f t="shared" si="291"/>
        <v>188.28860745500899</v>
      </c>
      <c r="R584" s="690">
        <f t="shared" si="292"/>
        <v>1.5654853060449485</v>
      </c>
      <c r="S584" s="677">
        <f t="shared" si="270"/>
        <v>1.3162336677531818</v>
      </c>
      <c r="T584" s="680">
        <f t="shared" si="271"/>
        <v>0.7078777519577738</v>
      </c>
      <c r="U584" s="681">
        <f t="shared" si="283"/>
        <v>0.45957965767106512</v>
      </c>
      <c r="V584" s="682">
        <f t="shared" si="284"/>
        <v>-1.5584230900949247</v>
      </c>
      <c r="W584" s="683">
        <f t="shared" si="272"/>
        <v>-49.304201286500728</v>
      </c>
      <c r="X584" s="684">
        <f t="shared" si="273"/>
        <v>-242.14942918945675</v>
      </c>
      <c r="Y584" s="687">
        <f t="shared" si="274"/>
        <v>-62.149429189456754</v>
      </c>
      <c r="AA584" s="170">
        <f t="shared" si="275"/>
        <v>113510</v>
      </c>
      <c r="AB584" s="170">
        <f t="shared" si="276"/>
        <v>12884520100</v>
      </c>
      <c r="AD584" s="686">
        <f t="shared" si="277"/>
        <v>14.760112523138318</v>
      </c>
      <c r="AE584" s="687">
        <f t="shared" si="278"/>
        <v>-40.862694546882445</v>
      </c>
      <c r="AG584" s="686">
        <f t="shared" si="279"/>
        <v>-12.282468654283516</v>
      </c>
      <c r="AH584" s="687">
        <f t="shared" si="280"/>
        <v>-22.704602922164032</v>
      </c>
      <c r="AJ584" s="170">
        <f t="shared" si="281"/>
        <v>0</v>
      </c>
      <c r="AK584" s="170">
        <f t="shared" si="293"/>
        <v>0</v>
      </c>
      <c r="AM584" s="170" t="str">
        <f t="shared" si="285"/>
        <v>1.99939997862161+0.0346364364668212i</v>
      </c>
      <c r="AN584" s="170" t="str">
        <f t="shared" si="286"/>
        <v>3.10694928792576i</v>
      </c>
      <c r="AO584" s="170" t="str">
        <f t="shared" si="287"/>
        <v>0.0111480533658613-0.643525141009442i</v>
      </c>
      <c r="AP584" s="170" t="str">
        <f t="shared" si="288"/>
        <v>-0.166566663103602-0.00577273941113687i</v>
      </c>
      <c r="AQ584" s="170" t="str">
        <f t="shared" si="289"/>
        <v>1.1665666631036+0.00577273941113687i</v>
      </c>
      <c r="AR584" s="170" t="str">
        <f t="shared" si="290"/>
        <v>0.714043722268009-0.00353343573683568i</v>
      </c>
    </row>
    <row r="585" spans="7:44">
      <c r="G585" s="688">
        <v>114820</v>
      </c>
      <c r="H585" s="676">
        <f t="shared" si="282"/>
        <v>114.82</v>
      </c>
      <c r="I585" s="677">
        <f t="shared" si="262"/>
        <v>925.69352596069734</v>
      </c>
      <c r="J585" s="678">
        <f t="shared" si="263"/>
        <v>1.569716055445413</v>
      </c>
      <c r="K585" s="678">
        <f t="shared" si="264"/>
        <v>1.0125170106725223</v>
      </c>
      <c r="L585" s="679">
        <f t="shared" si="265"/>
        <v>0.15740284143851271</v>
      </c>
      <c r="M585" s="678">
        <f t="shared" si="266"/>
        <v>1.1699152301969356</v>
      </c>
      <c r="N585" s="679">
        <f t="shared" si="267"/>
        <v>-0.54570270503857565</v>
      </c>
      <c r="O585" s="677">
        <f t="shared" si="268"/>
        <v>4761473.2185637057</v>
      </c>
      <c r="P585" s="680">
        <f t="shared" si="269"/>
        <v>1.5707961167758637</v>
      </c>
      <c r="Q585" s="689">
        <f t="shared" si="291"/>
        <v>190.46155396236125</v>
      </c>
      <c r="R585" s="690">
        <f t="shared" si="292"/>
        <v>1.5655458992219351</v>
      </c>
      <c r="S585" s="677">
        <f t="shared" si="270"/>
        <v>1.3226773150340687</v>
      </c>
      <c r="T585" s="680">
        <f t="shared" si="271"/>
        <v>0.71355120988944121</v>
      </c>
      <c r="U585" s="681">
        <f t="shared" si="283"/>
        <v>0.45437097713490671</v>
      </c>
      <c r="V585" s="682">
        <f t="shared" si="284"/>
        <v>-1.5712296905606322</v>
      </c>
      <c r="W585" s="683">
        <f t="shared" si="272"/>
        <v>-49.516248563640055</v>
      </c>
      <c r="X585" s="684">
        <f t="shared" si="273"/>
        <v>-243.39516667410905</v>
      </c>
      <c r="Y585" s="687">
        <f t="shared" si="274"/>
        <v>-63.395166674109049</v>
      </c>
      <c r="AA585" s="170">
        <f t="shared" si="275"/>
        <v>114820</v>
      </c>
      <c r="AB585" s="170">
        <f t="shared" si="276"/>
        <v>13183632400</v>
      </c>
      <c r="AD585" s="686">
        <f t="shared" si="277"/>
        <v>14.717691548795564</v>
      </c>
      <c r="AE585" s="687">
        <f t="shared" si="278"/>
        <v>-41.184288147544066</v>
      </c>
      <c r="AG585" s="686">
        <f t="shared" si="279"/>
        <v>-12.25408638901494</v>
      </c>
      <c r="AH585" s="687">
        <f t="shared" si="280"/>
        <v>-22.161218491287173</v>
      </c>
      <c r="AJ585" s="170">
        <f t="shared" si="281"/>
        <v>0</v>
      </c>
      <c r="AK585" s="170">
        <f t="shared" si="293"/>
        <v>0</v>
      </c>
      <c r="AM585" s="170" t="str">
        <f t="shared" si="285"/>
        <v>1.9999992638079-0.00121341817336693i</v>
      </c>
      <c r="AN585" s="170" t="str">
        <f t="shared" si="286"/>
        <v>3.14280607206093i</v>
      </c>
      <c r="AO585" s="170" t="str">
        <f t="shared" si="287"/>
        <v>-0.000386093874564528-0.636373743065979i</v>
      </c>
      <c r="AP585" s="170" t="str">
        <f t="shared" si="288"/>
        <v>-0.166666543967983+0.000202236362227822i</v>
      </c>
      <c r="AQ585" s="170" t="str">
        <f t="shared" si="289"/>
        <v>1.16666654396798-0.000202236362227822i</v>
      </c>
      <c r="AR585" s="170" t="str">
        <f t="shared" si="290"/>
        <v>0.714000053636865+0.000123768675997923i</v>
      </c>
    </row>
    <row r="586" spans="7:44">
      <c r="G586" s="688">
        <v>116155</v>
      </c>
      <c r="H586" s="676">
        <f t="shared" si="282"/>
        <v>116.155</v>
      </c>
      <c r="I586" s="677">
        <f t="shared" si="262"/>
        <v>936.45645422479004</v>
      </c>
      <c r="J586" s="678">
        <f t="shared" si="263"/>
        <v>1.5697284712789876</v>
      </c>
      <c r="K586" s="678">
        <f t="shared" si="264"/>
        <v>1.0128079193194321</v>
      </c>
      <c r="L586" s="679">
        <f t="shared" si="265"/>
        <v>0.1592023529616966</v>
      </c>
      <c r="M586" s="678">
        <f t="shared" si="266"/>
        <v>1.1735949892375763</v>
      </c>
      <c r="N586" s="679">
        <f t="shared" si="267"/>
        <v>-0.5508446868223924</v>
      </c>
      <c r="O586" s="677">
        <f t="shared" si="268"/>
        <v>4816834.3642420033</v>
      </c>
      <c r="P586" s="680">
        <f t="shared" si="269"/>
        <v>1.5707961191896678</v>
      </c>
      <c r="Q586" s="689">
        <f t="shared" si="291"/>
        <v>192.67596961755942</v>
      </c>
      <c r="R586" s="690">
        <f t="shared" si="292"/>
        <v>1.5656062426785715</v>
      </c>
      <c r="S586" s="677">
        <f t="shared" si="270"/>
        <v>1.3292873041383968</v>
      </c>
      <c r="T586" s="680">
        <f t="shared" si="271"/>
        <v>0.71927616373772874</v>
      </c>
      <c r="U586" s="681">
        <f t="shared" si="283"/>
        <v>0.44910797970039784</v>
      </c>
      <c r="V586" s="682">
        <f t="shared" si="284"/>
        <v>-1.5842808585795078</v>
      </c>
      <c r="W586" s="683">
        <f t="shared" si="272"/>
        <v>-49.731381539412027</v>
      </c>
      <c r="X586" s="684">
        <f t="shared" si="273"/>
        <v>-244.65972274102526</v>
      </c>
      <c r="Y586" s="687">
        <f t="shared" si="274"/>
        <v>-64.659722741025263</v>
      </c>
      <c r="AA586" s="170">
        <f t="shared" si="275"/>
        <v>116155</v>
      </c>
      <c r="AB586" s="170">
        <f t="shared" si="276"/>
        <v>13491984025</v>
      </c>
      <c r="AD586" s="686">
        <f t="shared" si="277"/>
        <v>14.674389777393717</v>
      </c>
      <c r="AE586" s="687">
        <f t="shared" si="278"/>
        <v>-41.50884655424327</v>
      </c>
      <c r="AG586" s="686">
        <f t="shared" si="279"/>
        <v>-12.223525134215125</v>
      </c>
      <c r="AH586" s="687">
        <f t="shared" si="280"/>
        <v>-21.605662459399884</v>
      </c>
      <c r="AJ586" s="170">
        <f t="shared" si="281"/>
        <v>0</v>
      </c>
      <c r="AK586" s="170">
        <f t="shared" si="293"/>
        <v>0</v>
      </c>
      <c r="AM586" s="170" t="str">
        <f t="shared" si="285"/>
        <v>1.99928738380563-0.0377455237995108i</v>
      </c>
      <c r="AN586" s="170" t="str">
        <f t="shared" si="286"/>
        <v>3.17934714596966i</v>
      </c>
      <c r="AO586" s="170" t="str">
        <f t="shared" si="287"/>
        <v>-0.0118720989141936-0.628835824467942i</v>
      </c>
      <c r="AP586" s="170" t="str">
        <f t="shared" si="288"/>
        <v>-0.166547897300938+0.0062909206332518i</v>
      </c>
      <c r="AQ586" s="170" t="str">
        <f t="shared" si="289"/>
        <v>1.16654789730094-0.0062909206332518i</v>
      </c>
      <c r="AR586" s="170" t="str">
        <f t="shared" si="290"/>
        <v>0.714051928242301+0.00385071544767775i</v>
      </c>
    </row>
    <row r="587" spans="7:44">
      <c r="G587" s="688">
        <v>117490</v>
      </c>
      <c r="H587" s="676">
        <f t="shared" si="282"/>
        <v>117.49</v>
      </c>
      <c r="I587" s="677">
        <f t="shared" si="262"/>
        <v>947.21938262995968</v>
      </c>
      <c r="J587" s="678">
        <f t="shared" si="263"/>
        <v>1.5697406049588616</v>
      </c>
      <c r="K587" s="678">
        <f t="shared" si="264"/>
        <v>1.0131021057934917</v>
      </c>
      <c r="L587" s="679">
        <f t="shared" si="265"/>
        <v>0.16100082521495712</v>
      </c>
      <c r="M587" s="678">
        <f t="shared" si="266"/>
        <v>1.1773055836533042</v>
      </c>
      <c r="N587" s="679">
        <f t="shared" si="267"/>
        <v>-0.55595439033016214</v>
      </c>
      <c r="O587" s="677">
        <f t="shared" si="268"/>
        <v>4872195.5099203028</v>
      </c>
      <c r="P587" s="680">
        <f t="shared" si="269"/>
        <v>1.5707961215486175</v>
      </c>
      <c r="Q587" s="689">
        <f t="shared" si="291"/>
        <v>194.89038595841123</v>
      </c>
      <c r="R587" s="690">
        <f t="shared" si="292"/>
        <v>1.5656652148462624</v>
      </c>
      <c r="S587" s="677">
        <f t="shared" si="270"/>
        <v>1.3359404288060768</v>
      </c>
      <c r="T587" s="680">
        <f t="shared" si="271"/>
        <v>0.72494428007302891</v>
      </c>
      <c r="U587" s="681">
        <f t="shared" si="283"/>
        <v>0.44388890609317078</v>
      </c>
      <c r="V587" s="682">
        <f t="shared" si="284"/>
        <v>-1.5973364365057776</v>
      </c>
      <c r="W587" s="683">
        <f t="shared" si="272"/>
        <v>-49.94559656047727</v>
      </c>
      <c r="X587" s="684">
        <f t="shared" si="273"/>
        <v>-245.91954746390846</v>
      </c>
      <c r="Y587" s="687">
        <f t="shared" si="274"/>
        <v>-65.919547463908458</v>
      </c>
      <c r="AA587" s="170">
        <f t="shared" si="275"/>
        <v>117490</v>
      </c>
      <c r="AB587" s="170">
        <f t="shared" si="276"/>
        <v>13803900100</v>
      </c>
      <c r="AD587" s="686">
        <f t="shared" si="277"/>
        <v>14.631022414386033</v>
      </c>
      <c r="AE587" s="687">
        <f t="shared" si="278"/>
        <v>-41.830226977252799</v>
      </c>
      <c r="AG587" s="686">
        <f t="shared" si="279"/>
        <v>-12.191313568913216</v>
      </c>
      <c r="AH587" s="687">
        <f t="shared" si="280"/>
        <v>-21.048047729005226</v>
      </c>
      <c r="AJ587" s="170">
        <f t="shared" si="281"/>
        <v>0</v>
      </c>
      <c r="AK587" s="170">
        <f t="shared" si="293"/>
        <v>0</v>
      </c>
      <c r="AM587" s="170" t="str">
        <f t="shared" si="285"/>
        <v>1.99724135370371-0.0742272353196701i</v>
      </c>
      <c r="AN587" s="170" t="str">
        <f t="shared" si="286"/>
        <v>3.2158882198784i</v>
      </c>
      <c r="AO587" s="170" t="str">
        <f t="shared" si="287"/>
        <v>-0.0230814102495381-0.621054345532952i</v>
      </c>
      <c r="AP587" s="170" t="str">
        <f t="shared" si="288"/>
        <v>-0.166206892283951+0.0123712058866117i</v>
      </c>
      <c r="AQ587" s="170" t="str">
        <f t="shared" si="289"/>
        <v>1.16620689228395-0.0123712058866117i</v>
      </c>
      <c r="AR587" s="170" t="str">
        <f t="shared" si="290"/>
        <v>0.714201122963331+0.00757629644884431i</v>
      </c>
    </row>
    <row r="588" spans="7:44">
      <c r="G588" s="688">
        <v>118860</v>
      </c>
      <c r="H588" s="676">
        <f t="shared" si="282"/>
        <v>118.86</v>
      </c>
      <c r="I588" s="677">
        <f t="shared" si="262"/>
        <v>958.2644853297619</v>
      </c>
      <c r="J588" s="678">
        <f t="shared" si="263"/>
        <v>1.5697527733743015</v>
      </c>
      <c r="K588" s="678">
        <f t="shared" si="264"/>
        <v>1.0134074098845132</v>
      </c>
      <c r="L588" s="679">
        <f t="shared" si="265"/>
        <v>0.16284535668220043</v>
      </c>
      <c r="M588" s="678">
        <f t="shared" si="266"/>
        <v>1.1811452133745874</v>
      </c>
      <c r="N588" s="679">
        <f t="shared" si="267"/>
        <v>-0.56116453796379684</v>
      </c>
      <c r="O588" s="677">
        <f t="shared" si="268"/>
        <v>4929008.0714029018</v>
      </c>
      <c r="P588" s="680">
        <f t="shared" si="269"/>
        <v>1.57079612391432</v>
      </c>
      <c r="Q588" s="689">
        <f t="shared" si="291"/>
        <v>197.16285884701082</v>
      </c>
      <c r="R588" s="690">
        <f t="shared" si="292"/>
        <v>1.5657243558702392</v>
      </c>
      <c r="S588" s="677">
        <f t="shared" si="270"/>
        <v>1.3428121542439415</v>
      </c>
      <c r="T588" s="680">
        <f t="shared" si="271"/>
        <v>0.73070241350660659</v>
      </c>
      <c r="U588" s="681">
        <f t="shared" si="283"/>
        <v>0.43857697951431746</v>
      </c>
      <c r="V588" s="682">
        <f t="shared" si="284"/>
        <v>-1.6107433595635361</v>
      </c>
      <c r="W588" s="683">
        <f t="shared" si="272"/>
        <v>-50.164529143637495</v>
      </c>
      <c r="X588" s="684">
        <f t="shared" si="273"/>
        <v>-247.20776872158197</v>
      </c>
      <c r="Y588" s="687">
        <f t="shared" si="274"/>
        <v>-67.207768721581971</v>
      </c>
      <c r="AA588" s="170">
        <f t="shared" si="275"/>
        <v>118860</v>
      </c>
      <c r="AB588" s="170">
        <f t="shared" si="276"/>
        <v>14127699600</v>
      </c>
      <c r="AD588" s="686">
        <f t="shared" si="277"/>
        <v>14.586456380097319</v>
      </c>
      <c r="AE588" s="687">
        <f t="shared" si="278"/>
        <v>-42.156755325717896</v>
      </c>
      <c r="AG588" s="686">
        <f t="shared" si="279"/>
        <v>-12.15654176559095</v>
      </c>
      <c r="AH588" s="687">
        <f t="shared" si="280"/>
        <v>-20.473420421525724</v>
      </c>
      <c r="AJ588" s="170">
        <f t="shared" si="281"/>
        <v>0</v>
      </c>
      <c r="AK588" s="170">
        <f t="shared" si="293"/>
        <v>0</v>
      </c>
      <c r="AM588" s="170" t="str">
        <f t="shared" si="285"/>
        <v>1.99375748424358-0.111561922311694i</v>
      </c>
      <c r="AN588" s="170" t="str">
        <f t="shared" si="286"/>
        <v>3.25338729947014i</v>
      </c>
      <c r="AO588" s="170" t="str">
        <f t="shared" si="287"/>
        <v>-0.0342910056635014-0.612825126774267i</v>
      </c>
      <c r="AP588" s="170" t="str">
        <f t="shared" si="288"/>
        <v>-0.165626247373929+0.0185936537186157i</v>
      </c>
      <c r="AQ588" s="170" t="str">
        <f t="shared" si="289"/>
        <v>1.16562624737393-0.0185936537186157i</v>
      </c>
      <c r="AR588" s="170" t="str">
        <f t="shared" si="290"/>
        <v>0.714455508233844+0.0113967391755173i</v>
      </c>
    </row>
    <row r="589" spans="7:44">
      <c r="G589" s="688">
        <v>120230</v>
      </c>
      <c r="H589" s="676">
        <f t="shared" si="282"/>
        <v>120.23</v>
      </c>
      <c r="I589" s="677">
        <f t="shared" ref="I589:I613" si="294">SQRT(1+(G589/pole1)^2)</f>
        <v>969.30958816822101</v>
      </c>
      <c r="J589" s="678">
        <f t="shared" ref="J589:J613" si="295">ATAN(G589/pole1)</f>
        <v>1.5697646644760728</v>
      </c>
      <c r="K589" s="678">
        <f t="shared" ref="K589:K613" si="296">SQRT(1+(G589/Zero1)^2)</f>
        <v>1.013716159804172</v>
      </c>
      <c r="L589" s="679">
        <f t="shared" ref="L589:L613" si="297">ATAN(G589/Zero1)</f>
        <v>0.16468877083152622</v>
      </c>
      <c r="M589" s="678">
        <f t="shared" ref="M589:M613" si="298">SQRT(1+(G589/z_RHP)^2)</f>
        <v>1.1850166977535252</v>
      </c>
      <c r="N589" s="679">
        <f t="shared" ref="N589:N613" si="299">-ATAN(G589/z_RHP)</f>
        <v>-0.56634078193771431</v>
      </c>
      <c r="O589" s="677">
        <f t="shared" ref="O589:O613" si="300">SQRT(1+(G589/Pole2)^2)</f>
        <v>4985820.6328855008</v>
      </c>
      <c r="P589" s="680">
        <f t="shared" ref="P589:P613" si="301">ATAN(G589/Pole2)</f>
        <v>1.570796126226109</v>
      </c>
      <c r="Q589" s="689">
        <f t="shared" si="291"/>
        <v>199.4353324095037</v>
      </c>
      <c r="R589" s="690">
        <f t="shared" si="292"/>
        <v>1.5657821491250714</v>
      </c>
      <c r="S589" s="677">
        <f t="shared" ref="S589:S613" si="302">SQRT(1+(G589/pole4)^2)</f>
        <v>1.3497279478963242</v>
      </c>
      <c r="T589" s="680">
        <f t="shared" ref="T589:T613" si="303">ATAN(G589/pole4)</f>
        <v>0.73640172676179139</v>
      </c>
      <c r="U589" s="681">
        <f t="shared" si="283"/>
        <v>0.43330785852759673</v>
      </c>
      <c r="V589" s="682">
        <f t="shared" si="284"/>
        <v>-1.6241640463783216</v>
      </c>
      <c r="W589" s="683">
        <f t="shared" ref="W589:W613" si="304">20*LOG10(((K589*Q589*M589*U589)/(I589*O589*S589))*Adc)</f>
        <v>-50.382609470463947</v>
      </c>
      <c r="X589" s="684">
        <f t="shared" ref="X589:X613" si="305">((L589+R589+N589+V589)-(J589+P589+T589))*radconv</f>
        <v>-248.49159124694728</v>
      </c>
      <c r="Y589" s="687">
        <f t="shared" ref="Y589:Y613" si="306">IF(X589&gt;0,X589,X589+180)</f>
        <v>-68.49159124694728</v>
      </c>
      <c r="AA589" s="170">
        <f t="shared" ref="AA589:AA613" si="307">IF(W589&lt;0,G589,1000000000)</f>
        <v>120230</v>
      </c>
      <c r="AB589" s="170">
        <f t="shared" ref="AB589:AB613" si="308">G589^2</f>
        <v>14455252900</v>
      </c>
      <c r="AD589" s="686">
        <f t="shared" ref="AD589:AD613" si="309">20*LOG10((Q589/(O589*S589))*Aea)</f>
        <v>14.541834306943509</v>
      </c>
      <c r="AE589" s="687">
        <f t="shared" ref="AE589:AE613" si="310">(R589-(P589+T589))*radconv</f>
        <v>-42.479990744601842</v>
      </c>
      <c r="AG589" s="686">
        <f t="shared" ref="AG589:AG613" si="311">20*LOG10((K589*M589/(I589*U589))*Acs*Am)</f>
        <v>-12.12002935081016</v>
      </c>
      <c r="AH589" s="687">
        <f t="shared" ref="AH589:AH613" si="312">(L589+N589-(J589+V589))*radconv</f>
        <v>-19.896110100941655</v>
      </c>
      <c r="AJ589" s="170">
        <f t="shared" ref="AJ589:AJ613" si="313">SUM((W590&lt;0)*(W589&gt;0))*G589</f>
        <v>0</v>
      </c>
      <c r="AK589" s="170">
        <f t="shared" si="293"/>
        <v>0</v>
      </c>
      <c r="AM589" s="170" t="str">
        <f t="shared" si="285"/>
        <v>1.98887637566251-0.148739751433734i</v>
      </c>
      <c r="AN589" s="170" t="str">
        <f t="shared" si="286"/>
        <v>3.29088637906188i</v>
      </c>
      <c r="AO589" s="170" t="str">
        <f t="shared" si="287"/>
        <v>-0.0451974739632715-0.604358870703239i</v>
      </c>
      <c r="AP589" s="170" t="str">
        <f t="shared" si="288"/>
        <v>-0.164812729277086+0.024789958572289i</v>
      </c>
      <c r="AQ589" s="170" t="str">
        <f t="shared" si="289"/>
        <v>1.16481272927709-0.024789958572289i</v>
      </c>
      <c r="AR589" s="170" t="str">
        <f t="shared" si="290"/>
        <v>0.714812649268303+0.0152128969034421i</v>
      </c>
    </row>
    <row r="590" spans="7:44">
      <c r="G590" s="688">
        <v>126030</v>
      </c>
      <c r="H590" s="676">
        <f t="shared" ref="H590:H613" si="314">G590/1000</f>
        <v>126.03</v>
      </c>
      <c r="I590" s="677">
        <f t="shared" si="294"/>
        <v>1016.0698789893228</v>
      </c>
      <c r="J590" s="678">
        <f t="shared" si="295"/>
        <v>1.5698121423582601</v>
      </c>
      <c r="K590" s="678">
        <f t="shared" si="296"/>
        <v>1.0150613773969317</v>
      </c>
      <c r="L590" s="679">
        <f t="shared" si="297"/>
        <v>0.17248036391531474</v>
      </c>
      <c r="M590" s="678">
        <f t="shared" si="298"/>
        <v>1.2017526875078925</v>
      </c>
      <c r="N590" s="679">
        <f t="shared" si="299"/>
        <v>-0.58788059850583341</v>
      </c>
      <c r="O590" s="677">
        <f t="shared" si="300"/>
        <v>5226340.9661694961</v>
      </c>
      <c r="P590" s="680">
        <f t="shared" si="301"/>
        <v>1.5707961354564428</v>
      </c>
      <c r="Q590" s="689">
        <f t="shared" si="291"/>
        <v>209.05603036376829</v>
      </c>
      <c r="R590" s="690">
        <f t="shared" si="292"/>
        <v>1.5660129019312574</v>
      </c>
      <c r="S590" s="677">
        <f t="shared" si="302"/>
        <v>1.3794793591434511</v>
      </c>
      <c r="T590" s="680">
        <f t="shared" si="303"/>
        <v>0.75989089277326505</v>
      </c>
      <c r="U590" s="681">
        <f t="shared" ref="U590:U613" si="315">IMABS(IMPRODUCT(AO590, AR590))</f>
        <v>0.41143389377675871</v>
      </c>
      <c r="V590" s="682">
        <f t="shared" ref="V590:V613" si="316">IMARGUMENT(IMPRODUCT(AO590, AR590))</f>
        <v>-1.6812408777386707</v>
      </c>
      <c r="W590" s="683">
        <f t="shared" si="304"/>
        <v>-51.297818653831612</v>
      </c>
      <c r="X590" s="684">
        <f t="shared" si="305"/>
        <v>-253.88489770545581</v>
      </c>
      <c r="Y590" s="687">
        <f t="shared" si="306"/>
        <v>-73.884897705455813</v>
      </c>
      <c r="AA590" s="170">
        <f t="shared" si="307"/>
        <v>126030</v>
      </c>
      <c r="AB590" s="170">
        <f t="shared" si="308"/>
        <v>15883560900</v>
      </c>
      <c r="AD590" s="686">
        <f t="shared" si="309"/>
        <v>14.352445168435635</v>
      </c>
      <c r="AE590" s="687">
        <f t="shared" si="310"/>
        <v>-43.812600189818063</v>
      </c>
      <c r="AG590" s="686">
        <f t="shared" si="311"/>
        <v>-11.945989408843049</v>
      </c>
      <c r="AH590" s="687">
        <f t="shared" si="312"/>
        <v>-17.416284016904431</v>
      </c>
      <c r="AJ590" s="170">
        <f t="shared" si="313"/>
        <v>0</v>
      </c>
      <c r="AK590" s="170">
        <f t="shared" si="293"/>
        <v>0</v>
      </c>
      <c r="AM590" s="170" t="str">
        <f t="shared" ref="AM590:AM613" si="317">IMSUB(1,IMEXP(COMPLEX(0,-2*Pi*G590*Tsw)))</f>
        <v>1.95292694069505-0.303200009395738i</v>
      </c>
      <c r="AN590" s="170" t="str">
        <f t="shared" ref="AN590:AN613" si="318">COMPLEX(0, 2*Pi*G590*Tsw)</f>
        <v>3.44964160653056i</v>
      </c>
      <c r="AO590" s="170" t="str">
        <f t="shared" ref="AO590:AO613" si="319">IMDIV(AM590, AN590)</f>
        <v>-0.0878931912294153-0.566124590159725i</v>
      </c>
      <c r="AP590" s="170" t="str">
        <f t="shared" ref="AP590:AP613" si="320">IMDIV(IMEXP(COMPLEX(0,-2*Pi*G590*Tsw)),6)</f>
        <v>-0.158821156782508+0.0505333348992897i</v>
      </c>
      <c r="AQ590" s="170" t="str">
        <f t="shared" ref="AQ590:AQ613" si="321">IMSUB(1, AP590)</f>
        <v>1.15882115678251-0.0505333348992897i</v>
      </c>
      <c r="AR590" s="170" t="str">
        <f t="shared" ref="AR590:AR613" si="322">IMDIV(0.833, AQ590)</f>
        <v>0.717469606564604+0.0312870814416753i</v>
      </c>
    </row>
    <row r="591" spans="7:44">
      <c r="G591" s="688">
        <v>131830</v>
      </c>
      <c r="H591" s="676">
        <f t="shared" si="314"/>
        <v>131.83000000000001</v>
      </c>
      <c r="I591" s="677">
        <f t="shared" si="294"/>
        <v>1062.8301718992634</v>
      </c>
      <c r="J591" s="678">
        <f t="shared" si="295"/>
        <v>1.5698554425652393</v>
      </c>
      <c r="K591" s="678">
        <f t="shared" si="296"/>
        <v>1.0164680529862331</v>
      </c>
      <c r="L591" s="679">
        <f t="shared" si="297"/>
        <v>0.18025086232330789</v>
      </c>
      <c r="M591" s="678">
        <f t="shared" si="298"/>
        <v>1.2190307888425762</v>
      </c>
      <c r="N591" s="679">
        <f t="shared" si="299"/>
        <v>-0.6088193097377288</v>
      </c>
      <c r="O591" s="677">
        <f t="shared" si="300"/>
        <v>5466861.2994534913</v>
      </c>
      <c r="P591" s="680">
        <f t="shared" si="301"/>
        <v>1.5707961438745799</v>
      </c>
      <c r="Q591" s="689">
        <f t="shared" si="291"/>
        <v>218.67673847014024</v>
      </c>
      <c r="R591" s="690">
        <f t="shared" si="292"/>
        <v>1.5662233507556702</v>
      </c>
      <c r="S591" s="677">
        <f t="shared" si="302"/>
        <v>1.4099595266151921</v>
      </c>
      <c r="T591" s="680">
        <f t="shared" si="303"/>
        <v>0.78237646021529417</v>
      </c>
      <c r="U591" s="681">
        <f t="shared" si="315"/>
        <v>0.39015835742951793</v>
      </c>
      <c r="V591" s="682">
        <f t="shared" si="316"/>
        <v>-1.7390023984316954</v>
      </c>
      <c r="W591" s="683">
        <f t="shared" si="304"/>
        <v>-52.20362492983196</v>
      </c>
      <c r="X591" s="684">
        <f t="shared" si="305"/>
        <v>-259.22762377044671</v>
      </c>
      <c r="Y591" s="687">
        <f t="shared" si="306"/>
        <v>-79.227623770446712</v>
      </c>
      <c r="AA591" s="170">
        <f t="shared" si="307"/>
        <v>131830</v>
      </c>
      <c r="AB591" s="170">
        <f t="shared" si="308"/>
        <v>17379148900</v>
      </c>
      <c r="AD591" s="686">
        <f t="shared" si="309"/>
        <v>14.162607823916096</v>
      </c>
      <c r="AE591" s="687">
        <f t="shared" si="310"/>
        <v>-45.088870958542842</v>
      </c>
      <c r="AG591" s="686">
        <f t="shared" si="311"/>
        <v>-11.739592274208249</v>
      </c>
      <c r="AH591" s="687">
        <f t="shared" si="312"/>
        <v>-14.863756597671463</v>
      </c>
      <c r="AJ591" s="170">
        <f t="shared" si="313"/>
        <v>0</v>
      </c>
      <c r="AK591" s="170">
        <f t="shared" si="293"/>
        <v>0</v>
      </c>
      <c r="AM591" s="170" t="str">
        <f t="shared" si="317"/>
        <v>1.89301107568799-0.45003468610605i</v>
      </c>
      <c r="AN591" s="170" t="str">
        <f t="shared" si="318"/>
        <v>3.60839683399923i</v>
      </c>
      <c r="AO591" s="170" t="str">
        <f t="shared" si="319"/>
        <v>-0.124718734332574-0.524612774806684i</v>
      </c>
      <c r="AP591" s="170" t="str">
        <f t="shared" si="320"/>
        <v>-0.148835179281332+0.075005781017675i</v>
      </c>
      <c r="AQ591" s="170" t="str">
        <f t="shared" si="321"/>
        <v>1.14883517928133-0.075005781017675i</v>
      </c>
      <c r="AR591" s="170" t="str">
        <f t="shared" si="322"/>
        <v>0.722004639867365+0.0471386347565662i</v>
      </c>
    </row>
    <row r="592" spans="7:44">
      <c r="G592" s="688">
        <v>144540</v>
      </c>
      <c r="H592" s="676">
        <f t="shared" si="314"/>
        <v>144.54</v>
      </c>
      <c r="I592" s="677">
        <f t="shared" si="294"/>
        <v>1165.2997164034628</v>
      </c>
      <c r="J592" s="678">
        <f t="shared" si="295"/>
        <v>1.56993817836436</v>
      </c>
      <c r="K592" s="678">
        <f t="shared" si="296"/>
        <v>1.0197642580474269</v>
      </c>
      <c r="L592" s="679">
        <f t="shared" si="297"/>
        <v>0.19720108374770487</v>
      </c>
      <c r="M592" s="678">
        <f t="shared" si="298"/>
        <v>1.2586792161927887</v>
      </c>
      <c r="N592" s="679">
        <f t="shared" si="299"/>
        <v>-0.65263955551633523</v>
      </c>
      <c r="O592" s="677">
        <f t="shared" si="300"/>
        <v>5993932.581529283</v>
      </c>
      <c r="P592" s="680">
        <f t="shared" si="301"/>
        <v>1.5707961599595199</v>
      </c>
      <c r="Q592" s="689">
        <f t="shared" si="291"/>
        <v>239.75938869430678</v>
      </c>
      <c r="R592" s="690">
        <f t="shared" si="292"/>
        <v>1.5666254665637391</v>
      </c>
      <c r="S592" s="677">
        <f t="shared" si="302"/>
        <v>1.4790797651914922</v>
      </c>
      <c r="T592" s="680">
        <f t="shared" si="303"/>
        <v>0.82834507167700577</v>
      </c>
      <c r="U592" s="681">
        <f t="shared" si="315"/>
        <v>0.3449334943379625</v>
      </c>
      <c r="V592" s="682">
        <f t="shared" si="316"/>
        <v>-1.8697606108713674</v>
      </c>
      <c r="W592" s="683">
        <f t="shared" si="304"/>
        <v>-54.182796650722871</v>
      </c>
      <c r="X592" s="684">
        <f t="shared" si="305"/>
        <v>-270.87456570599176</v>
      </c>
      <c r="Y592" s="687">
        <f t="shared" si="306"/>
        <v>-90.874565705991756</v>
      </c>
      <c r="AA592" s="170">
        <f t="shared" si="307"/>
        <v>144540</v>
      </c>
      <c r="AB592" s="170">
        <f t="shared" si="308"/>
        <v>20891811600</v>
      </c>
      <c r="AD592" s="686">
        <f t="shared" si="309"/>
        <v>13.746893565721162</v>
      </c>
      <c r="AE592" s="687">
        <f t="shared" si="310"/>
        <v>-47.699639771280204</v>
      </c>
      <c r="AG592" s="686">
        <f t="shared" si="311"/>
        <v>-11.162827890391853</v>
      </c>
      <c r="AH592" s="687">
        <f t="shared" si="312"/>
        <v>-8.9161422844212925</v>
      </c>
      <c r="AJ592" s="170">
        <f t="shared" si="313"/>
        <v>0</v>
      </c>
      <c r="AK592" s="170">
        <f t="shared" si="293"/>
        <v>0</v>
      </c>
      <c r="AM592" s="170" t="str">
        <f t="shared" si="317"/>
        <v>1.68608878913255-0.727517816569894i</v>
      </c>
      <c r="AN592" s="170" t="str">
        <f t="shared" si="318"/>
        <v>3.95628975488318i</v>
      </c>
      <c r="AO592" s="170" t="str">
        <f t="shared" si="319"/>
        <v>-0.183888911491362-0.426179297674403i</v>
      </c>
      <c r="AP592" s="170" t="str">
        <f t="shared" si="320"/>
        <v>-0.114348131522092+0.121252969428316i</v>
      </c>
      <c r="AQ592" s="170" t="str">
        <f t="shared" si="321"/>
        <v>1.11434813152209-0.121252969428316i</v>
      </c>
      <c r="AR592" s="170" t="str">
        <f t="shared" si="322"/>
        <v>0.73877530565666+0.0803866377276787i</v>
      </c>
    </row>
    <row r="593" spans="7:44">
      <c r="G593" s="688">
        <v>158490</v>
      </c>
      <c r="H593" s="676">
        <f t="shared" si="314"/>
        <v>158.49</v>
      </c>
      <c r="I593" s="677">
        <f t="shared" si="294"/>
        <v>1277.7662972772625</v>
      </c>
      <c r="J593" s="678">
        <f t="shared" si="295"/>
        <v>1.5700137109877557</v>
      </c>
      <c r="K593" s="678">
        <f t="shared" si="296"/>
        <v>1.0237169619270394</v>
      </c>
      <c r="L593" s="679">
        <f t="shared" si="297"/>
        <v>0.21567341764358447</v>
      </c>
      <c r="M593" s="678">
        <f t="shared" si="298"/>
        <v>1.3047972193844217</v>
      </c>
      <c r="N593" s="679">
        <f t="shared" si="299"/>
        <v>-0.69757430027290568</v>
      </c>
      <c r="O593" s="677">
        <f t="shared" si="300"/>
        <v>6572425.452100276</v>
      </c>
      <c r="P593" s="680">
        <f t="shared" si="301"/>
        <v>1.5707961746440648</v>
      </c>
      <c r="Q593" s="689">
        <f t="shared" si="291"/>
        <v>262.89891996252715</v>
      </c>
      <c r="R593" s="690">
        <f t="shared" si="292"/>
        <v>1.5669925743429325</v>
      </c>
      <c r="S593" s="677">
        <f t="shared" si="302"/>
        <v>1.5582017217718354</v>
      </c>
      <c r="T593" s="680">
        <f t="shared" si="303"/>
        <v>0.87399823935091314</v>
      </c>
      <c r="U593" s="681">
        <f t="shared" si="315"/>
        <v>0.29596272547006547</v>
      </c>
      <c r="V593" s="682">
        <f t="shared" si="316"/>
        <v>-2.0238706381805773</v>
      </c>
      <c r="W593" s="683">
        <f t="shared" si="304"/>
        <v>-56.419532323406301</v>
      </c>
      <c r="X593" s="684">
        <f t="shared" si="305"/>
        <v>-283.81963296894838</v>
      </c>
      <c r="Y593" s="687">
        <f t="shared" si="306"/>
        <v>-103.81963296894838</v>
      </c>
      <c r="AA593" s="170">
        <f t="shared" si="307"/>
        <v>158490</v>
      </c>
      <c r="AB593" s="170">
        <f t="shared" si="308"/>
        <v>25119080100</v>
      </c>
      <c r="AD593" s="686">
        <f t="shared" si="309"/>
        <v>13.294239166872632</v>
      </c>
      <c r="AE593" s="687">
        <f t="shared" si="310"/>
        <v>-50.294340718351286</v>
      </c>
      <c r="AG593" s="686">
        <f t="shared" si="311"/>
        <v>-10.286975163068053</v>
      </c>
      <c r="AH593" s="687">
        <f t="shared" si="312"/>
        <v>-1.6068002892004194</v>
      </c>
      <c r="AJ593" s="170">
        <f t="shared" si="313"/>
        <v>0</v>
      </c>
      <c r="AK593" s="170">
        <f t="shared" si="293"/>
        <v>0</v>
      </c>
      <c r="AM593" s="170" t="str">
        <f t="shared" si="317"/>
        <v>1.36558900214273-0.930776386417427i</v>
      </c>
      <c r="AN593" s="170" t="str">
        <f t="shared" si="318"/>
        <v>4.33812344853628i</v>
      </c>
      <c r="AO593" s="170" t="str">
        <f t="shared" si="319"/>
        <v>-0.214557376584449-0.314787953441826i</v>
      </c>
      <c r="AP593" s="170" t="str">
        <f t="shared" si="320"/>
        <v>-0.0609315003571217+0.155129397736238i</v>
      </c>
      <c r="AQ593" s="170" t="str">
        <f t="shared" si="321"/>
        <v>1.06093150035712-0.155129397736238i</v>
      </c>
      <c r="AR593" s="170" t="str">
        <f t="shared" si="322"/>
        <v>0.768723549417499+0.112402752870151i</v>
      </c>
    </row>
    <row r="594" spans="7:44">
      <c r="G594" s="688">
        <v>173780</v>
      </c>
      <c r="H594" s="676">
        <f t="shared" si="314"/>
        <v>173.78</v>
      </c>
      <c r="I594" s="677">
        <f t="shared" si="294"/>
        <v>1401.0361265762483</v>
      </c>
      <c r="J594" s="678">
        <f t="shared" si="295"/>
        <v>1.5700825692650662</v>
      </c>
      <c r="K594" s="678">
        <f t="shared" si="296"/>
        <v>1.0284472936274351</v>
      </c>
      <c r="L594" s="679">
        <f t="shared" si="297"/>
        <v>0.23574942143863667</v>
      </c>
      <c r="M594" s="678">
        <f t="shared" si="298"/>
        <v>1.3581522872201368</v>
      </c>
      <c r="N594" s="679">
        <f t="shared" si="299"/>
        <v>-0.7432186265823022</v>
      </c>
      <c r="O594" s="677">
        <f t="shared" si="300"/>
        <v>7206486.8134644702</v>
      </c>
      <c r="P594" s="680">
        <f t="shared" si="301"/>
        <v>1.5707961880310266</v>
      </c>
      <c r="Q594" s="689">
        <f t="shared" si="291"/>
        <v>288.26120708173352</v>
      </c>
      <c r="R594" s="690">
        <f t="shared" si="292"/>
        <v>1.5673272439589421</v>
      </c>
      <c r="S594" s="677">
        <f t="shared" si="302"/>
        <v>1.6482743512372735</v>
      </c>
      <c r="T594" s="680">
        <f t="shared" si="303"/>
        <v>0.91889979237733266</v>
      </c>
      <c r="U594" s="681">
        <f t="shared" si="315"/>
        <v>0.2405606000033027</v>
      </c>
      <c r="V594" s="682">
        <f t="shared" si="316"/>
        <v>-2.2121245998823498</v>
      </c>
      <c r="W594" s="683">
        <f t="shared" si="304"/>
        <v>-59.119716058374117</v>
      </c>
      <c r="X594" s="684">
        <f t="shared" si="305"/>
        <v>-298.6281878184588</v>
      </c>
      <c r="Y594" s="687">
        <f t="shared" si="306"/>
        <v>-118.6281878184588</v>
      </c>
      <c r="AA594" s="170">
        <f t="shared" si="307"/>
        <v>173780</v>
      </c>
      <c r="AB594" s="170">
        <f t="shared" si="308"/>
        <v>30199488400</v>
      </c>
      <c r="AD594" s="686">
        <f t="shared" si="309"/>
        <v>12.806112181397644</v>
      </c>
      <c r="AE594" s="687">
        <f t="shared" si="310"/>
        <v>-52.847835813753591</v>
      </c>
      <c r="AG594" s="686">
        <f t="shared" si="311"/>
        <v>-8.8985311243290486</v>
      </c>
      <c r="AH594" s="687">
        <f t="shared" si="312"/>
        <v>7.7104549455994063</v>
      </c>
      <c r="AJ594" s="170">
        <f t="shared" si="313"/>
        <v>0</v>
      </c>
      <c r="AK594" s="170">
        <f t="shared" si="293"/>
        <v>0</v>
      </c>
      <c r="AM594" s="170" t="str">
        <f t="shared" si="317"/>
        <v>0.955768341805593-0.999021301281095i</v>
      </c>
      <c r="AN594" s="170" t="str">
        <f t="shared" si="318"/>
        <v>4.75663507405285i</v>
      </c>
      <c r="AO594" s="170" t="str">
        <f t="shared" si="319"/>
        <v>-0.210026896267636-0.20093371194676i</v>
      </c>
      <c r="AP594" s="170" t="str">
        <f t="shared" si="320"/>
        <v>0.0073719430324012+0.166503550213516i</v>
      </c>
      <c r="AQ594" s="170" t="str">
        <f t="shared" si="321"/>
        <v>0.992628056967599-0.166503550213516i</v>
      </c>
      <c r="AR594" s="170" t="str">
        <f t="shared" si="322"/>
        <v>0.816220640018118+0.136912948779364i</v>
      </c>
    </row>
    <row r="595" spans="7:44">
      <c r="G595" s="688">
        <v>190550</v>
      </c>
      <c r="H595" s="676">
        <f t="shared" si="314"/>
        <v>190.55</v>
      </c>
      <c r="I595" s="677">
        <f t="shared" si="294"/>
        <v>1536.2379012320675</v>
      </c>
      <c r="J595" s="678">
        <f t="shared" si="295"/>
        <v>1.5701453859023313</v>
      </c>
      <c r="K595" s="678">
        <f t="shared" si="296"/>
        <v>1.0341074393413461</v>
      </c>
      <c r="L595" s="679">
        <f t="shared" si="297"/>
        <v>0.25754770527911591</v>
      </c>
      <c r="M595" s="678">
        <f t="shared" si="298"/>
        <v>1.419664921145636</v>
      </c>
      <c r="N595" s="679">
        <f t="shared" si="299"/>
        <v>-0.78923071969907166</v>
      </c>
      <c r="O595" s="677">
        <f t="shared" si="300"/>
        <v>7901922.3288390636</v>
      </c>
      <c r="P595" s="680">
        <f t="shared" si="301"/>
        <v>1.5707962002434122</v>
      </c>
      <c r="Q595" s="689">
        <f t="shared" si="291"/>
        <v>316.078475043156</v>
      </c>
      <c r="R595" s="690">
        <f t="shared" si="292"/>
        <v>1.5676325502418984</v>
      </c>
      <c r="S595" s="677">
        <f t="shared" si="302"/>
        <v>1.7504698447527096</v>
      </c>
      <c r="T595" s="680">
        <f t="shared" si="303"/>
        <v>0.96273763291478065</v>
      </c>
      <c r="U595" s="681">
        <f t="shared" si="315"/>
        <v>0.17453434672352935</v>
      </c>
      <c r="V595" s="682">
        <f t="shared" si="316"/>
        <v>-2.4503788581964656</v>
      </c>
      <c r="W595" s="683">
        <f t="shared" si="304"/>
        <v>-62.796862118771045</v>
      </c>
      <c r="X595" s="684">
        <f t="shared" si="305"/>
        <v>-316.1643306805891</v>
      </c>
      <c r="Y595" s="687">
        <f t="shared" si="306"/>
        <v>-136.1643306805891</v>
      </c>
      <c r="AA595" s="170">
        <f t="shared" si="307"/>
        <v>190550</v>
      </c>
      <c r="AB595" s="170">
        <f t="shared" si="308"/>
        <v>36309302500</v>
      </c>
      <c r="AD595" s="686">
        <f t="shared" si="309"/>
        <v>12.283600727357129</v>
      </c>
      <c r="AE595" s="687">
        <f t="shared" si="310"/>
        <v>-55.342067000612886</v>
      </c>
      <c r="AG595" s="686">
        <f t="shared" si="311"/>
        <v>-6.4794219900167791</v>
      </c>
      <c r="AH595" s="687">
        <f t="shared" si="312"/>
        <v>19.970470206362407</v>
      </c>
      <c r="AJ595" s="170">
        <f t="shared" si="313"/>
        <v>0</v>
      </c>
      <c r="AK595" s="170">
        <f t="shared" si="293"/>
        <v>0</v>
      </c>
      <c r="AM595" s="170" t="str">
        <f t="shared" si="317"/>
        <v>0.517709372548516-0.876011273142335i</v>
      </c>
      <c r="AN595" s="170" t="str">
        <f t="shared" si="318"/>
        <v>5.21565665416486i</v>
      </c>
      <c r="AO595" s="170" t="str">
        <f t="shared" si="319"/>
        <v>-0.167958002458389-0.0992606313790056i</v>
      </c>
      <c r="AP595" s="170" t="str">
        <f t="shared" si="320"/>
        <v>0.080381771241914+0.146001878857056i</v>
      </c>
      <c r="AQ595" s="170" t="str">
        <f t="shared" si="321"/>
        <v>0.919618228758086-0.146001878857056i</v>
      </c>
      <c r="AR595" s="170" t="str">
        <f t="shared" si="322"/>
        <v>0.883540261937878+0.140274011817919i</v>
      </c>
    </row>
    <row r="596" spans="7:44">
      <c r="G596" s="688">
        <v>208930</v>
      </c>
      <c r="H596" s="676">
        <f t="shared" si="314"/>
        <v>208.93</v>
      </c>
      <c r="I596" s="677">
        <f t="shared" si="294"/>
        <v>1684.4196970159255</v>
      </c>
      <c r="J596" s="678">
        <f t="shared" si="295"/>
        <v>1.5702026504917084</v>
      </c>
      <c r="K596" s="678">
        <f t="shared" si="296"/>
        <v>1.0408687754095256</v>
      </c>
      <c r="L596" s="679">
        <f t="shared" si="297"/>
        <v>0.28115394151503298</v>
      </c>
      <c r="M596" s="678">
        <f t="shared" si="298"/>
        <v>1.4902321260208495</v>
      </c>
      <c r="N596" s="679">
        <f t="shared" si="299"/>
        <v>-0.83519057306738154</v>
      </c>
      <c r="O596" s="677">
        <f t="shared" si="300"/>
        <v>8664122.9712114576</v>
      </c>
      <c r="P596" s="680">
        <f t="shared" si="301"/>
        <v>1.5707962113764056</v>
      </c>
      <c r="Q596" s="689">
        <f t="shared" si="291"/>
        <v>346.56636157659176</v>
      </c>
      <c r="R596" s="690">
        <f t="shared" si="292"/>
        <v>1.5679108725254942</v>
      </c>
      <c r="S596" s="677">
        <f t="shared" si="302"/>
        <v>1.8658924424926471</v>
      </c>
      <c r="T596" s="680">
        <f t="shared" si="303"/>
        <v>1.0051796263275456</v>
      </c>
      <c r="U596" s="681">
        <f t="shared" si="315"/>
        <v>9.3922147377992732E-2</v>
      </c>
      <c r="V596" s="682">
        <f t="shared" si="316"/>
        <v>-2.7559741222376992</v>
      </c>
      <c r="W596" s="683">
        <f t="shared" si="304"/>
        <v>-69.05563564700185</v>
      </c>
      <c r="X596" s="684">
        <f t="shared" si="305"/>
        <v>-337.3734995537497</v>
      </c>
      <c r="Y596" s="687">
        <f t="shared" si="306"/>
        <v>-157.3734995537497</v>
      </c>
      <c r="AA596" s="170">
        <f t="shared" si="307"/>
        <v>208930</v>
      </c>
      <c r="AB596" s="170">
        <f t="shared" si="308"/>
        <v>43651744900</v>
      </c>
      <c r="AD596" s="686">
        <f t="shared" si="309"/>
        <v>11.728953974164892</v>
      </c>
      <c r="AE596" s="687">
        <f t="shared" si="310"/>
        <v>-57.757868045725864</v>
      </c>
      <c r="AG596" s="686">
        <f t="shared" si="311"/>
        <v>-1.4190331118109683</v>
      </c>
      <c r="AH596" s="687">
        <f t="shared" si="312"/>
        <v>36.195740155826883</v>
      </c>
      <c r="AJ596" s="170">
        <f t="shared" si="313"/>
        <v>0</v>
      </c>
      <c r="AK596" s="170">
        <f t="shared" si="293"/>
        <v>0</v>
      </c>
      <c r="AM596" s="170" t="str">
        <f t="shared" si="317"/>
        <v>0.155111063379767-0.534941758303399i</v>
      </c>
      <c r="AN596" s="170" t="str">
        <f t="shared" si="318"/>
        <v>5.71874649569491i</v>
      </c>
      <c r="AO596" s="170" t="str">
        <f t="shared" si="319"/>
        <v>-0.0935417855479526-0.0271232626759265i</v>
      </c>
      <c r="AP596" s="170" t="str">
        <f t="shared" si="320"/>
        <v>0.140814822770039+0.0891569597172332i</v>
      </c>
      <c r="AQ596" s="170" t="str">
        <f t="shared" si="321"/>
        <v>0.859185177229961-0.0891569597172332i</v>
      </c>
      <c r="AR596" s="170" t="str">
        <f t="shared" si="322"/>
        <v>0.959194591141263+0.0995348567337777i</v>
      </c>
    </row>
    <row r="597" spans="7:44">
      <c r="G597" s="688">
        <v>229090</v>
      </c>
      <c r="H597" s="676">
        <f t="shared" si="314"/>
        <v>229.09</v>
      </c>
      <c r="I597" s="677">
        <f t="shared" si="294"/>
        <v>1846.9520746062381</v>
      </c>
      <c r="J597" s="678">
        <f t="shared" si="295"/>
        <v>1.5702548942030026</v>
      </c>
      <c r="K597" s="678">
        <f t="shared" si="296"/>
        <v>1.0489426586565112</v>
      </c>
      <c r="L597" s="679">
        <f t="shared" si="297"/>
        <v>0.30668051453334366</v>
      </c>
      <c r="M597" s="678">
        <f t="shared" si="298"/>
        <v>1.5709075603141944</v>
      </c>
      <c r="N597" s="679">
        <f t="shared" si="299"/>
        <v>-0.88074768752462373</v>
      </c>
      <c r="O597" s="677">
        <f t="shared" si="300"/>
        <v>9500138.4744882528</v>
      </c>
      <c r="P597" s="680">
        <f t="shared" si="301"/>
        <v>1.5707962215332731</v>
      </c>
      <c r="Q597" s="689">
        <f t="shared" si="291"/>
        <v>380.00685474754476</v>
      </c>
      <c r="R597" s="690">
        <f t="shared" si="292"/>
        <v>1.5681647922800059</v>
      </c>
      <c r="S597" s="677">
        <f t="shared" si="302"/>
        <v>1.9958852799511433</v>
      </c>
      <c r="T597" s="680">
        <f t="shared" si="303"/>
        <v>1.0460068754881142</v>
      </c>
      <c r="U597" s="681">
        <f t="shared" si="315"/>
        <v>2.0129248702959453E-3</v>
      </c>
      <c r="V597" s="682">
        <f t="shared" si="316"/>
        <v>-3.1327534896900646</v>
      </c>
      <c r="W597" s="683">
        <f t="shared" si="304"/>
        <v>-103.29448686684731</v>
      </c>
      <c r="X597" s="684">
        <f t="shared" si="305"/>
        <v>-362.4367070927006</v>
      </c>
      <c r="Y597" s="687">
        <f t="shared" si="306"/>
        <v>-182.4367070927006</v>
      </c>
      <c r="AA597" s="170">
        <f t="shared" si="307"/>
        <v>229090</v>
      </c>
      <c r="AB597" s="170">
        <f t="shared" si="308"/>
        <v>52482228100</v>
      </c>
      <c r="AD597" s="686">
        <f t="shared" si="309"/>
        <v>11.143968500043824</v>
      </c>
      <c r="AE597" s="687">
        <f t="shared" si="310"/>
        <v>-60.082549166088938</v>
      </c>
      <c r="AG597" s="686">
        <f t="shared" si="311"/>
        <v>31.684719051353181</v>
      </c>
      <c r="AH597" s="687">
        <f t="shared" si="312"/>
        <v>56.632948911833218</v>
      </c>
      <c r="AJ597" s="170">
        <f t="shared" si="313"/>
        <v>0</v>
      </c>
      <c r="AK597" s="170">
        <f t="shared" si="293"/>
        <v>0</v>
      </c>
      <c r="AM597" s="170" t="str">
        <f t="shared" si="317"/>
        <v>0.0000797262995310133-0.0126272024922383i</v>
      </c>
      <c r="AN597" s="170" t="str">
        <f t="shared" si="318"/>
        <v>6.27055776910327i</v>
      </c>
      <c r="AO597" s="170" t="str">
        <f t="shared" si="319"/>
        <v>-0.0020137287554316-0.0000127143872150969i</v>
      </c>
      <c r="AP597" s="170" t="str">
        <f t="shared" si="320"/>
        <v>0.166653378950078+0.00210453374870638i</v>
      </c>
      <c r="AQ597" s="170" t="str">
        <f t="shared" si="321"/>
        <v>0.833346621049922-0.00210453374870638i</v>
      </c>
      <c r="AR597" s="170" t="str">
        <f t="shared" si="322"/>
        <v>0.999577686419387+0.00252433371947088i</v>
      </c>
    </row>
    <row r="598" spans="7:44">
      <c r="G598" s="688">
        <v>251190</v>
      </c>
      <c r="H598" s="676">
        <f t="shared" si="314"/>
        <v>251.19</v>
      </c>
      <c r="I598" s="677">
        <f t="shared" si="294"/>
        <v>2025.1249735084803</v>
      </c>
      <c r="J598" s="678">
        <f t="shared" si="295"/>
        <v>1.5703025300891522</v>
      </c>
      <c r="K598" s="678">
        <f t="shared" si="296"/>
        <v>1.0585659253294368</v>
      </c>
      <c r="L598" s="679">
        <f t="shared" si="297"/>
        <v>0.33419617662260215</v>
      </c>
      <c r="M598" s="678">
        <f t="shared" si="298"/>
        <v>1.6627066885461796</v>
      </c>
      <c r="N598" s="679">
        <f t="shared" si="299"/>
        <v>-0.9255077847327291</v>
      </c>
      <c r="O598" s="677">
        <f t="shared" si="300"/>
        <v>10416603.882346248</v>
      </c>
      <c r="P598" s="680">
        <f t="shared" si="301"/>
        <v>1.570796230794318</v>
      </c>
      <c r="Q598" s="689">
        <f t="shared" si="291"/>
        <v>416.66535529935277</v>
      </c>
      <c r="R598" s="690">
        <f t="shared" si="292"/>
        <v>1.5683963169373694</v>
      </c>
      <c r="S598" s="677">
        <f t="shared" si="302"/>
        <v>2.1417196801065499</v>
      </c>
      <c r="T598" s="680">
        <f t="shared" si="303"/>
        <v>1.0849979527195703</v>
      </c>
      <c r="U598" s="681">
        <f t="shared" si="315"/>
        <v>8.1587253530392076E-2</v>
      </c>
      <c r="V598" s="682">
        <f t="shared" si="316"/>
        <v>-0.40369894539223278</v>
      </c>
      <c r="W598" s="683">
        <f t="shared" si="304"/>
        <v>-71.978438542659674</v>
      </c>
      <c r="X598" s="684">
        <f t="shared" si="305"/>
        <v>-209.28492146499181</v>
      </c>
      <c r="Y598" s="687">
        <f t="shared" si="306"/>
        <v>-29.284921464991811</v>
      </c>
      <c r="AA598" s="170">
        <f t="shared" si="307"/>
        <v>251190</v>
      </c>
      <c r="AB598" s="170">
        <f t="shared" si="308"/>
        <v>63096416100</v>
      </c>
      <c r="AD598" s="686">
        <f t="shared" si="309"/>
        <v>10.531422396276277</v>
      </c>
      <c r="AE598" s="687">
        <f t="shared" si="310"/>
        <v>-62.303308477556243</v>
      </c>
      <c r="AG598" s="686">
        <f t="shared" si="311"/>
        <v>-0.69847644052490432</v>
      </c>
      <c r="AH598" s="687">
        <f t="shared" si="312"/>
        <v>-100.72112140486078</v>
      </c>
      <c r="AJ598" s="170">
        <f t="shared" si="313"/>
        <v>0</v>
      </c>
      <c r="AK598" s="170">
        <f t="shared" si="293"/>
        <v>0</v>
      </c>
      <c r="AM598" s="170" t="str">
        <f t="shared" si="317"/>
        <v>0.17033256283923+0.558257954457507i</v>
      </c>
      <c r="AN598" s="170" t="str">
        <f t="shared" si="318"/>
        <v>6.87546992894081i</v>
      </c>
      <c r="AO598" s="170" t="str">
        <f t="shared" si="319"/>
        <v>0.0811956070242763-0.0247739521224945i</v>
      </c>
      <c r="AP598" s="170" t="str">
        <f t="shared" si="320"/>
        <v>0.138277906193462-0.0930429924095845i</v>
      </c>
      <c r="AQ598" s="170" t="str">
        <f t="shared" si="321"/>
        <v>0.861722093806538+0.0930429924095845i</v>
      </c>
      <c r="AR598" s="170" t="str">
        <f t="shared" si="322"/>
        <v>0.955529174080225-0.103171653982267i</v>
      </c>
    </row>
    <row r="599" spans="7:44">
      <c r="G599" s="688">
        <v>275420</v>
      </c>
      <c r="H599" s="676">
        <f t="shared" si="314"/>
        <v>275.42</v>
      </c>
      <c r="I599" s="677">
        <f t="shared" si="294"/>
        <v>2220.4701969238708</v>
      </c>
      <c r="J599" s="678">
        <f t="shared" si="295"/>
        <v>1.5703459717146129</v>
      </c>
      <c r="K599" s="678">
        <f t="shared" si="296"/>
        <v>1.0700199060122879</v>
      </c>
      <c r="L599" s="679">
        <f t="shared" si="297"/>
        <v>0.36377013820853704</v>
      </c>
      <c r="M599" s="678">
        <f t="shared" si="298"/>
        <v>1.7667600028772759</v>
      </c>
      <c r="N599" s="679">
        <f t="shared" si="299"/>
        <v>-0.96914108092244922</v>
      </c>
      <c r="O599" s="677">
        <f t="shared" si="300"/>
        <v>11421398.309151644</v>
      </c>
      <c r="P599" s="680">
        <f t="shared" si="301"/>
        <v>1.5707962392399428</v>
      </c>
      <c r="Q599" s="689">
        <f t="shared" ref="Q599:Q613" si="323">SQRT(1+(G599/Zero2)^2)</f>
        <v>456.85702680167424</v>
      </c>
      <c r="R599" s="690">
        <f t="shared" ref="R599:R613" si="324">ATAN(G599/Zero2)</f>
        <v>1.5686074564484631</v>
      </c>
      <c r="S599" s="677">
        <f t="shared" si="302"/>
        <v>2.3048517948538532</v>
      </c>
      <c r="T599" s="680">
        <f t="shared" si="303"/>
        <v>1.1220155380384502</v>
      </c>
      <c r="U599" s="681">
        <f t="shared" si="315"/>
        <v>0.13499727873430081</v>
      </c>
      <c r="V599" s="682">
        <f t="shared" si="316"/>
        <v>-0.79330601342628837</v>
      </c>
      <c r="W599" s="683">
        <f t="shared" si="304"/>
        <v>-68.421141435983145</v>
      </c>
      <c r="X599" s="684">
        <f t="shared" si="305"/>
        <v>-234.52464620556512</v>
      </c>
      <c r="Y599" s="687">
        <f t="shared" si="306"/>
        <v>-54.524646205565119</v>
      </c>
      <c r="AA599" s="170">
        <f t="shared" si="307"/>
        <v>275420</v>
      </c>
      <c r="AB599" s="170">
        <f t="shared" si="308"/>
        <v>75856176400</v>
      </c>
      <c r="AD599" s="686">
        <f t="shared" si="309"/>
        <v>9.8938106385591293</v>
      </c>
      <c r="AE599" s="687">
        <f t="shared" si="310"/>
        <v>-64.412162967527749</v>
      </c>
      <c r="AG599" s="686">
        <f t="shared" si="311"/>
        <v>-5.2516755910864044</v>
      </c>
      <c r="AH599" s="687">
        <f t="shared" si="312"/>
        <v>-79.206310270812025</v>
      </c>
      <c r="AJ599" s="170">
        <f t="shared" si="313"/>
        <v>0</v>
      </c>
      <c r="AK599" s="170">
        <f t="shared" ref="AK599:AK613" si="325">IF(AJ599&gt;0,Y599,0)</f>
        <v>0</v>
      </c>
      <c r="AM599" s="170" t="str">
        <f t="shared" si="317"/>
        <v>0.689900151508964+0.950703993872876i</v>
      </c>
      <c r="AN599" s="170" t="str">
        <f t="shared" si="318"/>
        <v>7.53868357748668i</v>
      </c>
      <c r="AO599" s="170" t="str">
        <f t="shared" si="319"/>
        <v>0.126110080639547-0.091514671549455i</v>
      </c>
      <c r="AP599" s="170" t="str">
        <f t="shared" si="320"/>
        <v>0.0516833080818393-0.158450665645479i</v>
      </c>
      <c r="AQ599" s="170" t="str">
        <f t="shared" si="321"/>
        <v>0.948316691918161+0.158450665645479i</v>
      </c>
      <c r="AR599" s="170" t="str">
        <f t="shared" si="322"/>
        <v>0.854541612185332-0.14278214063558i</v>
      </c>
    </row>
    <row r="600" spans="7:44">
      <c r="G600" s="688">
        <v>302000</v>
      </c>
      <c r="H600" s="676">
        <f t="shared" si="314"/>
        <v>302</v>
      </c>
      <c r="I600" s="677">
        <f t="shared" si="294"/>
        <v>2434.7614117614912</v>
      </c>
      <c r="J600" s="678">
        <f t="shared" si="295"/>
        <v>1.5703856089219732</v>
      </c>
      <c r="K600" s="678">
        <f t="shared" si="296"/>
        <v>1.0836367178175665</v>
      </c>
      <c r="L600" s="679">
        <f t="shared" si="297"/>
        <v>0.3954625039901315</v>
      </c>
      <c r="M600" s="678">
        <f t="shared" si="298"/>
        <v>1.8843215404684248</v>
      </c>
      <c r="N600" s="679">
        <f t="shared" si="299"/>
        <v>-1.0113759860643259</v>
      </c>
      <c r="O600" s="677">
        <f t="shared" si="300"/>
        <v>12523644.939960042</v>
      </c>
      <c r="P600" s="680">
        <f t="shared" si="301"/>
        <v>1.5707962469459384</v>
      </c>
      <c r="Q600" s="689">
        <f t="shared" si="323"/>
        <v>500.94679570938189</v>
      </c>
      <c r="R600" s="690">
        <f t="shared" si="324"/>
        <v>1.5688001054941212</v>
      </c>
      <c r="S600" s="677">
        <f t="shared" si="302"/>
        <v>2.4869356668360658</v>
      </c>
      <c r="T600" s="680">
        <f t="shared" si="303"/>
        <v>1.1569856526313143</v>
      </c>
      <c r="U600" s="681">
        <f t="shared" si="315"/>
        <v>0.15650978575635402</v>
      </c>
      <c r="V600" s="682">
        <f t="shared" si="316"/>
        <v>-1.1336972426533762</v>
      </c>
      <c r="W600" s="683">
        <f t="shared" si="304"/>
        <v>-67.928089252816292</v>
      </c>
      <c r="X600" s="684">
        <f t="shared" si="305"/>
        <v>-256.62654354372819</v>
      </c>
      <c r="Y600" s="687">
        <f t="shared" si="306"/>
        <v>-76.626543543728189</v>
      </c>
      <c r="AA600" s="170">
        <f t="shared" si="307"/>
        <v>302000</v>
      </c>
      <c r="AB600" s="170">
        <f t="shared" si="308"/>
        <v>91204000000</v>
      </c>
      <c r="AD600" s="686">
        <f t="shared" si="309"/>
        <v>9.2333762170078266</v>
      </c>
      <c r="AE600" s="687">
        <f t="shared" si="310"/>
        <v>-66.40476540934219</v>
      </c>
      <c r="AG600" s="686">
        <f t="shared" si="311"/>
        <v>-6.6668482999074623</v>
      </c>
      <c r="AH600" s="687">
        <f t="shared" si="312"/>
        <v>-60.309643486625298</v>
      </c>
      <c r="AJ600" s="170">
        <f t="shared" si="313"/>
        <v>0</v>
      </c>
      <c r="AK600" s="170">
        <f t="shared" si="325"/>
        <v>0</v>
      </c>
      <c r="AM600" s="170" t="str">
        <f t="shared" si="317"/>
        <v>1.4006616056036+0.916226106261517i</v>
      </c>
      <c r="AN600" s="170" t="str">
        <f t="shared" si="318"/>
        <v>8.2662204647483i</v>
      </c>
      <c r="AO600" s="170" t="str">
        <f t="shared" si="319"/>
        <v>0.110839785869347-0.169444017562414i</v>
      </c>
      <c r="AP600" s="170" t="str">
        <f t="shared" si="320"/>
        <v>-0.0667769342672675-0.152704351043586i</v>
      </c>
      <c r="AQ600" s="170" t="str">
        <f t="shared" si="321"/>
        <v>1.06677693426727+0.152704351043586i</v>
      </c>
      <c r="AR600" s="170" t="str">
        <f t="shared" si="322"/>
        <v>0.765177793153548-0.109531781746606i</v>
      </c>
    </row>
    <row r="601" spans="7:44">
      <c r="G601" s="688">
        <v>331130</v>
      </c>
      <c r="H601" s="676">
        <f t="shared" si="314"/>
        <v>331.13</v>
      </c>
      <c r="I601" s="677">
        <f t="shared" si="294"/>
        <v>2669.611042512006</v>
      </c>
      <c r="J601" s="678">
        <f t="shared" si="295"/>
        <v>1.5704217403823213</v>
      </c>
      <c r="K601" s="678">
        <f t="shared" si="296"/>
        <v>1.0997766796597566</v>
      </c>
      <c r="L601" s="679">
        <f t="shared" si="297"/>
        <v>0.42925633906719085</v>
      </c>
      <c r="M601" s="678">
        <f t="shared" si="298"/>
        <v>2.0165461072765791</v>
      </c>
      <c r="N601" s="679">
        <f t="shared" si="299"/>
        <v>-1.0519283662833241</v>
      </c>
      <c r="O601" s="677">
        <f t="shared" si="300"/>
        <v>13731637.579367438</v>
      </c>
      <c r="P601" s="680">
        <f t="shared" si="301"/>
        <v>1.5707962539703704</v>
      </c>
      <c r="Q601" s="689">
        <f t="shared" si="323"/>
        <v>549.26641348051862</v>
      </c>
      <c r="R601" s="690">
        <f t="shared" si="324"/>
        <v>1.5689757156526623</v>
      </c>
      <c r="S601" s="677">
        <f t="shared" si="302"/>
        <v>2.6894828567459612</v>
      </c>
      <c r="T601" s="680">
        <f t="shared" si="303"/>
        <v>1.1898289193775138</v>
      </c>
      <c r="U601" s="681">
        <f t="shared" si="315"/>
        <v>0.15623078924828063</v>
      </c>
      <c r="V601" s="682">
        <f t="shared" si="316"/>
        <v>-1.4410989313733535</v>
      </c>
      <c r="W601" s="683">
        <f t="shared" si="304"/>
        <v>-68.706027000594474</v>
      </c>
      <c r="X601" s="684">
        <f t="shared" si="305"/>
        <v>-276.5003884892796</v>
      </c>
      <c r="Y601" s="687">
        <f t="shared" si="306"/>
        <v>-96.500388489279601</v>
      </c>
      <c r="AA601" s="170">
        <f t="shared" si="307"/>
        <v>331130</v>
      </c>
      <c r="AB601" s="170">
        <f t="shared" si="308"/>
        <v>109647076900</v>
      </c>
      <c r="AD601" s="686">
        <f t="shared" si="309"/>
        <v>8.5532887167767786</v>
      </c>
      <c r="AE601" s="687">
        <f t="shared" si="310"/>
        <v>-68.276484663006812</v>
      </c>
      <c r="AG601" s="686">
        <f t="shared" si="311"/>
        <v>-6.7337037394241728</v>
      </c>
      <c r="AH601" s="687">
        <f t="shared" si="312"/>
        <v>-43.086130380562913</v>
      </c>
      <c r="AJ601" s="170">
        <f t="shared" si="313"/>
        <v>0</v>
      </c>
      <c r="AK601" s="170">
        <f t="shared" si="325"/>
        <v>0</v>
      </c>
      <c r="AM601" s="170" t="str">
        <f t="shared" si="317"/>
        <v>1.93546527414755+0.353418619860425i</v>
      </c>
      <c r="AN601" s="170" t="str">
        <f t="shared" si="318"/>
        <v>9.06355490891425i</v>
      </c>
      <c r="AO601" s="170" t="str">
        <f t="shared" si="319"/>
        <v>0.0389933776991662-0.213543724686212i</v>
      </c>
      <c r="AP601" s="170" t="str">
        <f t="shared" si="320"/>
        <v>-0.155910879024592-0.0589031033100708i</v>
      </c>
      <c r="AQ601" s="170" t="str">
        <f t="shared" si="321"/>
        <v>1.15591087902459+0.0589031033100708i</v>
      </c>
      <c r="AR601" s="170" t="str">
        <f t="shared" si="322"/>
        <v>0.718777318501447-0.0366275769325342i</v>
      </c>
    </row>
    <row r="602" spans="7:44">
      <c r="G602" s="688">
        <v>363080</v>
      </c>
      <c r="H602" s="676">
        <f t="shared" si="314"/>
        <v>363.08</v>
      </c>
      <c r="I602" s="677">
        <f t="shared" si="294"/>
        <v>2927.1958622710113</v>
      </c>
      <c r="J602" s="678">
        <f t="shared" si="295"/>
        <v>1.5704547029109808</v>
      </c>
      <c r="K602" s="678">
        <f t="shared" si="296"/>
        <v>1.118878598516412</v>
      </c>
      <c r="L602" s="679">
        <f t="shared" si="297"/>
        <v>0.46515508046044324</v>
      </c>
      <c r="M602" s="678">
        <f t="shared" si="298"/>
        <v>2.1648921714516773</v>
      </c>
      <c r="N602" s="679">
        <f t="shared" si="299"/>
        <v>-1.0906411958406061</v>
      </c>
      <c r="O602" s="677">
        <f t="shared" si="300"/>
        <v>15056572.863578435</v>
      </c>
      <c r="P602" s="680">
        <f t="shared" si="301"/>
        <v>1.5707962603787202</v>
      </c>
      <c r="Q602" s="689">
        <f t="shared" si="323"/>
        <v>602.26374474476938</v>
      </c>
      <c r="R602" s="690">
        <f t="shared" si="324"/>
        <v>1.5691359239095901</v>
      </c>
      <c r="S602" s="677">
        <f t="shared" si="302"/>
        <v>2.9144858293466895</v>
      </c>
      <c r="T602" s="680">
        <f t="shared" si="303"/>
        <v>1.2205664968916632</v>
      </c>
      <c r="U602" s="681">
        <f t="shared" si="315"/>
        <v>0.141229821405219</v>
      </c>
      <c r="V602" s="682">
        <f t="shared" si="316"/>
        <v>-1.756100988107433</v>
      </c>
      <c r="W602" s="683">
        <f t="shared" si="304"/>
        <v>-70.314641481585213</v>
      </c>
      <c r="X602" s="684">
        <f t="shared" si="305"/>
        <v>-296.46375546386844</v>
      </c>
      <c r="Y602" s="687">
        <f t="shared" si="306"/>
        <v>-116.46375546386844</v>
      </c>
      <c r="AA602" s="170">
        <f t="shared" si="307"/>
        <v>363080</v>
      </c>
      <c r="AB602" s="170">
        <f t="shared" si="308"/>
        <v>131827086400</v>
      </c>
      <c r="AD602" s="686">
        <f t="shared" si="309"/>
        <v>7.8554229407040719</v>
      </c>
      <c r="AE602" s="687">
        <f t="shared" si="310"/>
        <v>-70.028439239231986</v>
      </c>
      <c r="AG602" s="686">
        <f t="shared" si="311"/>
        <v>-5.8908437713678854</v>
      </c>
      <c r="AH602" s="687">
        <f t="shared" si="312"/>
        <v>-25.200965960073763</v>
      </c>
      <c r="AJ602" s="170">
        <f t="shared" si="313"/>
        <v>0</v>
      </c>
      <c r="AK602" s="170">
        <f t="shared" si="325"/>
        <v>0</v>
      </c>
      <c r="AM602" s="170" t="str">
        <f t="shared" si="317"/>
        <v>1.87112912772869-0.491054012123573i</v>
      </c>
      <c r="AN602" s="170" t="str">
        <f t="shared" si="318"/>
        <v>9.93807723953911i</v>
      </c>
      <c r="AO602" s="170" t="str">
        <f t="shared" si="319"/>
        <v>-0.0494113700555568-0.188278786995568i</v>
      </c>
      <c r="AP602" s="170" t="str">
        <f t="shared" si="320"/>
        <v>-0.145188187954781+0.0818423353539288i</v>
      </c>
      <c r="AQ602" s="170" t="str">
        <f t="shared" si="321"/>
        <v>1.14518818795478-0.0818423353539288i</v>
      </c>
      <c r="AR602" s="170" t="str">
        <f t="shared" si="322"/>
        <v>0.723695144378845+0.0517197970807241i</v>
      </c>
    </row>
    <row r="603" spans="7:44">
      <c r="G603" s="688">
        <v>398110</v>
      </c>
      <c r="H603" s="676">
        <f t="shared" si="314"/>
        <v>398.11</v>
      </c>
      <c r="I603" s="677">
        <f t="shared" si="294"/>
        <v>3209.612022937436</v>
      </c>
      <c r="J603" s="678">
        <f t="shared" si="295"/>
        <v>1.5704847626528657</v>
      </c>
      <c r="K603" s="678">
        <f t="shared" si="296"/>
        <v>1.1414195672330325</v>
      </c>
      <c r="L603" s="679">
        <f t="shared" si="297"/>
        <v>0.5030794627182118</v>
      </c>
      <c r="M603" s="678">
        <f t="shared" si="298"/>
        <v>2.3307667557822365</v>
      </c>
      <c r="N603" s="679">
        <f t="shared" si="299"/>
        <v>-1.1273628857307028</v>
      </c>
      <c r="O603" s="677">
        <f t="shared" si="300"/>
        <v>16509232.738567831</v>
      </c>
      <c r="P603" s="680">
        <f t="shared" si="301"/>
        <v>1.5707962662227297</v>
      </c>
      <c r="Q603" s="689">
        <f t="shared" si="323"/>
        <v>660.37006669436357</v>
      </c>
      <c r="R603" s="690">
        <f t="shared" si="324"/>
        <v>1.5692820237811465</v>
      </c>
      <c r="S603" s="677">
        <f t="shared" si="302"/>
        <v>3.1638702401336363</v>
      </c>
      <c r="T603" s="680">
        <f t="shared" si="303"/>
        <v>1.2492135558742228</v>
      </c>
      <c r="U603" s="681">
        <f t="shared" si="315"/>
        <v>0.11002215184732515</v>
      </c>
      <c r="V603" s="682">
        <f t="shared" si="316"/>
        <v>-2.1451080535362057</v>
      </c>
      <c r="W603" s="683">
        <f t="shared" si="304"/>
        <v>-73.182220589171081</v>
      </c>
      <c r="X603" s="684">
        <f t="shared" si="305"/>
        <v>-320.31801664455969</v>
      </c>
      <c r="Y603" s="687">
        <f t="shared" si="306"/>
        <v>-140.31801664455969</v>
      </c>
      <c r="AA603" s="170">
        <f t="shared" si="307"/>
        <v>398110</v>
      </c>
      <c r="AB603" s="170">
        <f t="shared" si="308"/>
        <v>158491572100</v>
      </c>
      <c r="AD603" s="686">
        <f t="shared" si="309"/>
        <v>7.1422866182233848</v>
      </c>
      <c r="AE603" s="687">
        <f t="shared" si="310"/>
        <v>-71.661424245070435</v>
      </c>
      <c r="AG603" s="686">
        <f t="shared" si="311"/>
        <v>-3.7074355502326366</v>
      </c>
      <c r="AH603" s="687">
        <f t="shared" si="312"/>
        <v>-2.845315984313618</v>
      </c>
      <c r="AJ603" s="170">
        <f t="shared" si="313"/>
        <v>0</v>
      </c>
      <c r="AK603" s="170">
        <f t="shared" si="325"/>
        <v>0</v>
      </c>
      <c r="AM603" s="170" t="str">
        <f t="shared" si="317"/>
        <v>1.09851018943886-0.995136042245843i</v>
      </c>
      <c r="AN603" s="170" t="str">
        <f t="shared" si="318"/>
        <v>10.896904070268i</v>
      </c>
      <c r="AO603" s="170" t="str">
        <f t="shared" si="319"/>
        <v>-0.0913228230540317-0.100809384239339i</v>
      </c>
      <c r="AP603" s="170" t="str">
        <f t="shared" si="320"/>
        <v>-0.0164183649064769+0.165856007040974i</v>
      </c>
      <c r="AQ603" s="170" t="str">
        <f t="shared" si="321"/>
        <v>1.01641836490648-0.165856007040974i</v>
      </c>
      <c r="AR603" s="170" t="str">
        <f t="shared" si="322"/>
        <v>0.798288625987574+0.130262270482201i</v>
      </c>
    </row>
    <row r="604" spans="7:44">
      <c r="G604" s="688">
        <v>436520</v>
      </c>
      <c r="H604" s="676">
        <f t="shared" si="314"/>
        <v>436.52</v>
      </c>
      <c r="I604" s="677">
        <f t="shared" si="294"/>
        <v>3519.2781613422808</v>
      </c>
      <c r="J604" s="678">
        <f t="shared" si="295"/>
        <v>1.5705121776121349</v>
      </c>
      <c r="K604" s="678">
        <f t="shared" si="296"/>
        <v>1.1679443007179133</v>
      </c>
      <c r="L604" s="679">
        <f t="shared" si="297"/>
        <v>0.54291716583645155</v>
      </c>
      <c r="M604" s="678">
        <f t="shared" si="298"/>
        <v>2.5157566380269967</v>
      </c>
      <c r="N604" s="679">
        <f t="shared" si="299"/>
        <v>-1.1620113316528655</v>
      </c>
      <c r="O604" s="677">
        <f t="shared" si="300"/>
        <v>18102057.911229629</v>
      </c>
      <c r="P604" s="680">
        <f t="shared" si="301"/>
        <v>1.5707962715525587</v>
      </c>
      <c r="Q604" s="689">
        <f t="shared" si="323"/>
        <v>724.08300697807874</v>
      </c>
      <c r="R604" s="690">
        <f t="shared" si="324"/>
        <v>1.5694152692251848</v>
      </c>
      <c r="S604" s="677">
        <f t="shared" si="302"/>
        <v>3.4398467226158855</v>
      </c>
      <c r="T604" s="680">
        <f t="shared" si="303"/>
        <v>1.2758268683922676</v>
      </c>
      <c r="U604" s="681">
        <f t="shared" si="315"/>
        <v>4.8773533871203506E-2</v>
      </c>
      <c r="V604" s="682">
        <f t="shared" si="316"/>
        <v>-2.7212273349255591</v>
      </c>
      <c r="W604" s="683">
        <f t="shared" si="304"/>
        <v>-80.911637558546587</v>
      </c>
      <c r="X604" s="684">
        <f t="shared" si="305"/>
        <v>-354.54866461865282</v>
      </c>
      <c r="Y604" s="687">
        <f t="shared" si="306"/>
        <v>-174.54866461865282</v>
      </c>
      <c r="AA604" s="170">
        <f t="shared" si="307"/>
        <v>436520</v>
      </c>
      <c r="AB604" s="170">
        <f t="shared" si="308"/>
        <v>190549710400</v>
      </c>
      <c r="AD604" s="686">
        <f t="shared" si="309"/>
        <v>6.4158763896829623</v>
      </c>
      <c r="AE604" s="687">
        <f t="shared" si="310"/>
        <v>-73.178620636744697</v>
      </c>
      <c r="AG604" s="686">
        <f t="shared" si="311"/>
        <v>3.4213941633256937</v>
      </c>
      <c r="AH604" s="687">
        <f t="shared" si="312"/>
        <v>30.45963914814412</v>
      </c>
      <c r="AJ604" s="170">
        <f t="shared" si="313"/>
        <v>0</v>
      </c>
      <c r="AK604" s="170">
        <f t="shared" si="325"/>
        <v>0</v>
      </c>
      <c r="AM604" s="170" t="str">
        <f t="shared" si="317"/>
        <v>0.185032801183169-0.579507087836419i</v>
      </c>
      <c r="AN604" s="170" t="str">
        <f t="shared" si="318"/>
        <v>11.9482468783839i</v>
      </c>
      <c r="AO604" s="170" t="str">
        <f t="shared" si="319"/>
        <v>-0.0485014323636743-0.015486188314197i</v>
      </c>
      <c r="AP604" s="170" t="str">
        <f t="shared" si="320"/>
        <v>0.135827866469472+0.0965845146394032i</v>
      </c>
      <c r="AQ604" s="170" t="str">
        <f t="shared" si="321"/>
        <v>0.864172133530528-0.0965845146394032i</v>
      </c>
      <c r="AR604" s="170" t="str">
        <f t="shared" si="322"/>
        <v>0.952035973748611+0.106404648884125i</v>
      </c>
    </row>
    <row r="605" spans="7:44">
      <c r="G605" s="688">
        <v>478630</v>
      </c>
      <c r="H605" s="676">
        <f t="shared" si="314"/>
        <v>478.63</v>
      </c>
      <c r="I605" s="677">
        <f t="shared" si="294"/>
        <v>3858.7741567948747</v>
      </c>
      <c r="J605" s="678">
        <f t="shared" si="295"/>
        <v>1.5705371771347818</v>
      </c>
      <c r="K605" s="678">
        <f t="shared" si="296"/>
        <v>1.1990532126286451</v>
      </c>
      <c r="L605" s="679">
        <f t="shared" si="297"/>
        <v>0.58449408754562537</v>
      </c>
      <c r="M605" s="678">
        <f t="shared" si="298"/>
        <v>2.721540039037798</v>
      </c>
      <c r="N605" s="679">
        <f t="shared" si="299"/>
        <v>-1.1945424118764971</v>
      </c>
      <c r="O605" s="677">
        <f t="shared" si="300"/>
        <v>19848318.468917426</v>
      </c>
      <c r="P605" s="680">
        <f t="shared" si="301"/>
        <v>1.570796276412795</v>
      </c>
      <c r="Q605" s="689">
        <f t="shared" si="323"/>
        <v>793.93336853271774</v>
      </c>
      <c r="R605" s="690">
        <f t="shared" si="324"/>
        <v>1.5695367749180684</v>
      </c>
      <c r="S605" s="677">
        <f t="shared" si="302"/>
        <v>3.744773751205972</v>
      </c>
      <c r="T605" s="680">
        <f t="shared" si="303"/>
        <v>1.3004773644956571</v>
      </c>
      <c r="U605" s="681">
        <f t="shared" si="315"/>
        <v>3.9013564217132632E-2</v>
      </c>
      <c r="V605" s="682">
        <f t="shared" si="316"/>
        <v>-0.36604061409553795</v>
      </c>
      <c r="W605" s="683">
        <f t="shared" si="304"/>
        <v>-83.477407520844693</v>
      </c>
      <c r="X605" s="684">
        <f t="shared" si="305"/>
        <v>-220.49495712923931</v>
      </c>
      <c r="Y605" s="687">
        <f t="shared" si="306"/>
        <v>-40.49495712923931</v>
      </c>
      <c r="AA605" s="170">
        <f t="shared" si="307"/>
        <v>478630</v>
      </c>
      <c r="AB605" s="170">
        <f t="shared" si="308"/>
        <v>229086676900</v>
      </c>
      <c r="AD605" s="686">
        <f t="shared" si="309"/>
        <v>5.6781451392669302</v>
      </c>
      <c r="AE605" s="687">
        <f t="shared" si="310"/>
        <v>-74.584028543060484</v>
      </c>
      <c r="AG605" s="686">
        <f t="shared" si="311"/>
        <v>5.4720992444854675</v>
      </c>
      <c r="AH605" s="687">
        <f t="shared" si="312"/>
        <v>-103.96576390214715</v>
      </c>
      <c r="AJ605" s="170">
        <f t="shared" si="313"/>
        <v>0</v>
      </c>
      <c r="AK605" s="170">
        <f t="shared" si="325"/>
        <v>0</v>
      </c>
      <c r="AM605" s="170" t="str">
        <f t="shared" si="317"/>
        <v>0.139473480225612+0.509405642651296i</v>
      </c>
      <c r="AN605" s="170" t="str">
        <f t="shared" si="318"/>
        <v>13.1008645729883i</v>
      </c>
      <c r="AO605" s="170" t="str">
        <f t="shared" si="319"/>
        <v>0.0388833606983162-0.010646127929082i</v>
      </c>
      <c r="AP605" s="170" t="str">
        <f t="shared" si="320"/>
        <v>0.143421086629065-0.0849009404418827i</v>
      </c>
      <c r="AQ605" s="170" t="str">
        <f t="shared" si="321"/>
        <v>0.856578913370935+0.0849009404418827i</v>
      </c>
      <c r="AR605" s="170" t="str">
        <f t="shared" si="322"/>
        <v>0.963012481092164-0.0954502428506429i</v>
      </c>
    </row>
    <row r="606" spans="7:44">
      <c r="G606" s="688">
        <v>524810</v>
      </c>
      <c r="H606" s="676">
        <f t="shared" si="314"/>
        <v>524.80999999999995</v>
      </c>
      <c r="I606" s="677">
        <f t="shared" si="294"/>
        <v>4231.0829947694901</v>
      </c>
      <c r="J606" s="678">
        <f t="shared" si="295"/>
        <v>1.5705599806843273</v>
      </c>
      <c r="K606" s="678">
        <f t="shared" si="296"/>
        <v>1.2354233414167757</v>
      </c>
      <c r="L606" s="679">
        <f t="shared" si="297"/>
        <v>0.62759998796289207</v>
      </c>
      <c r="M606" s="678">
        <f t="shared" si="298"/>
        <v>2.9500375386977886</v>
      </c>
      <c r="N606" s="679">
        <f t="shared" si="299"/>
        <v>-1.2249651745162617</v>
      </c>
      <c r="O606" s="677">
        <f t="shared" si="300"/>
        <v>21763357.950133823</v>
      </c>
      <c r="P606" s="680">
        <f t="shared" si="301"/>
        <v>1.5707962808461049</v>
      </c>
      <c r="Q606" s="689">
        <f t="shared" si="323"/>
        <v>870.53489236505811</v>
      </c>
      <c r="R606" s="690">
        <f t="shared" si="324"/>
        <v>1.5696476075089767</v>
      </c>
      <c r="S606" s="677">
        <f t="shared" si="302"/>
        <v>4.0813777825414812</v>
      </c>
      <c r="T606" s="680">
        <f t="shared" si="303"/>
        <v>1.3232608537302759</v>
      </c>
      <c r="U606" s="681">
        <f t="shared" si="315"/>
        <v>8.6450221580390244E-2</v>
      </c>
      <c r="V606" s="682">
        <f t="shared" si="316"/>
        <v>-1.0544748286352865</v>
      </c>
      <c r="W606" s="683">
        <f t="shared" si="304"/>
        <v>-77.154263744081476</v>
      </c>
      <c r="X606" s="684">
        <f t="shared" si="305"/>
        <v>-260.51299621205493</v>
      </c>
      <c r="Y606" s="687">
        <f t="shared" si="306"/>
        <v>-80.512996212054929</v>
      </c>
      <c r="AA606" s="170">
        <f t="shared" si="307"/>
        <v>524810</v>
      </c>
      <c r="AB606" s="170">
        <f t="shared" si="308"/>
        <v>275425536100</v>
      </c>
      <c r="AD606" s="686">
        <f t="shared" si="309"/>
        <v>4.9305197390262947</v>
      </c>
      <c r="AE606" s="687">
        <f t="shared" si="310"/>
        <v>-75.883076334588665</v>
      </c>
      <c r="AG606" s="686">
        <f t="shared" si="311"/>
        <v>-1.2791508654609207</v>
      </c>
      <c r="AH606" s="687">
        <f t="shared" si="312"/>
        <v>-63.796005172228121</v>
      </c>
      <c r="AJ606" s="170">
        <f t="shared" si="313"/>
        <v>0</v>
      </c>
      <c r="AK606" s="170">
        <f t="shared" si="325"/>
        <v>0</v>
      </c>
      <c r="AM606" s="170" t="str">
        <f t="shared" si="317"/>
        <v>1.22575473443157+0.974184171438714i</v>
      </c>
      <c r="AN606" s="170" t="str">
        <f t="shared" si="318"/>
        <v>14.3648846427303i</v>
      </c>
      <c r="AO606" s="170" t="str">
        <f t="shared" si="319"/>
        <v>0.0678170549689533-0.0853299392871834i</v>
      </c>
      <c r="AP606" s="170" t="str">
        <f t="shared" si="320"/>
        <v>-0.0376257890719277-0.162364028573119i</v>
      </c>
      <c r="AQ606" s="170" t="str">
        <f t="shared" si="321"/>
        <v>1.03762578907193+0.162364028573119i</v>
      </c>
      <c r="AR606" s="170" t="str">
        <f t="shared" si="322"/>
        <v>0.783607687009123-0.122616170707805i</v>
      </c>
    </row>
    <row r="607" spans="7:44">
      <c r="G607" s="688">
        <v>575440</v>
      </c>
      <c r="H607" s="676">
        <f t="shared" si="314"/>
        <v>575.44000000000005</v>
      </c>
      <c r="I607" s="677">
        <f t="shared" si="294"/>
        <v>4639.2682819884794</v>
      </c>
      <c r="J607" s="678">
        <f t="shared" si="295"/>
        <v>1.5705807755598826</v>
      </c>
      <c r="K607" s="678">
        <f t="shared" si="296"/>
        <v>1.27777569190532</v>
      </c>
      <c r="L607" s="679">
        <f t="shared" si="297"/>
        <v>0.67194884425064771</v>
      </c>
      <c r="M607" s="678">
        <f t="shared" si="298"/>
        <v>3.2032203280345057</v>
      </c>
      <c r="N607" s="679">
        <f t="shared" si="299"/>
        <v>-1.253303337718898</v>
      </c>
      <c r="O607" s="677">
        <f t="shared" si="300"/>
        <v>23862934.583611224</v>
      </c>
      <c r="P607" s="680">
        <f t="shared" si="301"/>
        <v>1.5707962848889023</v>
      </c>
      <c r="Q607" s="689">
        <f t="shared" si="323"/>
        <v>954.51790716923267</v>
      </c>
      <c r="R607" s="690">
        <f t="shared" si="324"/>
        <v>1.5697486773213587</v>
      </c>
      <c r="S607" s="677">
        <f t="shared" si="302"/>
        <v>4.4524657369337328</v>
      </c>
      <c r="T607" s="680">
        <f t="shared" si="303"/>
        <v>1.3442692841144159</v>
      </c>
      <c r="U607" s="681">
        <f t="shared" si="315"/>
        <v>9.0652023511595459E-2</v>
      </c>
      <c r="V607" s="682">
        <f t="shared" si="316"/>
        <v>-1.5860635454208005</v>
      </c>
      <c r="W607" s="683">
        <f t="shared" si="304"/>
        <v>-77.289909758482494</v>
      </c>
      <c r="X607" s="684">
        <f t="shared" si="305"/>
        <v>-291.25253622666855</v>
      </c>
      <c r="Y607" s="687">
        <f t="shared" si="306"/>
        <v>-111.25253622666855</v>
      </c>
      <c r="AA607" s="170">
        <f t="shared" si="307"/>
        <v>575440</v>
      </c>
      <c r="AB607" s="170">
        <f t="shared" si="308"/>
        <v>331131193600</v>
      </c>
      <c r="AD607" s="686">
        <f t="shared" si="309"/>
        <v>4.1746429728864189</v>
      </c>
      <c r="AE607" s="687">
        <f t="shared" si="310"/>
        <v>-77.080980089112671</v>
      </c>
      <c r="AG607" s="686">
        <f t="shared" si="311"/>
        <v>-1.483375793757318</v>
      </c>
      <c r="AH607" s="687">
        <f t="shared" si="312"/>
        <v>-32.422061545541183</v>
      </c>
      <c r="AJ607" s="170">
        <f t="shared" si="313"/>
        <v>0</v>
      </c>
      <c r="AK607" s="170">
        <f t="shared" si="325"/>
        <v>0</v>
      </c>
      <c r="AM607" s="170" t="str">
        <f t="shared" si="317"/>
        <v>1.99908657054503-0.0427320085716936i</v>
      </c>
      <c r="AN607" s="170" t="str">
        <f t="shared" si="318"/>
        <v>15.7507082921681i</v>
      </c>
      <c r="AO607" s="170" t="str">
        <f t="shared" si="319"/>
        <v>-0.00271302139427861-0.126920423733519i</v>
      </c>
      <c r="AP607" s="170" t="str">
        <f t="shared" si="320"/>
        <v>-0.166514428424172+0.0071220014286156i</v>
      </c>
      <c r="AQ607" s="170" t="str">
        <f t="shared" si="321"/>
        <v>1.16651442842417-0.0071220014286156i</v>
      </c>
      <c r="AR607" s="170" t="str">
        <f t="shared" si="322"/>
        <v>0.714066564750627+0.00435964011276796i</v>
      </c>
    </row>
    <row r="608" spans="7:44">
      <c r="G608" s="688">
        <v>630960</v>
      </c>
      <c r="H608" s="676">
        <f t="shared" si="314"/>
        <v>630.96</v>
      </c>
      <c r="I608" s="677">
        <f t="shared" si="294"/>
        <v>5086.8773525694596</v>
      </c>
      <c r="J608" s="678">
        <f t="shared" si="295"/>
        <v>1.5705997425375751</v>
      </c>
      <c r="K608" s="678">
        <f t="shared" si="296"/>
        <v>1.3269106345203403</v>
      </c>
      <c r="L608" s="679">
        <f t="shared" si="297"/>
        <v>0.71722860485826179</v>
      </c>
      <c r="M608" s="678">
        <f t="shared" si="298"/>
        <v>3.48336129709709</v>
      </c>
      <c r="N608" s="679">
        <f t="shared" si="299"/>
        <v>-1.2796202086537789</v>
      </c>
      <c r="O608" s="677">
        <f t="shared" si="300"/>
        <v>26165294.739460818</v>
      </c>
      <c r="P608" s="680">
        <f t="shared" si="301"/>
        <v>1.5707962885763322</v>
      </c>
      <c r="Q608" s="689">
        <f t="shared" si="323"/>
        <v>1046.6122673103771</v>
      </c>
      <c r="R608" s="690">
        <f t="shared" si="324"/>
        <v>1.5698408629776019</v>
      </c>
      <c r="S608" s="677">
        <f t="shared" si="302"/>
        <v>4.8612913592412079</v>
      </c>
      <c r="T608" s="680">
        <f t="shared" si="303"/>
        <v>1.3636105729997627</v>
      </c>
      <c r="U608" s="681">
        <f t="shared" si="315"/>
        <v>6.7473203320807529E-2</v>
      </c>
      <c r="V608" s="682">
        <f t="shared" si="316"/>
        <v>-2.1870874051066465</v>
      </c>
      <c r="W608" s="683">
        <f t="shared" si="304"/>
        <v>-80.361915650570168</v>
      </c>
      <c r="X608" s="684">
        <f t="shared" si="305"/>
        <v>-325.706152580565</v>
      </c>
      <c r="Y608" s="687">
        <f t="shared" si="306"/>
        <v>-145.706152580565</v>
      </c>
      <c r="AA608" s="170">
        <f t="shared" si="307"/>
        <v>630960</v>
      </c>
      <c r="AB608" s="170">
        <f t="shared" si="308"/>
        <v>398110521600</v>
      </c>
      <c r="AD608" s="686">
        <f t="shared" si="309"/>
        <v>3.4116208714927243</v>
      </c>
      <c r="AE608" s="687">
        <f t="shared" si="310"/>
        <v>-78.183872676086352</v>
      </c>
      <c r="AG608" s="686">
        <f t="shared" si="311"/>
        <v>1.3374873667532108</v>
      </c>
      <c r="AH608" s="687">
        <f t="shared" si="312"/>
        <v>3.0994758595579759</v>
      </c>
      <c r="AJ608" s="170">
        <f t="shared" si="313"/>
        <v>0</v>
      </c>
      <c r="AK608" s="170">
        <f t="shared" si="325"/>
        <v>0</v>
      </c>
      <c r="AM608" s="170" t="str">
        <f t="shared" si="317"/>
        <v>1.00838047532749-0.999964883200048i</v>
      </c>
      <c r="AN608" s="170" t="str">
        <f t="shared" si="318"/>
        <v>17.2703790213165i</v>
      </c>
      <c r="AO608" s="170" t="str">
        <f t="shared" si="319"/>
        <v>-0.0579005754283569-0.0583878601669868i</v>
      </c>
      <c r="AP608" s="170" t="str">
        <f t="shared" si="320"/>
        <v>-0.00139674588791538+0.166660813866675i</v>
      </c>
      <c r="AQ608" s="170" t="str">
        <f t="shared" si="321"/>
        <v>1.00139674588792-0.166660813866675i</v>
      </c>
      <c r="AR608" s="170" t="str">
        <f t="shared" si="322"/>
        <v>0.809418537046882+0.134710196230361i</v>
      </c>
    </row>
    <row r="609" spans="7:44">
      <c r="G609" s="688">
        <v>691830</v>
      </c>
      <c r="H609" s="676">
        <f t="shared" si="314"/>
        <v>691.83</v>
      </c>
      <c r="I609" s="677">
        <f t="shared" si="294"/>
        <v>5577.618783105836</v>
      </c>
      <c r="J609" s="678">
        <f t="shared" si="295"/>
        <v>1.5706170388148026</v>
      </c>
      <c r="K609" s="678">
        <f t="shared" si="296"/>
        <v>1.3836699282104066</v>
      </c>
      <c r="L609" s="679">
        <f t="shared" si="297"/>
        <v>0.76307274262958014</v>
      </c>
      <c r="M609" s="678">
        <f t="shared" si="298"/>
        <v>3.7928391269279471</v>
      </c>
      <c r="N609" s="679">
        <f t="shared" si="299"/>
        <v>-1.3039872797735406</v>
      </c>
      <c r="O609" s="677">
        <f t="shared" si="300"/>
        <v>28689514.168253422</v>
      </c>
      <c r="P609" s="680">
        <f t="shared" si="301"/>
        <v>1.570796291938956</v>
      </c>
      <c r="Q609" s="689">
        <f t="shared" si="323"/>
        <v>1147.58100242931</v>
      </c>
      <c r="R609" s="690">
        <f t="shared" si="324"/>
        <v>1.5699249285019317</v>
      </c>
      <c r="S609" s="677">
        <f t="shared" si="302"/>
        <v>5.3112642600433322</v>
      </c>
      <c r="T609" s="680">
        <f t="shared" si="303"/>
        <v>1.3813867238433903</v>
      </c>
      <c r="U609" s="681">
        <f t="shared" si="315"/>
        <v>4.5832726321067161E-3</v>
      </c>
      <c r="V609" s="682">
        <f t="shared" si="316"/>
        <v>-6.0815552611054181E-2</v>
      </c>
      <c r="W609" s="683">
        <f t="shared" si="304"/>
        <v>-104.18677091103204</v>
      </c>
      <c r="X609" s="684">
        <f t="shared" si="305"/>
        <v>-203.66387693612717</v>
      </c>
      <c r="Y609" s="687">
        <f t="shared" si="306"/>
        <v>-23.663876936127167</v>
      </c>
      <c r="AA609" s="170">
        <f t="shared" si="307"/>
        <v>691830</v>
      </c>
      <c r="AB609" s="170">
        <f t="shared" si="308"/>
        <v>478628748900</v>
      </c>
      <c r="AD609" s="686">
        <f t="shared" si="309"/>
        <v>2.6426950239260489</v>
      </c>
      <c r="AE609" s="687">
        <f t="shared" si="310"/>
        <v>-79.197554689489934</v>
      </c>
      <c r="AG609" s="686">
        <f t="shared" si="311"/>
        <v>24.99978344655187</v>
      </c>
      <c r="AH609" s="687">
        <f t="shared" si="312"/>
        <v>-117.49737325193564</v>
      </c>
      <c r="AJ609" s="170">
        <f t="shared" si="313"/>
        <v>0</v>
      </c>
      <c r="AK609" s="170">
        <f t="shared" si="325"/>
        <v>0</v>
      </c>
      <c r="AM609" s="170" t="str">
        <f t="shared" si="317"/>
        <v>0.00377619344153102+0.0868223890834296i</v>
      </c>
      <c r="AN609" s="170" t="str">
        <f t="shared" si="318"/>
        <v>18.9364877620093i</v>
      </c>
      <c r="AO609" s="170" t="str">
        <f t="shared" si="319"/>
        <v>0.0045849256828721-0.000199413612967178i</v>
      </c>
      <c r="AP609" s="170" t="str">
        <f t="shared" si="320"/>
        <v>0.166037301093078-0.0144703981805716i</v>
      </c>
      <c r="AQ609" s="170" t="str">
        <f t="shared" si="321"/>
        <v>0.833962698906922+0.0144703981805716i</v>
      </c>
      <c r="AR609" s="170" t="str">
        <f t="shared" si="322"/>
        <v>0.998545001032524-0.0173261271578438i</v>
      </c>
    </row>
    <row r="610" spans="7:44">
      <c r="G610" s="688">
        <v>758580</v>
      </c>
      <c r="H610" s="676">
        <f t="shared" si="314"/>
        <v>758.58</v>
      </c>
      <c r="I610" s="677">
        <f t="shared" si="294"/>
        <v>6115.765498818324</v>
      </c>
      <c r="J610" s="678">
        <f t="shared" si="295"/>
        <v>1.5706328149655682</v>
      </c>
      <c r="K610" s="678">
        <f t="shared" si="296"/>
        <v>1.4489761909202112</v>
      </c>
      <c r="L610" s="679">
        <f t="shared" si="297"/>
        <v>0.80911042901167274</v>
      </c>
      <c r="M610" s="678">
        <f t="shared" si="298"/>
        <v>4.1343939475336082</v>
      </c>
      <c r="N610" s="679">
        <f t="shared" si="299"/>
        <v>-1.3265001917448851</v>
      </c>
      <c r="O610" s="677">
        <f t="shared" si="300"/>
        <v>31457571.452168416</v>
      </c>
      <c r="P610" s="680">
        <f t="shared" si="301"/>
        <v>1.5707962950060472</v>
      </c>
      <c r="Q610" s="689">
        <f t="shared" si="323"/>
        <v>1258.3032554472902</v>
      </c>
      <c r="R610" s="690">
        <f t="shared" si="324"/>
        <v>1.5700016057283059</v>
      </c>
      <c r="S610" s="677">
        <f t="shared" si="302"/>
        <v>5.8063197307313654</v>
      </c>
      <c r="T610" s="680">
        <f t="shared" si="303"/>
        <v>1.3977071992969725</v>
      </c>
      <c r="U610" s="681">
        <f t="shared" si="315"/>
        <v>6.1432815492572471E-2</v>
      </c>
      <c r="V610" s="682">
        <f t="shared" si="316"/>
        <v>-1.1045261498589216</v>
      </c>
      <c r="W610" s="683">
        <f t="shared" si="304"/>
        <v>-82.066853962382794</v>
      </c>
      <c r="X610" s="684">
        <f t="shared" si="305"/>
        <v>-263.04782413589959</v>
      </c>
      <c r="Y610" s="687">
        <f t="shared" si="306"/>
        <v>-83.047824135899589</v>
      </c>
      <c r="AA610" s="170">
        <f t="shared" si="307"/>
        <v>758580</v>
      </c>
      <c r="AB610" s="170">
        <f t="shared" si="308"/>
        <v>575443616400</v>
      </c>
      <c r="AD610" s="686">
        <f t="shared" si="309"/>
        <v>1.8686337313743342</v>
      </c>
      <c r="AE610" s="687">
        <f t="shared" si="310"/>
        <v>-80.128255947965911</v>
      </c>
      <c r="AG610" s="686">
        <f t="shared" si="311"/>
        <v>2.8047725667130612</v>
      </c>
      <c r="AH610" s="687">
        <f t="shared" si="312"/>
        <v>-56.350194545806119</v>
      </c>
      <c r="AJ610" s="170">
        <f t="shared" si="313"/>
        <v>0</v>
      </c>
      <c r="AK610" s="170">
        <f t="shared" si="325"/>
        <v>0</v>
      </c>
      <c r="AM610" s="170" t="str">
        <f t="shared" si="317"/>
        <v>1.33649203285792+0.941686312857494i</v>
      </c>
      <c r="AN610" s="170" t="str">
        <f t="shared" si="318"/>
        <v>20.7635414574462i</v>
      </c>
      <c r="AO610" s="170" t="str">
        <f t="shared" si="319"/>
        <v>0.0453528756058995-0.064367248506089i</v>
      </c>
      <c r="AP610" s="170" t="str">
        <f t="shared" si="320"/>
        <v>-0.0560820054763207-0.156947718809582i</v>
      </c>
      <c r="AQ610" s="170" t="str">
        <f t="shared" si="321"/>
        <v>1.05608200547632+0.156947718809582i</v>
      </c>
      <c r="AR610" s="170" t="str">
        <f t="shared" si="322"/>
        <v>0.771720380162163-0.114687829730312i</v>
      </c>
    </row>
    <row r="611" spans="7:44">
      <c r="G611" s="688">
        <v>831760</v>
      </c>
      <c r="H611" s="676">
        <f t="shared" si="314"/>
        <v>831.76</v>
      </c>
      <c r="I611" s="677">
        <f t="shared" si="294"/>
        <v>6705.7516674018843</v>
      </c>
      <c r="J611" s="678">
        <f t="shared" si="295"/>
        <v>1.5706472010811354</v>
      </c>
      <c r="K611" s="678">
        <f t="shared" si="296"/>
        <v>1.5237807526375562</v>
      </c>
      <c r="L611" s="679">
        <f t="shared" si="297"/>
        <v>0.85494184467791867</v>
      </c>
      <c r="M611" s="678">
        <f t="shared" si="298"/>
        <v>4.5108756200707782</v>
      </c>
      <c r="N611" s="679">
        <f t="shared" si="299"/>
        <v>-1.3472527129074277</v>
      </c>
      <c r="O611" s="677">
        <f t="shared" si="300"/>
        <v>34492274.553844817</v>
      </c>
      <c r="P611" s="680">
        <f t="shared" si="301"/>
        <v>1.5707962978028973</v>
      </c>
      <c r="Q611" s="689">
        <f t="shared" si="323"/>
        <v>1379.6913445537357</v>
      </c>
      <c r="R611" s="690">
        <f t="shared" si="324"/>
        <v>1.570071526939115</v>
      </c>
      <c r="S611" s="677">
        <f t="shared" si="302"/>
        <v>6.3505501912951612</v>
      </c>
      <c r="T611" s="680">
        <f t="shared" si="303"/>
        <v>1.4126715345059444</v>
      </c>
      <c r="U611" s="681">
        <f t="shared" si="315"/>
        <v>6.0213819348200685E-2</v>
      </c>
      <c r="V611" s="682">
        <f t="shared" si="316"/>
        <v>-1.8546314311419665</v>
      </c>
      <c r="W611" s="683">
        <f t="shared" si="304"/>
        <v>-82.624875654751179</v>
      </c>
      <c r="X611" s="684">
        <f t="shared" si="305"/>
        <v>-305.44298766678759</v>
      </c>
      <c r="Y611" s="687">
        <f t="shared" si="306"/>
        <v>-125.44298766678759</v>
      </c>
      <c r="AA611" s="170">
        <f t="shared" si="307"/>
        <v>831760</v>
      </c>
      <c r="AB611" s="170">
        <f t="shared" si="308"/>
        <v>691824697600</v>
      </c>
      <c r="AD611" s="686">
        <f t="shared" si="309"/>
        <v>1.0904251540737433</v>
      </c>
      <c r="AE611" s="687">
        <f t="shared" si="310"/>
        <v>-80.981643169604041</v>
      </c>
      <c r="AG611" s="686">
        <f t="shared" si="311"/>
        <v>3.3731292277993425</v>
      </c>
      <c r="AH611" s="687">
        <f t="shared" si="312"/>
        <v>-11.936237140853388</v>
      </c>
      <c r="AJ611" s="170">
        <f t="shared" si="313"/>
        <v>0</v>
      </c>
      <c r="AK611" s="170">
        <f t="shared" si="325"/>
        <v>0</v>
      </c>
      <c r="AM611" s="170" t="str">
        <f t="shared" si="317"/>
        <v>1.71410895438291-0.70003457148211i</v>
      </c>
      <c r="AN611" s="170" t="str">
        <f t="shared" si="318"/>
        <v>22.7665944826458i</v>
      </c>
      <c r="AO611" s="170" t="str">
        <f t="shared" si="319"/>
        <v>-0.0307483217138919-0.0752905295383338i</v>
      </c>
      <c r="AP611" s="170" t="str">
        <f t="shared" si="320"/>
        <v>-0.119018159063819+0.116672428580352i</v>
      </c>
      <c r="AQ611" s="170" t="str">
        <f t="shared" si="321"/>
        <v>1.11901815906382-0.116672428580352i</v>
      </c>
      <c r="AR611" s="170" t="str">
        <f t="shared" si="322"/>
        <v>0.736397334739281+0.0767791521059939i</v>
      </c>
    </row>
    <row r="612" spans="7:44">
      <c r="G612" s="688">
        <v>912010</v>
      </c>
      <c r="H612" s="676">
        <f t="shared" si="314"/>
        <v>912.01</v>
      </c>
      <c r="I612" s="677">
        <f t="shared" si="294"/>
        <v>7352.7370476415936</v>
      </c>
      <c r="J612" s="678">
        <f t="shared" si="295"/>
        <v>1.5706603230188056</v>
      </c>
      <c r="K612" s="678">
        <f t="shared" si="296"/>
        <v>1.6091283970456143</v>
      </c>
      <c r="L612" s="679">
        <f t="shared" si="297"/>
        <v>0.90019852230715536</v>
      </c>
      <c r="M612" s="678">
        <f t="shared" si="298"/>
        <v>4.9256044322134578</v>
      </c>
      <c r="N612" s="679">
        <f t="shared" si="299"/>
        <v>-1.3663543708467285</v>
      </c>
      <c r="O612" s="677">
        <f t="shared" si="300"/>
        <v>37820163.647989817</v>
      </c>
      <c r="P612" s="680">
        <f t="shared" si="301"/>
        <v>1.5707963003539744</v>
      </c>
      <c r="Q612" s="689">
        <f t="shared" si="323"/>
        <v>1512.8068764310819</v>
      </c>
      <c r="R612" s="690">
        <f t="shared" si="324"/>
        <v>1.5701353038392207</v>
      </c>
      <c r="S612" s="677">
        <f t="shared" si="302"/>
        <v>6.948725499076196</v>
      </c>
      <c r="T612" s="680">
        <f t="shared" si="303"/>
        <v>1.4263836119031921</v>
      </c>
      <c r="U612" s="681">
        <f t="shared" si="315"/>
        <v>6.7589937614446621E-3</v>
      </c>
      <c r="V612" s="682">
        <f t="shared" si="316"/>
        <v>-3.0231606160773881</v>
      </c>
      <c r="W612" s="683">
        <f t="shared" si="304"/>
        <v>-101.96572816951367</v>
      </c>
      <c r="X612" s="684">
        <f t="shared" si="305"/>
        <v>-371.67894802964605</v>
      </c>
      <c r="Y612" s="687">
        <f t="shared" si="306"/>
        <v>-191.67894802964605</v>
      </c>
      <c r="AA612" s="170">
        <f t="shared" si="307"/>
        <v>912010</v>
      </c>
      <c r="AB612" s="170">
        <f t="shared" si="308"/>
        <v>831762240100</v>
      </c>
      <c r="AD612" s="686">
        <f t="shared" si="309"/>
        <v>0.30854871138875534</v>
      </c>
      <c r="AE612" s="687">
        <f t="shared" si="310"/>
        <v>-81.763633332676108</v>
      </c>
      <c r="AG612" s="686">
        <f t="shared" si="311"/>
        <v>22.806718343187569</v>
      </c>
      <c r="AH612" s="687">
        <f t="shared" si="312"/>
        <v>56.513373881690754</v>
      </c>
      <c r="AJ612" s="170">
        <f t="shared" si="313"/>
        <v>0</v>
      </c>
      <c r="AK612" s="170">
        <f t="shared" si="325"/>
        <v>0</v>
      </c>
      <c r="AM612" s="170" t="str">
        <f t="shared" si="317"/>
        <v>0.0143436850552781-0.168765010620065i</v>
      </c>
      <c r="AN612" s="170" t="str">
        <f t="shared" si="318"/>
        <v>24.9631646558116i</v>
      </c>
      <c r="AO612" s="170" t="str">
        <f t="shared" si="319"/>
        <v>-0.00676056152923605-0.000574594016946437i</v>
      </c>
      <c r="AP612" s="170" t="str">
        <f t="shared" si="320"/>
        <v>0.164276052490787+0.0281275017700108i</v>
      </c>
      <c r="AQ612" s="170" t="str">
        <f t="shared" si="321"/>
        <v>0.835723947509213-0.0281275017700108i</v>
      </c>
      <c r="AR612" s="170" t="str">
        <f t="shared" si="322"/>
        <v>0.995612826244263+0.0335087939215984i</v>
      </c>
    </row>
    <row r="613" spans="7:44">
      <c r="G613" s="688">
        <v>1000000</v>
      </c>
      <c r="H613" s="676">
        <f t="shared" si="314"/>
        <v>1000</v>
      </c>
      <c r="I613" s="677">
        <f t="shared" si="294"/>
        <v>8062.1232620268511</v>
      </c>
      <c r="J613" s="678">
        <f t="shared" si="295"/>
        <v>1.5706722899909353</v>
      </c>
      <c r="K613" s="678">
        <f t="shared" si="296"/>
        <v>1.7060936104693043</v>
      </c>
      <c r="L613" s="679">
        <f t="shared" si="297"/>
        <v>0.94451696467950974</v>
      </c>
      <c r="M613" s="678">
        <f t="shared" si="298"/>
        <v>5.3820647180505805</v>
      </c>
      <c r="N613" s="679">
        <f t="shared" si="299"/>
        <v>-1.3839080101297192</v>
      </c>
      <c r="O613" s="677">
        <f t="shared" si="300"/>
        <v>41469022.980000019</v>
      </c>
      <c r="P613" s="680">
        <f t="shared" si="301"/>
        <v>1.5707963026805112</v>
      </c>
      <c r="Q613" s="689">
        <f t="shared" si="323"/>
        <v>1658.7612206297897</v>
      </c>
      <c r="R613" s="690">
        <f t="shared" si="324"/>
        <v>1.5701934672343183</v>
      </c>
      <c r="S613" s="677">
        <f t="shared" si="302"/>
        <v>7.6058478304759678</v>
      </c>
      <c r="T613" s="680">
        <f t="shared" si="303"/>
        <v>1.43893677148458</v>
      </c>
      <c r="U613" s="681">
        <f t="shared" si="315"/>
        <v>4.9299315285644595E-2</v>
      </c>
      <c r="V613" s="682">
        <f t="shared" si="316"/>
        <v>-1.2374676430365266</v>
      </c>
      <c r="W613" s="683">
        <f t="shared" si="304"/>
        <v>-85.013378327661187</v>
      </c>
      <c r="X613" s="684">
        <f t="shared" si="305"/>
        <v>-268.54936313067827</v>
      </c>
      <c r="Y613" s="687">
        <f t="shared" si="306"/>
        <v>-88.549363130678273</v>
      </c>
      <c r="AA613" s="170">
        <f t="shared" si="307"/>
        <v>1000000</v>
      </c>
      <c r="AB613" s="170">
        <f t="shared" si="308"/>
        <v>1000000000000</v>
      </c>
      <c r="AD613" s="686">
        <f t="shared" si="309"/>
        <v>-0.47630113840098554</v>
      </c>
      <c r="AE613" s="687">
        <f t="shared" si="310"/>
        <v>-82.479544013301364</v>
      </c>
      <c r="AG613" s="686">
        <f t="shared" si="311"/>
        <v>6.0255643609405682</v>
      </c>
      <c r="AH613" s="687">
        <f t="shared" si="312"/>
        <v>-44.266472495353995</v>
      </c>
      <c r="AJ613" s="170">
        <f t="shared" si="313"/>
        <v>0</v>
      </c>
      <c r="AK613" s="170">
        <f t="shared" si="325"/>
        <v>0</v>
      </c>
      <c r="AM613" s="170" t="str">
        <f t="shared" si="317"/>
        <v>1.61945901428844+0.785028999220282i</v>
      </c>
      <c r="AN613" s="170" t="str">
        <f t="shared" si="318"/>
        <v>27.3715909428752i</v>
      </c>
      <c r="AO613" s="170" t="str">
        <f t="shared" si="319"/>
        <v>0.0286804300436407-0.0591656881643551i</v>
      </c>
      <c r="AP613" s="170" t="str">
        <f t="shared" si="320"/>
        <v>-0.103243169048073-0.130838166536714i</v>
      </c>
      <c r="AQ613" s="170" t="str">
        <f t="shared" si="321"/>
        <v>1.10324316904807+0.130838166536714i</v>
      </c>
      <c r="AR613" s="170" t="str">
        <f t="shared" si="322"/>
        <v>0.744574478021137-0.088302164280223i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1000</v>
      </c>
      <c r="H617" s="698"/>
      <c r="I617" s="699">
        <f t="shared" ref="I617:I626" si="326">SQRT(1+(G617/pole1)^2)</f>
        <v>8.1239048795585038</v>
      </c>
      <c r="J617" s="689">
        <f t="shared" ref="J617:J626" si="327">ATAN(G617/pole1)</f>
        <v>1.4473898214161474</v>
      </c>
      <c r="K617" s="689">
        <f t="shared" ref="K617:K626" si="328">SQRT(1+(G617/Zero1)^2)</f>
        <v>1.0000009553772475</v>
      </c>
      <c r="L617" s="690">
        <f t="shared" ref="L617:L626" si="329">ATAN(G617/Zero1)</f>
        <v>1.3822998855881213E-3</v>
      </c>
      <c r="M617" s="678">
        <v>1</v>
      </c>
      <c r="N617" s="679">
        <v>0</v>
      </c>
      <c r="O617" s="699">
        <f t="shared" ref="O617:O626" si="330">SQRT(1+(G617/Pole2)^2)</f>
        <v>41469.022992057195</v>
      </c>
      <c r="P617" s="700">
        <f t="shared" ref="P617:P626" si="331">ATAN(G617/Pole2)</f>
        <v>1.5707722124095569</v>
      </c>
      <c r="Q617" s="689">
        <f t="shared" ref="Q617:Q626" si="332">SQRT(1+(G617/Zero2)^2)</f>
        <v>1.9368757799779597</v>
      </c>
      <c r="R617" s="690">
        <f t="shared" ref="R617:R626" si="333">ATAN(G617/Zero2)</f>
        <v>1.0282768072320181</v>
      </c>
      <c r="S617" s="699">
        <f t="shared" ref="S617:S626" si="334">SQRT(1+(G617/pole4)^2)</f>
        <v>1.0000284240566466</v>
      </c>
      <c r="T617" s="700">
        <f t="shared" ref="T617:T626" si="335">ATAN(G617/pole4)</f>
        <v>7.5396794879507905E-3</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18.492762516222733</v>
      </c>
      <c r="AE617" s="687">
        <f>(R617-(P617+T617))*radconv</f>
        <v>-31.514688971464238</v>
      </c>
      <c r="AG617" s="686" t="e">
        <f>20*LOG10((K617*M617/(I617*U617))*Acs*Am)</f>
        <v>#DIV/0!</v>
      </c>
      <c r="AH617" s="687" t="e">
        <f>(L617+N617-(J617+V617))*radconv</f>
        <v>#DIV/0!</v>
      </c>
    </row>
    <row r="618" spans="7:44">
      <c r="G618" s="698">
        <f>G617</f>
        <v>1000</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1000</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124.03680459744798</v>
      </c>
      <c r="H622" s="703"/>
      <c r="I622" s="699">
        <f t="shared" si="326"/>
        <v>1.4142135623730951</v>
      </c>
      <c r="J622" s="689">
        <f t="shared" si="327"/>
        <v>0.78539816339744828</v>
      </c>
      <c r="K622" s="689">
        <f t="shared" si="328"/>
        <v>1.000000014698609</v>
      </c>
      <c r="L622" s="690">
        <f t="shared" si="329"/>
        <v>1.7145616832713319E-4</v>
      </c>
      <c r="M622" s="678">
        <v>1</v>
      </c>
      <c r="N622" s="679">
        <v>0</v>
      </c>
      <c r="O622" s="699">
        <f t="shared" si="330"/>
        <v>5143.6851974239125</v>
      </c>
      <c r="P622" s="700">
        <f t="shared" si="331"/>
        <v>1.5706019136518061</v>
      </c>
      <c r="Q622" s="689">
        <f t="shared" si="332"/>
        <v>1.0209466167514913</v>
      </c>
      <c r="R622" s="690">
        <f t="shared" si="333"/>
        <v>0.2029157524209256</v>
      </c>
      <c r="S622" s="677">
        <f t="shared" si="334"/>
        <v>1.0000004373138947</v>
      </c>
      <c r="T622" s="680">
        <f t="shared" si="335"/>
        <v>9.3521520011172568E-4</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31.060019366615357</v>
      </c>
      <c r="AE622" s="687">
        <f>(R622-(P622+T622))*radconv</f>
        <v>-78.416228710484972</v>
      </c>
      <c r="AG622" s="686" t="e">
        <f t="shared" ref="AG622:AG628" si="339">20*LOG10((K622*M622/(I622*U622))*Acs*Am)</f>
        <v>#DIV/0!</v>
      </c>
      <c r="AH622" s="687" t="e">
        <f t="shared" ref="AH622:AH628" si="340">(L622+N622-(J622+V622))*radconv</f>
        <v>#NAME?</v>
      </c>
    </row>
    <row r="623" spans="7:44">
      <c r="G623" s="702">
        <f>Zero1</f>
        <v>723431.56033525639</v>
      </c>
      <c r="H623" s="703"/>
      <c r="I623" s="699">
        <f t="shared" si="326"/>
        <v>5832.3944519252664</v>
      </c>
      <c r="J623" s="689">
        <f t="shared" si="327"/>
        <v>1.5706248706265695</v>
      </c>
      <c r="K623" s="689">
        <f t="shared" si="328"/>
        <v>1.4142135623730951</v>
      </c>
      <c r="L623" s="690">
        <f t="shared" si="329"/>
        <v>0.78539816339744828</v>
      </c>
      <c r="M623" s="678">
        <v>1</v>
      </c>
      <c r="N623" s="679">
        <v>0</v>
      </c>
      <c r="O623" s="699">
        <f t="shared" si="330"/>
        <v>30000000.000000026</v>
      </c>
      <c r="P623" s="700">
        <f t="shared" si="331"/>
        <v>1.5707962934615634</v>
      </c>
      <c r="Q623" s="689">
        <f t="shared" si="332"/>
        <v>1200.0004166665944</v>
      </c>
      <c r="R623" s="690">
        <f t="shared" si="333"/>
        <v>1.5699629936544643</v>
      </c>
      <c r="S623" s="677">
        <f t="shared" si="334"/>
        <v>5.5454545454545476</v>
      </c>
      <c r="T623" s="680">
        <f t="shared" si="335"/>
        <v>1.3894765523934065</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2.267909947507373</v>
      </c>
      <c r="AE623" s="687">
        <f>(R623-(P623+T623))*radconv</f>
        <v>-79.658886837569781</v>
      </c>
      <c r="AG623" s="686" t="e">
        <f t="shared" si="339"/>
        <v>#DIV/0!</v>
      </c>
      <c r="AH623" s="687" t="e">
        <f t="shared" si="340"/>
        <v>#NAME?</v>
      </c>
    </row>
    <row r="624" spans="7:44">
      <c r="G624" s="702">
        <f>Pole2</f>
        <v>2.4114385344508542E-2</v>
      </c>
      <c r="H624" s="703"/>
      <c r="I624" s="699">
        <f t="shared" si="326"/>
        <v>1.0000000188982354</v>
      </c>
      <c r="J624" s="689">
        <f t="shared" si="327"/>
        <v>1.9441314309052917E-4</v>
      </c>
      <c r="K624" s="689">
        <f t="shared" si="328"/>
        <v>1.0000000000000004</v>
      </c>
      <c r="L624" s="690">
        <f t="shared" si="329"/>
        <v>3.3333333333333314E-8</v>
      </c>
      <c r="M624" s="678">
        <v>1</v>
      </c>
      <c r="N624" s="679">
        <v>0</v>
      </c>
      <c r="O624" s="699">
        <f t="shared" si="330"/>
        <v>1.4142135623730951</v>
      </c>
      <c r="P624" s="700">
        <f t="shared" si="331"/>
        <v>0.78539816339744828</v>
      </c>
      <c r="Q624" s="689">
        <f t="shared" si="332"/>
        <v>1.0000000007999998</v>
      </c>
      <c r="R624" s="690">
        <f t="shared" si="333"/>
        <v>3.9999999978666672E-5</v>
      </c>
      <c r="S624" s="677">
        <f t="shared" si="334"/>
        <v>1.0000000000000164</v>
      </c>
      <c r="T624" s="680">
        <f t="shared" si="335"/>
        <v>1.8181818181817984E-7</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2.4114385344508542E-2</v>
      </c>
      <c r="AD624" s="686">
        <f>20*LOG10((Q624/(O624*S624))*Aea)</f>
        <v>102.09515015237487</v>
      </c>
      <c r="AE624" s="687">
        <f>(R624-(P624+T624))*radconv</f>
        <v>-44.997718637652547</v>
      </c>
      <c r="AG624" s="686" t="e">
        <f t="shared" si="339"/>
        <v>#DIV/0!</v>
      </c>
      <c r="AH624" s="687" t="e">
        <f t="shared" si="340"/>
        <v>#NAME?</v>
      </c>
    </row>
    <row r="625" spans="7:34">
      <c r="G625" s="702">
        <f>Zero2</f>
        <v>602.85963361271354</v>
      </c>
      <c r="H625" s="703"/>
      <c r="I625" s="699">
        <f t="shared" si="326"/>
        <v>4.9621360797745595</v>
      </c>
      <c r="J625" s="689">
        <f t="shared" si="327"/>
        <v>1.367880574373971</v>
      </c>
      <c r="K625" s="689">
        <f t="shared" si="328"/>
        <v>1.0000003472221619</v>
      </c>
      <c r="L625" s="690">
        <f t="shared" si="329"/>
        <v>8.3333314043217903E-4</v>
      </c>
      <c r="M625" s="678">
        <v>1</v>
      </c>
      <c r="N625" s="679">
        <v>0</v>
      </c>
      <c r="O625" s="699">
        <f t="shared" si="330"/>
        <v>25000.000019999999</v>
      </c>
      <c r="P625" s="700">
        <f t="shared" si="331"/>
        <v>1.5707563267949181</v>
      </c>
      <c r="Q625" s="689">
        <f t="shared" si="332"/>
        <v>1.4142135623730951</v>
      </c>
      <c r="R625" s="690">
        <f t="shared" si="333"/>
        <v>0.78539816339744828</v>
      </c>
      <c r="S625" s="677">
        <f t="shared" si="334"/>
        <v>1.0000103305251524</v>
      </c>
      <c r="T625" s="680">
        <f t="shared" si="335"/>
        <v>4.5454232410592453E-3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602.85963361271354</v>
      </c>
      <c r="AD625" s="686">
        <f>20*LOG10((Q625/(O625*S625))*Aea)</f>
        <v>20.156860148978566</v>
      </c>
      <c r="AE625" s="687">
        <f>(R625-(P625+T625))*radconv</f>
        <v>-45.25814178834905</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1572.3944142512582</v>
      </c>
      <c r="J627" s="689">
        <f>ATAN(G627/pole1)</f>
        <v>1.5701603540018449</v>
      </c>
      <c r="K627" s="689">
        <f>SQRT(1+(G627/Zero1)^2)</f>
        <v>1.0357038013828048</v>
      </c>
      <c r="L627" s="690">
        <f>ATAN(G627/Zero1)</f>
        <v>0.26333587077918175</v>
      </c>
      <c r="M627" s="678">
        <v>1</v>
      </c>
      <c r="N627" s="679">
        <v>0</v>
      </c>
      <c r="O627" s="699">
        <f>SQRT(1+(G627/Pole2)^2)</f>
        <v>8087900.0846272875</v>
      </c>
      <c r="P627" s="700">
        <f>ATAN(G627/Pole2)</f>
        <v>1.5707962031534088</v>
      </c>
      <c r="Q627" s="689">
        <f>SQRT(1+(G627/Zero2)^2)</f>
        <v>323.5175488999954</v>
      </c>
      <c r="R627" s="690">
        <f>ATAN(G627/Zero2)</f>
        <v>1.5677052994431802</v>
      </c>
      <c r="S627" s="677">
        <f>SQRT(1+(G627/pole4)^2)</f>
        <v>1.7783280082954429</v>
      </c>
      <c r="T627" s="680">
        <f>ATAN(G627/pole4)</f>
        <v>0.97360039711116519</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189094.98210743334</v>
      </c>
      <c r="I628" s="699">
        <f>SQRT(1+(G628/pole1)^2)</f>
        <v>1524.5073702283562</v>
      </c>
      <c r="J628" s="689">
        <f>ATAN(G628/pole1)</f>
        <v>1.5701403771476594</v>
      </c>
      <c r="K628" s="689">
        <f>SQRT(1+(G628/Zero1)^2)</f>
        <v>1.033596978255773</v>
      </c>
      <c r="L628" s="690">
        <f>ATAN(G628/Zero1)</f>
        <v>0.25566598855200773</v>
      </c>
      <c r="M628" s="678">
        <v>1</v>
      </c>
      <c r="N628" s="679">
        <v>0</v>
      </c>
      <c r="O628" s="699">
        <f>SQRT(1+(G628/Pole2)^2)</f>
        <v>7841584.1584159071</v>
      </c>
      <c r="P628" s="700">
        <f>ATAN(G628/Pole2)</f>
        <v>1.5707961992696442</v>
      </c>
      <c r="Q628" s="689">
        <f>SQRT(1+(G628/Zero2)^2)</f>
        <v>313.66496039823971</v>
      </c>
      <c r="R628" s="690">
        <f>ATAN(G628/Zero2)</f>
        <v>1.567608206283281</v>
      </c>
      <c r="S628" s="677">
        <f>SQRT(1+(G628/pole4)^2)</f>
        <v>1.7414769272230373</v>
      </c>
      <c r="T628" s="680">
        <f>ATAN(G628/pole4)</f>
        <v>0.95913883030438463</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124.03680459744798</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2.4114385344508542E-2</v>
      </c>
      <c r="J634" s="172" t="e">
        <f>W624</f>
        <v>#DIV/0!</v>
      </c>
      <c r="K634" s="172" t="e">
        <f>AG624</f>
        <v>#DIV/0!</v>
      </c>
    </row>
    <row r="635" spans="7:34">
      <c r="G635" s="170" t="s">
        <v>726</v>
      </c>
      <c r="H635" s="170" t="s">
        <v>733</v>
      </c>
      <c r="I635" s="172">
        <f>Zero2</f>
        <v>602.85963361271354</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1000</v>
      </c>
    </row>
    <row r="640" spans="7:34">
      <c r="G640" s="172">
        <f>W4*1000</f>
        <v>1000</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19</v>
      </c>
      <c r="C7" s="31" t="s">
        <v>0</v>
      </c>
      <c r="D7" s="79" t="s">
        <v>146</v>
      </c>
      <c r="E7" s="31"/>
      <c r="F7" s="31"/>
      <c r="G7" s="31"/>
      <c r="H7" s="31"/>
      <c r="I7" s="32">
        <v>1</v>
      </c>
    </row>
    <row r="8" spans="1:26" ht="12.5">
      <c r="A8" s="110" t="s">
        <v>143</v>
      </c>
      <c r="B8" s="10">
        <f>'Design Converter'!E7</f>
        <v>24</v>
      </c>
      <c r="C8" s="7" t="s">
        <v>0</v>
      </c>
      <c r="D8" s="7" t="s">
        <v>10</v>
      </c>
      <c r="F8" s="7"/>
      <c r="G8" s="7"/>
      <c r="H8" s="7"/>
      <c r="I8" s="25"/>
    </row>
    <row r="9" spans="1:26" ht="12.5">
      <c r="A9" s="110" t="s">
        <v>144</v>
      </c>
      <c r="B9" s="10">
        <f>'Design Converter'!E8</f>
        <v>60</v>
      </c>
      <c r="C9" s="7" t="s">
        <v>0</v>
      </c>
      <c r="D9" s="77" t="s">
        <v>147</v>
      </c>
      <c r="F9" s="7"/>
      <c r="G9" s="7"/>
      <c r="H9" s="7"/>
      <c r="I9" s="25"/>
    </row>
    <row r="10" spans="1:26" thickBot="1">
      <c r="A10" s="110"/>
      <c r="B10" s="205"/>
      <c r="C10" s="60"/>
      <c r="D10" s="77"/>
      <c r="F10" s="7"/>
      <c r="G10" s="7"/>
      <c r="H10" s="7"/>
      <c r="I10" s="25"/>
    </row>
    <row r="11" spans="1:26">
      <c r="A11" s="24" t="s">
        <v>4</v>
      </c>
      <c r="B11" s="10">
        <f>'Design Converter'!E10</f>
        <v>16</v>
      </c>
      <c r="C11" s="7" t="s">
        <v>0</v>
      </c>
      <c r="D11" s="77" t="s">
        <v>563</v>
      </c>
      <c r="F11" s="7"/>
      <c r="G11" s="7">
        <f>(Vout+Vfwd2)*Nps</f>
        <v>16.7</v>
      </c>
      <c r="H11" s="7"/>
      <c r="I11" s="25">
        <v>1</v>
      </c>
      <c r="K11" t="str">
        <f>'Variable Mgmt'!B73&amp;" Output PSR Flyback Converter, "&amp;"VIN = "&amp;Vin&amp;" V, VOUT = "&amp;Vout&amp;" V, IOUT = "&amp;Iout&amp;" A"</f>
        <v>SINGLE Output PSR Flyback Converter, VIN = 24 V, VOUT = 16 V, IOUT = 1 A</v>
      </c>
      <c r="W11" s="751" t="s">
        <v>788</v>
      </c>
      <c r="X11" s="152"/>
      <c r="Y11" s="152"/>
      <c r="Z11" s="738"/>
    </row>
    <row r="12" spans="1:26" ht="12.5">
      <c r="A12" s="24" t="s">
        <v>5</v>
      </c>
      <c r="B12" s="572">
        <f>'Design Converter'!E11</f>
        <v>1</v>
      </c>
      <c r="C12" s="77" t="s">
        <v>1</v>
      </c>
      <c r="D12" s="77" t="s">
        <v>648</v>
      </c>
      <c r="F12" s="7"/>
      <c r="G12" s="7"/>
      <c r="H12" s="7"/>
      <c r="I12" s="25">
        <v>1</v>
      </c>
      <c r="K12" t="str">
        <f>'Variable Mgmt'!B73&amp;" Output PSR Flyback Converter, "&amp;"VIN = "&amp;Vin&amp;" V, VOUT1 = "&amp;Vout&amp;" V, IOUT1 = "&amp;Iout&amp;" A"&amp;", VOUT2 = "&amp;Vout2_actual&amp;" V, IOUT2 = "&amp;Iout2_actual&amp;" A"</f>
        <v>SINGLE Output PSR Flyback Converter, VIN = 24 V, VOUT1 = 16 V, IOUT1 = 1 A, VOUT2 = 8 V, IOUT2 = 0.25 A</v>
      </c>
      <c r="L12" s="76"/>
      <c r="W12" s="24"/>
      <c r="X12" s="7" t="s">
        <v>787</v>
      </c>
      <c r="Y12" s="7">
        <f>'Calculations - Single'!AQ105*1000</f>
        <v>229551.33711858705</v>
      </c>
      <c r="Z12" s="25" t="s">
        <v>8</v>
      </c>
    </row>
    <row r="13" spans="1:26" ht="12.5">
      <c r="A13" s="110" t="s">
        <v>168</v>
      </c>
      <c r="B13" s="153">
        <f>Vout/Iout</f>
        <v>16</v>
      </c>
      <c r="C13" s="113" t="s">
        <v>45</v>
      </c>
      <c r="D13" s="111" t="s">
        <v>169</v>
      </c>
      <c r="F13" s="7"/>
      <c r="G13" s="7"/>
      <c r="H13" s="7"/>
      <c r="I13" s="25"/>
      <c r="W13" s="24"/>
      <c r="X13" s="7" t="s">
        <v>789</v>
      </c>
      <c r="Y13" s="7">
        <f>Lmag</f>
        <v>1.2E-5</v>
      </c>
      <c r="Z13" s="25" t="s">
        <v>11</v>
      </c>
    </row>
    <row r="14" spans="1:26" ht="12.5">
      <c r="A14" s="110" t="s">
        <v>152</v>
      </c>
      <c r="B14" s="571">
        <f>Vout*Iout</f>
        <v>16</v>
      </c>
      <c r="C14" s="60" t="s">
        <v>45</v>
      </c>
      <c r="D14" s="111" t="s">
        <v>158</v>
      </c>
      <c r="F14" s="7"/>
      <c r="G14" s="7"/>
      <c r="H14" s="7"/>
      <c r="I14" s="25"/>
      <c r="L14" s="76"/>
      <c r="W14" s="24"/>
      <c r="X14" s="7" t="s">
        <v>791</v>
      </c>
      <c r="Y14" s="7">
        <f>G11/(G11+VIN_nom/Npri_sec)</f>
        <v>0.41031941031941027</v>
      </c>
      <c r="Z14" s="25"/>
    </row>
    <row r="15" spans="1:26" ht="12.5">
      <c r="B15" s="372"/>
      <c r="C15" s="60"/>
      <c r="D15" s="111"/>
      <c r="F15" s="7"/>
      <c r="G15" s="7"/>
      <c r="H15" s="7"/>
      <c r="I15" s="25"/>
      <c r="L15" s="76"/>
      <c r="W15" s="24"/>
      <c r="X15" s="7" t="s">
        <v>790</v>
      </c>
      <c r="Y15" s="7">
        <f>VIN_nom/Lmag*Y14/Y12</f>
        <v>3.5749685928201567</v>
      </c>
      <c r="Z15" s="25" t="s">
        <v>1</v>
      </c>
    </row>
    <row r="16" spans="1:26" ht="12.5">
      <c r="A16" s="110" t="s">
        <v>608</v>
      </c>
      <c r="B16" s="573">
        <f>ABS('Design Converter'!E12)</f>
        <v>8</v>
      </c>
      <c r="C16" s="7" t="s">
        <v>0</v>
      </c>
      <c r="D16" s="77" t="s">
        <v>565</v>
      </c>
      <c r="F16" s="7"/>
      <c r="G16" s="7"/>
      <c r="H16" s="7"/>
      <c r="I16" s="25"/>
      <c r="L16" s="76"/>
      <c r="W16" s="24"/>
      <c r="X16" s="7" t="s">
        <v>792</v>
      </c>
      <c r="Y16" s="7">
        <f>0.5*Y15^2*Y13*Y12</f>
        <v>17.602548058996543</v>
      </c>
      <c r="Z16" s="25"/>
    </row>
    <row r="17" spans="1:26">
      <c r="A17" s="110" t="s">
        <v>609</v>
      </c>
      <c r="B17" s="611">
        <f>'Design Converter'!E12</f>
        <v>8</v>
      </c>
      <c r="C17" s="60" t="s">
        <v>0</v>
      </c>
      <c r="D17" s="77"/>
      <c r="F17" s="7"/>
      <c r="G17" s="7"/>
      <c r="H17" s="7"/>
      <c r="I17" s="25"/>
      <c r="L17" s="76"/>
      <c r="P17" s="3" t="s">
        <v>769</v>
      </c>
      <c r="W17" s="24"/>
      <c r="X17" s="7" t="s">
        <v>769</v>
      </c>
      <c r="Y17" s="39" t="str">
        <f>IF((Y16/(G11*Iout))&lt;1.01, "BCM", "DCM")</f>
        <v>DCM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16</v>
      </c>
      <c r="Z19" s="750"/>
    </row>
    <row r="20" spans="1:26">
      <c r="A20" s="110" t="s">
        <v>499</v>
      </c>
      <c r="B20" s="571">
        <f>ABS(Vout2/Iout2)</f>
        <v>32</v>
      </c>
      <c r="C20" s="113" t="s">
        <v>45</v>
      </c>
      <c r="D20" s="111" t="s">
        <v>501</v>
      </c>
      <c r="F20" s="7"/>
      <c r="G20" s="7"/>
      <c r="H20" s="7"/>
      <c r="I20" s="25"/>
      <c r="K20" s="76" t="s">
        <v>530</v>
      </c>
      <c r="L20" s="76" t="s">
        <v>531</v>
      </c>
      <c r="Q20" s="3">
        <v>2</v>
      </c>
    </row>
    <row r="21" spans="1:26" ht="12.5">
      <c r="A21" s="110" t="s">
        <v>500</v>
      </c>
      <c r="B21" s="571">
        <f>ABS(Vout2*Iout2)</f>
        <v>2</v>
      </c>
      <c r="C21" s="60" t="s">
        <v>45</v>
      </c>
      <c r="D21" s="111" t="s">
        <v>502</v>
      </c>
      <c r="F21" s="7"/>
      <c r="G21" s="7"/>
      <c r="H21" s="7"/>
      <c r="I21" s="25"/>
      <c r="K21">
        <v>5</v>
      </c>
      <c r="L21" s="76">
        <v>-5</v>
      </c>
    </row>
    <row r="22" spans="1:26" ht="12.5">
      <c r="A22" s="110" t="s">
        <v>503</v>
      </c>
      <c r="B22" s="571">
        <f>CHOOSE(MODE, Pout, Pout + Pout2)</f>
        <v>16</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1.9647058823529411</v>
      </c>
      <c r="D25" s="111" t="s">
        <v>577</v>
      </c>
      <c r="F25" s="7"/>
      <c r="G25" s="7"/>
      <c r="H25" s="7"/>
      <c r="I25" s="25"/>
      <c r="L25" s="76"/>
    </row>
    <row r="26" spans="1:26" ht="13.5" thickBot="1">
      <c r="A26" s="34" t="s">
        <v>589</v>
      </c>
      <c r="B26" s="610">
        <f>Nsec1sec2</f>
        <v>0.50898203592814373</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76</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160</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80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16</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0.84210526315789469</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0.66666666666666663</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0.26666666666666666</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22.21470221096811</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1 : 1</v>
      </c>
      <c r="S61" s="39">
        <v>14</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168000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1</v>
      </c>
      <c r="S63" s="7"/>
      <c r="T63" s="7"/>
      <c r="U63" s="7"/>
      <c r="V63" s="77" t="s">
        <v>574</v>
      </c>
      <c r="W63" s="742" t="str">
        <f>CHOOSE(Turns_Ratio,"1", "1", "1", "1", "1", "1", "1", "1", "1", "1", "1", "1", "1", "1", "1.2", "1.5", "1.8",  "2", "2.5", "3", "4", "5", "6", "8", "10", "15", "20", "30", "40", "50", "60", "80", "100")</f>
        <v>1</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1</v>
      </c>
      <c r="S64" s="7"/>
      <c r="T64" s="7"/>
      <c r="U64" s="7"/>
      <c r="V64" s="77" t="s">
        <v>573</v>
      </c>
      <c r="W64" s="743">
        <f>Nsec1sec2</f>
        <v>0.50898203592814373</v>
      </c>
    </row>
    <row r="65" spans="1:23" ht="15.5">
      <c r="A65" s="110" t="s">
        <v>387</v>
      </c>
      <c r="B65" s="518">
        <v>0.1</v>
      </c>
      <c r="C65" s="77" t="s">
        <v>45</v>
      </c>
      <c r="D65" s="111" t="s">
        <v>568</v>
      </c>
      <c r="F65" s="596" t="s">
        <v>569</v>
      </c>
      <c r="G65" s="7"/>
      <c r="H65" s="7"/>
      <c r="I65" s="25"/>
      <c r="P65" s="24"/>
      <c r="Q65" s="77" t="s">
        <v>573</v>
      </c>
      <c r="R65" s="744">
        <f>ABS((Vout2+Vfwd22)/(Vout+Vfwd2))</f>
        <v>0.50898203592814373</v>
      </c>
      <c r="S65" s="7"/>
      <c r="T65" s="7"/>
      <c r="U65" s="7"/>
      <c r="V65" s="39"/>
      <c r="W65" s="745">
        <f>W63*W64</f>
        <v>0.50898203592814373</v>
      </c>
    </row>
    <row r="66" spans="1:23" ht="13.5" thickBot="1">
      <c r="A66" s="28"/>
      <c r="B66" s="29"/>
      <c r="C66" s="80"/>
      <c r="D66" s="29"/>
      <c r="E66" s="29"/>
      <c r="F66" s="29"/>
      <c r="G66" s="29"/>
      <c r="H66" s="29"/>
      <c r="I66" s="30"/>
      <c r="K66" s="441" t="str">
        <f>"SCH_"&amp;B73&amp;"_"&amp;F78&amp;"_"&amp;I78&amp;"_"&amp;F72</f>
        <v>SCH_SINGLE_UVLOadj_SSint_TCno</v>
      </c>
      <c r="P66" s="24"/>
      <c r="Q66" s="386" t="s">
        <v>495</v>
      </c>
      <c r="R66" s="746">
        <f>Nps/Nsec1sec2</f>
        <v>1.9647058823529411</v>
      </c>
      <c r="S66" s="7"/>
      <c r="T66" s="7"/>
      <c r="U66" s="7"/>
      <c r="V66" s="377" t="s">
        <v>575</v>
      </c>
      <c r="W66" s="747" t="str">
        <f>CHOOSE(MODE, R61, R61&amp;" : "&amp;ROUND(W65,2))</f>
        <v>1 : 1</v>
      </c>
    </row>
    <row r="67" spans="1:23" ht="13.5" thickBot="1">
      <c r="A67" s="7"/>
      <c r="B67" s="7"/>
      <c r="C67" s="39"/>
      <c r="D67" s="7"/>
      <c r="E67" s="7"/>
      <c r="F67" s="7"/>
      <c r="G67" s="7"/>
      <c r="H67" s="7"/>
      <c r="I67" s="7"/>
      <c r="P67" s="748"/>
      <c r="Q67" s="180"/>
      <c r="R67" s="749">
        <f>ROUND(Nsec1sec2,1)</f>
        <v>0.5</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SINGLE, TCno, IlimRes, UVLOadj, SSint</v>
      </c>
      <c r="O70" s="24"/>
    </row>
    <row r="71" spans="1:23">
      <c r="A71" s="376"/>
      <c r="B71" s="77" t="s">
        <v>363</v>
      </c>
      <c r="C71" s="434">
        <v>2</v>
      </c>
      <c r="D71" s="7"/>
      <c r="E71" s="37"/>
      <c r="F71" s="77" t="s">
        <v>365</v>
      </c>
      <c r="G71" s="160" t="b">
        <v>0</v>
      </c>
      <c r="I71" s="154" t="s">
        <v>301</v>
      </c>
      <c r="J71" s="160">
        <v>2</v>
      </c>
      <c r="K71" t="str">
        <f>C73&amp;", "&amp;G72&amp;", "&amp;J72&amp;", "&amp;G78&amp;", "&amp;J78</f>
        <v>1, 2, 2, 1, 2</v>
      </c>
      <c r="O71" s="24"/>
      <c r="Q71" s="395" t="s">
        <v>333</v>
      </c>
      <c r="R71" s="3" t="s">
        <v>328</v>
      </c>
      <c r="S71" s="368">
        <v>1</v>
      </c>
    </row>
    <row r="72" spans="1:23">
      <c r="B72" s="76" t="s">
        <v>506</v>
      </c>
      <c r="C72" s="576">
        <v>3</v>
      </c>
      <c r="D72" s="7"/>
      <c r="E72" s="440" t="s">
        <v>376</v>
      </c>
      <c r="F72" s="379" t="str">
        <f>CHOOSE(G72, "TCyes", "TCno")</f>
        <v>TCno</v>
      </c>
      <c r="G72" s="374">
        <v>2</v>
      </c>
      <c r="H72" s="440" t="s">
        <v>299</v>
      </c>
      <c r="I72" s="436" t="str">
        <f>CHOOSE(J72, "IlimGND", "IlimRes")</f>
        <v>IlimRes</v>
      </c>
      <c r="J72" s="374">
        <f>IF(C78=4, 1, 2)</f>
        <v>2</v>
      </c>
      <c r="K72" t="str">
        <f>C73&amp;G72&amp;J72&amp;G78&amp;J78</f>
        <v>12212</v>
      </c>
      <c r="O72" s="24"/>
      <c r="Q72" s="395" t="s">
        <v>335</v>
      </c>
      <c r="R72" s="3" t="s">
        <v>329</v>
      </c>
      <c r="S72" s="368">
        <v>2</v>
      </c>
    </row>
    <row r="73" spans="1:23">
      <c r="A73" s="437" t="s">
        <v>286</v>
      </c>
      <c r="B73" s="435" t="str">
        <f>CHOOSE(C73,"SINGLE", IF(Vout2_actual&gt;0, "DUAL", "BIPOLAR"))</f>
        <v>SINGLE</v>
      </c>
      <c r="C73" s="378">
        <v>1</v>
      </c>
      <c r="D73" s="7"/>
      <c r="E73" s="7"/>
      <c r="G73" s="78">
        <f>TC</f>
        <v>2</v>
      </c>
      <c r="I73" s="374"/>
      <c r="J73" s="7"/>
      <c r="O73" s="24"/>
      <c r="Q73" s="395" t="s">
        <v>336</v>
      </c>
      <c r="R73" s="3" t="s">
        <v>330</v>
      </c>
      <c r="S73" s="368">
        <v>3</v>
      </c>
    </row>
    <row r="74" spans="1:23">
      <c r="A74" s="376"/>
      <c r="B74" s="3" t="b">
        <f>CHOOSE(C73, TRUE, FALSE)</f>
        <v>1</v>
      </c>
      <c r="C74" s="78" t="str">
        <f>CHOOSE(C73,"1", IF(Vout2&gt;0, "2", "3"))</f>
        <v>1</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25V</v>
      </c>
      <c r="S76" s="458">
        <f>IF(Vout&lt;=5, 1, IF(Vout&lt;=8, 2, IF(Vout&lt;=12, 3, IF(Vout&lt;=20, 4, 5))))</f>
        <v>4</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SSint</v>
      </c>
      <c r="J78" s="374">
        <v>2</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0</v>
      </c>
      <c r="C80" s="39" t="str">
        <f>CONFIG</f>
        <v>1</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0.46536910594149972</v>
      </c>
      <c r="C83" s="7"/>
      <c r="D83" t="b">
        <f>B83&gt;0.75</f>
        <v>0</v>
      </c>
      <c r="E83" s="77"/>
      <c r="F83" s="7"/>
      <c r="G83" s="7">
        <f>Vfwd2</f>
        <v>0.7</v>
      </c>
      <c r="H83" s="7">
        <f>'Calculations - Single'!DT210</f>
        <v>1000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0.40594059405940591</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0.21528468556459585</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1.0005000000000002</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85.05</v>
      </c>
      <c r="C92" s="77"/>
      <c r="D92" s="77"/>
      <c r="E92" s="77"/>
      <c r="F92" s="7"/>
      <c r="G92" s="7"/>
      <c r="H92" s="7"/>
      <c r="I92" s="25"/>
      <c r="R92" s="76" t="s">
        <v>612</v>
      </c>
      <c r="S92" s="368">
        <v>4</v>
      </c>
      <c r="T92" s="474" t="s">
        <v>617</v>
      </c>
      <c r="U92" s="460">
        <v>100</v>
      </c>
      <c r="W92" s="439" t="s">
        <v>635</v>
      </c>
    </row>
    <row r="93" spans="1:26">
      <c r="A93" s="111"/>
      <c r="B93" s="630"/>
      <c r="C93" s="7"/>
      <c r="D93" s="77">
        <f>Isw_min</f>
        <v>1</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1.2E-5</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10</v>
      </c>
      <c r="C97" s="7" t="s">
        <v>662</v>
      </c>
      <c r="D97" s="77"/>
      <c r="F97" s="7"/>
      <c r="G97" s="7"/>
      <c r="H97" s="7"/>
      <c r="I97" s="25"/>
    </row>
    <row r="98" spans="1:17" ht="12.5">
      <c r="A98" s="110" t="s">
        <v>826</v>
      </c>
      <c r="B98" s="41">
        <f>Lmag/(Nps)^2</f>
        <v>1.2E-5</v>
      </c>
      <c r="C98" s="7" t="s">
        <v>11</v>
      </c>
      <c r="D98" s="77"/>
      <c r="F98" s="7"/>
      <c r="G98" s="7"/>
      <c r="H98" s="7"/>
      <c r="I98" s="25"/>
    </row>
    <row r="99" spans="1:17" ht="12.5">
      <c r="A99" s="110" t="s">
        <v>827</v>
      </c>
      <c r="B99" s="41">
        <f>Lmag/(Nps/Nsec1sec2)^2</f>
        <v>3.1087525547706986E-6</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0.4</v>
      </c>
      <c r="Q104">
        <f>ktr_rcmd</f>
        <v>1.0005000000000002</v>
      </c>
    </row>
    <row r="105" spans="1:17" ht="15.75" customHeight="1">
      <c r="A105" s="77" t="s">
        <v>539</v>
      </c>
      <c r="B105" s="191">
        <v>100</v>
      </c>
      <c r="C105" s="111" t="s">
        <v>102</v>
      </c>
      <c r="D105" s="77"/>
      <c r="E105" s="7"/>
      <c r="F105" s="7"/>
      <c r="H105" s="7"/>
      <c r="I105" s="25"/>
      <c r="K105" s="110" t="s">
        <v>645</v>
      </c>
      <c r="L105" s="848">
        <f>Vfwd2</f>
        <v>0.7</v>
      </c>
      <c r="M105" s="76"/>
      <c r="Q105" t="str">
        <f>Nps</f>
        <v>1</v>
      </c>
    </row>
    <row r="106" spans="1:17" ht="13.5" thickBot="1">
      <c r="A106" s="110" t="s">
        <v>536</v>
      </c>
      <c r="B106" s="183">
        <f>Rdcr_pri*(1+0.0039*(B105-25))</f>
        <v>3.8774999999999997E-2</v>
      </c>
      <c r="C106" s="113" t="s">
        <v>45</v>
      </c>
      <c r="D106" s="7"/>
      <c r="H106" s="7"/>
      <c r="I106" s="25"/>
      <c r="K106" s="849" t="s">
        <v>881</v>
      </c>
      <c r="L106" s="750">
        <f>'Design Converter'!S31</f>
        <v>0.5</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12.129213064680746</v>
      </c>
      <c r="C110" s="3" t="s">
        <v>833</v>
      </c>
      <c r="I110" s="25"/>
      <c r="K110" t="s">
        <v>884</v>
      </c>
      <c r="L110">
        <f>MAX('Calculations - Single'!BM316,'Calculations - Single'!BM210,'Calculations - Single'!BM105)</f>
        <v>2.3892102991046484</v>
      </c>
    </row>
    <row r="111" spans="1:17">
      <c r="A111" s="913" t="s">
        <v>846</v>
      </c>
      <c r="B111" s="623">
        <f>(Vout+Vfwd1)*Nps*toff_max/(0.02/RCS/1000)</f>
        <v>6.56</v>
      </c>
      <c r="C111" s="3" t="s">
        <v>833</v>
      </c>
      <c r="I111" s="25"/>
      <c r="K111" t="s">
        <v>885</v>
      </c>
      <c r="L111">
        <f>MAX('Calculations - Dual'!BK316,'Calculations - Dual'!BK210,'Calculations - Dual'!BK105)</f>
        <v>2.4678320598171783</v>
      </c>
    </row>
    <row r="112" spans="1:17">
      <c r="A112" t="s">
        <v>837</v>
      </c>
      <c r="B112" s="623">
        <f>MIN(350000,('Calculations - Single'!CQ210*VIN_min)^2/(2*Pin*Lmag))</f>
        <v>201770.25812080398</v>
      </c>
      <c r="C112" s="3" t="s">
        <v>8</v>
      </c>
      <c r="D112" s="76" t="s">
        <v>845</v>
      </c>
      <c r="I112" s="25"/>
      <c r="K112" t="s">
        <v>886</v>
      </c>
      <c r="L112">
        <f>CHOOSE(MODE,L110,L111)</f>
        <v>2.3892102991046484</v>
      </c>
    </row>
    <row r="113" spans="1:12">
      <c r="A113" t="s">
        <v>838</v>
      </c>
      <c r="B113" s="623">
        <f>VIN_min/Lmag*'Calculations - Single'!CQ210/B112*1.2</f>
        <v>4.3625160462130932</v>
      </c>
      <c r="C113" s="3" t="s">
        <v>1</v>
      </c>
      <c r="I113" s="25"/>
    </row>
    <row r="114" spans="1:12">
      <c r="A114" t="s">
        <v>839</v>
      </c>
      <c r="B114" s="183">
        <f>0.1/B113</f>
        <v>2.2922551789077216E-2</v>
      </c>
      <c r="C114" s="113" t="s">
        <v>45</v>
      </c>
      <c r="D114" t="s">
        <v>841</v>
      </c>
      <c r="I114" s="25"/>
    </row>
    <row r="115" spans="1:12">
      <c r="A115" t="s">
        <v>840</v>
      </c>
      <c r="B115" s="183">
        <f>0.02*Lmag/((Vout+Vfwd1)*0.00000045*Nps)</f>
        <v>3.2520325203252043E-2</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4.1149885359211433</v>
      </c>
      <c r="C117" s="29" t="s">
        <v>1</v>
      </c>
      <c r="D117" s="29"/>
      <c r="E117" s="29"/>
      <c r="F117" s="29"/>
      <c r="G117" s="29"/>
      <c r="H117" s="29"/>
      <c r="I117" s="30"/>
    </row>
    <row r="118" spans="1:12">
      <c r="A118" s="39" t="s">
        <v>774</v>
      </c>
      <c r="B118" s="727">
        <f>MIN(B114,B115)</f>
        <v>2.2922551789077216E-2</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160</v>
      </c>
      <c r="C125" s="111" t="s">
        <v>149</v>
      </c>
      <c r="D125" s="77" t="s">
        <v>594</v>
      </c>
      <c r="F125" s="7"/>
      <c r="G125" s="7"/>
      <c r="H125" s="7"/>
      <c r="I125" s="25"/>
      <c r="L125" s="5"/>
    </row>
    <row r="126" spans="1:12">
      <c r="A126" s="499" t="s">
        <v>12</v>
      </c>
      <c r="B126" s="192">
        <f>MAX(4.7, CHOOSE(MODE, 'Calculations - Single'!EE212, 'Calculations - Dual'!AW105))</f>
        <v>14.350381730964124</v>
      </c>
      <c r="C126" s="201" t="s">
        <v>97</v>
      </c>
      <c r="D126" s="77" t="s">
        <v>593</v>
      </c>
      <c r="E126" s="77"/>
      <c r="F126" s="7"/>
      <c r="G126" s="7"/>
      <c r="H126" s="7"/>
      <c r="I126" s="25"/>
    </row>
    <row r="127" spans="1:12" ht="12.5">
      <c r="A127" s="110" t="s">
        <v>14</v>
      </c>
      <c r="B127" s="591">
        <f>'Design Converter'!E34</f>
        <v>110</v>
      </c>
      <c r="C127" s="201" t="s">
        <v>97</v>
      </c>
      <c r="D127" s="77" t="s">
        <v>167</v>
      </c>
      <c r="F127" s="7"/>
      <c r="G127" s="7"/>
      <c r="H127" s="7"/>
      <c r="I127" s="25"/>
    </row>
    <row r="128" spans="1:12" ht="12.5">
      <c r="A128" s="200" t="s">
        <v>181</v>
      </c>
      <c r="B128" s="550">
        <f>(Vripple1_spec-Iout*B130/Cout*1000)/Iout</f>
        <v>144.6002903936544</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1.6939680566980149</v>
      </c>
      <c r="C130" s="201" t="s">
        <v>247</v>
      </c>
      <c r="D130" s="77"/>
      <c r="F130" s="7"/>
      <c r="G130" s="7"/>
      <c r="H130" s="7"/>
      <c r="I130" s="25"/>
    </row>
    <row r="131" spans="1:9">
      <c r="A131" s="34" t="s">
        <v>437</v>
      </c>
      <c r="B131" s="588">
        <f>Iout*B130/Cout*1000+Iout*CoutEsr</f>
        <v>17.399709606345588</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80</v>
      </c>
      <c r="C135" s="111" t="s">
        <v>149</v>
      </c>
      <c r="D135" s="77" t="s">
        <v>597</v>
      </c>
      <c r="F135" s="7"/>
      <c r="G135" s="7"/>
      <c r="H135" s="7"/>
      <c r="I135" s="25"/>
    </row>
    <row r="136" spans="1:9">
      <c r="A136" s="499" t="s">
        <v>543</v>
      </c>
      <c r="B136" s="192">
        <f>MAX(4.7, 'Calculations - Dual'!AX105)</f>
        <v>5.7416744050491753</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235.33740584972287</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4.6564426782652415</v>
      </c>
      <c r="C140" s="201" t="s">
        <v>247</v>
      </c>
      <c r="D140" s="77"/>
      <c r="F140" s="7"/>
      <c r="G140" s="7"/>
      <c r="H140" s="445" t="s">
        <v>561</v>
      </c>
      <c r="I140" s="25"/>
    </row>
    <row r="141" spans="1:9">
      <c r="A141" s="34" t="s">
        <v>437</v>
      </c>
      <c r="B141" s="588">
        <f>Iout2*B140/Cout2*1000+Iout2*CoutEsr2</f>
        <v>23.165648537569279</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1.2000000000000002</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1.4844029591861836</v>
      </c>
      <c r="C150" s="201" t="s">
        <v>97</v>
      </c>
      <c r="E150" s="7"/>
      <c r="F150" s="7"/>
      <c r="G150" s="7"/>
      <c r="H150" s="7"/>
      <c r="I150" s="65"/>
    </row>
    <row r="151" spans="1:9" ht="12.5">
      <c r="A151" s="200" t="s">
        <v>180</v>
      </c>
      <c r="B151" s="597">
        <f>MAX(2.2,Cinmin)</f>
        <v>2.2000000000000002</v>
      </c>
      <c r="C151" s="201" t="s">
        <v>97</v>
      </c>
      <c r="E151" s="7"/>
      <c r="F151" s="7"/>
      <c r="G151" s="7"/>
      <c r="H151" s="7"/>
      <c r="I151" s="65"/>
    </row>
    <row r="152" spans="1:9" ht="12.5">
      <c r="A152" s="66" t="s">
        <v>28</v>
      </c>
      <c r="B152" s="553">
        <f>'Design Converter'!E30</f>
        <v>22</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0.33157229692623186</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0.66666666666666663</v>
      </c>
      <c r="C157" s="77" t="s">
        <v>1</v>
      </c>
      <c r="D157" s="77"/>
      <c r="F157" s="7"/>
      <c r="G157" s="7"/>
      <c r="H157" s="7"/>
      <c r="I157" s="65"/>
    </row>
    <row r="158" spans="1:9" ht="12.5">
      <c r="A158" s="200" t="s">
        <v>445</v>
      </c>
      <c r="B158" s="426">
        <f>CHOOSE(MODE, 'Calculations - Single'!AJ105, 'Calculations - Dual'!$AI$105)</f>
        <v>3.3758023738206386</v>
      </c>
      <c r="C158" s="77" t="s">
        <v>1</v>
      </c>
      <c r="D158" s="77"/>
      <c r="F158" s="7"/>
      <c r="G158" s="7"/>
      <c r="H158" s="7"/>
      <c r="I158" s="65"/>
    </row>
    <row r="159" spans="1:9" ht="12.5">
      <c r="A159" s="200" t="s">
        <v>442</v>
      </c>
      <c r="B159" s="426">
        <f>CHOOSE(MODE, 'Calculations - Single'!AU105, 'Calculations - Dual'!$AT$105)</f>
        <v>2.6623559471277458</v>
      </c>
      <c r="C159" s="201" t="s">
        <v>247</v>
      </c>
      <c r="D159" s="77"/>
      <c r="F159" s="7"/>
      <c r="G159" s="7"/>
      <c r="H159" s="7"/>
      <c r="I159" s="65"/>
    </row>
    <row r="160" spans="1:9" ht="12.5">
      <c r="A160" s="200" t="s">
        <v>440</v>
      </c>
      <c r="B160" s="185">
        <f>B157*B159/Cin+B158*RCinEsr</f>
        <v>9.0804860064726933E-2</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0.01</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5.0000000000000004E-8</v>
      </c>
      <c r="C166" s="7" t="s">
        <v>13</v>
      </c>
      <c r="D166" s="77" t="s">
        <v>308</v>
      </c>
      <c r="E166" s="7"/>
      <c r="F166" s="7"/>
      <c r="G166" s="7"/>
      <c r="H166" s="7"/>
      <c r="I166" s="25"/>
    </row>
    <row r="167" spans="1:9" thickBot="1">
      <c r="A167" s="28" t="s">
        <v>72</v>
      </c>
      <c r="B167" s="196">
        <f>'Standard Value Calculator'!B4</f>
        <v>4.6999999999999997E-8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18.8</v>
      </c>
      <c r="C178" s="111" t="s">
        <v>0</v>
      </c>
      <c r="E178" s="7"/>
      <c r="F178" s="7"/>
      <c r="G178" s="7"/>
      <c r="H178" s="7"/>
      <c r="I178" s="25"/>
    </row>
    <row r="179" spans="1:9" ht="12.75" customHeight="1">
      <c r="A179" s="110" t="s">
        <v>294</v>
      </c>
      <c r="B179" s="184">
        <f>'Design Converter'!E49</f>
        <v>17.8</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74.66666666666697</v>
      </c>
      <c r="C181" s="17" t="s">
        <v>113</v>
      </c>
      <c r="D181" s="7">
        <f>'Standard Value Calculator'!J16</f>
        <v>75</v>
      </c>
      <c r="E181" s="17" t="s">
        <v>113</v>
      </c>
      <c r="F181" s="37">
        <f>IF(Ruvlo1&lt;0,"N/A",D181)</f>
        <v>75</v>
      </c>
      <c r="G181" s="37" t="str">
        <f>IF(Ruvlo1&lt;0,"N/A",D181&amp;"kΩ")</f>
        <v>75kΩ</v>
      </c>
      <c r="I181" s="25"/>
    </row>
    <row r="182" spans="1:9" ht="12.75" customHeight="1">
      <c r="A182" s="110" t="s">
        <v>127</v>
      </c>
      <c r="B182" s="187">
        <f>D181*Vuvlo_on/(VINuvlo_on-Vuvlo_on+Ruvlo1*Iuvlo1)</f>
        <v>6.5028901734104041</v>
      </c>
      <c r="C182" s="17" t="s">
        <v>113</v>
      </c>
      <c r="D182" s="7">
        <f>'Standard Value Calculator'!J17</f>
        <v>6.49</v>
      </c>
      <c r="E182" s="17" t="s">
        <v>113</v>
      </c>
      <c r="F182" s="37">
        <f>IF(F181="N/A","N/A",D182)</f>
        <v>6.49</v>
      </c>
      <c r="G182" s="37" t="str">
        <f>IF(G181="N/A","N/A",D182&amp;"kΩ")</f>
        <v>6.49kΩ</v>
      </c>
      <c r="I182" s="25"/>
    </row>
    <row r="183" spans="1:9" ht="12.75" customHeight="1">
      <c r="A183" s="110"/>
      <c r="B183" s="112"/>
      <c r="C183" s="17"/>
      <c r="D183" s="37"/>
      <c r="E183" s="17"/>
      <c r="F183" s="37"/>
      <c r="G183" s="37"/>
      <c r="I183" s="25"/>
    </row>
    <row r="184" spans="1:9" ht="12.75" customHeight="1">
      <c r="A184" s="110" t="s">
        <v>114</v>
      </c>
      <c r="B184" s="590">
        <f>(D181+D182)/D182*Vuvlo_on</f>
        <v>18.834360554699536</v>
      </c>
      <c r="C184" s="3" t="s">
        <v>0</v>
      </c>
      <c r="E184" s="7"/>
      <c r="F184" s="17"/>
      <c r="G184" s="7"/>
      <c r="H184" s="7"/>
      <c r="I184" s="25"/>
    </row>
    <row r="185" spans="1:9" ht="12.75" customHeight="1">
      <c r="A185" s="110" t="s">
        <v>115</v>
      </c>
      <c r="B185" s="590">
        <f>(D181+D182)/D182*Vuvlo_off-Iuvlo2*D181</f>
        <v>17.831548536209549</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164</v>
      </c>
      <c r="C193" s="17" t="s">
        <v>113</v>
      </c>
      <c r="D193" s="77" t="s">
        <v>520</v>
      </c>
      <c r="F193" s="7"/>
      <c r="G193" s="7"/>
      <c r="H193" s="7"/>
      <c r="I193" s="25">
        <v>1</v>
      </c>
    </row>
    <row r="194" spans="1:9">
      <c r="A194" s="34" t="s">
        <v>519</v>
      </c>
      <c r="B194" s="174">
        <f>Rfb/1000</f>
        <v>168</v>
      </c>
      <c r="C194" s="17" t="s">
        <v>113</v>
      </c>
      <c r="D194" s="77" t="s">
        <v>517</v>
      </c>
      <c r="F194" s="7"/>
      <c r="G194" s="7"/>
      <c r="H194" s="7"/>
      <c r="I194" s="25"/>
    </row>
    <row r="195" spans="1:9">
      <c r="A195" s="110" t="s">
        <v>53</v>
      </c>
      <c r="B195" s="36">
        <f>'Standard Value Calculator'!J10/1000</f>
        <v>169</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-1.875</v>
      </c>
      <c r="C197" s="111" t="s">
        <v>380</v>
      </c>
      <c r="D197" s="77"/>
      <c r="F197" s="7"/>
      <c r="G197" s="7"/>
      <c r="H197" s="7"/>
      <c r="I197" s="25"/>
    </row>
    <row r="198" spans="1:9" ht="15.5">
      <c r="A198" s="24" t="s">
        <v>516</v>
      </c>
      <c r="B198" s="371">
        <f>4*B194/Nps/ABS(Diode_TC)*1000</f>
        <v>358400</v>
      </c>
      <c r="C198" s="17" t="s">
        <v>136</v>
      </c>
      <c r="D198" s="77"/>
      <c r="F198" s="7"/>
      <c r="G198" s="7"/>
      <c r="H198" s="7"/>
      <c r="I198" s="25"/>
    </row>
    <row r="199" spans="1:9">
      <c r="A199" s="12" t="s">
        <v>522</v>
      </c>
      <c r="B199" s="167">
        <f>'Standard Value Calculator'!J9/1000</f>
        <v>357</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75MΩ</v>
      </c>
      <c r="B228" s="7" t="str">
        <f>C269</f>
        <v>75kΩ</v>
      </c>
      <c r="C228" s="39"/>
      <c r="D228" s="7"/>
      <c r="E228" s="199"/>
      <c r="F228" s="199"/>
      <c r="G228" s="199"/>
      <c r="H228" s="199"/>
      <c r="I228" s="25"/>
    </row>
    <row r="229" spans="1:9">
      <c r="A229" s="24" t="str">
        <f>"RUV2 = "&amp;'Design Converter'!E51&amp;"kΩ"</f>
        <v>RUV2 = 6.49kΩ</v>
      </c>
      <c r="B229" s="7" t="str">
        <f>C270</f>
        <v>6.49kΩ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12µH</v>
      </c>
      <c r="B231" s="7" t="str">
        <f>'Design Converter'!L7&amp;"µH"</f>
        <v>12µH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1 : 1</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47nF</v>
      </c>
      <c r="B235" s="7" t="str">
        <f>ROUND(Css_u*1000000000,1)&amp;"nF"</f>
        <v>47nF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24V</v>
      </c>
      <c r="C237" s="39"/>
      <c r="D237" s="7"/>
      <c r="E237" s="7"/>
      <c r="F237" s="7"/>
      <c r="G237" s="7"/>
      <c r="H237" s="7"/>
      <c r="I237" s="25"/>
    </row>
    <row r="238" spans="1:9">
      <c r="A238" s="110" t="s">
        <v>187</v>
      </c>
      <c r="B238" s="7" t="str">
        <f>VIN_min&amp;"V..."&amp;VIN_max&amp;"V"</f>
        <v>19V...60V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16V</v>
      </c>
      <c r="B240" s="7" t="str">
        <f>'Design Converter'!E10&amp;"V"</f>
        <v>16V</v>
      </c>
      <c r="C240" s="39"/>
      <c r="D240" s="7">
        <f>MODE</f>
        <v>1</v>
      </c>
      <c r="E240" s="7"/>
      <c r="F240" s="7"/>
      <c r="G240" s="7"/>
      <c r="H240" s="7"/>
      <c r="I240" s="25"/>
    </row>
    <row r="241" spans="1:9">
      <c r="A241" s="24" t="str">
        <f>"VOUT2 = "&amp;'Design Converter'!E12&amp;"V"</f>
        <v>VOUT2 = 8V</v>
      </c>
      <c r="B241" s="7" t="str">
        <f>IF(MODE_TOP="DUAL", 'Design Converter'!E12&amp;"V", "")</f>
        <v/>
      </c>
      <c r="C241" s="39"/>
      <c r="D241" s="77" t="b">
        <f>MODE=2</f>
        <v>0</v>
      </c>
      <c r="E241" s="7"/>
      <c r="F241" s="7"/>
      <c r="G241" s="7"/>
      <c r="H241" s="7"/>
      <c r="I241" s="25"/>
    </row>
    <row r="242" spans="1:9">
      <c r="A242" s="24" t="str">
        <f>"VOUT2 = "&amp;'Design Converter'!E12&amp;"V"</f>
        <v>VOUT2 = 8V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
      </c>
      <c r="C244" s="77" t="str">
        <f>IF(MODE_TOP="DUAL", "Co2", "")</f>
        <v/>
      </c>
      <c r="D244" s="77" t="str">
        <f>IF(MODE_TOP="BIPOLAR", "Co2", "")</f>
        <v/>
      </c>
      <c r="E244" s="7"/>
      <c r="F244" s="77" t="str">
        <f>MODE_TOP</f>
        <v>SINGLE</v>
      </c>
      <c r="G244" s="7"/>
      <c r="H244" s="7"/>
      <c r="I244" s="25"/>
    </row>
    <row r="245" spans="1:9" ht="12.5">
      <c r="A245" s="24" t="str">
        <f>"COUT = "&amp;'Design Converter'!$E$34&amp;"µF"</f>
        <v>COUT = 110µF</v>
      </c>
      <c r="B245" s="7" t="str">
        <f>'Design Converter'!$E$34&amp;"µF"</f>
        <v>110µF</v>
      </c>
      <c r="C245" s="7" t="str">
        <f>IF(MODE_TOP="DUAL", 'Design Converter'!$L$34&amp;"µF", "")</f>
        <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5 x</v>
      </c>
      <c r="C247" s="160"/>
      <c r="D247" s="7"/>
      <c r="E247" s="7"/>
      <c r="F247" s="7"/>
      <c r="G247" s="7"/>
      <c r="H247" s="7"/>
      <c r="I247" s="25"/>
    </row>
    <row r="248" spans="1:9">
      <c r="A248" s="110"/>
      <c r="B248" s="78">
        <f>Cout</f>
        <v>110</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22µF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5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NO</v>
      </c>
      <c r="D256" s="7"/>
      <c r="E256" s="7"/>
      <c r="F256" s="7"/>
      <c r="G256" s="7"/>
      <c r="H256" s="7"/>
      <c r="I256" s="25"/>
    </row>
    <row r="257" spans="1:9">
      <c r="A257" s="110" t="s">
        <v>298</v>
      </c>
      <c r="B257" s="160" t="str">
        <f>IF(MODE_TC=2, "YES", "NO")</f>
        <v>YES</v>
      </c>
      <c r="C257" s="386" t="str">
        <f>IF(MODE_TC=2, "R1", "")</f>
        <v>R1</v>
      </c>
      <c r="D257" s="386" t="str">
        <f>IF(MODE_TC=2, "R2", "")</f>
        <v>R2</v>
      </c>
      <c r="E257" s="386"/>
      <c r="F257" s="7"/>
      <c r="G257" s="7"/>
      <c r="H257" s="7"/>
      <c r="I257" s="25"/>
    </row>
    <row r="258" spans="1:9" ht="12.5">
      <c r="A258" s="24" t="str">
        <f>"RFB = "&amp;'Design Converter'!E39&amp;"kΩ"</f>
        <v>RFB = 164kΩ</v>
      </c>
      <c r="B258" s="7" t="str">
        <f>IF(MODE_TC=1, "", 'Design Converter'!E39&amp;"kΩ")</f>
        <v>164kΩ</v>
      </c>
      <c r="C258" s="77" t="str">
        <f>'Design Converter'!E39&amp;"kΩ"</f>
        <v>164kΩ</v>
      </c>
      <c r="D258" s="7"/>
      <c r="E258" s="7"/>
      <c r="F258" s="7"/>
      <c r="G258" s="7"/>
      <c r="H258" s="7"/>
      <c r="I258" s="25"/>
    </row>
    <row r="259" spans="1:9" ht="12.5">
      <c r="A259" s="24" t="str">
        <f>"RFB2 = "&amp;IF(Vout=Vref,"OPEN",'Design Converter'!E40&amp;"kΩ")</f>
        <v>RFB2 = 168kΩ</v>
      </c>
      <c r="B259" s="7" t="str">
        <f>IF(MODE_TC=1, "", IF(Vout=Vref,"OPEN",Rfb2_u/1000&amp;"kΩ"))</f>
        <v>0.169kΩ</v>
      </c>
      <c r="C259" s="77" t="str">
        <f>'Design Converter'!E40&amp;"kΩ"</f>
        <v>168kΩ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YES</v>
      </c>
      <c r="C261" s="7" t="str">
        <f>IF(MODE=1,"Rt", "")</f>
        <v>Rt</v>
      </c>
      <c r="D261" s="7"/>
      <c r="E261" s="7"/>
      <c r="F261" s="7"/>
      <c r="G261" s="7"/>
      <c r="H261" s="7"/>
      <c r="I261" s="25"/>
    </row>
    <row r="262" spans="1:9">
      <c r="A262" s="110" t="s">
        <v>139</v>
      </c>
      <c r="B262" s="7" t="e">
        <f>IF(MODE=2, "", 'Standard Value Calculator'!J4/1000&amp;"kΩ")</f>
        <v>#NAME?</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YES</v>
      </c>
      <c r="C264" s="77" t="str">
        <f>IF(TC=1,"Rtc", "")</f>
        <v/>
      </c>
      <c r="D264" s="7"/>
      <c r="E264" s="7"/>
      <c r="F264" s="7"/>
      <c r="G264" s="7"/>
      <c r="H264" s="7"/>
      <c r="I264" s="25"/>
    </row>
    <row r="265" spans="1:9" ht="12.5">
      <c r="A265" s="521" t="str">
        <f>"RTC = "&amp;RTC&amp;"kΩ"</f>
        <v>RTC = 357kΩ</v>
      </c>
      <c r="B265" s="7" t="str">
        <f>IF(TC=1, RTC&amp;"kΩ", "")</f>
        <v/>
      </c>
      <c r="C265" s="77" t="str">
        <f>CHOOSE(TC,"Rtc","")</f>
        <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75kΩ</v>
      </c>
      <c r="B269" s="7" t="str">
        <f>'Design Converter'!E50&amp;" kΩ"</f>
        <v>75 kΩ</v>
      </c>
      <c r="C269" s="386" t="str">
        <f>IF(MODE_UVLO=1,'Design Converter'!E50&amp;"kΩ", "")</f>
        <v>75kΩ</v>
      </c>
      <c r="F269" s="7">
        <f>IF(MODE_UVLO=1,'Design Converter'!E50, "")</f>
        <v>75</v>
      </c>
      <c r="G269" s="77" t="str">
        <f>IF(MODE_UVLO=1,"kΩ", "")</f>
        <v>kΩ</v>
      </c>
      <c r="H269" s="386" t="str">
        <f>IF(MODE_UVLO=1,'Design Converter'!E50&amp;"k", "")</f>
        <v>75k</v>
      </c>
      <c r="I269" s="25"/>
    </row>
    <row r="270" spans="1:9" ht="12.5">
      <c r="A270" s="24" t="str">
        <f>"RUV2 = "&amp;C270</f>
        <v>RUV2 = 6.49kΩ</v>
      </c>
      <c r="B270" s="7" t="str">
        <f>IF(D182&gt;=1000, D182/1000&amp;" MΩ", D182&amp;" kΩ")</f>
        <v>6.49 kΩ</v>
      </c>
      <c r="C270" s="386" t="str">
        <f>IF(MODE_UVLO=1, IF(D182&lt;1, D182*1000&amp;"Ω", IF(D182&lt;1000, D182&amp;"kΩ", D182/1000&amp;"MΩ")), "")</f>
        <v>6.49kΩ</v>
      </c>
      <c r="F270" s="7">
        <f>IF(MODE_UVLO=1, IF(D182&lt;1, D182*1000, IF(D182&lt;1000, D182, D182/1000)), "")</f>
        <v>6.49</v>
      </c>
      <c r="G270" s="77" t="str">
        <f>IF(MODE_UVLO=1, IF(D182&lt;1, "Ω", IF(D182&lt;1000,"kΩ", "MΩ")), "")</f>
        <v>kΩ</v>
      </c>
      <c r="H270" s="386" t="str">
        <f>IF(MODE_UVLO=1, IF(D182&lt;1, D182*1000, IF(D182&lt;1000, D182&amp;"k", D182/1000&amp;"M")), "")</f>
        <v>6.49k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50nF</v>
      </c>
      <c r="B276" s="7" t="str">
        <f>Css*1000000000&amp;"nF"</f>
        <v>50nF</v>
      </c>
      <c r="D276" s="7"/>
      <c r="E276" s="7"/>
      <c r="F276" s="7"/>
      <c r="G276" s="7"/>
      <c r="H276" s="7"/>
      <c r="I276" s="25"/>
    </row>
    <row r="277" spans="1:9" ht="12.5">
      <c r="A277" s="24" t="s">
        <v>66</v>
      </c>
      <c r="B277" s="7" t="str">
        <f>CHOOSE(MODE_SS,'Standard Value Calculator'!B4*1000000000&amp;"nF","")</f>
        <v/>
      </c>
      <c r="C277" s="7" t="str">
        <f>CHOOSE(MODE_SS,"Css","")</f>
        <v/>
      </c>
      <c r="D277" s="397" t="str">
        <f>B277</f>
        <v/>
      </c>
      <c r="E277" s="7"/>
      <c r="F277" s="7"/>
      <c r="G277" s="7"/>
      <c r="H277" s="7"/>
      <c r="I277" s="25"/>
    </row>
    <row r="278" spans="1:9">
      <c r="A278" s="24"/>
      <c r="B278" s="7"/>
      <c r="C278" s="77" t="str">
        <f>C277</f>
        <v/>
      </c>
      <c r="D278" s="39"/>
      <c r="E278" s="7"/>
      <c r="F278" s="7"/>
      <c r="G278" s="7"/>
      <c r="H278" s="7"/>
      <c r="I278" s="25"/>
    </row>
    <row r="279" spans="1:9">
      <c r="A279" s="24"/>
      <c r="B279" s="7"/>
      <c r="C279" s="77"/>
      <c r="D279" s="39"/>
      <c r="E279" s="7"/>
      <c r="F279" s="7"/>
      <c r="G279" s="7"/>
      <c r="H279" s="7"/>
      <c r="I279" s="25"/>
    </row>
    <row r="280" spans="1:9" ht="12.5">
      <c r="A280" s="110" t="s">
        <v>640</v>
      </c>
      <c r="B280" s="77">
        <f>ROUND(Iout*2,1)</f>
        <v>2</v>
      </c>
      <c r="C280" s="77" t="s">
        <v>1</v>
      </c>
      <c r="D280" s="7"/>
      <c r="E280" s="7"/>
      <c r="F280" s="7"/>
      <c r="G280" s="7"/>
      <c r="H280" s="7"/>
      <c r="I280" s="25"/>
    </row>
    <row r="281" spans="1:9" ht="12.5">
      <c r="A281" s="110" t="s">
        <v>641</v>
      </c>
      <c r="B281">
        <f>ROUND(VRRM_DIODE,0)</f>
        <v>76</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89.1%</v>
      </c>
      <c r="C286" s="7"/>
      <c r="D286" s="7"/>
      <c r="E286" s="7"/>
      <c r="F286" s="7"/>
      <c r="G286" s="7"/>
      <c r="H286" s="7"/>
      <c r="I286" s="25"/>
    </row>
    <row r="287" spans="1:9" ht="12.5">
      <c r="A287" s="110" t="s">
        <v>492</v>
      </c>
      <c r="B287" s="353" t="str">
        <f>ROUND('Calculations - Single'!$CB$55,1)&amp;"%"</f>
        <v>84.2%</v>
      </c>
      <c r="C287" s="7"/>
      <c r="D287" s="7"/>
      <c r="E287" s="7"/>
      <c r="F287" s="7"/>
      <c r="G287" s="7"/>
      <c r="H287" s="7"/>
      <c r="I287" s="25"/>
    </row>
    <row r="288" spans="1:9" ht="12.5">
      <c r="A288" s="110" t="s">
        <v>307</v>
      </c>
      <c r="B288" s="353" t="str">
        <f>ROUND('Calculations - Single'!$CB$15,1)&amp;"%"</f>
        <v>70%</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1A</v>
      </c>
      <c r="C295" s="39"/>
      <c r="D295" s="7"/>
      <c r="E295" s="7"/>
      <c r="F295" s="7"/>
      <c r="G295" s="7"/>
      <c r="H295" s="7"/>
      <c r="I295" s="25"/>
    </row>
    <row r="296" spans="1:9">
      <c r="A296" s="499" t="s">
        <v>509</v>
      </c>
      <c r="B296" s="7" t="str">
        <f>IF(MODE_TOP="DUAL", 'Design Converter'!$E$13&amp;"A", "")</f>
        <v/>
      </c>
      <c r="C296" s="39"/>
      <c r="D296" s="77">
        <f>MODE</f>
        <v>1</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12</v>
      </c>
      <c r="C309" s="3" t="s">
        <v>866</v>
      </c>
      <c r="D309" t="str">
        <f>B309&amp;"kΩ"</f>
        <v>12kΩ</v>
      </c>
    </row>
    <row r="310" spans="1:9">
      <c r="A310" t="s">
        <v>865</v>
      </c>
      <c r="B310">
        <f>'Design Converter'!$E$62</f>
        <v>22</v>
      </c>
      <c r="C310" s="3" t="s">
        <v>319</v>
      </c>
      <c r="D310" t="str">
        <f>B310&amp;"nF"</f>
        <v>22nF</v>
      </c>
    </row>
    <row r="311" spans="1:9">
      <c r="A311" t="s">
        <v>750</v>
      </c>
      <c r="B311">
        <f>'Design Converter'!$E$64</f>
        <v>100</v>
      </c>
      <c r="C311" s="3" t="s">
        <v>170</v>
      </c>
      <c r="D311" t="str">
        <f>B311&amp;"pF"</f>
        <v>100pF</v>
      </c>
    </row>
    <row r="313" spans="1:9">
      <c r="A313" t="s">
        <v>771</v>
      </c>
      <c r="B313">
        <f>RCS</f>
        <v>20</v>
      </c>
      <c r="C313" s="3" t="s">
        <v>867</v>
      </c>
      <c r="D313" t="str">
        <f>B313&amp;"mΩ"</f>
        <v>20mΩ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1E-3</v>
      </c>
      <c r="J6" s="217"/>
      <c r="K6" s="217"/>
      <c r="L6" s="217"/>
      <c r="M6" s="217"/>
      <c r="N6" s="267"/>
      <c r="O6" s="172"/>
      <c r="P6" s="217"/>
      <c r="Q6" s="443"/>
      <c r="S6" s="268"/>
      <c r="T6" s="268"/>
      <c r="U6" s="268"/>
      <c r="AJ6" s="443"/>
      <c r="AY6" s="216">
        <f>Vout*I6</f>
        <v>1.6E-2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0.01</v>
      </c>
      <c r="J7" s="217"/>
      <c r="K7" s="217"/>
      <c r="L7" s="217"/>
      <c r="M7" s="217"/>
      <c r="N7" s="267"/>
      <c r="O7" s="172"/>
      <c r="P7" s="217"/>
      <c r="Q7" s="443"/>
      <c r="S7" s="268"/>
      <c r="T7" s="268"/>
      <c r="U7" s="268"/>
      <c r="AJ7" s="443"/>
      <c r="AY7" s="216">
        <f>Vout*I7</f>
        <v>0.16</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24</v>
      </c>
      <c r="C8" s="275" t="s">
        <v>0</v>
      </c>
      <c r="D8" s="194">
        <f>B8</f>
        <v>24</v>
      </c>
      <c r="E8" s="188" t="s">
        <v>3</v>
      </c>
      <c r="F8" s="266"/>
      <c r="G8" s="266"/>
      <c r="H8" s="170">
        <v>2</v>
      </c>
      <c r="I8" s="456">
        <f t="shared" si="0"/>
        <v>0.02</v>
      </c>
      <c r="J8" s="217"/>
      <c r="K8" s="217"/>
      <c r="L8" s="217"/>
      <c r="M8" s="217"/>
      <c r="N8" s="267"/>
      <c r="O8" s="172"/>
      <c r="P8" s="217"/>
      <c r="Q8" s="443"/>
      <c r="S8" s="268"/>
      <c r="T8" s="268"/>
      <c r="U8" s="268"/>
      <c r="AJ8" s="443"/>
      <c r="AY8" s="216">
        <f>Vout*I8</f>
        <v>0.32</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16</v>
      </c>
      <c r="C9" s="275" t="s">
        <v>0</v>
      </c>
      <c r="D9" s="194">
        <f>B9</f>
        <v>16</v>
      </c>
      <c r="E9" s="188" t="s">
        <v>4</v>
      </c>
      <c r="F9" s="266"/>
      <c r="G9" s="266"/>
      <c r="H9" s="170">
        <v>3</v>
      </c>
      <c r="I9" s="456">
        <f t="shared" si="0"/>
        <v>0.03</v>
      </c>
      <c r="J9" s="217"/>
      <c r="K9" s="217"/>
      <c r="L9" s="217"/>
      <c r="M9" s="217"/>
      <c r="N9" s="267"/>
      <c r="O9" s="172"/>
      <c r="P9" s="217"/>
      <c r="Q9" s="443"/>
      <c r="S9" s="268"/>
      <c r="T9" s="268"/>
      <c r="U9" s="268"/>
      <c r="AJ9" s="443"/>
      <c r="AY9" s="216">
        <f>Vout*I9</f>
        <v>0.48</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v>
      </c>
      <c r="C10" s="275" t="s">
        <v>1</v>
      </c>
      <c r="D10" s="194">
        <f>B10</f>
        <v>1</v>
      </c>
      <c r="E10" s="277" t="s">
        <v>241</v>
      </c>
      <c r="F10" s="266"/>
      <c r="G10" s="266"/>
      <c r="H10" s="170">
        <v>4</v>
      </c>
      <c r="I10" s="456">
        <f t="shared" si="0"/>
        <v>0.04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8333.3333333333321</v>
      </c>
      <c r="C11" s="278" t="s">
        <v>242</v>
      </c>
      <c r="D11" s="292">
        <f>B11*1000</f>
        <v>8333333.3333333321</v>
      </c>
      <c r="E11" s="277"/>
      <c r="F11" s="266"/>
      <c r="G11" s="266"/>
      <c r="H11" s="170">
        <v>5</v>
      </c>
      <c r="I11" s="456">
        <f t="shared" si="0"/>
        <v>0.05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14</v>
      </c>
      <c r="H12" s="170">
        <v>6</v>
      </c>
      <c r="I12" s="456">
        <f t="shared" si="0"/>
        <v>0.06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7.0000000000000007E-2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0.09</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55.55555555555555</v>
      </c>
      <c r="C17" s="287" t="s">
        <v>247</v>
      </c>
      <c r="D17" s="288">
        <f>B17/1000000</f>
        <v>5.5555555555555551E-5</v>
      </c>
      <c r="E17" s="277" t="s">
        <v>248</v>
      </c>
      <c r="F17" s="266"/>
      <c r="G17" s="266"/>
      <c r="H17" s="170">
        <v>11</v>
      </c>
      <c r="I17" s="456">
        <f t="shared" si="0"/>
        <v>0.11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36805.555555555547</v>
      </c>
      <c r="C19" s="277" t="s">
        <v>30</v>
      </c>
      <c r="D19" s="190">
        <f>B19/1000</f>
        <v>36.80555555555555</v>
      </c>
      <c r="E19" s="275" t="s">
        <v>252</v>
      </c>
      <c r="F19" s="266"/>
      <c r="G19" s="266"/>
      <c r="H19" s="170">
        <v>13</v>
      </c>
      <c r="I19" s="456">
        <f t="shared" si="0"/>
        <v>0.13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38</v>
      </c>
      <c r="C22" s="275" t="s">
        <v>32</v>
      </c>
      <c r="D22" s="295">
        <f>B22/1000000000</f>
        <v>3.8000000000000003E-8</v>
      </c>
      <c r="E22" s="188" t="s">
        <v>255</v>
      </c>
      <c r="F22" s="266"/>
      <c r="G22" s="266"/>
      <c r="H22" s="170">
        <v>16</v>
      </c>
      <c r="I22" s="456">
        <f t="shared" si="0"/>
        <v>0.16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36.5</v>
      </c>
      <c r="C23" s="275" t="s">
        <v>32</v>
      </c>
      <c r="D23" s="295">
        <f>B23/1000000000</f>
        <v>3.6500000000000003E-8</v>
      </c>
      <c r="E23" s="188" t="s">
        <v>256</v>
      </c>
      <c r="F23" s="266"/>
      <c r="G23" s="266"/>
      <c r="H23" s="170">
        <v>17</v>
      </c>
      <c r="I23" s="456">
        <f t="shared" si="0"/>
        <v>0.17</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0.18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0.2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0.21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0.22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0.23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22</v>
      </c>
      <c r="C30" s="306" t="s">
        <v>97</v>
      </c>
      <c r="D30" s="307">
        <f>B30/1000000</f>
        <v>2.1999999999999999E-5</v>
      </c>
      <c r="E30" s="308" t="s">
        <v>60</v>
      </c>
      <c r="F30" s="266"/>
      <c r="G30" s="266"/>
      <c r="H30" s="170">
        <v>24</v>
      </c>
      <c r="I30" s="456">
        <f t="shared" si="0"/>
        <v>0.24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0.26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5</v>
      </c>
      <c r="C35" s="287" t="s">
        <v>1</v>
      </c>
      <c r="D35" s="269">
        <f>B35</f>
        <v>5</v>
      </c>
      <c r="E35" s="188" t="s">
        <v>398</v>
      </c>
      <c r="F35" s="266"/>
      <c r="G35" s="266"/>
      <c r="H35" s="170">
        <v>29</v>
      </c>
      <c r="I35" s="456">
        <f t="shared" si="0"/>
        <v>0.28999999999999998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v>
      </c>
      <c r="C36" s="287" t="s">
        <v>1</v>
      </c>
      <c r="D36" s="269">
        <f>B36</f>
        <v>1</v>
      </c>
      <c r="E36" s="188" t="s">
        <v>408</v>
      </c>
      <c r="F36" s="266"/>
      <c r="G36" s="266"/>
      <c r="H36" s="170">
        <v>30</v>
      </c>
      <c r="I36" s="456">
        <f t="shared" si="0"/>
        <v>0.3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0.33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0.34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20</v>
      </c>
      <c r="C41" s="278" t="s">
        <v>258</v>
      </c>
      <c r="D41" s="171">
        <f>B41/1000</f>
        <v>0.02</v>
      </c>
      <c r="E41" s="277" t="s">
        <v>396</v>
      </c>
      <c r="H41" s="170">
        <v>35</v>
      </c>
      <c r="I41" s="456">
        <f t="shared" si="2"/>
        <v>0.35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0.36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23</v>
      </c>
      <c r="C44" s="287" t="s">
        <v>31</v>
      </c>
      <c r="D44" s="171">
        <f>B44/1000000000</f>
        <v>2.3000000000000001E-8</v>
      </c>
      <c r="E44" s="277" t="s">
        <v>395</v>
      </c>
      <c r="H44" s="170">
        <v>38</v>
      </c>
      <c r="I44" s="456">
        <f t="shared" si="2"/>
        <v>0.38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935</v>
      </c>
      <c r="C45" s="287" t="s">
        <v>15</v>
      </c>
      <c r="D45" s="321">
        <f>B45/1000000000000</f>
        <v>9.3499999999999998E-10</v>
      </c>
      <c r="E45" s="277" t="s">
        <v>326</v>
      </c>
      <c r="H45" s="170">
        <v>39</v>
      </c>
      <c r="I45" s="456">
        <f t="shared" si="2"/>
        <v>0.39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0.4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0.41</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0.42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0.43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0.44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0.45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0.46</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0.47</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0.48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0.49</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0.5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0.51</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0.52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0.53</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0.54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0.55000000000000004</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0.56000000000000005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0.56999999999999995</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v>
      </c>
      <c r="H64" s="170">
        <v>58</v>
      </c>
      <c r="I64" s="456">
        <f t="shared" si="2"/>
        <v>0.57999999999999996</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v>
      </c>
      <c r="H65" s="170">
        <v>59</v>
      </c>
      <c r="I65" s="456">
        <f t="shared" si="2"/>
        <v>0.59</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v>
      </c>
      <c r="H66" s="170">
        <v>60</v>
      </c>
      <c r="I66" s="456">
        <f t="shared" si="2"/>
        <v>0.6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0.61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0.62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0.63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0.64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0.65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0.66</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0.67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0.68</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0.69</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0.7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0.71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0.72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0.73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0.74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0.75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0.76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0.77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0.78</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0.79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0.8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0.81</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0.82</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v>
      </c>
      <c r="H89" s="170">
        <v>83</v>
      </c>
      <c r="I89" s="456">
        <f t="shared" si="3"/>
        <v>0.83</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v>
      </c>
      <c r="H90" s="170">
        <v>84</v>
      </c>
      <c r="I90" s="456">
        <f t="shared" si="3"/>
        <v>0.84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v>
      </c>
      <c r="H91" s="170">
        <v>85</v>
      </c>
      <c r="I91" s="456">
        <f t="shared" si="3"/>
        <v>0.85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0.86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0.87</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0.88</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0.89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0.9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0.91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0.92</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0.93</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0.94</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0.95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0.96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0.97</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0.98</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0.99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v>
      </c>
      <c r="J106" s="217"/>
      <c r="K106" s="217"/>
      <c r="L106" s="217"/>
      <c r="M106" s="217"/>
      <c r="N106" s="267"/>
      <c r="O106" s="172"/>
      <c r="P106" s="217"/>
      <c r="Q106" s="443"/>
      <c r="S106" s="268"/>
      <c r="T106" s="268"/>
      <c r="U106" s="268"/>
      <c r="AJ106" s="443"/>
      <c r="AY106" s="216">
        <f>Vout*I106</f>
        <v>16</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11.512925464970229</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78" priority="8" stopIfTrue="1" operator="notEqual">
      <formula>G28</formula>
    </cfRule>
  </conditionalFormatting>
  <conditionalFormatting sqref="B30:B33">
    <cfRule type="cellIs" dxfId="77" priority="6" stopIfTrue="1" operator="notEqual">
      <formula>G36</formula>
    </cfRule>
  </conditionalFormatting>
  <conditionalFormatting sqref="B35:B36">
    <cfRule type="cellIs" dxfId="76" priority="5" stopIfTrue="1" operator="notEqual">
      <formula>G42</formula>
    </cfRule>
  </conditionalFormatting>
  <conditionalFormatting sqref="B41">
    <cfRule type="cellIs" dxfId="75" priority="4" stopIfTrue="1" operator="notEqual">
      <formula>G53</formula>
    </cfRule>
  </conditionalFormatting>
  <conditionalFormatting sqref="B50:B53">
    <cfRule type="cellIs" dxfId="74" priority="9" stopIfTrue="1" operator="notEqual">
      <formula>G70</formula>
    </cfRule>
  </conditionalFormatting>
  <conditionalFormatting sqref="B48:B49">
    <cfRule type="cellIs" dxfId="73" priority="12" stopIfTrue="1" operator="notEqual">
      <formula>G68</formula>
    </cfRule>
  </conditionalFormatting>
  <conditionalFormatting sqref="B43:B45">
    <cfRule type="cellIs" dxfId="72" priority="13" stopIfTrue="1" operator="notEqual">
      <formula>G54</formula>
    </cfRule>
  </conditionalFormatting>
  <conditionalFormatting sqref="B46">
    <cfRule type="cellIs" dxfId="71" priority="2" stopIfTrue="1" operator="notEqual">
      <formula>G66</formula>
    </cfRule>
  </conditionalFormatting>
  <conditionalFormatting sqref="B29">
    <cfRule type="cellIs" dxfId="70" priority="145" stopIfTrue="1" operator="notEqual">
      <formula>G30</formula>
    </cfRule>
  </conditionalFormatting>
  <conditionalFormatting sqref="B38:B39">
    <cfRule type="cellIs" dxfId="69"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BL5" sqref="BL5"/>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5</v>
      </c>
      <c r="CQ2">
        <f>Vfwd1</f>
        <v>0.4</v>
      </c>
      <c r="CY2">
        <f>Isw_max</f>
        <v>5</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1.6000000000000001E-8</v>
      </c>
      <c r="I5" s="541">
        <f t="shared" ref="I5:I36" si="1">Vin-F5*(Rdcr_pri+RON/1000)/CG5/Nps</f>
        <v>23.999988214886979</v>
      </c>
      <c r="J5" s="172">
        <f t="shared" ref="J5:J36" si="2">(T5+Vfwd1+F5/CG5*Rdcr_sec)*Nps</f>
        <v>16.400007071067812</v>
      </c>
      <c r="K5" s="172">
        <f t="shared" ref="K5:K36" si="3">(Vout+Vfwd1+F5/CG5*Rdcr_sec)*Nps+VIN_nom</f>
        <v>40.400007071067812</v>
      </c>
      <c r="L5" s="443"/>
      <c r="M5" s="217">
        <f t="shared" ref="M5:M36" si="4">(Vout+Vfwd1+F5/FL5*Rdcr_sec)*Nps/((Vout+Vfwd1+F5/FL5*Rdcr_sec)*Nps+I5)</f>
        <v>0.40594081774442953</v>
      </c>
      <c r="N5" s="172">
        <f t="shared" ref="N5:N36" si="5">M5*I5*(Isw_max+VIN_nom/Lmag*ILIM_delay)*0.5*Efficiency</f>
        <v>24.648714349773964</v>
      </c>
      <c r="O5" s="172">
        <f>T5*F5</f>
        <v>1.6000000000000001E-8</v>
      </c>
      <c r="P5" s="217">
        <f t="shared" ref="P5:P36" si="6">N5/Vout</f>
        <v>1.5405446468608728</v>
      </c>
      <c r="Q5" s="217">
        <f t="shared" ref="Q5:Q36" si="7">MIN(Vout,N5/F5)</f>
        <v>16</v>
      </c>
      <c r="R5" s="217">
        <f t="shared" ref="R5:R36" si="8">Isw_max/2*I5*Nps*(Q5+Vfwd1+F5/FL5*Rdcr_sec)/Q5/(I5+Nps*(Q5+Vfwd1+F5/FL5*Rdcr_sec))</f>
        <v>1.5222773190324832</v>
      </c>
      <c r="S5" s="172">
        <f t="shared" ref="S5:S36" si="9">(SQRT(Isw_max^2*Nps^2*I5^2+4*Isw_max*F5/Efficiency*(Nps^2*Vfwd1*I5-Nps*I5^2)+4*(F5/Efficiency)^2*Nps^2*Vfwd1^2+8*(F5/Efficiency)^2*Nps*Vfwd1*I5+4*(F5/Efficiency)^2*I5^2)-2*F5/Efficiency*I5-2*F5/Efficiency*Nps*Vfwd1+Isw_max*Nps*I5)/(4*F5/Efficiency*Nps)</f>
        <v>59999970513.217461</v>
      </c>
      <c r="T5" s="172">
        <f t="shared" ref="T5:T36" si="10">MIN(Vout, S5)</f>
        <v>16</v>
      </c>
      <c r="U5" s="217">
        <f>MIN(2*(Vout+Vfwd1+F5/FL5*Rdcr_sec)*F5/(I5*M5), Isw_max)</f>
        <v>3.3666679343398804E-9</v>
      </c>
      <c r="V5" s="217">
        <f t="shared" ref="V5:V68" si="11">L*U5/I5*1000000</f>
        <v>1.6833347937653901E-9</v>
      </c>
      <c r="W5" s="217">
        <f t="shared" ref="W5:W36" si="12">L*U5/J5*1000000</f>
        <v>2.4634144995797311E-9</v>
      </c>
      <c r="X5" s="197">
        <f t="shared" ref="X5:X36" si="13">IF(1/((350000*L)*(1/I5+1/J5))&gt;Isw_min, 350, 0.001/((Isw_min*L)*(1/I5+1/J5)))</f>
        <v>350</v>
      </c>
      <c r="Y5" s="443">
        <f t="shared" ref="Y5:Y68" si="14">MIN(1/(V5+W5+0.2)*1000, 350)</f>
        <v>350</v>
      </c>
      <c r="AA5" s="217">
        <f t="shared" ref="AA5:AA36" si="15">1/((X5*1000*L)*(1/I5+1/J5))</f>
        <v>2.3196606692399144</v>
      </c>
      <c r="AB5" s="173">
        <f t="shared" ref="AB5:AB36" si="16">L*AA5/J5*1000000</f>
        <v>1.6973119529921377</v>
      </c>
      <c r="AC5" s="173">
        <f t="shared" ref="AC5:AC36" si="17">0.5*AB5*AA5*Nps*X5/1000</f>
        <v>0.68900786163766348</v>
      </c>
      <c r="AD5" s="173"/>
      <c r="AE5" s="173">
        <f t="shared" ref="AE5:AE36" si="18">L*Isw_min/J5*1000000</f>
        <v>0.73170700158842517</v>
      </c>
      <c r="AF5" s="545">
        <f>MAX(12, F5/(0.5*AE5/1000000*Isw_min*Nps)/1000)</f>
        <v>12</v>
      </c>
      <c r="AG5" s="528">
        <f t="shared" ref="AG5:AG36" si="19">0.5*AE5/1000000*Isw_min*Nps*X5*1000</f>
        <v>0.12804872527797442</v>
      </c>
      <c r="AI5" s="173">
        <f t="shared" ref="AI5:AI36" si="20">SQRT(F5/Efficiency/(0.5*L/J5*Fsw_DCM*Nps))</f>
        <v>8.8371529220099829E-5</v>
      </c>
      <c r="AJ5" s="173">
        <f t="shared" ref="AJ5:AJ36" si="21">MAX(IF(F5&gt;AC5,U5,AI5),Isw_min)</f>
        <v>1</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0.50000024552330846</v>
      </c>
      <c r="AU5" s="5">
        <f>AS5-AT5</f>
        <v>82.833333087810018</v>
      </c>
      <c r="AV5" s="5">
        <f t="shared" ref="AV5:AV36" si="28">L*AJ5/J5*1000000</f>
        <v>0.73170700158842517</v>
      </c>
      <c r="AW5" s="173">
        <f>AT5/AS5</f>
        <v>6.0000029462797021E-3</v>
      </c>
      <c r="AX5" s="173">
        <f t="shared" ref="AX5:AX36" si="29">0.5*L*AJ5^2*AN5*1000</f>
        <v>7.2000000000000008E-2</v>
      </c>
      <c r="AY5" s="173">
        <f t="shared" ref="AY5:AY36" si="30">AJ5*Nps/2*(1-AW5)</f>
        <v>0.49699999852686016</v>
      </c>
      <c r="AZ5" s="173">
        <f>AX5/AY5</f>
        <v>0.14486921572115216</v>
      </c>
      <c r="BA5" s="460">
        <f t="shared" ref="BA5:BA36" si="31">F5*AT5/Vout_ripple*1000</f>
        <v>3.125001534520678E-9</v>
      </c>
      <c r="BB5" s="5">
        <f t="shared" ref="BB5:BB36" si="32">H5/Efficiency/I5*AU5/Vinripple1</f>
        <v>4.6018540979354445E-8</v>
      </c>
      <c r="BC5" s="5"/>
      <c r="BD5" s="173">
        <f>AJ5*SQRT(AW5/3)</f>
        <v>4.4721370530130602E-2</v>
      </c>
      <c r="BE5" s="173">
        <f t="shared" ref="BE5:BE36" si="33">AJ5*Nps*SQRT((1-AW5)/3)</f>
        <v>0.57561561162918451</v>
      </c>
      <c r="BF5" s="173"/>
      <c r="BG5" s="528">
        <f t="shared" ref="BG5:BG36" si="34">Rdson*BD5^2</f>
        <v>4.0000019641864683E-5</v>
      </c>
      <c r="BH5" s="528">
        <f t="shared" ref="BH5:BH36" si="35">0.5*K5*AJ5*AN5*1000*Tfall</f>
        <v>8.8476015485638507E-3</v>
      </c>
      <c r="BI5" s="528">
        <f t="shared" ref="BI5:BI36" si="36">Qg*Vdd*AN5*1000*0+Qg*I5*AN5*1000</f>
        <v>6.623996747308806E-3</v>
      </c>
      <c r="BJ5" s="528">
        <f t="shared" ref="BJ5:BJ36" si="37">0.5*(Coss+Csw)*K5^2*AN5*1000</f>
        <v>9.6460689766331657E-3</v>
      </c>
      <c r="BK5">
        <f t="shared" ref="BK5:BK36" si="38">I5*IQ</f>
        <v>1.079999469669914E-2</v>
      </c>
      <c r="BL5" s="460">
        <f>(BK5+BI5)*1000</f>
        <v>17.423991444007946</v>
      </c>
      <c r="BM5" s="528">
        <f t="shared" ref="BM5:BM36" si="39">(BH5+BI5*0+BJ5+BK5*0+BG5*(1+RdsonTC*(Ta-25)))/(1-BG5*RdsonTC*ThetaJA)</f>
        <v>1.8544646798551903E-2</v>
      </c>
      <c r="BN5" s="460">
        <f>BM5*1000</f>
        <v>18.544646798551902</v>
      </c>
      <c r="BO5" s="528">
        <f>Vfwd2*F5*(1+Diode_TC/1000*(Ta-25))</f>
        <v>6.212499999999999E-10</v>
      </c>
      <c r="BP5" s="528"/>
      <c r="BR5" s="460">
        <f>SUM(BO5:BQ5)*1000</f>
        <v>6.2124999999999988E-7</v>
      </c>
      <c r="BS5" s="528">
        <f t="shared" ref="BS5:BS36" si="40">Rdcr_pri*BD5^2</f>
        <v>6.0000029462797018E-5</v>
      </c>
      <c r="BT5" s="528">
        <f t="shared" ref="BT5:BT36" si="41">Rdcr_sec*BE5^2</f>
        <v>9.9399999705372059E-3</v>
      </c>
      <c r="BU5" s="528">
        <f t="shared" ref="BU5:BU36" si="42">AJ5^2.5*AN5^2.5*k_core*0+BZ5*0.015</f>
        <v>2.4E-10</v>
      </c>
      <c r="BV5" s="528">
        <f t="shared" ref="BV5:BV36" si="43">(BU5+(BS5+BT5)*(1+Ltc*(Ta-25)))/(1-(BS5+BT5)*Ltc*ThetaCa)</f>
        <v>1.2409928182546043E-2</v>
      </c>
      <c r="BW5" s="528">
        <f t="shared" ref="BW5:BW36" si="44">0.5*Lleak*0.000000001*AJ5^2*AN5*1000</f>
        <v>6.0000000000000008E-5</v>
      </c>
      <c r="BX5" s="460">
        <f>1000*(BV5+BW5)</f>
        <v>12.469928182546042</v>
      </c>
      <c r="BY5" s="173">
        <f t="shared" ref="BY5:BY68" si="45">SUM(BM5,BO5:BQ5,BV5, BW5)+BK5+BI5</f>
        <v>4.8438567046355893E-2</v>
      </c>
      <c r="BZ5" s="5">
        <f>MIN(H5,O5)</f>
        <v>1.6000000000000001E-8</v>
      </c>
      <c r="CA5" s="173">
        <f>BZ5/(BZ5+BY5)</f>
        <v>3.3031519490749648E-7</v>
      </c>
      <c r="CB5" s="5">
        <f>CA5*100</f>
        <v>3.3031519490749649E-5</v>
      </c>
      <c r="CE5" s="562">
        <f t="shared" ref="CE5:CE36" si="46">IF(ABS(F5-Ioutmax_Vinnom)&lt;Iout/200, AN5, -50)</f>
        <v>-50</v>
      </c>
      <c r="CF5">
        <f t="shared" ref="CF5:CF36" si="47">IF(ABS(F5-Ioutmax_Vinnom)&lt;Iout/200, N5*CA5, -50)</f>
        <v>-50</v>
      </c>
      <c r="CG5" s="173">
        <f t="shared" ref="CG5:CG36" si="48">MIN(SQRT(2*DU5*1000*Ls1_*CL5)/CU5,1-EA5-0.00000005*DU5*1000)</f>
        <v>4.2426406871192857E-6</v>
      </c>
      <c r="CI5" s="170">
        <v>0.1</v>
      </c>
      <c r="CJ5" s="217">
        <v>1.0000000000000001E-9</v>
      </c>
      <c r="CK5" s="217"/>
      <c r="CL5" s="217">
        <f t="shared" ref="CL5:CL68" si="49">CJ5*Vout</f>
        <v>1.6000000000000001E-8</v>
      </c>
      <c r="CM5" s="541">
        <f t="shared" ref="CM5:CM68" si="50">Vin</f>
        <v>24</v>
      </c>
      <c r="CN5" s="172">
        <f t="shared" ref="CN5:CN68" si="51">(CX5+Vfwd1)*Nps</f>
        <v>16.399999999999999</v>
      </c>
      <c r="CO5" s="443">
        <f t="shared" ref="CO5:CO68" si="52">(Vout+Vfwd1)*Nps+CM5</f>
        <v>40.4</v>
      </c>
      <c r="CP5" s="443"/>
      <c r="CQ5" s="217">
        <f t="shared" ref="CQ5:CQ68" si="53">(Vout+Vfwd1)*Nps/((Vout+Vfwd1)*Nps+CM5)</f>
        <v>0.40594059405940591</v>
      </c>
      <c r="CR5" s="172">
        <f t="shared" ref="CR5:CR68" si="54">CQ5*CM5*(Isw_max+VIN_nom/Lmag*ILIM_delay)*0.5*Efficiency</f>
        <v>24.648712871287128</v>
      </c>
      <c r="CS5" s="172">
        <f>CX5*CJ5</f>
        <v>1.6000000000000001E-8</v>
      </c>
      <c r="CT5" s="217">
        <f t="shared" ref="CT5:CT68" si="55">CR5/Vout</f>
        <v>1.5405445544554455</v>
      </c>
      <c r="CU5" s="217">
        <f t="shared" ref="CU5:CU68" si="56">MIN(Vout,CR5/CJ5)</f>
        <v>16</v>
      </c>
      <c r="CV5" s="217">
        <f t="shared" ref="CV5:CV68" si="57">Isw_max/2*CM5*Nps*(CU5+Vfwd1)/CU5/(CM5+Nps*(CU5+Vfwd1))</f>
        <v>1.5222772277227721</v>
      </c>
      <c r="CW5" s="172">
        <f t="shared" ref="CW5:CW68" si="58">(SQRT(Isw_max^2*Nps^2*CM5^2+4*Isw_max*CJ5/Efficiency*(Nps^2*Vfwd1*CM5-Nps*CM5^2)+4*(CJ5/Efficiency)^2*Nps^2*Vfwd1^2+8*(CJ5/Efficiency)^2*Nps*Vfwd1*CM5+4*(CJ5/Efficiency)^2*CM5^2)-2*CJ5/Efficiency*CM5-2*CJ5/Efficiency*Nps*Vfwd1+Isw_max*Nps*CM5)/(4*CJ5/Efficiency*Nps)</f>
        <v>59999999975.999992</v>
      </c>
      <c r="CX5" s="172">
        <f t="shared" ref="CX5:CX68" si="59">MIN(Vout, CW5)</f>
        <v>16</v>
      </c>
      <c r="CY5" s="217">
        <f t="shared" ref="CY5:CY68" si="60">MIN(2*Vout*CJ5/(CM5*CQ5), Isw_max)</f>
        <v>3.2845528455284555E-9</v>
      </c>
      <c r="CZ5" s="217">
        <f t="shared" ref="CZ5:CZ68" si="61">L*CY5/CM5*1000000</f>
        <v>1.6422764227642277E-9</v>
      </c>
      <c r="DA5" s="217">
        <f t="shared" ref="DA5:DA68" si="62">L*CY5/CN5*1000000</f>
        <v>2.4033313503866749E-9</v>
      </c>
      <c r="DB5" s="197">
        <f t="shared" ref="DB5:DB68" si="63">IF(1/((350000*L)*(1/CM5+1/CN5))&gt;Isw_min, 350, 0.001/((Isw_min*L)*(1/CM5+1/CN5)))</f>
        <v>350</v>
      </c>
      <c r="DC5" s="443">
        <f>MIN(1/(CZ5+DA5)*1000, 350)</f>
        <v>350</v>
      </c>
      <c r="DE5" s="217">
        <f t="shared" ref="DE5:DE68" si="64">1/((DB5*1000*L)*(1/CM5+1/CN5))</f>
        <v>2.3196605374823194</v>
      </c>
      <c r="DF5" s="173">
        <f t="shared" ref="DF5:DF68" si="65">L*DE5/CN5*1000000</f>
        <v>1.6973125884016973</v>
      </c>
      <c r="DG5" s="173">
        <f t="shared" ref="DG5:DG68" si="66">0.5*DF5*DE5*Nps*DB5/1000</f>
        <v>0.68900808044029282</v>
      </c>
      <c r="DH5" s="173"/>
      <c r="DI5" s="173">
        <f t="shared" ref="DI5:DI68" si="67">L*Isw_min/CN5*1000000</f>
        <v>0.73170731707317083</v>
      </c>
      <c r="DJ5" s="545">
        <f>MAX(12, CJ5/(0.5*DI5/1000000*Isw_min*Nps)/1000)</f>
        <v>12</v>
      </c>
      <c r="DK5" s="528">
        <f t="shared" ref="DK5:DK68" si="68">0.5*DI5/1000000*Isw_min*Nps*DB5*1000</f>
        <v>0.12804878048780488</v>
      </c>
      <c r="DM5" s="173">
        <f t="shared" ref="DM5:DM68" si="69">SQRT(CJ5/Efficiency/(0.5*L/CN5*Fsw_DCM*Nps))</f>
        <v>8.837151016885368E-5</v>
      </c>
      <c r="DN5" s="173">
        <f t="shared" ref="DN5:DN68" si="70">MAX(IF(CJ5&gt;DG5,CY5,DM5),Isw_min)</f>
        <v>1</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0.5</v>
      </c>
      <c r="DY5" s="5">
        <f>DW5-DX5</f>
        <v>82.833333333333329</v>
      </c>
      <c r="DZ5" s="5">
        <f t="shared" ref="DZ5:DZ68" si="77">L*DN5/CN5*1000000</f>
        <v>0.73170731707317083</v>
      </c>
      <c r="EA5" s="173">
        <f>DX5/DW5</f>
        <v>6.0000000000000001E-3</v>
      </c>
      <c r="EB5" s="173">
        <f t="shared" ref="EB5:EB68" si="78">0.5*L*DN5^2*DR5*1000</f>
        <v>7.2000000000000008E-2</v>
      </c>
      <c r="EC5" s="173">
        <f t="shared" ref="EC5:EC68" si="79">DN5*Nps/2*(1-EA5)</f>
        <v>0.497</v>
      </c>
      <c r="ED5" s="173">
        <f>EB5/EC5</f>
        <v>0.14486921529175051</v>
      </c>
      <c r="EE5" s="460">
        <f t="shared" ref="EE5:EE68" si="80">CJ5*DX5/Vout_ripple*1000</f>
        <v>3.1250000000000003E-9</v>
      </c>
      <c r="EF5" s="5">
        <f t="shared" ref="EF5:EF68" si="81">CL5/Efficiency/CM5*DY5/Vinripple1</f>
        <v>4.6018518518518513E-8</v>
      </c>
      <c r="EG5" s="5"/>
      <c r="EH5" s="173">
        <f>DN5*SQRT(EA5/3)</f>
        <v>4.4721359549995794E-2</v>
      </c>
      <c r="EI5" s="173">
        <f t="shared" ref="EI5:EI68" si="82">DN5*Nps*SQRT((1-EA5)/3)</f>
        <v>0.57561561248226523</v>
      </c>
      <c r="EJ5" s="173"/>
      <c r="EK5" s="528">
        <f t="shared" ref="EK5:EK68" si="83">Rdson*EH5^2</f>
        <v>4.0000000000000003E-5</v>
      </c>
      <c r="EL5" s="528">
        <f t="shared" ref="EL5:EL68" si="84">0.5*CO5*DN5*DR5*1000*Trise</f>
        <v>9.2111999999999992E-3</v>
      </c>
      <c r="EM5" s="528">
        <f t="shared" ref="EM5:EM68" si="85">Qg*Vdd*DR5*1000</f>
        <v>1.3800000000000002E-3</v>
      </c>
      <c r="EN5" s="528">
        <f t="shared" ref="EN5:EN68" si="86">0.5*(Coss+Csw)*CO5^2*DR5*1000</f>
        <v>9.6460655999999999E-3</v>
      </c>
      <c r="EO5">
        <f t="shared" ref="EO5:EO68" si="87">CM5*IQ</f>
        <v>1.0800000000000001E-2</v>
      </c>
      <c r="EP5" s="460">
        <f>(EO5+EM5)*1000</f>
        <v>12.18</v>
      </c>
      <c r="EQ5" s="528">
        <f t="shared" ref="EQ5:EQ68" si="88">(EL5+EM5+EN5+EO5+EK5*(1+RdsonTC*(Ta-25)))/(1-EK5*RdsonTC*ThetaJA)</f>
        <v>3.108836106378355E-2</v>
      </c>
      <c r="ER5" s="460">
        <f>EQ5*1000</f>
        <v>31.088361063783548</v>
      </c>
      <c r="ES5" s="528">
        <f>Vfwd2*CJ5*(1+Diode_TC/1000*(Ta-25))</f>
        <v>6.212499999999999E-10</v>
      </c>
      <c r="ET5" s="528"/>
      <c r="EV5" s="460">
        <f>SUM(ES5:EU5)*1000</f>
        <v>6.2124999999999988E-7</v>
      </c>
      <c r="EW5" s="528">
        <f t="shared" ref="EW5:EW68" si="89">Rdcr_pri*EH5^2</f>
        <v>6.0000000000000002E-5</v>
      </c>
      <c r="EX5" s="528">
        <f t="shared" ref="EX5:EX68" si="90">Rdcr_sec*EI5^2</f>
        <v>9.9399999999999992E-3</v>
      </c>
      <c r="EY5" s="528">
        <f t="shared" ref="EY5:EY68" si="91">DN5^2.5*DR5^2.5*k_core</f>
        <v>2.494153162899183E-5</v>
      </c>
      <c r="EZ5" s="528">
        <f t="shared" ref="EZ5:EZ68" si="92">(EY5+(EW5+EX5)*(1+Ltc*(Ta-25)))/(1-(EW5+EX5)*Ltc*ThetaCa)</f>
        <v>1.2434889443183536E-2</v>
      </c>
      <c r="FA5" s="528">
        <f t="shared" ref="FA5:FA68" si="93">0.5*Lleak*0.000000001*DN5^2*DR5*1000</f>
        <v>6.0000000000000008E-5</v>
      </c>
      <c r="FB5" s="460">
        <f>1000*(EZ5+FA5)</f>
        <v>12.494889443183535</v>
      </c>
      <c r="FC5" s="173">
        <f>SUM(EQ5,ES5:EU5,EZ5, FA5)</f>
        <v>4.3583251128217086E-2</v>
      </c>
      <c r="FD5" s="5">
        <f>MIN(CL5,CS5)</f>
        <v>1.6000000000000001E-8</v>
      </c>
      <c r="FE5" s="173">
        <f>FD5/(FD5+FC5)</f>
        <v>3.6711336836978732E-7</v>
      </c>
      <c r="FF5" s="5">
        <f>FE5*100</f>
        <v>3.6711336836978734E-5</v>
      </c>
      <c r="FI5" s="562">
        <f t="shared" ref="FI5:FI68" si="94">IF(ABS(CJ5-Ioutmax_Vinnom)&lt;Iout/200, DR5, -50)</f>
        <v>-50</v>
      </c>
      <c r="FJ5">
        <f t="shared" ref="FJ5:FJ68" si="95">IF(ABS(CJ5-Ioutmax_Vinnom)&lt;Iout/200, CR5*FE5, -50)</f>
        <v>-50</v>
      </c>
      <c r="FL5">
        <f t="shared" ref="FL5:FL36" si="96">MIN(SQRT(2*L*DR5*1000*CJ5*(CX5+Vfwd1))/(Nps*(CX5+Vfwd1)), 1-EA5)</f>
        <v>4.1905817746174696E-6</v>
      </c>
    </row>
    <row r="6" spans="2:168">
      <c r="E6" s="170">
        <v>1</v>
      </c>
      <c r="F6" s="217">
        <f t="shared" ref="F6:F37" si="97">IF(PLOT_TYPE=1, E6/100*Iout_max, min_I*EXP(N6*rr/100))</f>
        <v>0.01</v>
      </c>
      <c r="G6" s="217"/>
      <c r="H6" s="217">
        <f t="shared" si="0"/>
        <v>0.16</v>
      </c>
      <c r="I6" s="541">
        <f t="shared" si="1"/>
        <v>23.975306760083761</v>
      </c>
      <c r="J6" s="172">
        <f t="shared" si="2"/>
        <v>16.414815943949744</v>
      </c>
      <c r="K6" s="172">
        <f t="shared" si="3"/>
        <v>40.414815943949748</v>
      </c>
      <c r="L6" s="443"/>
      <c r="M6" s="217">
        <f t="shared" si="4"/>
        <v>0.40640939167667661</v>
      </c>
      <c r="N6" s="172">
        <f t="shared" si="5"/>
        <v>24.651788284137204</v>
      </c>
      <c r="O6" s="172">
        <f t="shared" ref="O6:O69" si="98">T6*F6</f>
        <v>0.16</v>
      </c>
      <c r="P6" s="217">
        <f t="shared" si="6"/>
        <v>1.5407367677585753</v>
      </c>
      <c r="Q6" s="217">
        <f t="shared" si="7"/>
        <v>16</v>
      </c>
      <c r="R6" s="217">
        <f t="shared" si="8"/>
        <v>1.5224671618167738</v>
      </c>
      <c r="S6" s="172">
        <f t="shared" si="9"/>
        <v>5969.8529895784986</v>
      </c>
      <c r="T6" s="172">
        <f t="shared" si="10"/>
        <v>16</v>
      </c>
      <c r="U6" s="217">
        <f t="shared" ref="U6:U36" si="99">MIN(2*(Vout+Vfwd1+F6/FL6*Rdcr_sec)*F6/(I6*M6), Isw_max)</f>
        <v>3.3693255451754354E-2</v>
      </c>
      <c r="V6" s="217">
        <f t="shared" si="11"/>
        <v>1.6863978820667223E-2</v>
      </c>
      <c r="W6" s="217">
        <f t="shared" si="12"/>
        <v>2.4631349312818716E-2</v>
      </c>
      <c r="X6" s="197">
        <f t="shared" si="13"/>
        <v>350</v>
      </c>
      <c r="Y6" s="443">
        <f t="shared" si="14"/>
        <v>350</v>
      </c>
      <c r="AA6" s="217">
        <f t="shared" si="15"/>
        <v>2.3199345198136747</v>
      </c>
      <c r="AB6" s="173">
        <f t="shared" si="16"/>
        <v>1.6959808951147708</v>
      </c>
      <c r="AC6" s="173">
        <f t="shared" si="17"/>
        <v>0.68854880911621907</v>
      </c>
      <c r="AD6" s="173"/>
      <c r="AE6" s="173">
        <f t="shared" si="18"/>
        <v>0.7310468811210169</v>
      </c>
      <c r="AF6" s="545">
        <f t="shared" ref="AF6:AF36" si="100">MAX(12, F6/(0.5*AE6/1000000*Isw_min*Nps)/1000)</f>
        <v>27.358026573249571</v>
      </c>
      <c r="AG6" s="528">
        <f t="shared" si="19"/>
        <v>0.12793320419617796</v>
      </c>
      <c r="AI6" s="173">
        <f t="shared" si="20"/>
        <v>0.27958145541019791</v>
      </c>
      <c r="AJ6" s="173">
        <f t="shared" si="21"/>
        <v>1</v>
      </c>
      <c r="AK6" s="173">
        <f t="shared" si="22"/>
        <v>1.0156331580418569</v>
      </c>
      <c r="AM6" s="545">
        <f t="shared" si="23"/>
        <v>10</v>
      </c>
      <c r="AN6" s="460">
        <f t="shared" si="24"/>
        <v>27.358026573249571</v>
      </c>
      <c r="AP6">
        <f t="shared" si="25"/>
        <v>10</v>
      </c>
      <c r="AQ6" s="460">
        <f t="shared" si="26"/>
        <v>27.358026573249571</v>
      </c>
      <c r="AR6" s="460"/>
      <c r="AS6" s="5">
        <f t="shared" ref="AS6:AS69" si="101">1/AN6*1000</f>
        <v>36.552344056050842</v>
      </c>
      <c r="AT6" s="5">
        <f t="shared" si="27"/>
        <v>0.50051497234557496</v>
      </c>
      <c r="AU6" s="5">
        <f t="shared" ref="AU6:AU69" si="102">AS6-AT6</f>
        <v>36.051829083705265</v>
      </c>
      <c r="AV6" s="5">
        <f t="shared" si="28"/>
        <v>0.7310468811210169</v>
      </c>
      <c r="AW6" s="173">
        <f t="shared" ref="AW6:AW69" si="103">AT6/AS6</f>
        <v>1.3693101913739516E-2</v>
      </c>
      <c r="AX6" s="173">
        <f t="shared" si="29"/>
        <v>0.16414815943949745</v>
      </c>
      <c r="AY6" s="173">
        <f t="shared" si="30"/>
        <v>0.49315344904313024</v>
      </c>
      <c r="AZ6" s="173">
        <f t="shared" ref="AZ6:AZ69" si="104">AX6/AY6</f>
        <v>0.33285412432579659</v>
      </c>
      <c r="BA6" s="460">
        <f t="shared" si="31"/>
        <v>3.1282185771598435E-2</v>
      </c>
      <c r="BB6" s="5">
        <f t="shared" si="32"/>
        <v>0.20049422485375704</v>
      </c>
      <c r="BC6" s="5"/>
      <c r="BD6" s="173">
        <f t="shared" ref="BD6:BD69" si="105">AJ6*SQRT(AW6/3)</f>
        <v>6.7560101425174296E-2</v>
      </c>
      <c r="BE6" s="173">
        <f t="shared" si="33"/>
        <v>0.57338378598348372</v>
      </c>
      <c r="BF6" s="173"/>
      <c r="BG6" s="528">
        <f t="shared" si="34"/>
        <v>9.1287346091596756E-5</v>
      </c>
      <c r="BH6" s="528">
        <f t="shared" si="35"/>
        <v>2.017847035599311E-2</v>
      </c>
      <c r="BI6" s="528">
        <f t="shared" si="36"/>
        <v>1.5086092827216178E-2</v>
      </c>
      <c r="BJ6" s="528">
        <f t="shared" si="37"/>
        <v>2.200757610920244E-2</v>
      </c>
      <c r="BK6">
        <f t="shared" si="38"/>
        <v>1.0788888042037693E-2</v>
      </c>
      <c r="BL6" s="460">
        <f t="shared" ref="BL6:BL69" si="106">(BK6+BI6)*1000</f>
        <v>25.874980869253868</v>
      </c>
      <c r="BM6" s="528">
        <f t="shared" si="39"/>
        <v>4.2302898939255651E-2</v>
      </c>
      <c r="BN6" s="460">
        <f t="shared" ref="BN6:BN69" si="107">BM6*1000</f>
        <v>42.302898939255648</v>
      </c>
      <c r="BO6" s="528">
        <f t="shared" ref="BO6:BO36" si="108">Vfwd2*F6*(1+Diode_TC/1000*(Ta-25))</f>
        <v>6.2124999999999993E-3</v>
      </c>
      <c r="BP6" s="528"/>
      <c r="BR6" s="460">
        <f t="shared" ref="BR6:BR69" si="109">SUM(BO6:BQ6)*1000</f>
        <v>6.2124999999999995</v>
      </c>
      <c r="BS6" s="528">
        <f t="shared" si="40"/>
        <v>1.3693101913739511E-4</v>
      </c>
      <c r="BT6" s="528">
        <f t="shared" si="41"/>
        <v>9.8630689808626021E-3</v>
      </c>
      <c r="BU6" s="528">
        <f t="shared" si="42"/>
        <v>2.3999999999999998E-3</v>
      </c>
      <c r="BV6" s="528">
        <f t="shared" si="43"/>
        <v>1.4811849479583663E-2</v>
      </c>
      <c r="BW6" s="528">
        <f t="shared" si="44"/>
        <v>1.3679013286624787E-4</v>
      </c>
      <c r="BX6" s="460">
        <f t="shared" ref="BX6:BX69" si="110">1000*(BV6+BW6)</f>
        <v>14.948639612449909</v>
      </c>
      <c r="BY6" s="173">
        <f t="shared" si="45"/>
        <v>8.9339019420959426E-2</v>
      </c>
      <c r="BZ6" s="5">
        <f t="shared" ref="BZ6:BZ69" si="111">MIN(H6,O6)</f>
        <v>0.16</v>
      </c>
      <c r="CA6" s="173">
        <f t="shared" ref="CA6:CA69" si="112">BZ6/(BZ6+BY6)</f>
        <v>0.6416965959502382</v>
      </c>
      <c r="CB6" s="5">
        <f t="shared" ref="CB6:CB69" si="113">CA6*100</f>
        <v>64.169659595023816</v>
      </c>
      <c r="CE6" s="562">
        <f t="shared" si="46"/>
        <v>-50</v>
      </c>
      <c r="CF6">
        <f t="shared" si="47"/>
        <v>-50</v>
      </c>
      <c r="CG6" s="173">
        <f t="shared" si="48"/>
        <v>2.0248456731316589E-2</v>
      </c>
      <c r="CI6" s="170">
        <v>1</v>
      </c>
      <c r="CJ6" s="217">
        <f t="shared" ref="CJ6:CJ69" si="114">IF(PLOT_TYPE=1, CI6/100*Iout_max, min_I*EXP(CR6*rr/100))</f>
        <v>0.01</v>
      </c>
      <c r="CK6" s="217"/>
      <c r="CL6" s="217">
        <f t="shared" si="49"/>
        <v>0.16</v>
      </c>
      <c r="CM6" s="541">
        <f t="shared" si="50"/>
        <v>24</v>
      </c>
      <c r="CN6" s="172">
        <f t="shared" si="51"/>
        <v>16.399999999999999</v>
      </c>
      <c r="CO6" s="443">
        <f t="shared" si="52"/>
        <v>40.4</v>
      </c>
      <c r="CP6" s="443"/>
      <c r="CQ6" s="217">
        <f t="shared" si="53"/>
        <v>0.40594059405940591</v>
      </c>
      <c r="CR6" s="172">
        <f t="shared" si="54"/>
        <v>24.648712871287128</v>
      </c>
      <c r="CS6" s="172">
        <f t="shared" ref="CS6:CS69" si="115">CX6*CJ6</f>
        <v>0.16</v>
      </c>
      <c r="CT6" s="217">
        <f t="shared" si="55"/>
        <v>1.5405445544554455</v>
      </c>
      <c r="CU6" s="217">
        <f t="shared" si="56"/>
        <v>16</v>
      </c>
      <c r="CV6" s="217">
        <f t="shared" si="57"/>
        <v>1.5222772277227721</v>
      </c>
      <c r="CW6" s="172">
        <f t="shared" si="58"/>
        <v>5976.0016063177527</v>
      </c>
      <c r="CX6" s="172">
        <f t="shared" si="59"/>
        <v>16</v>
      </c>
      <c r="CY6" s="217">
        <f t="shared" si="60"/>
        <v>3.2845528455284552E-2</v>
      </c>
      <c r="CZ6" s="217">
        <f t="shared" si="61"/>
        <v>1.6422764227642276E-2</v>
      </c>
      <c r="DA6" s="217">
        <f t="shared" si="62"/>
        <v>2.4033313503866748E-2</v>
      </c>
      <c r="DB6" s="197">
        <f t="shared" si="63"/>
        <v>350</v>
      </c>
      <c r="DC6" s="443">
        <f t="shared" ref="DC6:DC69" si="116">MIN(1/(CZ6+DA6)*1000, 350)</f>
        <v>350</v>
      </c>
      <c r="DE6" s="217">
        <f t="shared" si="64"/>
        <v>2.3196605374823194</v>
      </c>
      <c r="DF6" s="173">
        <f t="shared" si="65"/>
        <v>1.6973125884016973</v>
      </c>
      <c r="DG6" s="173">
        <f t="shared" si="66"/>
        <v>0.68900808044029282</v>
      </c>
      <c r="DH6" s="173"/>
      <c r="DI6" s="173">
        <f t="shared" si="67"/>
        <v>0.73170731707317083</v>
      </c>
      <c r="DJ6" s="545">
        <f t="shared" ref="DJ6:DJ69" si="117">MAX(12, CJ6/(0.5*DI6/1000000*Isw_min*Nps)/1000)</f>
        <v>27.333333333333332</v>
      </c>
      <c r="DK6" s="528">
        <f t="shared" si="68"/>
        <v>0.12804878048780488</v>
      </c>
      <c r="DM6" s="173">
        <f t="shared" si="69"/>
        <v>0.27945525240230873</v>
      </c>
      <c r="DN6" s="173">
        <f t="shared" si="70"/>
        <v>1</v>
      </c>
      <c r="DO6" s="173">
        <f t="shared" si="71"/>
        <v>1.0156190476190476</v>
      </c>
      <c r="DQ6" s="545">
        <f t="shared" si="72"/>
        <v>10</v>
      </c>
      <c r="DR6" s="460">
        <f t="shared" si="73"/>
        <v>27.333333333333332</v>
      </c>
      <c r="DT6">
        <f t="shared" si="74"/>
        <v>10</v>
      </c>
      <c r="DU6" s="460">
        <f t="shared" si="75"/>
        <v>27.333333333333332</v>
      </c>
      <c r="DV6" s="460"/>
      <c r="DW6" s="5">
        <f t="shared" ref="DW6:DW69" si="118">1/DR6*1000</f>
        <v>36.585365853658544</v>
      </c>
      <c r="DX6" s="5">
        <f t="shared" si="76"/>
        <v>0.5</v>
      </c>
      <c r="DY6" s="5">
        <f t="shared" ref="DY6:DY69" si="119">DW6-DX6</f>
        <v>36.085365853658544</v>
      </c>
      <c r="DZ6" s="5">
        <f t="shared" si="77"/>
        <v>0.73170731707317083</v>
      </c>
      <c r="EA6" s="173">
        <f t="shared" ref="EA6:EA69" si="120">DX6/DW6</f>
        <v>1.3666666666666664E-2</v>
      </c>
      <c r="EB6" s="173">
        <f t="shared" si="78"/>
        <v>0.16400000000000001</v>
      </c>
      <c r="EC6" s="173">
        <f t="shared" si="79"/>
        <v>0.49316666666666664</v>
      </c>
      <c r="ED6" s="173">
        <f t="shared" ref="ED6:ED69" si="121">EB6/EC6</f>
        <v>0.33254477864143295</v>
      </c>
      <c r="EE6" s="460">
        <f t="shared" si="80"/>
        <v>3.125E-2</v>
      </c>
      <c r="EF6" s="5">
        <f t="shared" si="81"/>
        <v>0.20047425474254743</v>
      </c>
      <c r="EG6" s="5"/>
      <c r="EH6" s="173">
        <f t="shared" ref="EH6:EH69" si="122">DN6*SQRT(EA6/3)</f>
        <v>6.7494855771055282E-2</v>
      </c>
      <c r="EI6" s="173">
        <f t="shared" si="82"/>
        <v>0.57339146992066226</v>
      </c>
      <c r="EJ6" s="173"/>
      <c r="EK6" s="528">
        <f t="shared" si="83"/>
        <v>9.1111111111111078E-5</v>
      </c>
      <c r="EL6" s="528">
        <f t="shared" si="84"/>
        <v>2.0981066666666669E-2</v>
      </c>
      <c r="EM6" s="528">
        <f t="shared" si="85"/>
        <v>3.1433333333333335E-3</v>
      </c>
      <c r="EN6" s="528">
        <f t="shared" si="86"/>
        <v>2.1971593866666667E-2</v>
      </c>
      <c r="EO6">
        <f t="shared" si="87"/>
        <v>1.0800000000000001E-2</v>
      </c>
      <c r="EP6" s="460">
        <f t="shared" ref="EP6:EP69" si="123">(EO6+EM6)*1000</f>
        <v>13.943333333333333</v>
      </c>
      <c r="EQ6" s="528">
        <f t="shared" si="88"/>
        <v>5.7012939193885455E-2</v>
      </c>
      <c r="ER6" s="460">
        <f t="shared" ref="ER6:ER69" si="124">EQ6*1000</f>
        <v>57.012939193885458</v>
      </c>
      <c r="ES6" s="528">
        <f t="shared" ref="ES6:ES69" si="125">Vfwd2*CJ6*(1+Diode_TC/1000*(Ta-25))</f>
        <v>6.2124999999999993E-3</v>
      </c>
      <c r="ET6" s="528"/>
      <c r="EV6" s="460">
        <f t="shared" ref="EV6:EV69" si="126">SUM(ES6:EU6)*1000</f>
        <v>6.2124999999999995</v>
      </c>
      <c r="EW6" s="528">
        <f t="shared" si="89"/>
        <v>1.3666666666666661E-4</v>
      </c>
      <c r="EX6" s="528">
        <f t="shared" si="90"/>
        <v>9.8633333333333316E-3</v>
      </c>
      <c r="EY6" s="528">
        <f t="shared" si="91"/>
        <v>1.9529966507128129E-4</v>
      </c>
      <c r="EZ6" s="528">
        <f t="shared" si="92"/>
        <v>1.2605383972249078E-2</v>
      </c>
      <c r="FA6" s="528">
        <f t="shared" si="93"/>
        <v>1.3666666666666666E-4</v>
      </c>
      <c r="FB6" s="460">
        <f t="shared" ref="FB6:FB69" si="127">1000*(EZ6+FA6)</f>
        <v>12.742050638915744</v>
      </c>
      <c r="FC6" s="173">
        <f t="shared" ref="FC6:FC69" si="128">SUM(EQ6,ES6:EU6,EZ6, FA6)</f>
        <v>7.5967489832801202E-2</v>
      </c>
      <c r="FD6" s="5">
        <f t="shared" ref="FD6:FD69" si="129">MIN(CL6,CS6)</f>
        <v>0.16</v>
      </c>
      <c r="FE6" s="173">
        <f t="shared" ref="FE6:FE69" si="130">FD6/(FD6+FC6)</f>
        <v>0.67805950774562529</v>
      </c>
      <c r="FF6" s="5">
        <f t="shared" ref="FF6:FF69" si="131">FE6*100</f>
        <v>67.805950774562533</v>
      </c>
      <c r="FI6" s="562">
        <f t="shared" si="94"/>
        <v>-50</v>
      </c>
      <c r="FJ6">
        <f t="shared" si="95"/>
        <v>-50</v>
      </c>
      <c r="FL6">
        <f t="shared" si="96"/>
        <v>2.0000000000000004E-2</v>
      </c>
    </row>
    <row r="7" spans="2:168">
      <c r="E7" s="170">
        <v>2</v>
      </c>
      <c r="F7" s="217">
        <f t="shared" si="97"/>
        <v>0.02</v>
      </c>
      <c r="G7" s="217"/>
      <c r="H7" s="217">
        <f t="shared" si="0"/>
        <v>0.32</v>
      </c>
      <c r="I7" s="541">
        <f t="shared" si="1"/>
        <v>23.975306760083761</v>
      </c>
      <c r="J7" s="172">
        <f t="shared" si="2"/>
        <v>16.414815943949744</v>
      </c>
      <c r="K7" s="172">
        <f t="shared" si="3"/>
        <v>40.414815943949748</v>
      </c>
      <c r="L7" s="443"/>
      <c r="M7" s="217">
        <f t="shared" si="4"/>
        <v>0.40640939167667661</v>
      </c>
      <c r="N7" s="172">
        <f t="shared" si="5"/>
        <v>24.651788284137204</v>
      </c>
      <c r="O7" s="172">
        <f t="shared" si="98"/>
        <v>0.32</v>
      </c>
      <c r="P7" s="217">
        <f t="shared" si="6"/>
        <v>1.5407367677585753</v>
      </c>
      <c r="Q7" s="217">
        <f t="shared" si="7"/>
        <v>16</v>
      </c>
      <c r="R7" s="217">
        <f t="shared" si="8"/>
        <v>1.5224671618167738</v>
      </c>
      <c r="S7" s="172">
        <f t="shared" si="9"/>
        <v>2972.9412636193751</v>
      </c>
      <c r="T7" s="172">
        <f t="shared" si="10"/>
        <v>16</v>
      </c>
      <c r="U7" s="217">
        <f t="shared" si="99"/>
        <v>6.7386510903508709E-2</v>
      </c>
      <c r="V7" s="217">
        <f t="shared" si="11"/>
        <v>3.3727957641334447E-2</v>
      </c>
      <c r="W7" s="217">
        <f t="shared" si="12"/>
        <v>4.9262698625637431E-2</v>
      </c>
      <c r="X7" s="197">
        <f t="shared" si="13"/>
        <v>350</v>
      </c>
      <c r="Y7" s="443">
        <f t="shared" si="14"/>
        <v>350</v>
      </c>
      <c r="AA7" s="217">
        <f t="shared" si="15"/>
        <v>2.3199345198136747</v>
      </c>
      <c r="AB7" s="173">
        <f t="shared" si="16"/>
        <v>1.6959808951147708</v>
      </c>
      <c r="AC7" s="173">
        <f t="shared" si="17"/>
        <v>0.68854880911621907</v>
      </c>
      <c r="AD7" s="173"/>
      <c r="AE7" s="173">
        <f t="shared" si="18"/>
        <v>0.7310468811210169</v>
      </c>
      <c r="AF7" s="545">
        <f t="shared" si="100"/>
        <v>54.716053146499142</v>
      </c>
      <c r="AG7" s="528">
        <f t="shared" si="19"/>
        <v>0.12793320419617796</v>
      </c>
      <c r="AI7" s="173">
        <f t="shared" si="20"/>
        <v>0.39538788602911062</v>
      </c>
      <c r="AJ7" s="173">
        <f t="shared" si="21"/>
        <v>1</v>
      </c>
      <c r="AK7" s="173">
        <f t="shared" si="22"/>
        <v>1.0312663160837139</v>
      </c>
      <c r="AM7" s="545">
        <f t="shared" si="23"/>
        <v>20</v>
      </c>
      <c r="AN7" s="460">
        <f t="shared" si="24"/>
        <v>54.716053146499142</v>
      </c>
      <c r="AP7">
        <f t="shared" si="25"/>
        <v>20</v>
      </c>
      <c r="AQ7" s="460">
        <f t="shared" si="26"/>
        <v>54.716053146499142</v>
      </c>
      <c r="AR7" s="460"/>
      <c r="AS7" s="5">
        <f t="shared" si="101"/>
        <v>18.276172028025421</v>
      </c>
      <c r="AT7" s="5">
        <f t="shared" si="27"/>
        <v>0.50051497234557496</v>
      </c>
      <c r="AU7" s="5">
        <f t="shared" si="102"/>
        <v>17.775657055679847</v>
      </c>
      <c r="AV7" s="5">
        <f t="shared" si="28"/>
        <v>0.7310468811210169</v>
      </c>
      <c r="AW7" s="173">
        <f t="shared" si="103"/>
        <v>2.7386203827479031E-2</v>
      </c>
      <c r="AX7" s="173">
        <f t="shared" si="29"/>
        <v>0.32829631887899491</v>
      </c>
      <c r="AY7" s="173">
        <f t="shared" si="30"/>
        <v>0.48630689808626049</v>
      </c>
      <c r="AZ7" s="173">
        <f t="shared" si="104"/>
        <v>0.67508053077372165</v>
      </c>
      <c r="BA7" s="460">
        <f t="shared" si="31"/>
        <v>6.256437154319687E-2</v>
      </c>
      <c r="BB7" s="5">
        <f t="shared" si="32"/>
        <v>0.1977107222144005</v>
      </c>
      <c r="BC7" s="5"/>
      <c r="BD7" s="173">
        <f t="shared" si="105"/>
        <v>9.5544411710783358E-2</v>
      </c>
      <c r="BE7" s="173">
        <f t="shared" si="33"/>
        <v>0.56938967212636871</v>
      </c>
      <c r="BF7" s="173"/>
      <c r="BG7" s="528">
        <f t="shared" si="34"/>
        <v>1.8257469218319354E-4</v>
      </c>
      <c r="BH7" s="528">
        <f t="shared" si="35"/>
        <v>4.0356940711986221E-2</v>
      </c>
      <c r="BI7" s="528">
        <f t="shared" si="36"/>
        <v>3.0172185654432356E-2</v>
      </c>
      <c r="BJ7" s="528">
        <f t="shared" si="37"/>
        <v>4.4015152218404879E-2</v>
      </c>
      <c r="BK7">
        <f t="shared" si="38"/>
        <v>1.0788888042037693E-2</v>
      </c>
      <c r="BL7" s="460">
        <f t="shared" si="106"/>
        <v>40.961073696470052</v>
      </c>
      <c r="BM7" s="528">
        <f t="shared" si="39"/>
        <v>8.4607633047168007E-2</v>
      </c>
      <c r="BN7" s="460">
        <f t="shared" si="107"/>
        <v>84.607633047168008</v>
      </c>
      <c r="BO7" s="528">
        <f t="shared" si="108"/>
        <v>1.2424999999999999E-2</v>
      </c>
      <c r="BP7" s="528"/>
      <c r="BR7" s="460">
        <f t="shared" si="109"/>
        <v>12.424999999999999</v>
      </c>
      <c r="BS7" s="528">
        <f t="shared" si="40"/>
        <v>2.7386203827479028E-4</v>
      </c>
      <c r="BT7" s="528">
        <f t="shared" si="41"/>
        <v>9.7261379617252092E-3</v>
      </c>
      <c r="BU7" s="528">
        <f t="shared" si="42"/>
        <v>4.7999999999999996E-3</v>
      </c>
      <c r="BV7" s="528">
        <f t="shared" si="43"/>
        <v>1.7213771016813453E-2</v>
      </c>
      <c r="BW7" s="528">
        <f t="shared" si="44"/>
        <v>2.7358026573249573E-4</v>
      </c>
      <c r="BX7" s="460">
        <f t="shared" si="110"/>
        <v>17.487351282545951</v>
      </c>
      <c r="BY7" s="173">
        <f t="shared" si="45"/>
        <v>0.155481058026184</v>
      </c>
      <c r="BZ7" s="5">
        <f t="shared" si="111"/>
        <v>0.32</v>
      </c>
      <c r="CA7" s="173">
        <f t="shared" si="112"/>
        <v>0.67300262460166838</v>
      </c>
      <c r="CB7" s="5">
        <f t="shared" si="113"/>
        <v>67.300262460166834</v>
      </c>
      <c r="CE7" s="562">
        <f t="shared" si="46"/>
        <v>-50</v>
      </c>
      <c r="CF7">
        <f t="shared" si="47"/>
        <v>-50</v>
      </c>
      <c r="CG7" s="173">
        <f t="shared" si="48"/>
        <v>4.0496913462633177E-2</v>
      </c>
      <c r="CI7" s="170">
        <v>2</v>
      </c>
      <c r="CJ7" s="217">
        <f t="shared" si="114"/>
        <v>0.02</v>
      </c>
      <c r="CK7" s="217"/>
      <c r="CL7" s="217">
        <f t="shared" si="49"/>
        <v>0.32</v>
      </c>
      <c r="CM7" s="541">
        <f t="shared" si="50"/>
        <v>24</v>
      </c>
      <c r="CN7" s="172">
        <f t="shared" si="51"/>
        <v>16.399999999999999</v>
      </c>
      <c r="CO7" s="443">
        <f t="shared" si="52"/>
        <v>40.4</v>
      </c>
      <c r="CP7" s="443"/>
      <c r="CQ7" s="217">
        <f t="shared" si="53"/>
        <v>0.40594059405940591</v>
      </c>
      <c r="CR7" s="172">
        <f t="shared" si="54"/>
        <v>24.648712871287128</v>
      </c>
      <c r="CS7" s="172">
        <f t="shared" si="115"/>
        <v>0.32</v>
      </c>
      <c r="CT7" s="217">
        <f t="shared" si="55"/>
        <v>1.5405445544554455</v>
      </c>
      <c r="CU7" s="217">
        <f t="shared" si="56"/>
        <v>16</v>
      </c>
      <c r="CV7" s="217">
        <f t="shared" si="57"/>
        <v>1.5222772277227721</v>
      </c>
      <c r="CW7" s="172">
        <f t="shared" si="58"/>
        <v>2976.0032253694385</v>
      </c>
      <c r="CX7" s="172">
        <f t="shared" si="59"/>
        <v>16</v>
      </c>
      <c r="CY7" s="217">
        <f t="shared" si="60"/>
        <v>6.5691056910569104E-2</v>
      </c>
      <c r="CZ7" s="217">
        <f t="shared" si="61"/>
        <v>3.2845528455284552E-2</v>
      </c>
      <c r="DA7" s="217">
        <f t="shared" si="62"/>
        <v>4.8066627007733495E-2</v>
      </c>
      <c r="DB7" s="197">
        <f t="shared" si="63"/>
        <v>350</v>
      </c>
      <c r="DC7" s="443">
        <f t="shared" si="116"/>
        <v>350</v>
      </c>
      <c r="DE7" s="217">
        <f t="shared" si="64"/>
        <v>2.3196605374823194</v>
      </c>
      <c r="DF7" s="173">
        <f t="shared" si="65"/>
        <v>1.6973125884016973</v>
      </c>
      <c r="DG7" s="173">
        <f t="shared" si="66"/>
        <v>0.68900808044029282</v>
      </c>
      <c r="DH7" s="173"/>
      <c r="DI7" s="173">
        <f t="shared" si="67"/>
        <v>0.73170731707317083</v>
      </c>
      <c r="DJ7" s="545">
        <f t="shared" si="117"/>
        <v>54.666666666666664</v>
      </c>
      <c r="DK7" s="528">
        <f t="shared" si="68"/>
        <v>0.12804878048780488</v>
      </c>
      <c r="DM7" s="173">
        <f t="shared" si="69"/>
        <v>0.39520940802374149</v>
      </c>
      <c r="DN7" s="173">
        <f t="shared" si="70"/>
        <v>1</v>
      </c>
      <c r="DO7" s="173">
        <f t="shared" si="71"/>
        <v>1.0312380952380953</v>
      </c>
      <c r="DQ7" s="545">
        <f t="shared" si="72"/>
        <v>20</v>
      </c>
      <c r="DR7" s="460">
        <f t="shared" si="73"/>
        <v>54.666666666666664</v>
      </c>
      <c r="DT7">
        <f t="shared" si="74"/>
        <v>20</v>
      </c>
      <c r="DU7" s="460">
        <f t="shared" si="75"/>
        <v>54.666666666666664</v>
      </c>
      <c r="DV7" s="460"/>
      <c r="DW7" s="5">
        <f t="shared" si="118"/>
        <v>18.292682926829272</v>
      </c>
      <c r="DX7" s="5">
        <f t="shared" si="76"/>
        <v>0.5</v>
      </c>
      <c r="DY7" s="5">
        <f t="shared" si="119"/>
        <v>17.792682926829272</v>
      </c>
      <c r="DZ7" s="5">
        <f t="shared" si="77"/>
        <v>0.73170731707317083</v>
      </c>
      <c r="EA7" s="173">
        <f t="shared" si="120"/>
        <v>2.7333333333333328E-2</v>
      </c>
      <c r="EB7" s="173">
        <f t="shared" si="78"/>
        <v>0.32800000000000001</v>
      </c>
      <c r="EC7" s="173">
        <f t="shared" si="79"/>
        <v>0.48633333333333334</v>
      </c>
      <c r="ED7" s="173">
        <f t="shared" si="121"/>
        <v>0.67443454420836191</v>
      </c>
      <c r="EE7" s="460">
        <f t="shared" si="80"/>
        <v>6.25E-2</v>
      </c>
      <c r="EF7" s="5">
        <f t="shared" si="81"/>
        <v>0.19769647696476966</v>
      </c>
      <c r="EG7" s="5"/>
      <c r="EH7" s="173">
        <f t="shared" si="122"/>
        <v>9.5452140421842344E-2</v>
      </c>
      <c r="EI7" s="173">
        <f t="shared" si="82"/>
        <v>0.56940514769557737</v>
      </c>
      <c r="EJ7" s="173"/>
      <c r="EK7" s="528">
        <f t="shared" si="83"/>
        <v>1.8222222222222221E-4</v>
      </c>
      <c r="EL7" s="528">
        <f t="shared" si="84"/>
        <v>4.1962133333333339E-2</v>
      </c>
      <c r="EM7" s="528">
        <f t="shared" si="85"/>
        <v>6.286666666666667E-3</v>
      </c>
      <c r="EN7" s="528">
        <f t="shared" si="86"/>
        <v>4.3943187733333333E-2</v>
      </c>
      <c r="EO7">
        <f t="shared" si="87"/>
        <v>1.0800000000000001E-2</v>
      </c>
      <c r="EP7" s="460">
        <f t="shared" si="123"/>
        <v>17.086666666666666</v>
      </c>
      <c r="EQ7" s="528">
        <f t="shared" si="88"/>
        <v>0.10322787930981817</v>
      </c>
      <c r="ER7" s="460">
        <f t="shared" si="124"/>
        <v>103.22787930981816</v>
      </c>
      <c r="ES7" s="528">
        <f t="shared" si="125"/>
        <v>1.2424999999999999E-2</v>
      </c>
      <c r="ET7" s="528"/>
      <c r="EV7" s="460">
        <f t="shared" si="126"/>
        <v>12.424999999999999</v>
      </c>
      <c r="EW7" s="528">
        <f t="shared" si="89"/>
        <v>2.7333333333333327E-4</v>
      </c>
      <c r="EX7" s="528">
        <f t="shared" si="90"/>
        <v>9.7266666666666682E-3</v>
      </c>
      <c r="EY7" s="528">
        <f t="shared" si="91"/>
        <v>1.1047817402829174E-3</v>
      </c>
      <c r="EZ7" s="528">
        <f t="shared" si="92"/>
        <v>1.3515594215655445E-2</v>
      </c>
      <c r="FA7" s="528">
        <f t="shared" si="93"/>
        <v>2.7333333333333333E-4</v>
      </c>
      <c r="FB7" s="460">
        <f t="shared" si="127"/>
        <v>13.788927548988779</v>
      </c>
      <c r="FC7" s="173">
        <f t="shared" si="128"/>
        <v>0.12944180685880693</v>
      </c>
      <c r="FD7" s="5">
        <f t="shared" si="129"/>
        <v>0.32</v>
      </c>
      <c r="FE7" s="173">
        <f t="shared" si="130"/>
        <v>0.71199428962007671</v>
      </c>
      <c r="FF7" s="5">
        <f t="shared" si="131"/>
        <v>71.199428962007673</v>
      </c>
      <c r="FI7" s="562">
        <f t="shared" si="94"/>
        <v>-50</v>
      </c>
      <c r="FJ7">
        <f t="shared" si="95"/>
        <v>-50</v>
      </c>
      <c r="FL7">
        <f t="shared" si="96"/>
        <v>4.0000000000000008E-2</v>
      </c>
    </row>
    <row r="8" spans="2:168">
      <c r="E8" s="170">
        <v>3</v>
      </c>
      <c r="F8" s="217">
        <f t="shared" si="97"/>
        <v>0.03</v>
      </c>
      <c r="G8" s="217"/>
      <c r="H8" s="217">
        <f t="shared" si="0"/>
        <v>0.48</v>
      </c>
      <c r="I8" s="541">
        <f t="shared" si="1"/>
        <v>23.975306760083761</v>
      </c>
      <c r="J8" s="172">
        <f t="shared" si="2"/>
        <v>16.414815943949744</v>
      </c>
      <c r="K8" s="172">
        <f t="shared" si="3"/>
        <v>40.414815943949748</v>
      </c>
      <c r="L8" s="443"/>
      <c r="M8" s="217">
        <f t="shared" si="4"/>
        <v>0.40640939167667661</v>
      </c>
      <c r="N8" s="172">
        <f t="shared" si="5"/>
        <v>24.651788284137204</v>
      </c>
      <c r="O8" s="172">
        <f t="shared" si="98"/>
        <v>0.48</v>
      </c>
      <c r="P8" s="217">
        <f t="shared" si="6"/>
        <v>1.5407367677585753</v>
      </c>
      <c r="Q8" s="217">
        <f t="shared" si="7"/>
        <v>16</v>
      </c>
      <c r="R8" s="217">
        <f t="shared" si="8"/>
        <v>1.5224671618167738</v>
      </c>
      <c r="S8" s="172">
        <f t="shared" si="9"/>
        <v>1973.9717805502669</v>
      </c>
      <c r="T8" s="172">
        <f t="shared" si="10"/>
        <v>16</v>
      </c>
      <c r="U8" s="217">
        <f t="shared" si="99"/>
        <v>0.10107976635526306</v>
      </c>
      <c r="V8" s="217">
        <f t="shared" si="11"/>
        <v>5.059193646200167E-2</v>
      </c>
      <c r="W8" s="217">
        <f t="shared" si="12"/>
        <v>7.389404793845615E-2</v>
      </c>
      <c r="X8" s="197">
        <f t="shared" si="13"/>
        <v>350</v>
      </c>
      <c r="Y8" s="443">
        <f t="shared" si="14"/>
        <v>350</v>
      </c>
      <c r="AA8" s="217">
        <f t="shared" si="15"/>
        <v>2.3199345198136747</v>
      </c>
      <c r="AB8" s="173">
        <f t="shared" si="16"/>
        <v>1.6959808951147708</v>
      </c>
      <c r="AC8" s="173">
        <f t="shared" si="17"/>
        <v>0.68854880911621907</v>
      </c>
      <c r="AD8" s="173"/>
      <c r="AE8" s="173">
        <f t="shared" si="18"/>
        <v>0.7310468811210169</v>
      </c>
      <c r="AF8" s="545">
        <f t="shared" si="100"/>
        <v>82.07407971974871</v>
      </c>
      <c r="AG8" s="528">
        <f t="shared" si="19"/>
        <v>0.12793320419617796</v>
      </c>
      <c r="AI8" s="173">
        <f t="shared" si="20"/>
        <v>0.48424928562451536</v>
      </c>
      <c r="AJ8" s="173">
        <f t="shared" si="21"/>
        <v>1</v>
      </c>
      <c r="AK8" s="173">
        <f t="shared" si="22"/>
        <v>1.0468994741255706</v>
      </c>
      <c r="AM8" s="545">
        <f t="shared" si="23"/>
        <v>30</v>
      </c>
      <c r="AN8" s="460">
        <f t="shared" si="24"/>
        <v>82.07407971974871</v>
      </c>
      <c r="AP8">
        <f t="shared" si="25"/>
        <v>30</v>
      </c>
      <c r="AQ8" s="460">
        <f t="shared" si="26"/>
        <v>82.07407971974871</v>
      </c>
      <c r="AR8" s="460"/>
      <c r="AS8" s="5">
        <f t="shared" si="101"/>
        <v>12.184114685350281</v>
      </c>
      <c r="AT8" s="5">
        <f t="shared" si="27"/>
        <v>0.50051497234557496</v>
      </c>
      <c r="AU8" s="5">
        <f t="shared" si="102"/>
        <v>11.683599713004705</v>
      </c>
      <c r="AV8" s="5">
        <f t="shared" si="28"/>
        <v>0.7310468811210169</v>
      </c>
      <c r="AW8" s="173">
        <f t="shared" si="103"/>
        <v>4.1079305741218541E-2</v>
      </c>
      <c r="AX8" s="173">
        <f t="shared" si="29"/>
        <v>0.49244447831849231</v>
      </c>
      <c r="AY8" s="173">
        <f t="shared" si="30"/>
        <v>0.47946034712939073</v>
      </c>
      <c r="AZ8" s="173">
        <f t="shared" si="104"/>
        <v>1.0270807195357026</v>
      </c>
      <c r="BA8" s="460">
        <f t="shared" si="31"/>
        <v>9.3846557314795298E-2</v>
      </c>
      <c r="BB8" s="5">
        <f t="shared" si="32"/>
        <v>0.19492721957504389</v>
      </c>
      <c r="BC8" s="5"/>
      <c r="BD8" s="173">
        <f t="shared" si="105"/>
        <v>0.1170175282329084</v>
      </c>
      <c r="BE8" s="173">
        <f t="shared" si="33"/>
        <v>0.56536734201720018</v>
      </c>
      <c r="BF8" s="173"/>
      <c r="BG8" s="528">
        <f t="shared" si="34"/>
        <v>2.7386203827479028E-4</v>
      </c>
      <c r="BH8" s="528">
        <f t="shared" si="35"/>
        <v>6.0535411067979335E-2</v>
      </c>
      <c r="BI8" s="528">
        <f t="shared" si="36"/>
        <v>4.5258278481648533E-2</v>
      </c>
      <c r="BJ8" s="528">
        <f t="shared" si="37"/>
        <v>6.6022728327607319E-2</v>
      </c>
      <c r="BK8">
        <f t="shared" si="38"/>
        <v>1.0788888042037693E-2</v>
      </c>
      <c r="BL8" s="460">
        <f t="shared" si="106"/>
        <v>56.047166523686229</v>
      </c>
      <c r="BM8" s="528">
        <f t="shared" si="39"/>
        <v>0.12691420244315854</v>
      </c>
      <c r="BN8" s="460">
        <f t="shared" si="107"/>
        <v>126.91420244315854</v>
      </c>
      <c r="BO8" s="528">
        <f t="shared" si="108"/>
        <v>1.8637499999999998E-2</v>
      </c>
      <c r="BP8" s="528"/>
      <c r="BR8" s="460">
        <f t="shared" si="109"/>
        <v>18.637499999999999</v>
      </c>
      <c r="BS8" s="528">
        <f t="shared" si="40"/>
        <v>4.1079305741218542E-4</v>
      </c>
      <c r="BT8" s="528">
        <f t="shared" si="41"/>
        <v>9.5892069425878145E-3</v>
      </c>
      <c r="BU8" s="528">
        <f t="shared" si="42"/>
        <v>7.1999999999999998E-3</v>
      </c>
      <c r="BV8" s="528">
        <f t="shared" si="43"/>
        <v>1.9615692554043235E-2</v>
      </c>
      <c r="BW8" s="528">
        <f t="shared" si="44"/>
        <v>4.1037039859874355E-4</v>
      </c>
      <c r="BX8" s="460">
        <f t="shared" si="110"/>
        <v>20.026062952641979</v>
      </c>
      <c r="BY8" s="173">
        <f t="shared" si="45"/>
        <v>0.22162493191948676</v>
      </c>
      <c r="BZ8" s="5">
        <f t="shared" si="111"/>
        <v>0.48</v>
      </c>
      <c r="CA8" s="173">
        <f t="shared" si="112"/>
        <v>0.68412620213883912</v>
      </c>
      <c r="CB8" s="5">
        <f t="shared" si="113"/>
        <v>68.412620213883912</v>
      </c>
      <c r="CE8" s="562">
        <f t="shared" si="46"/>
        <v>-50</v>
      </c>
      <c r="CF8">
        <f t="shared" si="47"/>
        <v>-50</v>
      </c>
      <c r="CG8" s="173">
        <f t="shared" si="48"/>
        <v>6.0745370193949752E-2</v>
      </c>
      <c r="CI8" s="170">
        <v>3</v>
      </c>
      <c r="CJ8" s="217">
        <f t="shared" si="114"/>
        <v>0.03</v>
      </c>
      <c r="CK8" s="217"/>
      <c r="CL8" s="217">
        <f t="shared" si="49"/>
        <v>0.48</v>
      </c>
      <c r="CM8" s="541">
        <f t="shared" si="50"/>
        <v>24</v>
      </c>
      <c r="CN8" s="172">
        <f t="shared" si="51"/>
        <v>16.399999999999999</v>
      </c>
      <c r="CO8" s="443">
        <f t="shared" si="52"/>
        <v>40.4</v>
      </c>
      <c r="CP8" s="443"/>
      <c r="CQ8" s="217">
        <f t="shared" si="53"/>
        <v>0.40594059405940591</v>
      </c>
      <c r="CR8" s="172">
        <f t="shared" si="54"/>
        <v>24.648712871287128</v>
      </c>
      <c r="CS8" s="172">
        <f t="shared" si="115"/>
        <v>0.48</v>
      </c>
      <c r="CT8" s="217">
        <f t="shared" si="55"/>
        <v>1.5405445544554455</v>
      </c>
      <c r="CU8" s="217">
        <f t="shared" si="56"/>
        <v>16</v>
      </c>
      <c r="CV8" s="217">
        <f t="shared" si="57"/>
        <v>1.5222772277227721</v>
      </c>
      <c r="CW8" s="172">
        <f t="shared" si="58"/>
        <v>1976.004857304395</v>
      </c>
      <c r="CX8" s="172">
        <f t="shared" si="59"/>
        <v>16</v>
      </c>
      <c r="CY8" s="217">
        <f t="shared" si="60"/>
        <v>9.8536585365853663E-2</v>
      </c>
      <c r="CZ8" s="217">
        <f t="shared" si="61"/>
        <v>4.9268292682926831E-2</v>
      </c>
      <c r="DA8" s="217">
        <f t="shared" si="62"/>
        <v>7.209994051160025E-2</v>
      </c>
      <c r="DB8" s="197">
        <f t="shared" si="63"/>
        <v>350</v>
      </c>
      <c r="DC8" s="443">
        <f t="shared" si="116"/>
        <v>350</v>
      </c>
      <c r="DE8" s="217">
        <f t="shared" si="64"/>
        <v>2.3196605374823194</v>
      </c>
      <c r="DF8" s="173">
        <f t="shared" si="65"/>
        <v>1.6973125884016973</v>
      </c>
      <c r="DG8" s="173">
        <f t="shared" si="66"/>
        <v>0.68900808044029282</v>
      </c>
      <c r="DH8" s="173"/>
      <c r="DI8" s="173">
        <f t="shared" si="67"/>
        <v>0.73170731707317083</v>
      </c>
      <c r="DJ8" s="545">
        <f t="shared" si="117"/>
        <v>81.999999999999986</v>
      </c>
      <c r="DK8" s="528">
        <f t="shared" si="68"/>
        <v>0.12804878048780488</v>
      </c>
      <c r="DM8" s="173">
        <f t="shared" si="69"/>
        <v>0.48403069560278328</v>
      </c>
      <c r="DN8" s="173">
        <f t="shared" si="70"/>
        <v>1</v>
      </c>
      <c r="DO8" s="173">
        <f t="shared" si="71"/>
        <v>1.0468571428571429</v>
      </c>
      <c r="DQ8" s="545">
        <f t="shared" si="72"/>
        <v>30</v>
      </c>
      <c r="DR8" s="460">
        <f t="shared" si="73"/>
        <v>81.999999999999986</v>
      </c>
      <c r="DT8">
        <f t="shared" si="74"/>
        <v>30</v>
      </c>
      <c r="DU8" s="460">
        <f t="shared" si="75"/>
        <v>81.999999999999986</v>
      </c>
      <c r="DV8" s="460"/>
      <c r="DW8" s="5">
        <f t="shared" si="118"/>
        <v>12.195121951219514</v>
      </c>
      <c r="DX8" s="5">
        <f t="shared" si="76"/>
        <v>0.5</v>
      </c>
      <c r="DY8" s="5">
        <f t="shared" si="119"/>
        <v>11.695121951219514</v>
      </c>
      <c r="DZ8" s="5">
        <f t="shared" si="77"/>
        <v>0.73170731707317083</v>
      </c>
      <c r="EA8" s="173">
        <f t="shared" si="120"/>
        <v>4.0999999999999995E-2</v>
      </c>
      <c r="EB8" s="173">
        <f t="shared" si="78"/>
        <v>0.49199999999999994</v>
      </c>
      <c r="EC8" s="173">
        <f t="shared" si="79"/>
        <v>0.47949999999999998</v>
      </c>
      <c r="ED8" s="173">
        <f t="shared" si="121"/>
        <v>1.0260688216892595</v>
      </c>
      <c r="EE8" s="460">
        <f t="shared" si="80"/>
        <v>9.375E-2</v>
      </c>
      <c r="EF8" s="5">
        <f t="shared" si="81"/>
        <v>0.19491869918699187</v>
      </c>
      <c r="EG8" s="5"/>
      <c r="EH8" s="173">
        <f t="shared" si="122"/>
        <v>0.1169045194450012</v>
      </c>
      <c r="EI8" s="173">
        <f t="shared" si="82"/>
        <v>0.56539072035775995</v>
      </c>
      <c r="EJ8" s="173"/>
      <c r="EK8" s="528">
        <f t="shared" si="83"/>
        <v>2.7333333333333327E-4</v>
      </c>
      <c r="EL8" s="528">
        <f t="shared" si="84"/>
        <v>6.2943199999999991E-2</v>
      </c>
      <c r="EM8" s="528">
        <f t="shared" si="85"/>
        <v>9.4299999999999991E-3</v>
      </c>
      <c r="EN8" s="528">
        <f t="shared" si="86"/>
        <v>6.5914781599999986E-2</v>
      </c>
      <c r="EO8">
        <f t="shared" si="87"/>
        <v>1.0800000000000001E-2</v>
      </c>
      <c r="EP8" s="460">
        <f t="shared" si="123"/>
        <v>20.229999999999997</v>
      </c>
      <c r="EQ8" s="528">
        <f t="shared" si="88"/>
        <v>0.14944482047775443</v>
      </c>
      <c r="ER8" s="460">
        <f t="shared" si="124"/>
        <v>149.44482047775443</v>
      </c>
      <c r="ES8" s="528">
        <f t="shared" si="125"/>
        <v>1.8637499999999998E-2</v>
      </c>
      <c r="ET8" s="528"/>
      <c r="EV8" s="460">
        <f t="shared" si="126"/>
        <v>18.637499999999999</v>
      </c>
      <c r="EW8" s="528">
        <f t="shared" si="89"/>
        <v>4.0999999999999988E-4</v>
      </c>
      <c r="EX8" s="528">
        <f t="shared" si="90"/>
        <v>9.5900000000000013E-3</v>
      </c>
      <c r="EY8" s="528">
        <f t="shared" si="91"/>
        <v>3.0444204834418E-3</v>
      </c>
      <c r="EZ8" s="528">
        <f t="shared" si="92"/>
        <v>1.545678591217154E-2</v>
      </c>
      <c r="FA8" s="528">
        <f t="shared" si="93"/>
        <v>4.0999999999999994E-4</v>
      </c>
      <c r="FB8" s="460">
        <f t="shared" si="127"/>
        <v>15.86678591217154</v>
      </c>
      <c r="FC8" s="173">
        <f t="shared" si="128"/>
        <v>0.18394910638992595</v>
      </c>
      <c r="FD8" s="5">
        <f t="shared" si="129"/>
        <v>0.48</v>
      </c>
      <c r="FE8" s="173">
        <f t="shared" si="130"/>
        <v>0.72294697798434004</v>
      </c>
      <c r="FF8" s="5">
        <f t="shared" si="131"/>
        <v>72.294697798434001</v>
      </c>
      <c r="FI8" s="562">
        <f t="shared" si="94"/>
        <v>-50</v>
      </c>
      <c r="FJ8">
        <f t="shared" si="95"/>
        <v>-50</v>
      </c>
      <c r="FL8">
        <f t="shared" si="96"/>
        <v>0.06</v>
      </c>
    </row>
    <row r="9" spans="2:168">
      <c r="E9" s="170">
        <v>4</v>
      </c>
      <c r="F9" s="217">
        <f t="shared" si="97"/>
        <v>0.04</v>
      </c>
      <c r="G9" s="217"/>
      <c r="H9" s="217">
        <f t="shared" si="0"/>
        <v>0.64</v>
      </c>
      <c r="I9" s="541">
        <f t="shared" si="1"/>
        <v>23.975306760083761</v>
      </c>
      <c r="J9" s="172">
        <f t="shared" si="2"/>
        <v>16.414815943949744</v>
      </c>
      <c r="K9" s="172">
        <f t="shared" si="3"/>
        <v>40.414815943949748</v>
      </c>
      <c r="L9" s="443"/>
      <c r="M9" s="217">
        <f t="shared" si="4"/>
        <v>0.40640939167667661</v>
      </c>
      <c r="N9" s="172">
        <f t="shared" si="5"/>
        <v>24.651788284137204</v>
      </c>
      <c r="O9" s="172">
        <f t="shared" si="98"/>
        <v>0.64</v>
      </c>
      <c r="P9" s="217">
        <f t="shared" si="6"/>
        <v>1.5407367677585753</v>
      </c>
      <c r="Q9" s="217">
        <f t="shared" si="7"/>
        <v>16</v>
      </c>
      <c r="R9" s="217">
        <f t="shared" si="8"/>
        <v>1.5224671618167738</v>
      </c>
      <c r="S9" s="172">
        <f t="shared" si="9"/>
        <v>1474.4878680175693</v>
      </c>
      <c r="T9" s="172">
        <f t="shared" si="10"/>
        <v>16</v>
      </c>
      <c r="U9" s="217">
        <f t="shared" si="99"/>
        <v>0.13477302180701742</v>
      </c>
      <c r="V9" s="217">
        <f t="shared" si="11"/>
        <v>6.7455915282668893E-2</v>
      </c>
      <c r="W9" s="217">
        <f t="shared" si="12"/>
        <v>9.8525397251274863E-2</v>
      </c>
      <c r="X9" s="197">
        <f t="shared" si="13"/>
        <v>350</v>
      </c>
      <c r="Y9" s="443">
        <f t="shared" si="14"/>
        <v>350</v>
      </c>
      <c r="AA9" s="217">
        <f t="shared" si="15"/>
        <v>2.3199345198136747</v>
      </c>
      <c r="AB9" s="173">
        <f t="shared" si="16"/>
        <v>1.6959808951147708</v>
      </c>
      <c r="AC9" s="173">
        <f t="shared" si="17"/>
        <v>0.68854880911621907</v>
      </c>
      <c r="AD9" s="173"/>
      <c r="AE9" s="173">
        <f t="shared" si="18"/>
        <v>0.7310468811210169</v>
      </c>
      <c r="AF9" s="545">
        <f t="shared" si="100"/>
        <v>109.43210629299828</v>
      </c>
      <c r="AG9" s="528">
        <f t="shared" si="19"/>
        <v>0.12793320419617796</v>
      </c>
      <c r="AI9" s="173">
        <f t="shared" si="20"/>
        <v>0.55916291082039582</v>
      </c>
      <c r="AJ9" s="173">
        <f t="shared" si="21"/>
        <v>1</v>
      </c>
      <c r="AK9" s="173">
        <f t="shared" si="22"/>
        <v>1.0625326321674275</v>
      </c>
      <c r="AM9" s="545">
        <f t="shared" si="23"/>
        <v>40</v>
      </c>
      <c r="AN9" s="460">
        <f t="shared" si="24"/>
        <v>109.43210629299828</v>
      </c>
      <c r="AP9">
        <f t="shared" si="25"/>
        <v>40</v>
      </c>
      <c r="AQ9" s="460">
        <f t="shared" si="26"/>
        <v>109.43210629299828</v>
      </c>
      <c r="AR9" s="460"/>
      <c r="AS9" s="5">
        <f t="shared" si="101"/>
        <v>9.1380860140127105</v>
      </c>
      <c r="AT9" s="5">
        <f t="shared" si="27"/>
        <v>0.50051497234557496</v>
      </c>
      <c r="AU9" s="5">
        <f t="shared" si="102"/>
        <v>8.637571041667135</v>
      </c>
      <c r="AV9" s="5">
        <f t="shared" si="28"/>
        <v>0.7310468811210169</v>
      </c>
      <c r="AW9" s="173">
        <f t="shared" si="103"/>
        <v>5.4772407654958062E-2</v>
      </c>
      <c r="AX9" s="173">
        <f t="shared" si="29"/>
        <v>0.65659263775798982</v>
      </c>
      <c r="AY9" s="173">
        <f t="shared" si="30"/>
        <v>0.47261379617252097</v>
      </c>
      <c r="AZ9" s="173">
        <f t="shared" si="104"/>
        <v>1.3892794562398048</v>
      </c>
      <c r="BA9" s="460">
        <f t="shared" si="31"/>
        <v>0.12512874308639374</v>
      </c>
      <c r="BB9" s="5">
        <f t="shared" si="32"/>
        <v>0.19214371693568733</v>
      </c>
      <c r="BC9" s="5"/>
      <c r="BD9" s="173">
        <f t="shared" si="105"/>
        <v>0.13512020285034859</v>
      </c>
      <c r="BE9" s="173">
        <f t="shared" si="33"/>
        <v>0.56131618907262415</v>
      </c>
      <c r="BF9" s="173"/>
      <c r="BG9" s="528">
        <f t="shared" si="34"/>
        <v>3.6514938436638702E-4</v>
      </c>
      <c r="BH9" s="528">
        <f t="shared" si="35"/>
        <v>8.0713881423972442E-2</v>
      </c>
      <c r="BI9" s="528">
        <f t="shared" si="36"/>
        <v>6.0344371308864712E-2</v>
      </c>
      <c r="BJ9" s="528">
        <f t="shared" si="37"/>
        <v>8.8030304436809759E-2</v>
      </c>
      <c r="BK9">
        <f t="shared" si="38"/>
        <v>1.0788888042037693E-2</v>
      </c>
      <c r="BL9" s="460">
        <f t="shared" si="106"/>
        <v>71.133259350902406</v>
      </c>
      <c r="BM9" s="528">
        <f t="shared" si="39"/>
        <v>0.16922260724665916</v>
      </c>
      <c r="BN9" s="460">
        <f t="shared" si="107"/>
        <v>169.22260724665915</v>
      </c>
      <c r="BO9" s="528">
        <f t="shared" si="108"/>
        <v>2.4849999999999997E-2</v>
      </c>
      <c r="BP9" s="528"/>
      <c r="BR9" s="460">
        <f t="shared" si="109"/>
        <v>24.849999999999998</v>
      </c>
      <c r="BS9" s="528">
        <f t="shared" si="40"/>
        <v>5.4772407654958045E-4</v>
      </c>
      <c r="BT9" s="528">
        <f t="shared" si="41"/>
        <v>9.4522759234504181E-3</v>
      </c>
      <c r="BU9" s="528">
        <f t="shared" si="42"/>
        <v>9.5999999999999992E-3</v>
      </c>
      <c r="BV9" s="528">
        <f t="shared" si="43"/>
        <v>2.2017614091273018E-2</v>
      </c>
      <c r="BW9" s="528">
        <f t="shared" si="44"/>
        <v>5.4716053146499147E-4</v>
      </c>
      <c r="BX9" s="460">
        <f t="shared" si="110"/>
        <v>22.56477462273801</v>
      </c>
      <c r="BY9" s="173">
        <f t="shared" si="45"/>
        <v>0.28777064122029955</v>
      </c>
      <c r="BZ9" s="5">
        <f t="shared" si="111"/>
        <v>0.64</v>
      </c>
      <c r="CA9" s="173">
        <f t="shared" si="112"/>
        <v>0.68982566548797675</v>
      </c>
      <c r="CB9" s="5">
        <f t="shared" si="113"/>
        <v>68.982566548797678</v>
      </c>
      <c r="CE9" s="562">
        <f t="shared" si="46"/>
        <v>-50</v>
      </c>
      <c r="CF9">
        <f t="shared" si="47"/>
        <v>-50</v>
      </c>
      <c r="CG9" s="173">
        <f t="shared" si="48"/>
        <v>8.0993826925266355E-2</v>
      </c>
      <c r="CI9" s="170">
        <v>4</v>
      </c>
      <c r="CJ9" s="217">
        <f t="shared" si="114"/>
        <v>0.04</v>
      </c>
      <c r="CK9" s="217"/>
      <c r="CL9" s="217">
        <f t="shared" si="49"/>
        <v>0.64</v>
      </c>
      <c r="CM9" s="541">
        <f t="shared" si="50"/>
        <v>24</v>
      </c>
      <c r="CN9" s="172">
        <f t="shared" si="51"/>
        <v>16.399999999999999</v>
      </c>
      <c r="CO9" s="443">
        <f t="shared" si="52"/>
        <v>40.4</v>
      </c>
      <c r="CP9" s="443"/>
      <c r="CQ9" s="217">
        <f t="shared" si="53"/>
        <v>0.40594059405940591</v>
      </c>
      <c r="CR9" s="172">
        <f t="shared" si="54"/>
        <v>24.648712871287128</v>
      </c>
      <c r="CS9" s="172">
        <f t="shared" si="115"/>
        <v>0.64</v>
      </c>
      <c r="CT9" s="217">
        <f t="shared" si="55"/>
        <v>1.5405445544554455</v>
      </c>
      <c r="CU9" s="217">
        <f t="shared" si="56"/>
        <v>16</v>
      </c>
      <c r="CV9" s="217">
        <f t="shared" si="57"/>
        <v>1.5222772277227721</v>
      </c>
      <c r="CW9" s="172">
        <f t="shared" si="58"/>
        <v>1476.0065022742619</v>
      </c>
      <c r="CX9" s="172">
        <f t="shared" si="59"/>
        <v>16</v>
      </c>
      <c r="CY9" s="217">
        <f t="shared" si="60"/>
        <v>0.13138211382113821</v>
      </c>
      <c r="CZ9" s="217">
        <f t="shared" si="61"/>
        <v>6.5691056910569104E-2</v>
      </c>
      <c r="DA9" s="217">
        <f t="shared" si="62"/>
        <v>9.613325401546699E-2</v>
      </c>
      <c r="DB9" s="197">
        <f t="shared" si="63"/>
        <v>350</v>
      </c>
      <c r="DC9" s="443">
        <f t="shared" si="116"/>
        <v>350</v>
      </c>
      <c r="DE9" s="217">
        <f t="shared" si="64"/>
        <v>2.3196605374823194</v>
      </c>
      <c r="DF9" s="173">
        <f t="shared" si="65"/>
        <v>1.6973125884016973</v>
      </c>
      <c r="DG9" s="173">
        <f t="shared" si="66"/>
        <v>0.68900808044029282</v>
      </c>
      <c r="DH9" s="173"/>
      <c r="DI9" s="173">
        <f t="shared" si="67"/>
        <v>0.73170731707317083</v>
      </c>
      <c r="DJ9" s="545">
        <f t="shared" si="117"/>
        <v>109.33333333333333</v>
      </c>
      <c r="DK9" s="528">
        <f t="shared" si="68"/>
        <v>0.12804878048780488</v>
      </c>
      <c r="DM9" s="173">
        <f t="shared" si="69"/>
        <v>0.55891050480461746</v>
      </c>
      <c r="DN9" s="173">
        <f t="shared" si="70"/>
        <v>1</v>
      </c>
      <c r="DO9" s="173">
        <f t="shared" si="71"/>
        <v>1.0624761904761906</v>
      </c>
      <c r="DQ9" s="545">
        <f t="shared" si="72"/>
        <v>40</v>
      </c>
      <c r="DR9" s="460">
        <f t="shared" si="73"/>
        <v>109.33333333333333</v>
      </c>
      <c r="DT9">
        <f t="shared" si="74"/>
        <v>40</v>
      </c>
      <c r="DU9" s="460">
        <f t="shared" si="75"/>
        <v>109.33333333333333</v>
      </c>
      <c r="DV9" s="460"/>
      <c r="DW9" s="5">
        <f t="shared" si="118"/>
        <v>9.1463414634146361</v>
      </c>
      <c r="DX9" s="5">
        <f t="shared" si="76"/>
        <v>0.5</v>
      </c>
      <c r="DY9" s="5">
        <f t="shared" si="119"/>
        <v>8.6463414634146361</v>
      </c>
      <c r="DZ9" s="5">
        <f t="shared" si="77"/>
        <v>0.73170731707317083</v>
      </c>
      <c r="EA9" s="173">
        <f t="shared" si="120"/>
        <v>5.4666666666666655E-2</v>
      </c>
      <c r="EB9" s="173">
        <f t="shared" si="78"/>
        <v>0.65600000000000003</v>
      </c>
      <c r="EC9" s="173">
        <f t="shared" si="79"/>
        <v>0.47266666666666668</v>
      </c>
      <c r="ED9" s="173">
        <f t="shared" si="121"/>
        <v>1.3878702397743301</v>
      </c>
      <c r="EE9" s="460">
        <f t="shared" si="80"/>
        <v>0.125</v>
      </c>
      <c r="EF9" s="5">
        <f t="shared" si="81"/>
        <v>0.19214092140921413</v>
      </c>
      <c r="EG9" s="5"/>
      <c r="EH9" s="173">
        <f t="shared" si="122"/>
        <v>0.13498971154211056</v>
      </c>
      <c r="EI9" s="173">
        <f t="shared" si="82"/>
        <v>0.56134758493389025</v>
      </c>
      <c r="EJ9" s="173"/>
      <c r="EK9" s="528">
        <f t="shared" si="83"/>
        <v>3.6444444444444431E-4</v>
      </c>
      <c r="EL9" s="528">
        <f t="shared" si="84"/>
        <v>8.3924266666666678E-2</v>
      </c>
      <c r="EM9" s="528">
        <f t="shared" si="85"/>
        <v>1.2573333333333334E-2</v>
      </c>
      <c r="EN9" s="528">
        <f t="shared" si="86"/>
        <v>8.7886375466666666E-2</v>
      </c>
      <c r="EO9">
        <f t="shared" si="87"/>
        <v>1.0800000000000001E-2</v>
      </c>
      <c r="EP9" s="460">
        <f t="shared" si="123"/>
        <v>23.373333333333335</v>
      </c>
      <c r="EQ9" s="528">
        <f t="shared" si="88"/>
        <v>0.1956637628276619</v>
      </c>
      <c r="ER9" s="460">
        <f t="shared" si="124"/>
        <v>195.66376282766191</v>
      </c>
      <c r="ES9" s="528">
        <f t="shared" si="125"/>
        <v>2.4849999999999997E-2</v>
      </c>
      <c r="ET9" s="528"/>
      <c r="EV9" s="460">
        <f t="shared" si="126"/>
        <v>24.849999999999998</v>
      </c>
      <c r="EW9" s="528">
        <f t="shared" si="89"/>
        <v>5.4666666666666644E-4</v>
      </c>
      <c r="EX9" s="528">
        <f t="shared" si="90"/>
        <v>9.4533333333333327E-3</v>
      </c>
      <c r="EY9" s="528">
        <f t="shared" si="91"/>
        <v>6.2495892822810144E-3</v>
      </c>
      <c r="EZ9" s="528">
        <f t="shared" si="92"/>
        <v>1.8664520899000211E-2</v>
      </c>
      <c r="FA9" s="528">
        <f t="shared" si="93"/>
        <v>5.4666666666666665E-4</v>
      </c>
      <c r="FB9" s="460">
        <f t="shared" si="127"/>
        <v>19.211187565666879</v>
      </c>
      <c r="FC9" s="173">
        <f t="shared" si="128"/>
        <v>0.23972495039332878</v>
      </c>
      <c r="FD9" s="5">
        <f t="shared" si="129"/>
        <v>0.64</v>
      </c>
      <c r="FE9" s="173">
        <f t="shared" si="130"/>
        <v>0.7275001120678154</v>
      </c>
      <c r="FF9" s="5">
        <f t="shared" si="131"/>
        <v>72.750011206781537</v>
      </c>
      <c r="FI9" s="562">
        <f t="shared" si="94"/>
        <v>-50</v>
      </c>
      <c r="FJ9">
        <f t="shared" si="95"/>
        <v>-50</v>
      </c>
      <c r="FL9">
        <f t="shared" si="96"/>
        <v>8.0000000000000016E-2</v>
      </c>
    </row>
    <row r="10" spans="2:168">
      <c r="E10" s="170">
        <v>5</v>
      </c>
      <c r="F10" s="217">
        <f t="shared" si="97"/>
        <v>0.05</v>
      </c>
      <c r="G10" s="217"/>
      <c r="H10" s="217">
        <f t="shared" si="0"/>
        <v>0.8</v>
      </c>
      <c r="I10" s="541">
        <f t="shared" si="1"/>
        <v>23.975306760083761</v>
      </c>
      <c r="J10" s="172">
        <f t="shared" si="2"/>
        <v>16.414815943949744</v>
      </c>
      <c r="K10" s="172">
        <f t="shared" si="3"/>
        <v>40.414815943949748</v>
      </c>
      <c r="L10" s="443"/>
      <c r="M10" s="217">
        <f t="shared" si="4"/>
        <v>0.40640939167667661</v>
      </c>
      <c r="N10" s="172">
        <f t="shared" si="5"/>
        <v>24.651788284137204</v>
      </c>
      <c r="O10" s="172">
        <f t="shared" si="98"/>
        <v>0.8</v>
      </c>
      <c r="P10" s="217">
        <f t="shared" si="6"/>
        <v>1.5407367677585753</v>
      </c>
      <c r="Q10" s="217">
        <f t="shared" si="7"/>
        <v>16</v>
      </c>
      <c r="R10" s="217">
        <f t="shared" si="8"/>
        <v>1.5224671618167738</v>
      </c>
      <c r="S10" s="172">
        <f t="shared" si="9"/>
        <v>1174.7981916742103</v>
      </c>
      <c r="T10" s="172">
        <f t="shared" si="10"/>
        <v>16</v>
      </c>
      <c r="U10" s="217">
        <f t="shared" si="99"/>
        <v>0.16846627725877178</v>
      </c>
      <c r="V10" s="217">
        <f t="shared" si="11"/>
        <v>8.4319894103336124E-2</v>
      </c>
      <c r="W10" s="217">
        <f t="shared" si="12"/>
        <v>0.1231567465640936</v>
      </c>
      <c r="X10" s="197">
        <f t="shared" si="13"/>
        <v>350</v>
      </c>
      <c r="Y10" s="443">
        <f t="shared" si="14"/>
        <v>350</v>
      </c>
      <c r="AA10" s="217">
        <f t="shared" si="15"/>
        <v>2.3199345198136747</v>
      </c>
      <c r="AB10" s="173">
        <f t="shared" si="16"/>
        <v>1.6959808951147708</v>
      </c>
      <c r="AC10" s="173">
        <f t="shared" si="17"/>
        <v>0.68854880911621907</v>
      </c>
      <c r="AD10" s="173"/>
      <c r="AE10" s="173">
        <f t="shared" si="18"/>
        <v>0.7310468811210169</v>
      </c>
      <c r="AF10" s="545">
        <f t="shared" si="100"/>
        <v>136.79013286624789</v>
      </c>
      <c r="AG10" s="528">
        <f t="shared" si="19"/>
        <v>0.12793320419617796</v>
      </c>
      <c r="AI10" s="173">
        <f t="shared" si="20"/>
        <v>0.62516313954552893</v>
      </c>
      <c r="AJ10" s="173">
        <f t="shared" si="21"/>
        <v>1</v>
      </c>
      <c r="AK10" s="173">
        <f t="shared" si="22"/>
        <v>1.0781657902092845</v>
      </c>
      <c r="AM10" s="545">
        <f t="shared" si="23"/>
        <v>50</v>
      </c>
      <c r="AN10" s="460">
        <f t="shared" si="24"/>
        <v>136.79013286624789</v>
      </c>
      <c r="AP10">
        <f t="shared" si="25"/>
        <v>50</v>
      </c>
      <c r="AQ10" s="460">
        <f t="shared" si="26"/>
        <v>136.79013286624789</v>
      </c>
      <c r="AR10" s="460"/>
      <c r="AS10" s="5">
        <f t="shared" si="101"/>
        <v>7.3104688112101677</v>
      </c>
      <c r="AT10" s="5">
        <f t="shared" si="27"/>
        <v>0.50051497234557496</v>
      </c>
      <c r="AU10" s="5">
        <f t="shared" si="102"/>
        <v>6.809953838864593</v>
      </c>
      <c r="AV10" s="5">
        <f t="shared" si="28"/>
        <v>0.7310468811210169</v>
      </c>
      <c r="AW10" s="173">
        <f t="shared" si="103"/>
        <v>6.8465509568697583E-2</v>
      </c>
      <c r="AX10" s="173">
        <f t="shared" si="29"/>
        <v>0.82074079719748727</v>
      </c>
      <c r="AY10" s="173">
        <f t="shared" si="30"/>
        <v>0.46576724521565122</v>
      </c>
      <c r="AZ10" s="173">
        <f t="shared" si="104"/>
        <v>1.7621264819029567</v>
      </c>
      <c r="BA10" s="460">
        <f t="shared" si="31"/>
        <v>0.15641092885799218</v>
      </c>
      <c r="BB10" s="5">
        <f t="shared" si="32"/>
        <v>0.18936021429633074</v>
      </c>
      <c r="BC10" s="5"/>
      <c r="BD10" s="173">
        <f t="shared" si="105"/>
        <v>0.15106897935347016</v>
      </c>
      <c r="BE10" s="173">
        <f t="shared" si="33"/>
        <v>0.55723558465915846</v>
      </c>
      <c r="BF10" s="173"/>
      <c r="BG10" s="528">
        <f t="shared" si="34"/>
        <v>4.5643673045798387E-4</v>
      </c>
      <c r="BH10" s="528">
        <f t="shared" si="35"/>
        <v>0.10089235177996558</v>
      </c>
      <c r="BI10" s="528">
        <f t="shared" si="36"/>
        <v>7.5430464136080899E-2</v>
      </c>
      <c r="BJ10" s="528">
        <f t="shared" si="37"/>
        <v>0.11003788054601223</v>
      </c>
      <c r="BK10">
        <f t="shared" si="38"/>
        <v>1.0788888042037693E-2</v>
      </c>
      <c r="BL10" s="460">
        <f t="shared" si="106"/>
        <v>86.219352178118584</v>
      </c>
      <c r="BM10" s="528">
        <f t="shared" si="39"/>
        <v>0.21153284757711205</v>
      </c>
      <c r="BN10" s="460">
        <f t="shared" si="107"/>
        <v>211.53284757711205</v>
      </c>
      <c r="BO10" s="528">
        <f t="shared" si="108"/>
        <v>3.1062499999999996E-2</v>
      </c>
      <c r="BP10" s="528"/>
      <c r="BR10" s="460">
        <f t="shared" si="109"/>
        <v>31.062499999999996</v>
      </c>
      <c r="BS10" s="528">
        <f t="shared" si="40"/>
        <v>6.8465509568697575E-4</v>
      </c>
      <c r="BT10" s="528">
        <f t="shared" si="41"/>
        <v>9.3153449043130252E-3</v>
      </c>
      <c r="BU10" s="528">
        <f t="shared" si="42"/>
        <v>1.2E-2</v>
      </c>
      <c r="BV10" s="528">
        <f t="shared" si="43"/>
        <v>2.4419535628502801E-2</v>
      </c>
      <c r="BW10" s="528">
        <f t="shared" si="44"/>
        <v>6.8395066433123944E-4</v>
      </c>
      <c r="BX10" s="460">
        <f t="shared" si="110"/>
        <v>25.103486292834038</v>
      </c>
      <c r="BY10" s="173">
        <f t="shared" si="45"/>
        <v>0.35391818604806469</v>
      </c>
      <c r="BZ10" s="5">
        <f t="shared" si="111"/>
        <v>0.8</v>
      </c>
      <c r="CA10" s="173">
        <f t="shared" si="112"/>
        <v>0.69329005268548327</v>
      </c>
      <c r="CB10" s="5">
        <f t="shared" si="113"/>
        <v>69.329005268548329</v>
      </c>
      <c r="CE10" s="562">
        <f t="shared" si="46"/>
        <v>-50</v>
      </c>
      <c r="CF10">
        <f t="shared" si="47"/>
        <v>-50</v>
      </c>
      <c r="CG10" s="173">
        <f t="shared" si="48"/>
        <v>0.10124228365658294</v>
      </c>
      <c r="CI10" s="170">
        <v>5</v>
      </c>
      <c r="CJ10" s="217">
        <f t="shared" si="114"/>
        <v>0.05</v>
      </c>
      <c r="CK10" s="217"/>
      <c r="CL10" s="217">
        <f t="shared" si="49"/>
        <v>0.8</v>
      </c>
      <c r="CM10" s="541">
        <f t="shared" si="50"/>
        <v>24</v>
      </c>
      <c r="CN10" s="172">
        <f t="shared" si="51"/>
        <v>16.399999999999999</v>
      </c>
      <c r="CO10" s="443">
        <f t="shared" si="52"/>
        <v>40.4</v>
      </c>
      <c r="CP10" s="443"/>
      <c r="CQ10" s="217">
        <f t="shared" si="53"/>
        <v>0.40594059405940591</v>
      </c>
      <c r="CR10" s="172">
        <f t="shared" si="54"/>
        <v>24.648712871287128</v>
      </c>
      <c r="CS10" s="172">
        <f t="shared" si="115"/>
        <v>0.8</v>
      </c>
      <c r="CT10" s="217">
        <f t="shared" si="55"/>
        <v>1.5405445544554455</v>
      </c>
      <c r="CU10" s="217">
        <f t="shared" si="56"/>
        <v>16</v>
      </c>
      <c r="CV10" s="217">
        <f t="shared" si="57"/>
        <v>1.5222772277227721</v>
      </c>
      <c r="CW10" s="172">
        <f t="shared" si="58"/>
        <v>1176.0081604330221</v>
      </c>
      <c r="CX10" s="172">
        <f t="shared" si="59"/>
        <v>16</v>
      </c>
      <c r="CY10" s="217">
        <f t="shared" si="60"/>
        <v>0.16422764227642278</v>
      </c>
      <c r="CZ10" s="217">
        <f t="shared" si="61"/>
        <v>8.2113821138211404E-2</v>
      </c>
      <c r="DA10" s="217">
        <f t="shared" si="62"/>
        <v>0.12016656751933377</v>
      </c>
      <c r="DB10" s="197">
        <f t="shared" si="63"/>
        <v>350</v>
      </c>
      <c r="DC10" s="443">
        <f t="shared" si="116"/>
        <v>350</v>
      </c>
      <c r="DE10" s="217">
        <f t="shared" si="64"/>
        <v>2.3196605374823194</v>
      </c>
      <c r="DF10" s="173">
        <f t="shared" si="65"/>
        <v>1.6973125884016973</v>
      </c>
      <c r="DG10" s="173">
        <f t="shared" si="66"/>
        <v>0.68900808044029282</v>
      </c>
      <c r="DH10" s="173"/>
      <c r="DI10" s="173">
        <f t="shared" si="67"/>
        <v>0.73170731707317083</v>
      </c>
      <c r="DJ10" s="545">
        <f t="shared" si="117"/>
        <v>136.66666666666666</v>
      </c>
      <c r="DK10" s="528">
        <f t="shared" si="68"/>
        <v>0.12804878048780488</v>
      </c>
      <c r="DM10" s="173">
        <f t="shared" si="69"/>
        <v>0.62488094104092384</v>
      </c>
      <c r="DN10" s="173">
        <f t="shared" si="70"/>
        <v>1</v>
      </c>
      <c r="DO10" s="173">
        <f t="shared" si="71"/>
        <v>1.078095238095238</v>
      </c>
      <c r="DQ10" s="545">
        <f t="shared" si="72"/>
        <v>50</v>
      </c>
      <c r="DR10" s="460">
        <f t="shared" si="73"/>
        <v>136.66666666666666</v>
      </c>
      <c r="DT10">
        <f t="shared" si="74"/>
        <v>50</v>
      </c>
      <c r="DU10" s="460">
        <f t="shared" si="75"/>
        <v>136.66666666666666</v>
      </c>
      <c r="DV10" s="460"/>
      <c r="DW10" s="5">
        <f t="shared" si="118"/>
        <v>7.3170731707317076</v>
      </c>
      <c r="DX10" s="5">
        <f t="shared" si="76"/>
        <v>0.5</v>
      </c>
      <c r="DY10" s="5">
        <f t="shared" si="119"/>
        <v>6.8170731707317076</v>
      </c>
      <c r="DZ10" s="5">
        <f t="shared" si="77"/>
        <v>0.73170731707317083</v>
      </c>
      <c r="EA10" s="173">
        <f t="shared" si="120"/>
        <v>6.8333333333333329E-2</v>
      </c>
      <c r="EB10" s="173">
        <f t="shared" si="78"/>
        <v>0.82</v>
      </c>
      <c r="EC10" s="173">
        <f t="shared" si="79"/>
        <v>0.46583333333333332</v>
      </c>
      <c r="ED10" s="173">
        <f t="shared" si="121"/>
        <v>1.7602862254025045</v>
      </c>
      <c r="EE10" s="460">
        <f t="shared" si="80"/>
        <v>0.15625</v>
      </c>
      <c r="EF10" s="5">
        <f t="shared" si="81"/>
        <v>0.18936314363143628</v>
      </c>
      <c r="EG10" s="5"/>
      <c r="EH10" s="173">
        <f t="shared" si="122"/>
        <v>0.15092308563562359</v>
      </c>
      <c r="EI10" s="173">
        <f t="shared" si="82"/>
        <v>0.55727511657668294</v>
      </c>
      <c r="EJ10" s="173"/>
      <c r="EK10" s="528">
        <f t="shared" si="83"/>
        <v>4.5555555555555546E-4</v>
      </c>
      <c r="EL10" s="528">
        <f t="shared" si="84"/>
        <v>0.10490533333333334</v>
      </c>
      <c r="EM10" s="528">
        <f t="shared" si="85"/>
        <v>1.5716666666666667E-2</v>
      </c>
      <c r="EN10" s="528">
        <f t="shared" si="86"/>
        <v>0.10985796933333332</v>
      </c>
      <c r="EO10">
        <f t="shared" si="87"/>
        <v>1.0800000000000001E-2</v>
      </c>
      <c r="EP10" s="460">
        <f t="shared" si="123"/>
        <v>26.516666666666669</v>
      </c>
      <c r="EQ10" s="528">
        <f t="shared" si="88"/>
        <v>0.24188470648951929</v>
      </c>
      <c r="ER10" s="460">
        <f t="shared" si="124"/>
        <v>241.88470648951929</v>
      </c>
      <c r="ES10" s="528">
        <f t="shared" si="125"/>
        <v>3.1062499999999996E-2</v>
      </c>
      <c r="ET10" s="528"/>
      <c r="EV10" s="460">
        <f t="shared" si="126"/>
        <v>31.062499999999996</v>
      </c>
      <c r="EW10" s="528">
        <f t="shared" si="89"/>
        <v>6.833333333333331E-4</v>
      </c>
      <c r="EX10" s="528">
        <f t="shared" si="90"/>
        <v>9.3166666666666675E-3</v>
      </c>
      <c r="EY10" s="528">
        <f t="shared" si="91"/>
        <v>1.0917583177058173E-2</v>
      </c>
      <c r="EZ10" s="528">
        <f t="shared" si="92"/>
        <v>2.3336252178801215E-2</v>
      </c>
      <c r="FA10" s="528">
        <f t="shared" si="93"/>
        <v>6.8333333333333332E-4</v>
      </c>
      <c r="FB10" s="460">
        <f t="shared" si="127"/>
        <v>24.019585512134551</v>
      </c>
      <c r="FC10" s="173">
        <f t="shared" si="128"/>
        <v>0.29696679200165382</v>
      </c>
      <c r="FD10" s="5">
        <f t="shared" si="129"/>
        <v>0.8</v>
      </c>
      <c r="FE10" s="173">
        <f t="shared" si="130"/>
        <v>0.72928369922687131</v>
      </c>
      <c r="FF10" s="5">
        <f t="shared" si="131"/>
        <v>72.928369922687125</v>
      </c>
      <c r="FI10" s="562">
        <f t="shared" si="94"/>
        <v>-50</v>
      </c>
      <c r="FJ10">
        <f t="shared" si="95"/>
        <v>-50</v>
      </c>
      <c r="FL10">
        <f t="shared" si="96"/>
        <v>0.1</v>
      </c>
    </row>
    <row r="11" spans="2:168">
      <c r="E11" s="170">
        <v>6</v>
      </c>
      <c r="F11" s="217">
        <f t="shared" si="97"/>
        <v>0.06</v>
      </c>
      <c r="G11" s="217"/>
      <c r="H11" s="217">
        <f t="shared" si="0"/>
        <v>0.96</v>
      </c>
      <c r="I11" s="541">
        <f t="shared" si="1"/>
        <v>23.975306760083761</v>
      </c>
      <c r="J11" s="172">
        <f t="shared" si="2"/>
        <v>16.414815943949744</v>
      </c>
      <c r="K11" s="172">
        <f t="shared" si="3"/>
        <v>40.414815943949748</v>
      </c>
      <c r="L11" s="443"/>
      <c r="M11" s="217">
        <f t="shared" si="4"/>
        <v>0.40640939167667661</v>
      </c>
      <c r="N11" s="172">
        <f t="shared" si="5"/>
        <v>24.651788284137204</v>
      </c>
      <c r="O11" s="172">
        <f t="shared" si="98"/>
        <v>0.96</v>
      </c>
      <c r="P11" s="217">
        <f t="shared" si="6"/>
        <v>1.5407367677585753</v>
      </c>
      <c r="Q11" s="217">
        <f t="shared" si="7"/>
        <v>16</v>
      </c>
      <c r="R11" s="217">
        <f t="shared" si="8"/>
        <v>1.5224671618167738</v>
      </c>
      <c r="S11" s="172">
        <f t="shared" si="9"/>
        <v>975.00564017620331</v>
      </c>
      <c r="T11" s="172">
        <f t="shared" si="10"/>
        <v>16</v>
      </c>
      <c r="U11" s="217">
        <f t="shared" si="99"/>
        <v>0.20215953271052611</v>
      </c>
      <c r="V11" s="217">
        <f t="shared" si="11"/>
        <v>0.10118387292400334</v>
      </c>
      <c r="W11" s="217">
        <f t="shared" si="12"/>
        <v>0.1477880958769123</v>
      </c>
      <c r="X11" s="197">
        <f t="shared" si="13"/>
        <v>350</v>
      </c>
      <c r="Y11" s="443">
        <f t="shared" si="14"/>
        <v>350</v>
      </c>
      <c r="AA11" s="217">
        <f t="shared" si="15"/>
        <v>2.3199345198136747</v>
      </c>
      <c r="AB11" s="173">
        <f t="shared" si="16"/>
        <v>1.6959808951147708</v>
      </c>
      <c r="AC11" s="173">
        <f t="shared" si="17"/>
        <v>0.68854880911621907</v>
      </c>
      <c r="AD11" s="173"/>
      <c r="AE11" s="173">
        <f t="shared" si="18"/>
        <v>0.7310468811210169</v>
      </c>
      <c r="AF11" s="545">
        <f t="shared" si="100"/>
        <v>164.14815943949742</v>
      </c>
      <c r="AG11" s="528">
        <f t="shared" si="19"/>
        <v>0.12793320419617796</v>
      </c>
      <c r="AI11" s="173">
        <f t="shared" si="20"/>
        <v>0.68483190729967225</v>
      </c>
      <c r="AJ11" s="173">
        <f t="shared" si="21"/>
        <v>1</v>
      </c>
      <c r="AK11" s="173">
        <f t="shared" si="22"/>
        <v>1.0937989482511414</v>
      </c>
      <c r="AM11" s="545">
        <f t="shared" si="23"/>
        <v>60</v>
      </c>
      <c r="AN11" s="460">
        <f t="shared" si="24"/>
        <v>164.14815943949742</v>
      </c>
      <c r="AP11">
        <f t="shared" si="25"/>
        <v>60</v>
      </c>
      <c r="AQ11" s="460">
        <f t="shared" si="26"/>
        <v>164.14815943949742</v>
      </c>
      <c r="AR11" s="460"/>
      <c r="AS11" s="5">
        <f t="shared" si="101"/>
        <v>6.0920573426751403</v>
      </c>
      <c r="AT11" s="5">
        <f t="shared" si="27"/>
        <v>0.50051497234557496</v>
      </c>
      <c r="AU11" s="5">
        <f t="shared" si="102"/>
        <v>5.5915423703295657</v>
      </c>
      <c r="AV11" s="5">
        <f t="shared" si="28"/>
        <v>0.7310468811210169</v>
      </c>
      <c r="AW11" s="173">
        <f t="shared" si="103"/>
        <v>8.2158611482437083E-2</v>
      </c>
      <c r="AX11" s="173">
        <f t="shared" si="29"/>
        <v>0.98488895663698461</v>
      </c>
      <c r="AY11" s="173">
        <f t="shared" si="30"/>
        <v>0.45892069425878146</v>
      </c>
      <c r="AZ11" s="173">
        <f t="shared" si="104"/>
        <v>2.1460983759464423</v>
      </c>
      <c r="BA11" s="460">
        <f t="shared" si="31"/>
        <v>0.1876931146295906</v>
      </c>
      <c r="BB11" s="5">
        <f t="shared" si="32"/>
        <v>0.1865767116569742</v>
      </c>
      <c r="BC11" s="5"/>
      <c r="BD11" s="173">
        <f t="shared" si="105"/>
        <v>0.1654877754623556</v>
      </c>
      <c r="BE11" s="173">
        <f t="shared" si="33"/>
        <v>0.55312487695443091</v>
      </c>
      <c r="BF11" s="173"/>
      <c r="BG11" s="528">
        <f t="shared" si="34"/>
        <v>5.4772407654958045E-4</v>
      </c>
      <c r="BH11" s="528">
        <f t="shared" si="35"/>
        <v>0.12107082213595867</v>
      </c>
      <c r="BI11" s="528">
        <f t="shared" si="36"/>
        <v>9.0516556963297065E-2</v>
      </c>
      <c r="BJ11" s="528">
        <f t="shared" si="37"/>
        <v>0.13204545665521464</v>
      </c>
      <c r="BK11">
        <f t="shared" si="38"/>
        <v>1.0788888042037693E-2</v>
      </c>
      <c r="BL11" s="460">
        <f t="shared" si="106"/>
        <v>101.30544500533476</v>
      </c>
      <c r="BM11" s="528">
        <f t="shared" si="39"/>
        <v>0.25384492355396976</v>
      </c>
      <c r="BN11" s="460">
        <f t="shared" si="107"/>
        <v>253.84492355396975</v>
      </c>
      <c r="BO11" s="528">
        <f t="shared" si="108"/>
        <v>3.7274999999999996E-2</v>
      </c>
      <c r="BP11" s="528"/>
      <c r="BR11" s="460">
        <f t="shared" si="109"/>
        <v>37.274999999999999</v>
      </c>
      <c r="BS11" s="528">
        <f t="shared" si="40"/>
        <v>8.2158611482437073E-4</v>
      </c>
      <c r="BT11" s="528">
        <f t="shared" si="41"/>
        <v>9.1784138851756306E-3</v>
      </c>
      <c r="BU11" s="528">
        <f t="shared" si="42"/>
        <v>1.44E-2</v>
      </c>
      <c r="BV11" s="528">
        <f t="shared" si="43"/>
        <v>2.6821457165732591E-2</v>
      </c>
      <c r="BW11" s="528">
        <f t="shared" si="44"/>
        <v>8.2074079719748709E-4</v>
      </c>
      <c r="BX11" s="460">
        <f t="shared" si="110"/>
        <v>27.642197962930076</v>
      </c>
      <c r="BY11" s="173">
        <f t="shared" si="45"/>
        <v>0.42006756652223459</v>
      </c>
      <c r="BZ11" s="5">
        <f t="shared" si="111"/>
        <v>0.96</v>
      </c>
      <c r="CA11" s="173">
        <f t="shared" si="112"/>
        <v>0.69561811558197584</v>
      </c>
      <c r="CB11" s="5">
        <f t="shared" si="113"/>
        <v>69.56181155819759</v>
      </c>
      <c r="CE11" s="562">
        <f t="shared" si="46"/>
        <v>-50</v>
      </c>
      <c r="CF11">
        <f t="shared" si="47"/>
        <v>-50</v>
      </c>
      <c r="CG11" s="173">
        <f t="shared" si="48"/>
        <v>0.1214907403878995</v>
      </c>
      <c r="CI11" s="170">
        <v>6</v>
      </c>
      <c r="CJ11" s="217">
        <f t="shared" si="114"/>
        <v>0.06</v>
      </c>
      <c r="CK11" s="217"/>
      <c r="CL11" s="217">
        <f t="shared" si="49"/>
        <v>0.96</v>
      </c>
      <c r="CM11" s="541">
        <f t="shared" si="50"/>
        <v>24</v>
      </c>
      <c r="CN11" s="172">
        <f t="shared" si="51"/>
        <v>16.399999999999999</v>
      </c>
      <c r="CO11" s="443">
        <f t="shared" si="52"/>
        <v>40.4</v>
      </c>
      <c r="CP11" s="443"/>
      <c r="CQ11" s="217">
        <f t="shared" si="53"/>
        <v>0.40594059405940591</v>
      </c>
      <c r="CR11" s="172">
        <f t="shared" si="54"/>
        <v>24.648712871287128</v>
      </c>
      <c r="CS11" s="172">
        <f t="shared" si="115"/>
        <v>0.96</v>
      </c>
      <c r="CT11" s="217">
        <f t="shared" si="55"/>
        <v>1.5405445544554455</v>
      </c>
      <c r="CU11" s="217">
        <f t="shared" si="56"/>
        <v>16</v>
      </c>
      <c r="CV11" s="217">
        <f t="shared" si="57"/>
        <v>1.5222772277227721</v>
      </c>
      <c r="CW11" s="172">
        <f t="shared" si="58"/>
        <v>976.00983193704735</v>
      </c>
      <c r="CX11" s="172">
        <f t="shared" si="59"/>
        <v>16</v>
      </c>
      <c r="CY11" s="217">
        <f t="shared" si="60"/>
        <v>0.19707317073170733</v>
      </c>
      <c r="CZ11" s="217">
        <f t="shared" si="61"/>
        <v>9.8536585365853663E-2</v>
      </c>
      <c r="DA11" s="217">
        <f t="shared" si="62"/>
        <v>0.1441998810232005</v>
      </c>
      <c r="DB11" s="197">
        <f t="shared" si="63"/>
        <v>350</v>
      </c>
      <c r="DC11" s="443">
        <f t="shared" si="116"/>
        <v>350</v>
      </c>
      <c r="DE11" s="217">
        <f t="shared" si="64"/>
        <v>2.3196605374823194</v>
      </c>
      <c r="DF11" s="173">
        <f t="shared" si="65"/>
        <v>1.6973125884016973</v>
      </c>
      <c r="DG11" s="173">
        <f t="shared" si="66"/>
        <v>0.68900808044029282</v>
      </c>
      <c r="DH11" s="173"/>
      <c r="DI11" s="173">
        <f t="shared" si="67"/>
        <v>0.73170731707317083</v>
      </c>
      <c r="DJ11" s="545">
        <f t="shared" si="117"/>
        <v>163.99999999999997</v>
      </c>
      <c r="DK11" s="528">
        <f t="shared" si="68"/>
        <v>0.12804878048780488</v>
      </c>
      <c r="DM11" s="173">
        <f t="shared" si="69"/>
        <v>0.68452277432633934</v>
      </c>
      <c r="DN11" s="173">
        <f t="shared" si="70"/>
        <v>1</v>
      </c>
      <c r="DO11" s="173">
        <f t="shared" si="71"/>
        <v>1.0937142857142856</v>
      </c>
      <c r="DQ11" s="545">
        <f t="shared" si="72"/>
        <v>60</v>
      </c>
      <c r="DR11" s="460">
        <f t="shared" si="73"/>
        <v>163.99999999999997</v>
      </c>
      <c r="DT11">
        <f t="shared" si="74"/>
        <v>60</v>
      </c>
      <c r="DU11" s="460">
        <f t="shared" si="75"/>
        <v>163.99999999999997</v>
      </c>
      <c r="DV11" s="460"/>
      <c r="DW11" s="5">
        <f t="shared" si="118"/>
        <v>6.0975609756097571</v>
      </c>
      <c r="DX11" s="5">
        <f t="shared" si="76"/>
        <v>0.5</v>
      </c>
      <c r="DY11" s="5">
        <f t="shared" si="119"/>
        <v>5.5975609756097571</v>
      </c>
      <c r="DZ11" s="5">
        <f t="shared" si="77"/>
        <v>0.73170731707317083</v>
      </c>
      <c r="EA11" s="173">
        <f t="shared" si="120"/>
        <v>8.199999999999999E-2</v>
      </c>
      <c r="EB11" s="173">
        <f t="shared" si="78"/>
        <v>0.98399999999999987</v>
      </c>
      <c r="EC11" s="173">
        <f t="shared" si="79"/>
        <v>0.45900000000000002</v>
      </c>
      <c r="ED11" s="173">
        <f t="shared" si="121"/>
        <v>2.1437908496732021</v>
      </c>
      <c r="EE11" s="460">
        <f t="shared" si="80"/>
        <v>0.1875</v>
      </c>
      <c r="EF11" s="5">
        <f t="shared" si="81"/>
        <v>0.18658536585365854</v>
      </c>
      <c r="EG11" s="5"/>
      <c r="EH11" s="173">
        <f t="shared" si="122"/>
        <v>0.16532795690182991</v>
      </c>
      <c r="EI11" s="173">
        <f t="shared" si="82"/>
        <v>0.55317266743757321</v>
      </c>
      <c r="EJ11" s="173"/>
      <c r="EK11" s="528">
        <f t="shared" si="83"/>
        <v>5.4666666666666665E-4</v>
      </c>
      <c r="EL11" s="528">
        <f t="shared" si="84"/>
        <v>0.12588639999999998</v>
      </c>
      <c r="EM11" s="528">
        <f t="shared" si="85"/>
        <v>1.8859999999999998E-2</v>
      </c>
      <c r="EN11" s="528">
        <f t="shared" si="86"/>
        <v>0.13182956319999997</v>
      </c>
      <c r="EO11">
        <f t="shared" si="87"/>
        <v>1.0800000000000001E-2</v>
      </c>
      <c r="EP11" s="460">
        <f t="shared" si="123"/>
        <v>29.66</v>
      </c>
      <c r="EQ11" s="528">
        <f t="shared" si="88"/>
        <v>0.28810765159331675</v>
      </c>
      <c r="ER11" s="460">
        <f t="shared" si="124"/>
        <v>288.10765159331675</v>
      </c>
      <c r="ES11" s="528">
        <f t="shared" si="125"/>
        <v>3.7274999999999996E-2</v>
      </c>
      <c r="ET11" s="528"/>
      <c r="EV11" s="460">
        <f t="shared" si="126"/>
        <v>37.274999999999999</v>
      </c>
      <c r="EW11" s="528">
        <f t="shared" si="89"/>
        <v>8.1999999999999987E-4</v>
      </c>
      <c r="EX11" s="528">
        <f t="shared" si="90"/>
        <v>9.1799999999999972E-3</v>
      </c>
      <c r="EY11" s="528">
        <f t="shared" si="91"/>
        <v>1.7221842948999349E-2</v>
      </c>
      <c r="EZ11" s="528">
        <f t="shared" si="92"/>
        <v>2.9645559396516561E-2</v>
      </c>
      <c r="FA11" s="528">
        <f t="shared" si="93"/>
        <v>8.1999999999999987E-4</v>
      </c>
      <c r="FB11" s="460">
        <f t="shared" si="127"/>
        <v>30.465559396516561</v>
      </c>
      <c r="FC11" s="173">
        <f t="shared" si="128"/>
        <v>0.35584821098983332</v>
      </c>
      <c r="FD11" s="5">
        <f t="shared" si="129"/>
        <v>0.96</v>
      </c>
      <c r="FE11" s="173">
        <f t="shared" si="130"/>
        <v>0.7295674318528349</v>
      </c>
      <c r="FF11" s="5">
        <f t="shared" si="131"/>
        <v>72.956743185283486</v>
      </c>
      <c r="FI11" s="562">
        <f t="shared" si="94"/>
        <v>-50</v>
      </c>
      <c r="FJ11">
        <f t="shared" si="95"/>
        <v>-50</v>
      </c>
      <c r="FL11">
        <f t="shared" si="96"/>
        <v>0.12</v>
      </c>
    </row>
    <row r="12" spans="2:168">
      <c r="E12" s="170">
        <v>7</v>
      </c>
      <c r="F12" s="217">
        <f t="shared" si="97"/>
        <v>7.0000000000000007E-2</v>
      </c>
      <c r="G12" s="217"/>
      <c r="H12" s="217">
        <f t="shared" si="0"/>
        <v>1.1200000000000001</v>
      </c>
      <c r="I12" s="541">
        <f t="shared" si="1"/>
        <v>23.975306760083761</v>
      </c>
      <c r="J12" s="172">
        <f t="shared" si="2"/>
        <v>16.414815943949744</v>
      </c>
      <c r="K12" s="172">
        <f t="shared" si="3"/>
        <v>40.414815943949748</v>
      </c>
      <c r="L12" s="443"/>
      <c r="M12" s="217">
        <f t="shared" si="4"/>
        <v>0.40640939167667661</v>
      </c>
      <c r="N12" s="172">
        <f t="shared" si="5"/>
        <v>24.651788284137204</v>
      </c>
      <c r="O12" s="172">
        <f t="shared" si="98"/>
        <v>1.1200000000000001</v>
      </c>
      <c r="P12" s="217">
        <f t="shared" si="6"/>
        <v>1.5407367677585753</v>
      </c>
      <c r="Q12" s="217">
        <f t="shared" si="7"/>
        <v>16</v>
      </c>
      <c r="R12" s="217">
        <f t="shared" si="8"/>
        <v>1.5224671618167738</v>
      </c>
      <c r="S12" s="172">
        <f t="shared" si="9"/>
        <v>832.29716589648024</v>
      </c>
      <c r="T12" s="172">
        <f t="shared" si="10"/>
        <v>16</v>
      </c>
      <c r="U12" s="217">
        <f t="shared" si="99"/>
        <v>0.2358527881622805</v>
      </c>
      <c r="V12" s="217">
        <f t="shared" si="11"/>
        <v>0.11804785174467058</v>
      </c>
      <c r="W12" s="217">
        <f t="shared" si="12"/>
        <v>0.17241944518973104</v>
      </c>
      <c r="X12" s="197">
        <f t="shared" si="13"/>
        <v>350</v>
      </c>
      <c r="Y12" s="443">
        <f t="shared" si="14"/>
        <v>350</v>
      </c>
      <c r="AA12" s="217">
        <f t="shared" si="15"/>
        <v>2.3199345198136747</v>
      </c>
      <c r="AB12" s="173">
        <f t="shared" si="16"/>
        <v>1.6959808951147708</v>
      </c>
      <c r="AC12" s="173">
        <f t="shared" si="17"/>
        <v>0.68854880911621907</v>
      </c>
      <c r="AD12" s="173"/>
      <c r="AE12" s="173">
        <f t="shared" si="18"/>
        <v>0.7310468811210169</v>
      </c>
      <c r="AF12" s="545">
        <f t="shared" si="100"/>
        <v>191.50618601274704</v>
      </c>
      <c r="AG12" s="528">
        <f t="shared" si="19"/>
        <v>0.12793320419617796</v>
      </c>
      <c r="AI12" s="173">
        <f t="shared" si="20"/>
        <v>0.73970300220087759</v>
      </c>
      <c r="AJ12" s="173">
        <f t="shared" si="21"/>
        <v>1</v>
      </c>
      <c r="AK12" s="173">
        <f t="shared" si="22"/>
        <v>1.1094321062929984</v>
      </c>
      <c r="AM12" s="545">
        <f t="shared" si="23"/>
        <v>70</v>
      </c>
      <c r="AN12" s="460">
        <f t="shared" si="24"/>
        <v>191.50618601274704</v>
      </c>
      <c r="AP12">
        <f t="shared" si="25"/>
        <v>70</v>
      </c>
      <c r="AQ12" s="460">
        <f t="shared" si="26"/>
        <v>191.50618601274704</v>
      </c>
      <c r="AR12" s="460"/>
      <c r="AS12" s="5">
        <f t="shared" si="101"/>
        <v>5.2217634365786907</v>
      </c>
      <c r="AT12" s="5">
        <f t="shared" si="27"/>
        <v>0.50051497234557496</v>
      </c>
      <c r="AU12" s="5">
        <f t="shared" si="102"/>
        <v>4.7212484642331161</v>
      </c>
      <c r="AV12" s="5">
        <f t="shared" si="28"/>
        <v>0.7310468811210169</v>
      </c>
      <c r="AW12" s="173">
        <f t="shared" si="103"/>
        <v>9.5851713396176624E-2</v>
      </c>
      <c r="AX12" s="173">
        <f t="shared" si="29"/>
        <v>1.1490371160764823</v>
      </c>
      <c r="AY12" s="173">
        <f t="shared" si="30"/>
        <v>0.4520741433019117</v>
      </c>
      <c r="AZ12" s="173">
        <f t="shared" si="104"/>
        <v>2.5417005885008406</v>
      </c>
      <c r="BA12" s="460">
        <f t="shared" si="31"/>
        <v>0.21897530040118907</v>
      </c>
      <c r="BB12" s="5">
        <f t="shared" si="32"/>
        <v>0.18379320901761759</v>
      </c>
      <c r="BC12" s="5"/>
      <c r="BD12" s="173">
        <f t="shared" si="105"/>
        <v>0.17874722692131165</v>
      </c>
      <c r="BE12" s="173">
        <f t="shared" si="33"/>
        <v>0.54898338973166982</v>
      </c>
      <c r="BF12" s="173"/>
      <c r="BG12" s="528">
        <f t="shared" si="34"/>
        <v>6.3901142264117768E-4</v>
      </c>
      <c r="BH12" s="528">
        <f t="shared" si="35"/>
        <v>0.14124929249195181</v>
      </c>
      <c r="BI12" s="528">
        <f t="shared" si="36"/>
        <v>0.10560264979051326</v>
      </c>
      <c r="BJ12" s="528">
        <f t="shared" si="37"/>
        <v>0.15405303276441709</v>
      </c>
      <c r="BK12">
        <f t="shared" si="38"/>
        <v>1.0788888042037693E-2</v>
      </c>
      <c r="BL12" s="460">
        <f t="shared" si="106"/>
        <v>116.39153783255095</v>
      </c>
      <c r="BM12" s="528">
        <f t="shared" si="39"/>
        <v>0.29615883529669534</v>
      </c>
      <c r="BN12" s="460">
        <f t="shared" si="107"/>
        <v>296.15883529669537</v>
      </c>
      <c r="BO12" s="528">
        <f t="shared" si="108"/>
        <v>4.3487499999999998E-2</v>
      </c>
      <c r="BP12" s="528"/>
      <c r="BR12" s="460">
        <f t="shared" si="109"/>
        <v>43.487499999999997</v>
      </c>
      <c r="BS12" s="528">
        <f t="shared" si="40"/>
        <v>9.5851713396176647E-4</v>
      </c>
      <c r="BT12" s="528">
        <f t="shared" si="41"/>
        <v>9.0414828660382342E-3</v>
      </c>
      <c r="BU12" s="528">
        <f t="shared" si="42"/>
        <v>1.6800000000000002E-2</v>
      </c>
      <c r="BV12" s="528">
        <f t="shared" si="43"/>
        <v>2.9223378702962374E-2</v>
      </c>
      <c r="BW12" s="528">
        <f t="shared" si="44"/>
        <v>9.5753093006373507E-4</v>
      </c>
      <c r="BX12" s="460">
        <f t="shared" si="110"/>
        <v>30.180909633026111</v>
      </c>
      <c r="BY12" s="173">
        <f t="shared" si="45"/>
        <v>0.48621878276227243</v>
      </c>
      <c r="BZ12" s="5">
        <f t="shared" si="111"/>
        <v>1.1200000000000001</v>
      </c>
      <c r="CA12" s="173">
        <f t="shared" si="112"/>
        <v>0.69728981631873066</v>
      </c>
      <c r="CB12" s="5">
        <f t="shared" si="113"/>
        <v>69.728981631873069</v>
      </c>
      <c r="CE12" s="562">
        <f t="shared" si="46"/>
        <v>-50</v>
      </c>
      <c r="CF12">
        <f t="shared" si="47"/>
        <v>-50</v>
      </c>
      <c r="CG12" s="173">
        <f t="shared" si="48"/>
        <v>0.14173919711921612</v>
      </c>
      <c r="CI12" s="170">
        <v>7</v>
      </c>
      <c r="CJ12" s="217">
        <f t="shared" si="114"/>
        <v>7.0000000000000007E-2</v>
      </c>
      <c r="CK12" s="217"/>
      <c r="CL12" s="217">
        <f t="shared" si="49"/>
        <v>1.1200000000000001</v>
      </c>
      <c r="CM12" s="541">
        <f t="shared" si="50"/>
        <v>24</v>
      </c>
      <c r="CN12" s="172">
        <f t="shared" si="51"/>
        <v>16.399999999999999</v>
      </c>
      <c r="CO12" s="443">
        <f t="shared" si="52"/>
        <v>40.4</v>
      </c>
      <c r="CP12" s="443"/>
      <c r="CQ12" s="217">
        <f t="shared" si="53"/>
        <v>0.40594059405940591</v>
      </c>
      <c r="CR12" s="172">
        <f t="shared" si="54"/>
        <v>24.648712871287128</v>
      </c>
      <c r="CS12" s="172">
        <f t="shared" si="115"/>
        <v>1.1200000000000001</v>
      </c>
      <c r="CT12" s="217">
        <f t="shared" si="55"/>
        <v>1.5405445544554455</v>
      </c>
      <c r="CU12" s="217">
        <f t="shared" si="56"/>
        <v>16</v>
      </c>
      <c r="CV12" s="217">
        <f t="shared" si="57"/>
        <v>1.5222772277227721</v>
      </c>
      <c r="CW12" s="172">
        <f t="shared" si="58"/>
        <v>833.15437408799994</v>
      </c>
      <c r="CX12" s="172">
        <f t="shared" si="59"/>
        <v>16</v>
      </c>
      <c r="CY12" s="217">
        <f t="shared" si="60"/>
        <v>0.2299186991869919</v>
      </c>
      <c r="CZ12" s="217">
        <f t="shared" si="61"/>
        <v>0.11495934959349595</v>
      </c>
      <c r="DA12" s="217">
        <f t="shared" si="62"/>
        <v>0.16823319452706725</v>
      </c>
      <c r="DB12" s="197">
        <f t="shared" si="63"/>
        <v>350</v>
      </c>
      <c r="DC12" s="443">
        <f t="shared" si="116"/>
        <v>350</v>
      </c>
      <c r="DE12" s="217">
        <f t="shared" si="64"/>
        <v>2.3196605374823194</v>
      </c>
      <c r="DF12" s="173">
        <f t="shared" si="65"/>
        <v>1.6973125884016973</v>
      </c>
      <c r="DG12" s="173">
        <f t="shared" si="66"/>
        <v>0.68900808044029282</v>
      </c>
      <c r="DH12" s="173"/>
      <c r="DI12" s="173">
        <f t="shared" si="67"/>
        <v>0.73170731707317083</v>
      </c>
      <c r="DJ12" s="545">
        <f t="shared" si="117"/>
        <v>191.33333333333331</v>
      </c>
      <c r="DK12" s="528">
        <f t="shared" si="68"/>
        <v>0.12804878048780488</v>
      </c>
      <c r="DM12" s="173">
        <f t="shared" si="69"/>
        <v>0.73936910042729453</v>
      </c>
      <c r="DN12" s="173">
        <f t="shared" si="70"/>
        <v>1</v>
      </c>
      <c r="DO12" s="173">
        <f t="shared" si="71"/>
        <v>1.1093333333333333</v>
      </c>
      <c r="DQ12" s="545">
        <f t="shared" si="72"/>
        <v>70</v>
      </c>
      <c r="DR12" s="460">
        <f t="shared" si="73"/>
        <v>191.33333333333331</v>
      </c>
      <c r="DT12">
        <f t="shared" si="74"/>
        <v>70</v>
      </c>
      <c r="DU12" s="460">
        <f t="shared" si="75"/>
        <v>191.33333333333331</v>
      </c>
      <c r="DV12" s="460"/>
      <c r="DW12" s="5">
        <f t="shared" si="118"/>
        <v>5.2264808362369344</v>
      </c>
      <c r="DX12" s="5">
        <f t="shared" si="76"/>
        <v>0.5</v>
      </c>
      <c r="DY12" s="5">
        <f t="shared" si="119"/>
        <v>4.7264808362369344</v>
      </c>
      <c r="DZ12" s="5">
        <f t="shared" si="77"/>
        <v>0.73170731707317083</v>
      </c>
      <c r="EA12" s="173">
        <f t="shared" si="120"/>
        <v>9.566666666666665E-2</v>
      </c>
      <c r="EB12" s="173">
        <f t="shared" si="78"/>
        <v>1.1479999999999999</v>
      </c>
      <c r="EC12" s="173">
        <f t="shared" si="79"/>
        <v>0.45216666666666666</v>
      </c>
      <c r="ED12" s="173">
        <f t="shared" si="121"/>
        <v>2.5388868411352745</v>
      </c>
      <c r="EE12" s="460">
        <f t="shared" si="80"/>
        <v>0.21875000000000003</v>
      </c>
      <c r="EF12" s="5">
        <f t="shared" si="81"/>
        <v>0.18380758807588077</v>
      </c>
      <c r="EG12" s="5"/>
      <c r="EH12" s="173">
        <f t="shared" si="122"/>
        <v>0.17857460314638496</v>
      </c>
      <c r="EI12" s="173">
        <f t="shared" si="82"/>
        <v>0.54903956546358701</v>
      </c>
      <c r="EJ12" s="173"/>
      <c r="EK12" s="528">
        <f t="shared" si="83"/>
        <v>6.3777777777777769E-4</v>
      </c>
      <c r="EL12" s="528">
        <f t="shared" si="84"/>
        <v>0.14686746666666667</v>
      </c>
      <c r="EM12" s="528">
        <f t="shared" si="85"/>
        <v>2.2003333333333333E-2</v>
      </c>
      <c r="EN12" s="528">
        <f t="shared" si="86"/>
        <v>0.15380115706666667</v>
      </c>
      <c r="EO12">
        <f t="shared" si="87"/>
        <v>1.0800000000000001E-2</v>
      </c>
      <c r="EP12" s="460">
        <f t="shared" si="123"/>
        <v>32.803333333333335</v>
      </c>
      <c r="EQ12" s="528">
        <f t="shared" si="88"/>
        <v>0.3343325982690557</v>
      </c>
      <c r="ER12" s="460">
        <f t="shared" si="124"/>
        <v>334.33259826905572</v>
      </c>
      <c r="ES12" s="528">
        <f t="shared" si="125"/>
        <v>4.3487499999999998E-2</v>
      </c>
      <c r="ET12" s="528"/>
      <c r="EV12" s="460">
        <f t="shared" si="126"/>
        <v>43.487499999999997</v>
      </c>
      <c r="EW12" s="528">
        <f t="shared" si="89"/>
        <v>9.5666666666666643E-4</v>
      </c>
      <c r="EX12" s="528">
        <f t="shared" si="90"/>
        <v>9.0433333333333338E-3</v>
      </c>
      <c r="EY12" s="528">
        <f t="shared" si="91"/>
        <v>2.5319002900728107E-2</v>
      </c>
      <c r="EZ12" s="528">
        <f t="shared" si="92"/>
        <v>3.7749202262538133E-2</v>
      </c>
      <c r="FA12" s="528">
        <f t="shared" si="93"/>
        <v>9.5666666666666665E-4</v>
      </c>
      <c r="FB12" s="460">
        <f t="shared" si="127"/>
        <v>38.705868929204797</v>
      </c>
      <c r="FC12" s="173">
        <f t="shared" si="128"/>
        <v>0.41652596719826052</v>
      </c>
      <c r="FD12" s="5">
        <f t="shared" si="129"/>
        <v>1.1200000000000001</v>
      </c>
      <c r="FE12" s="173">
        <f t="shared" si="130"/>
        <v>0.7289170661021992</v>
      </c>
      <c r="FF12" s="5">
        <f t="shared" si="131"/>
        <v>72.891706610219913</v>
      </c>
      <c r="FI12" s="562">
        <f t="shared" si="94"/>
        <v>-50</v>
      </c>
      <c r="FJ12">
        <f t="shared" si="95"/>
        <v>-50</v>
      </c>
      <c r="FL12">
        <f t="shared" si="96"/>
        <v>0.14000000000000001</v>
      </c>
    </row>
    <row r="13" spans="2:168" s="76" customFormat="1">
      <c r="E13" s="189">
        <v>8</v>
      </c>
      <c r="F13" s="217">
        <f t="shared" si="97"/>
        <v>0.08</v>
      </c>
      <c r="G13" s="217"/>
      <c r="H13" s="217">
        <f t="shared" si="0"/>
        <v>1.28</v>
      </c>
      <c r="I13" s="541">
        <f t="shared" si="1"/>
        <v>23.975306760083761</v>
      </c>
      <c r="J13" s="172">
        <f t="shared" si="2"/>
        <v>16.414815943949744</v>
      </c>
      <c r="K13" s="172">
        <f t="shared" si="3"/>
        <v>40.414815943949748</v>
      </c>
      <c r="L13" s="535"/>
      <c r="M13" s="217">
        <f t="shared" si="4"/>
        <v>0.40640939167667661</v>
      </c>
      <c r="N13" s="172">
        <f t="shared" si="5"/>
        <v>24.651788284137204</v>
      </c>
      <c r="O13" s="172">
        <f t="shared" si="98"/>
        <v>1.28</v>
      </c>
      <c r="P13" s="329">
        <f t="shared" si="6"/>
        <v>1.5407367677585753</v>
      </c>
      <c r="Q13" s="217">
        <f t="shared" si="7"/>
        <v>16</v>
      </c>
      <c r="R13" s="217">
        <f t="shared" si="8"/>
        <v>1.5224671618167738</v>
      </c>
      <c r="S13" s="172">
        <f t="shared" si="9"/>
        <v>725.26624510338615</v>
      </c>
      <c r="T13" s="172">
        <f t="shared" si="10"/>
        <v>16</v>
      </c>
      <c r="U13" s="217">
        <f t="shared" si="99"/>
        <v>0.26954604361403484</v>
      </c>
      <c r="V13" s="217">
        <f t="shared" si="11"/>
        <v>0.13491183056533779</v>
      </c>
      <c r="W13" s="217">
        <f t="shared" si="12"/>
        <v>0.19705079450254973</v>
      </c>
      <c r="X13" s="537">
        <f t="shared" si="13"/>
        <v>350</v>
      </c>
      <c r="Y13" s="443">
        <f t="shared" si="14"/>
        <v>350</v>
      </c>
      <c r="AA13" s="329">
        <f t="shared" si="15"/>
        <v>2.3199345198136747</v>
      </c>
      <c r="AB13" s="173">
        <f t="shared" si="16"/>
        <v>1.6959808951147708</v>
      </c>
      <c r="AC13" s="538">
        <f t="shared" si="17"/>
        <v>0.68854880911621907</v>
      </c>
      <c r="AD13" s="538"/>
      <c r="AE13" s="173">
        <f t="shared" si="18"/>
        <v>0.7310468811210169</v>
      </c>
      <c r="AF13" s="545">
        <f t="shared" si="100"/>
        <v>218.86421258599657</v>
      </c>
      <c r="AG13" s="528">
        <f t="shared" si="19"/>
        <v>0.12793320419617796</v>
      </c>
      <c r="AH13"/>
      <c r="AI13" s="173">
        <f t="shared" si="20"/>
        <v>0.79077577205822125</v>
      </c>
      <c r="AJ13" s="173">
        <f t="shared" si="21"/>
        <v>1</v>
      </c>
      <c r="AK13" s="173">
        <f t="shared" si="22"/>
        <v>1.1250652643348551</v>
      </c>
      <c r="AM13" s="545">
        <f t="shared" si="23"/>
        <v>80</v>
      </c>
      <c r="AN13" s="460">
        <f t="shared" si="24"/>
        <v>218.86421258599657</v>
      </c>
      <c r="AP13">
        <f t="shared" si="25"/>
        <v>80</v>
      </c>
      <c r="AQ13" s="460">
        <f t="shared" si="26"/>
        <v>218.86421258599657</v>
      </c>
      <c r="AR13" s="460"/>
      <c r="AS13" s="5">
        <f t="shared" si="101"/>
        <v>4.5690430070063552</v>
      </c>
      <c r="AT13" s="5">
        <f t="shared" si="27"/>
        <v>0.50051497234557496</v>
      </c>
      <c r="AU13" s="5">
        <f t="shared" si="102"/>
        <v>4.0685280346607806</v>
      </c>
      <c r="AV13" s="5">
        <f t="shared" si="28"/>
        <v>0.7310468811210169</v>
      </c>
      <c r="AW13" s="173">
        <f t="shared" si="103"/>
        <v>0.10954481530991612</v>
      </c>
      <c r="AX13" s="173">
        <f t="shared" si="29"/>
        <v>1.3131852755159796</v>
      </c>
      <c r="AY13" s="173">
        <f t="shared" si="30"/>
        <v>0.44522759234504194</v>
      </c>
      <c r="AZ13" s="173">
        <f t="shared" si="104"/>
        <v>2.9494696602233246</v>
      </c>
      <c r="BA13" s="460">
        <f t="shared" si="31"/>
        <v>0.25025748617278748</v>
      </c>
      <c r="BB13" s="5">
        <f t="shared" si="32"/>
        <v>0.18100970637826105</v>
      </c>
      <c r="BC13" s="5"/>
      <c r="BD13" s="173">
        <f t="shared" si="105"/>
        <v>0.19108882342156672</v>
      </c>
      <c r="BE13" s="173">
        <f t="shared" si="33"/>
        <v>0.54481042106102806</v>
      </c>
      <c r="BF13" s="173"/>
      <c r="BG13" s="528">
        <f t="shared" si="34"/>
        <v>7.3029876873277415E-4</v>
      </c>
      <c r="BH13" s="528">
        <f t="shared" si="35"/>
        <v>0.16142776284794488</v>
      </c>
      <c r="BI13" s="528">
        <f t="shared" si="36"/>
        <v>0.12068874261772942</v>
      </c>
      <c r="BJ13" s="528">
        <f t="shared" si="37"/>
        <v>0.17606060887361952</v>
      </c>
      <c r="BK13">
        <f t="shared" si="38"/>
        <v>1.0788888042037693E-2</v>
      </c>
      <c r="BL13" s="460">
        <f t="shared" si="106"/>
        <v>131.4776306597671</v>
      </c>
      <c r="BM13" s="528">
        <f t="shared" si="39"/>
        <v>0.33847458292476201</v>
      </c>
      <c r="BN13" s="460">
        <f t="shared" si="107"/>
        <v>338.47458292476199</v>
      </c>
      <c r="BO13" s="528">
        <f t="shared" si="108"/>
        <v>4.9699999999999994E-2</v>
      </c>
      <c r="BP13" s="528"/>
      <c r="BR13" s="460">
        <f t="shared" si="109"/>
        <v>49.699999999999996</v>
      </c>
      <c r="BS13" s="528">
        <f t="shared" si="40"/>
        <v>1.0954481530991611E-3</v>
      </c>
      <c r="BT13" s="528">
        <f t="shared" si="41"/>
        <v>8.9045518469008413E-3</v>
      </c>
      <c r="BU13" s="528">
        <f t="shared" si="42"/>
        <v>1.9199999999999998E-2</v>
      </c>
      <c r="BV13" s="528">
        <f t="shared" si="43"/>
        <v>3.162530024019216E-2</v>
      </c>
      <c r="BW13" s="528">
        <f t="shared" si="44"/>
        <v>1.0943210629299829E-3</v>
      </c>
      <c r="BX13" s="460">
        <f t="shared" si="110"/>
        <v>32.719621303122146</v>
      </c>
      <c r="BY13" s="173">
        <f t="shared" si="45"/>
        <v>0.55237183488765129</v>
      </c>
      <c r="BZ13" s="5">
        <f t="shared" si="111"/>
        <v>1.28</v>
      </c>
      <c r="CA13" s="173">
        <f t="shared" si="112"/>
        <v>0.69854817435484162</v>
      </c>
      <c r="CB13" s="5">
        <f t="shared" si="113"/>
        <v>69.854817435484165</v>
      </c>
      <c r="CE13" s="562">
        <f t="shared" si="46"/>
        <v>-50</v>
      </c>
      <c r="CF13">
        <f t="shared" si="47"/>
        <v>-50</v>
      </c>
      <c r="CG13" s="173">
        <f t="shared" si="48"/>
        <v>0.16198765385053271</v>
      </c>
      <c r="CH13"/>
      <c r="CI13" s="189">
        <v>8</v>
      </c>
      <c r="CJ13" s="217">
        <f t="shared" si="114"/>
        <v>0.08</v>
      </c>
      <c r="CK13" s="217"/>
      <c r="CL13" s="217">
        <f t="shared" si="49"/>
        <v>1.28</v>
      </c>
      <c r="CM13" s="541">
        <f t="shared" si="50"/>
        <v>24</v>
      </c>
      <c r="CN13" s="172">
        <f t="shared" si="51"/>
        <v>16.399999999999999</v>
      </c>
      <c r="CO13" s="535">
        <f t="shared" si="52"/>
        <v>40.4</v>
      </c>
      <c r="CP13" s="535"/>
      <c r="CQ13" s="329">
        <f t="shared" si="53"/>
        <v>0.40594059405940591</v>
      </c>
      <c r="CR13" s="172">
        <f t="shared" si="54"/>
        <v>24.648712871287128</v>
      </c>
      <c r="CS13" s="172">
        <f t="shared" si="115"/>
        <v>1.28</v>
      </c>
      <c r="CT13" s="329">
        <f t="shared" si="55"/>
        <v>1.5405445544554455</v>
      </c>
      <c r="CU13" s="217">
        <f t="shared" si="56"/>
        <v>16</v>
      </c>
      <c r="CV13" s="217">
        <f t="shared" si="57"/>
        <v>1.5222772277227721</v>
      </c>
      <c r="CW13" s="172">
        <f t="shared" si="58"/>
        <v>726.01321561859493</v>
      </c>
      <c r="CX13" s="172">
        <f t="shared" si="59"/>
        <v>16</v>
      </c>
      <c r="CY13" s="217">
        <f t="shared" si="60"/>
        <v>0.26276422764227642</v>
      </c>
      <c r="CZ13" s="329">
        <f t="shared" si="61"/>
        <v>0.13138211382113821</v>
      </c>
      <c r="DA13" s="217">
        <f t="shared" si="62"/>
        <v>0.19226650803093398</v>
      </c>
      <c r="DB13" s="537">
        <f t="shared" si="63"/>
        <v>350</v>
      </c>
      <c r="DC13" s="535">
        <f t="shared" si="116"/>
        <v>350</v>
      </c>
      <c r="DE13" s="329">
        <f t="shared" si="64"/>
        <v>2.3196605374823194</v>
      </c>
      <c r="DF13" s="173">
        <f t="shared" si="65"/>
        <v>1.6973125884016973</v>
      </c>
      <c r="DG13" s="538">
        <f t="shared" si="66"/>
        <v>0.68900808044029282</v>
      </c>
      <c r="DH13" s="538"/>
      <c r="DI13" s="173">
        <f t="shared" si="67"/>
        <v>0.73170731707317083</v>
      </c>
      <c r="DJ13" s="545">
        <f t="shared" si="117"/>
        <v>218.66666666666666</v>
      </c>
      <c r="DK13" s="528">
        <f t="shared" si="68"/>
        <v>0.12804878048780488</v>
      </c>
      <c r="DL13"/>
      <c r="DM13" s="173">
        <f t="shared" si="69"/>
        <v>0.79041881604748299</v>
      </c>
      <c r="DN13" s="173">
        <f t="shared" si="70"/>
        <v>1</v>
      </c>
      <c r="DO13" s="173">
        <f t="shared" si="71"/>
        <v>1.1249523809523809</v>
      </c>
      <c r="DQ13" s="545">
        <f t="shared" si="72"/>
        <v>80</v>
      </c>
      <c r="DR13" s="460">
        <f t="shared" si="73"/>
        <v>218.66666666666666</v>
      </c>
      <c r="DT13">
        <f t="shared" si="74"/>
        <v>80</v>
      </c>
      <c r="DU13" s="460">
        <f t="shared" si="75"/>
        <v>218.66666666666666</v>
      </c>
      <c r="DV13" s="460"/>
      <c r="DW13" s="5">
        <f t="shared" si="118"/>
        <v>4.573170731707318</v>
      </c>
      <c r="DX13" s="5">
        <f t="shared" si="76"/>
        <v>0.5</v>
      </c>
      <c r="DY13" s="5">
        <f t="shared" si="119"/>
        <v>4.073170731707318</v>
      </c>
      <c r="DZ13" s="5">
        <f t="shared" si="77"/>
        <v>0.73170731707317083</v>
      </c>
      <c r="EA13" s="173">
        <f t="shared" si="120"/>
        <v>0.10933333333333331</v>
      </c>
      <c r="EB13" s="173">
        <f t="shared" si="78"/>
        <v>1.3120000000000001</v>
      </c>
      <c r="EC13" s="173">
        <f t="shared" si="79"/>
        <v>0.44533333333333336</v>
      </c>
      <c r="ED13" s="173">
        <f t="shared" si="121"/>
        <v>2.9461077844311379</v>
      </c>
      <c r="EE13" s="460">
        <f t="shared" si="80"/>
        <v>0.25</v>
      </c>
      <c r="EF13" s="5">
        <f t="shared" si="81"/>
        <v>0.18102981029810303</v>
      </c>
      <c r="EG13" s="5"/>
      <c r="EH13" s="173">
        <f t="shared" si="122"/>
        <v>0.19090428084368469</v>
      </c>
      <c r="EI13" s="173">
        <f t="shared" si="82"/>
        <v>0.54487511311206804</v>
      </c>
      <c r="EJ13" s="173"/>
      <c r="EK13" s="528">
        <f t="shared" si="83"/>
        <v>7.2888888888888884E-4</v>
      </c>
      <c r="EL13" s="528">
        <f t="shared" si="84"/>
        <v>0.16784853333333336</v>
      </c>
      <c r="EM13" s="528">
        <f t="shared" si="85"/>
        <v>2.5146666666666668E-2</v>
      </c>
      <c r="EN13" s="528">
        <f t="shared" si="86"/>
        <v>0.17577275093333333</v>
      </c>
      <c r="EO13">
        <f t="shared" si="87"/>
        <v>1.0800000000000001E-2</v>
      </c>
      <c r="EP13" s="460">
        <f t="shared" si="123"/>
        <v>35.946666666666665</v>
      </c>
      <c r="EQ13" s="528">
        <f t="shared" si="88"/>
        <v>0.38055954664674868</v>
      </c>
      <c r="ER13" s="460">
        <f t="shared" si="124"/>
        <v>380.55954664674869</v>
      </c>
      <c r="ES13" s="528">
        <f t="shared" si="125"/>
        <v>4.9699999999999994E-2</v>
      </c>
      <c r="ET13" s="528"/>
      <c r="EV13" s="460">
        <f t="shared" si="126"/>
        <v>49.699999999999996</v>
      </c>
      <c r="EW13" s="528">
        <f t="shared" si="89"/>
        <v>1.0933333333333331E-3</v>
      </c>
      <c r="EX13" s="528">
        <f t="shared" si="90"/>
        <v>8.9066666666666669E-3</v>
      </c>
      <c r="EY13" s="528">
        <f t="shared" si="91"/>
        <v>3.5353015689053365E-2</v>
      </c>
      <c r="EZ13" s="528">
        <f t="shared" si="92"/>
        <v>4.7791248688003767E-2</v>
      </c>
      <c r="FA13" s="528">
        <f t="shared" si="93"/>
        <v>1.0933333333333333E-3</v>
      </c>
      <c r="FB13" s="460">
        <f t="shared" si="127"/>
        <v>48.884582021337103</v>
      </c>
      <c r="FC13" s="173">
        <f t="shared" si="128"/>
        <v>0.47914412866808581</v>
      </c>
      <c r="FD13" s="5">
        <f t="shared" si="129"/>
        <v>1.28</v>
      </c>
      <c r="FE13" s="173">
        <f t="shared" si="130"/>
        <v>0.72762656518038471</v>
      </c>
      <c r="FF13" s="5">
        <f t="shared" si="131"/>
        <v>72.762656518038469</v>
      </c>
      <c r="FI13" s="562">
        <f t="shared" si="94"/>
        <v>-50</v>
      </c>
      <c r="FJ13">
        <f t="shared" si="95"/>
        <v>-50</v>
      </c>
      <c r="FL13">
        <f t="shared" si="96"/>
        <v>0.16000000000000003</v>
      </c>
    </row>
    <row r="14" spans="2:168">
      <c r="E14" s="170">
        <v>9</v>
      </c>
      <c r="F14" s="217">
        <f t="shared" si="97"/>
        <v>0.09</v>
      </c>
      <c r="G14" s="217"/>
      <c r="H14" s="217">
        <f t="shared" si="0"/>
        <v>1.44</v>
      </c>
      <c r="I14" s="541">
        <f t="shared" si="1"/>
        <v>23.975306760083761</v>
      </c>
      <c r="J14" s="172">
        <f t="shared" si="2"/>
        <v>16.414815943949744</v>
      </c>
      <c r="K14" s="172">
        <f t="shared" si="3"/>
        <v>40.414815943949748</v>
      </c>
      <c r="L14" s="443"/>
      <c r="M14" s="217">
        <f t="shared" si="4"/>
        <v>0.40640939167667661</v>
      </c>
      <c r="N14" s="172">
        <f t="shared" si="5"/>
        <v>24.651788284137204</v>
      </c>
      <c r="O14" s="172">
        <f t="shared" si="98"/>
        <v>1.44</v>
      </c>
      <c r="P14" s="217">
        <f t="shared" si="6"/>
        <v>1.5407367677585753</v>
      </c>
      <c r="Q14" s="217">
        <f t="shared" si="7"/>
        <v>16</v>
      </c>
      <c r="R14" s="217">
        <f t="shared" si="8"/>
        <v>1.5224671618167738</v>
      </c>
      <c r="S14" s="172">
        <f t="shared" si="9"/>
        <v>642.02036468687413</v>
      </c>
      <c r="T14" s="172">
        <f t="shared" si="10"/>
        <v>16</v>
      </c>
      <c r="U14" s="217">
        <f t="shared" si="99"/>
        <v>0.30323929906578917</v>
      </c>
      <c r="V14" s="217">
        <f t="shared" si="11"/>
        <v>0.15177580938600499</v>
      </c>
      <c r="W14" s="217">
        <f t="shared" si="12"/>
        <v>0.22168214381536844</v>
      </c>
      <c r="X14" s="197">
        <f t="shared" si="13"/>
        <v>350</v>
      </c>
      <c r="Y14" s="443">
        <f t="shared" si="14"/>
        <v>350</v>
      </c>
      <c r="AA14" s="217">
        <f t="shared" si="15"/>
        <v>2.3199345198136747</v>
      </c>
      <c r="AB14" s="173">
        <f t="shared" si="16"/>
        <v>1.6959808951147708</v>
      </c>
      <c r="AC14" s="173">
        <f t="shared" si="17"/>
        <v>0.68854880911621907</v>
      </c>
      <c r="AD14" s="173"/>
      <c r="AE14" s="173">
        <f t="shared" si="18"/>
        <v>0.7310468811210169</v>
      </c>
      <c r="AF14" s="545">
        <f t="shared" si="100"/>
        <v>246.22223915924616</v>
      </c>
      <c r="AG14" s="528">
        <f t="shared" si="19"/>
        <v>0.12793320419617796</v>
      </c>
      <c r="AI14" s="173">
        <f t="shared" si="20"/>
        <v>0.83874436623059367</v>
      </c>
      <c r="AJ14" s="173">
        <f t="shared" si="21"/>
        <v>1</v>
      </c>
      <c r="AK14" s="173">
        <f t="shared" si="22"/>
        <v>1.140698422376712</v>
      </c>
      <c r="AM14" s="545">
        <f t="shared" si="23"/>
        <v>90</v>
      </c>
      <c r="AN14" s="460">
        <f t="shared" si="24"/>
        <v>246.22223915924616</v>
      </c>
      <c r="AP14">
        <f t="shared" si="25"/>
        <v>90</v>
      </c>
      <c r="AQ14" s="460">
        <f t="shared" si="26"/>
        <v>246.22223915924616</v>
      </c>
      <c r="AR14" s="460"/>
      <c r="AS14" s="5">
        <f t="shared" si="101"/>
        <v>4.0613715617834263</v>
      </c>
      <c r="AT14" s="5">
        <f t="shared" si="27"/>
        <v>0.50051497234557496</v>
      </c>
      <c r="AU14" s="5">
        <f t="shared" si="102"/>
        <v>3.5608565894378512</v>
      </c>
      <c r="AV14" s="5">
        <f t="shared" si="28"/>
        <v>0.7310468811210169</v>
      </c>
      <c r="AW14" s="173">
        <f t="shared" si="103"/>
        <v>0.12323791722365565</v>
      </c>
      <c r="AX14" s="173">
        <f t="shared" si="29"/>
        <v>1.477333434955477</v>
      </c>
      <c r="AY14" s="173">
        <f t="shared" si="30"/>
        <v>0.43838104138817219</v>
      </c>
      <c r="AZ14" s="173">
        <f t="shared" si="104"/>
        <v>3.3699756501270457</v>
      </c>
      <c r="BA14" s="460">
        <f t="shared" si="31"/>
        <v>0.28153967194438589</v>
      </c>
      <c r="BB14" s="5">
        <f t="shared" si="32"/>
        <v>0.17822620373890441</v>
      </c>
      <c r="BC14" s="5"/>
      <c r="BD14" s="173">
        <f t="shared" si="105"/>
        <v>0.20268030427552292</v>
      </c>
      <c r="BE14" s="173">
        <f t="shared" si="33"/>
        <v>0.54060524192067794</v>
      </c>
      <c r="BF14" s="173"/>
      <c r="BG14" s="528">
        <f t="shared" si="34"/>
        <v>8.2158611482437117E-4</v>
      </c>
      <c r="BH14" s="528">
        <f t="shared" si="35"/>
        <v>0.18160623320393801</v>
      </c>
      <c r="BI14" s="528">
        <f t="shared" si="36"/>
        <v>0.13577483544494562</v>
      </c>
      <c r="BJ14" s="528">
        <f t="shared" si="37"/>
        <v>0.19806818498282197</v>
      </c>
      <c r="BK14">
        <f t="shared" si="38"/>
        <v>1.0788888042037693E-2</v>
      </c>
      <c r="BL14" s="460">
        <f t="shared" si="106"/>
        <v>146.56372348698332</v>
      </c>
      <c r="BM14" s="528">
        <f t="shared" si="39"/>
        <v>0.38079216655765352</v>
      </c>
      <c r="BN14" s="460">
        <f t="shared" si="107"/>
        <v>380.7921665576535</v>
      </c>
      <c r="BO14" s="528">
        <f t="shared" si="108"/>
        <v>5.5912499999999997E-2</v>
      </c>
      <c r="BP14" s="528"/>
      <c r="BR14" s="460">
        <f t="shared" si="109"/>
        <v>55.912499999999994</v>
      </c>
      <c r="BS14" s="528">
        <f t="shared" si="40"/>
        <v>1.2323791722365566E-3</v>
      </c>
      <c r="BT14" s="528">
        <f t="shared" si="41"/>
        <v>8.7676208277634414E-3</v>
      </c>
      <c r="BU14" s="528">
        <f t="shared" si="42"/>
        <v>2.1599999999999998E-2</v>
      </c>
      <c r="BV14" s="528">
        <f t="shared" si="43"/>
        <v>3.4027221777421936E-2</v>
      </c>
      <c r="BW14" s="528">
        <f t="shared" si="44"/>
        <v>1.2311111957962308E-3</v>
      </c>
      <c r="BX14" s="460">
        <f t="shared" si="110"/>
        <v>35.258332973218167</v>
      </c>
      <c r="BY14" s="173">
        <f t="shared" si="45"/>
        <v>0.61852672301785505</v>
      </c>
      <c r="BZ14" s="5">
        <f t="shared" si="111"/>
        <v>1.44</v>
      </c>
      <c r="CA14" s="173">
        <f t="shared" si="112"/>
        <v>0.6995294177619038</v>
      </c>
      <c r="CB14" s="5">
        <f t="shared" si="113"/>
        <v>69.952941776190386</v>
      </c>
      <c r="CE14" s="562">
        <f t="shared" si="46"/>
        <v>-50</v>
      </c>
      <c r="CF14">
        <f t="shared" si="47"/>
        <v>-50</v>
      </c>
      <c r="CG14" s="173">
        <f t="shared" si="48"/>
        <v>0.18223611058184927</v>
      </c>
      <c r="CI14" s="170">
        <v>9</v>
      </c>
      <c r="CJ14" s="217">
        <f t="shared" si="114"/>
        <v>0.09</v>
      </c>
      <c r="CK14" s="217"/>
      <c r="CL14" s="217">
        <f t="shared" si="49"/>
        <v>1.44</v>
      </c>
      <c r="CM14" s="541">
        <f t="shared" si="50"/>
        <v>24</v>
      </c>
      <c r="CN14" s="172">
        <f t="shared" si="51"/>
        <v>16.399999999999999</v>
      </c>
      <c r="CO14" s="443">
        <f t="shared" si="52"/>
        <v>40.4</v>
      </c>
      <c r="CP14" s="443"/>
      <c r="CQ14" s="217">
        <f t="shared" si="53"/>
        <v>0.40594059405940591</v>
      </c>
      <c r="CR14" s="172">
        <f t="shared" si="54"/>
        <v>24.648712871287128</v>
      </c>
      <c r="CS14" s="172">
        <f t="shared" si="115"/>
        <v>1.44</v>
      </c>
      <c r="CT14" s="217">
        <f t="shared" si="55"/>
        <v>1.5405445544554455</v>
      </c>
      <c r="CU14" s="217">
        <f t="shared" si="56"/>
        <v>16</v>
      </c>
      <c r="CV14" s="217">
        <f t="shared" si="57"/>
        <v>1.5222772277227721</v>
      </c>
      <c r="CW14" s="172">
        <f t="shared" si="58"/>
        <v>642.68159478788459</v>
      </c>
      <c r="CX14" s="172">
        <f t="shared" si="59"/>
        <v>16</v>
      </c>
      <c r="CY14" s="217">
        <f t="shared" si="60"/>
        <v>0.29560975609756096</v>
      </c>
      <c r="CZ14" s="217">
        <f t="shared" si="61"/>
        <v>0.14780487804878051</v>
      </c>
      <c r="DA14" s="217">
        <f t="shared" si="62"/>
        <v>0.21629982153480073</v>
      </c>
      <c r="DB14" s="197">
        <f t="shared" si="63"/>
        <v>350</v>
      </c>
      <c r="DC14" s="443">
        <f t="shared" si="116"/>
        <v>350</v>
      </c>
      <c r="DE14" s="217">
        <f t="shared" si="64"/>
        <v>2.3196605374823194</v>
      </c>
      <c r="DF14" s="173">
        <f t="shared" si="65"/>
        <v>1.6973125884016973</v>
      </c>
      <c r="DG14" s="173">
        <f t="shared" si="66"/>
        <v>0.68900808044029282</v>
      </c>
      <c r="DH14" s="173"/>
      <c r="DI14" s="173">
        <f t="shared" si="67"/>
        <v>0.73170731707317083</v>
      </c>
      <c r="DJ14" s="545">
        <f t="shared" si="117"/>
        <v>245.99999999999997</v>
      </c>
      <c r="DK14" s="528">
        <f t="shared" si="68"/>
        <v>0.12804878048780488</v>
      </c>
      <c r="DM14" s="173">
        <f t="shared" si="69"/>
        <v>0.8383657572069263</v>
      </c>
      <c r="DN14" s="173">
        <f t="shared" si="70"/>
        <v>1</v>
      </c>
      <c r="DO14" s="173">
        <f t="shared" si="71"/>
        <v>1.1405714285714286</v>
      </c>
      <c r="DQ14" s="545">
        <f t="shared" si="72"/>
        <v>90</v>
      </c>
      <c r="DR14" s="460">
        <f t="shared" si="73"/>
        <v>245.99999999999997</v>
      </c>
      <c r="DT14">
        <f t="shared" si="74"/>
        <v>90</v>
      </c>
      <c r="DU14" s="460">
        <f t="shared" si="75"/>
        <v>245.99999999999997</v>
      </c>
      <c r="DV14" s="460"/>
      <c r="DW14" s="5">
        <f t="shared" si="118"/>
        <v>4.0650406504065044</v>
      </c>
      <c r="DX14" s="5">
        <f t="shared" si="76"/>
        <v>0.5</v>
      </c>
      <c r="DY14" s="5">
        <f t="shared" si="119"/>
        <v>3.5650406504065044</v>
      </c>
      <c r="DZ14" s="5">
        <f t="shared" si="77"/>
        <v>0.73170731707317083</v>
      </c>
      <c r="EA14" s="173">
        <f t="shared" si="120"/>
        <v>0.12299999999999998</v>
      </c>
      <c r="EB14" s="173">
        <f t="shared" si="78"/>
        <v>1.476</v>
      </c>
      <c r="EC14" s="173">
        <f t="shared" si="79"/>
        <v>0.4385</v>
      </c>
      <c r="ED14" s="173">
        <f t="shared" si="121"/>
        <v>3.3660205245153931</v>
      </c>
      <c r="EE14" s="460">
        <f t="shared" si="80"/>
        <v>0.28125</v>
      </c>
      <c r="EF14" s="5">
        <f t="shared" si="81"/>
        <v>0.1782520325203252</v>
      </c>
      <c r="EG14" s="5"/>
      <c r="EH14" s="173">
        <f t="shared" si="122"/>
        <v>0.20248456731316586</v>
      </c>
      <c r="EI14" s="173">
        <f t="shared" si="82"/>
        <v>0.54067858597630192</v>
      </c>
      <c r="EJ14" s="173"/>
      <c r="EK14" s="528">
        <f t="shared" si="83"/>
        <v>8.1999999999999987E-4</v>
      </c>
      <c r="EL14" s="528">
        <f t="shared" si="84"/>
        <v>0.18882959999999999</v>
      </c>
      <c r="EM14" s="528">
        <f t="shared" si="85"/>
        <v>2.8289999999999999E-2</v>
      </c>
      <c r="EN14" s="528">
        <f t="shared" si="86"/>
        <v>0.19774434479999997</v>
      </c>
      <c r="EO14">
        <f t="shared" si="87"/>
        <v>1.0800000000000001E-2</v>
      </c>
      <c r="EP14" s="460">
        <f t="shared" si="123"/>
        <v>39.089999999999996</v>
      </c>
      <c r="EQ14" s="528">
        <f t="shared" si="88"/>
        <v>0.42678849685641956</v>
      </c>
      <c r="ER14" s="460">
        <f t="shared" si="124"/>
        <v>426.78849685641956</v>
      </c>
      <c r="ES14" s="528">
        <f t="shared" si="125"/>
        <v>5.5912499999999997E-2</v>
      </c>
      <c r="ET14" s="528"/>
      <c r="EV14" s="460">
        <f t="shared" si="126"/>
        <v>55.912499999999994</v>
      </c>
      <c r="EW14" s="528">
        <f t="shared" si="89"/>
        <v>1.2299999999999998E-3</v>
      </c>
      <c r="EX14" s="528">
        <f t="shared" si="90"/>
        <v>8.7699999999999983E-3</v>
      </c>
      <c r="EY14" s="528">
        <f t="shared" si="91"/>
        <v>4.745781861232138E-2</v>
      </c>
      <c r="EZ14" s="528">
        <f t="shared" si="92"/>
        <v>5.9905743206886894E-2</v>
      </c>
      <c r="FA14" s="528">
        <f t="shared" si="93"/>
        <v>1.23E-3</v>
      </c>
      <c r="FB14" s="460">
        <f t="shared" si="127"/>
        <v>61.135743206886893</v>
      </c>
      <c r="FC14" s="173">
        <f t="shared" si="128"/>
        <v>0.5438367400633064</v>
      </c>
      <c r="FD14" s="5">
        <f t="shared" si="129"/>
        <v>1.44</v>
      </c>
      <c r="FE14" s="173">
        <f t="shared" si="130"/>
        <v>0.72586618188856</v>
      </c>
      <c r="FF14" s="5">
        <f t="shared" si="131"/>
        <v>72.586618188855994</v>
      </c>
      <c r="FI14" s="562">
        <f t="shared" si="94"/>
        <v>-50</v>
      </c>
      <c r="FJ14">
        <f t="shared" si="95"/>
        <v>-50</v>
      </c>
      <c r="FL14">
        <f t="shared" si="96"/>
        <v>0.18000000000000002</v>
      </c>
    </row>
    <row r="15" spans="2:168">
      <c r="E15" s="170">
        <v>10</v>
      </c>
      <c r="F15" s="217">
        <f t="shared" si="97"/>
        <v>0.1</v>
      </c>
      <c r="G15" s="217"/>
      <c r="H15" s="217">
        <f t="shared" si="0"/>
        <v>1.6</v>
      </c>
      <c r="I15" s="541">
        <f t="shared" si="1"/>
        <v>23.975306760083761</v>
      </c>
      <c r="J15" s="172">
        <f t="shared" si="2"/>
        <v>16.414815943949744</v>
      </c>
      <c r="K15" s="172">
        <f t="shared" si="3"/>
        <v>40.414815943949748</v>
      </c>
      <c r="L15" s="443"/>
      <c r="M15" s="217">
        <f t="shared" si="4"/>
        <v>0.40640939167667661</v>
      </c>
      <c r="N15" s="172">
        <f t="shared" si="5"/>
        <v>24.651788284137204</v>
      </c>
      <c r="O15" s="172">
        <f t="shared" si="98"/>
        <v>1.6</v>
      </c>
      <c r="P15" s="217">
        <f t="shared" si="6"/>
        <v>1.5407367677585753</v>
      </c>
      <c r="Q15" s="217">
        <f t="shared" si="7"/>
        <v>16</v>
      </c>
      <c r="R15" s="217">
        <f t="shared" si="8"/>
        <v>1.5224671618167738</v>
      </c>
      <c r="S15" s="172">
        <f t="shared" si="9"/>
        <v>575.42401684901415</v>
      </c>
      <c r="T15" s="172">
        <f t="shared" si="10"/>
        <v>16</v>
      </c>
      <c r="U15" s="217">
        <f t="shared" si="99"/>
        <v>0.33693255451754356</v>
      </c>
      <c r="V15" s="217">
        <f t="shared" si="11"/>
        <v>0.16863978820667225</v>
      </c>
      <c r="W15" s="217">
        <f t="shared" si="12"/>
        <v>0.24631349312818721</v>
      </c>
      <c r="X15" s="197">
        <f t="shared" si="13"/>
        <v>350</v>
      </c>
      <c r="Y15" s="443">
        <f t="shared" si="14"/>
        <v>350</v>
      </c>
      <c r="AA15" s="217">
        <f t="shared" si="15"/>
        <v>2.3199345198136747</v>
      </c>
      <c r="AB15" s="173">
        <f t="shared" si="16"/>
        <v>1.6959808951147708</v>
      </c>
      <c r="AC15" s="173">
        <f t="shared" si="17"/>
        <v>0.68854880911621907</v>
      </c>
      <c r="AD15" s="173"/>
      <c r="AE15" s="173">
        <f t="shared" si="18"/>
        <v>0.7310468811210169</v>
      </c>
      <c r="AF15" s="545">
        <f t="shared" si="100"/>
        <v>273.58026573249577</v>
      </c>
      <c r="AG15" s="528">
        <f t="shared" si="19"/>
        <v>0.12793320419617796</v>
      </c>
      <c r="AI15" s="173">
        <f t="shared" si="20"/>
        <v>0.88411419064103081</v>
      </c>
      <c r="AJ15" s="173">
        <f t="shared" si="21"/>
        <v>1</v>
      </c>
      <c r="AK15" s="173">
        <f t="shared" si="22"/>
        <v>1.156331580418569</v>
      </c>
      <c r="AM15" s="545">
        <f t="shared" si="23"/>
        <v>100</v>
      </c>
      <c r="AN15" s="460">
        <f t="shared" si="24"/>
        <v>273.58026573249577</v>
      </c>
      <c r="AP15">
        <f t="shared" si="25"/>
        <v>100</v>
      </c>
      <c r="AQ15" s="460">
        <f t="shared" si="26"/>
        <v>273.58026573249577</v>
      </c>
      <c r="AR15" s="460"/>
      <c r="AS15" s="5">
        <f t="shared" si="101"/>
        <v>3.6552344056050838</v>
      </c>
      <c r="AT15" s="5">
        <f t="shared" si="27"/>
        <v>0.50051497234557496</v>
      </c>
      <c r="AU15" s="5">
        <f t="shared" si="102"/>
        <v>3.1547194332595088</v>
      </c>
      <c r="AV15" s="5">
        <f t="shared" si="28"/>
        <v>0.7310468811210169</v>
      </c>
      <c r="AW15" s="173">
        <f t="shared" si="103"/>
        <v>0.13693101913739517</v>
      </c>
      <c r="AX15" s="173">
        <f t="shared" si="29"/>
        <v>1.6414815943949745</v>
      </c>
      <c r="AY15" s="173">
        <f t="shared" si="30"/>
        <v>0.43153449043130243</v>
      </c>
      <c r="AZ15" s="173">
        <f t="shared" si="104"/>
        <v>3.8038247945242469</v>
      </c>
      <c r="BA15" s="460">
        <f t="shared" si="31"/>
        <v>0.31282185771598436</v>
      </c>
      <c r="BB15" s="5">
        <f t="shared" si="32"/>
        <v>0.17544270109954788</v>
      </c>
      <c r="BC15" s="5"/>
      <c r="BD15" s="173">
        <f t="shared" si="105"/>
        <v>0.21364379945553857</v>
      </c>
      <c r="BE15" s="173">
        <f t="shared" si="33"/>
        <v>0.53636709470989641</v>
      </c>
      <c r="BF15" s="173"/>
      <c r="BG15" s="528">
        <f t="shared" si="34"/>
        <v>9.1287346091596764E-4</v>
      </c>
      <c r="BH15" s="528">
        <f t="shared" si="35"/>
        <v>0.20178470355993117</v>
      </c>
      <c r="BI15" s="528">
        <f t="shared" si="36"/>
        <v>0.1508609282721618</v>
      </c>
      <c r="BJ15" s="528">
        <f t="shared" si="37"/>
        <v>0.22007576109202445</v>
      </c>
      <c r="BK15">
        <f t="shared" si="38"/>
        <v>1.0788888042037693E-2</v>
      </c>
      <c r="BL15" s="460">
        <f t="shared" si="106"/>
        <v>161.64981631419951</v>
      </c>
      <c r="BM15" s="528">
        <f t="shared" si="39"/>
        <v>0.42311158631486401</v>
      </c>
      <c r="BN15" s="460">
        <f t="shared" si="107"/>
        <v>423.11158631486398</v>
      </c>
      <c r="BO15" s="528">
        <f t="shared" si="108"/>
        <v>6.2124999999999993E-2</v>
      </c>
      <c r="BP15" s="528"/>
      <c r="BR15" s="460">
        <f t="shared" si="109"/>
        <v>62.124999999999993</v>
      </c>
      <c r="BS15" s="528">
        <f t="shared" si="40"/>
        <v>1.3693101913739513E-3</v>
      </c>
      <c r="BT15" s="528">
        <f t="shared" si="41"/>
        <v>8.6306898086260502E-3</v>
      </c>
      <c r="BU15" s="528">
        <f t="shared" si="42"/>
        <v>2.4E-2</v>
      </c>
      <c r="BV15" s="528">
        <f t="shared" si="43"/>
        <v>3.6429143314651725E-2</v>
      </c>
      <c r="BW15" s="528">
        <f t="shared" si="44"/>
        <v>1.3679013286624789E-3</v>
      </c>
      <c r="BX15" s="460">
        <f t="shared" si="110"/>
        <v>37.797044643314202</v>
      </c>
      <c r="BY15" s="173">
        <f t="shared" si="45"/>
        <v>0.68468344727237773</v>
      </c>
      <c r="BZ15" s="5">
        <f t="shared" si="111"/>
        <v>1.6</v>
      </c>
      <c r="CA15" s="173">
        <f t="shared" si="112"/>
        <v>0.70031583671260766</v>
      </c>
      <c r="CB15" s="5">
        <f t="shared" si="113"/>
        <v>70.031583671260762</v>
      </c>
      <c r="CE15" s="562">
        <f t="shared" si="46"/>
        <v>-50</v>
      </c>
      <c r="CF15">
        <f t="shared" si="47"/>
        <v>-50</v>
      </c>
      <c r="CG15" s="173">
        <f t="shared" si="48"/>
        <v>0.20248456731316589</v>
      </c>
      <c r="CI15" s="170">
        <v>10</v>
      </c>
      <c r="CJ15" s="217">
        <f t="shared" si="114"/>
        <v>0.1</v>
      </c>
      <c r="CK15" s="217"/>
      <c r="CL15" s="217">
        <f t="shared" si="49"/>
        <v>1.6</v>
      </c>
      <c r="CM15" s="541">
        <f t="shared" si="50"/>
        <v>24</v>
      </c>
      <c r="CN15" s="172">
        <f t="shared" si="51"/>
        <v>16.399999999999999</v>
      </c>
      <c r="CO15" s="443">
        <f t="shared" si="52"/>
        <v>40.4</v>
      </c>
      <c r="CP15" s="443"/>
      <c r="CQ15" s="217">
        <f t="shared" si="53"/>
        <v>0.40594059405940591</v>
      </c>
      <c r="CR15" s="172">
        <f t="shared" si="54"/>
        <v>24.648712871287128</v>
      </c>
      <c r="CS15" s="172">
        <f t="shared" si="115"/>
        <v>1.6</v>
      </c>
      <c r="CT15" s="217">
        <f t="shared" si="55"/>
        <v>1.5405445544554455</v>
      </c>
      <c r="CU15" s="217">
        <f t="shared" si="56"/>
        <v>16</v>
      </c>
      <c r="CV15" s="217">
        <f t="shared" si="57"/>
        <v>1.5222772277227721</v>
      </c>
      <c r="CW15" s="172">
        <f t="shared" si="58"/>
        <v>576.01665461940252</v>
      </c>
      <c r="CX15" s="172">
        <f t="shared" si="59"/>
        <v>16</v>
      </c>
      <c r="CY15" s="217">
        <f t="shared" si="60"/>
        <v>0.32845528455284556</v>
      </c>
      <c r="CZ15" s="217">
        <f t="shared" si="61"/>
        <v>0.16422764227642281</v>
      </c>
      <c r="DA15" s="217">
        <f t="shared" si="62"/>
        <v>0.24033313503866754</v>
      </c>
      <c r="DB15" s="197">
        <f t="shared" si="63"/>
        <v>350</v>
      </c>
      <c r="DC15" s="443">
        <f t="shared" si="116"/>
        <v>350</v>
      </c>
      <c r="DE15" s="217">
        <f t="shared" si="64"/>
        <v>2.3196605374823194</v>
      </c>
      <c r="DF15" s="173">
        <f t="shared" si="65"/>
        <v>1.6973125884016973</v>
      </c>
      <c r="DG15" s="173">
        <f t="shared" si="66"/>
        <v>0.68900808044029282</v>
      </c>
      <c r="DH15" s="173"/>
      <c r="DI15" s="173">
        <f t="shared" si="67"/>
        <v>0.73170731707317083</v>
      </c>
      <c r="DJ15" s="545">
        <f t="shared" si="117"/>
        <v>273.33333333333331</v>
      </c>
      <c r="DK15" s="528">
        <f t="shared" si="68"/>
        <v>0.12804878048780488</v>
      </c>
      <c r="DM15" s="173">
        <f t="shared" si="69"/>
        <v>0.88371510168853684</v>
      </c>
      <c r="DN15" s="173">
        <f t="shared" si="70"/>
        <v>1</v>
      </c>
      <c r="DO15" s="173">
        <f t="shared" si="71"/>
        <v>1.1561904761904762</v>
      </c>
      <c r="DQ15" s="545">
        <f t="shared" si="72"/>
        <v>100</v>
      </c>
      <c r="DR15" s="460">
        <f t="shared" si="73"/>
        <v>273.33333333333331</v>
      </c>
      <c r="DT15">
        <f t="shared" si="74"/>
        <v>100</v>
      </c>
      <c r="DU15" s="460">
        <f t="shared" si="75"/>
        <v>273.33333333333331</v>
      </c>
      <c r="DV15" s="460"/>
      <c r="DW15" s="5">
        <f t="shared" si="118"/>
        <v>3.6585365853658538</v>
      </c>
      <c r="DX15" s="5">
        <f t="shared" si="76"/>
        <v>0.5</v>
      </c>
      <c r="DY15" s="5">
        <f t="shared" si="119"/>
        <v>3.1585365853658538</v>
      </c>
      <c r="DZ15" s="5">
        <f t="shared" si="77"/>
        <v>0.73170731707317083</v>
      </c>
      <c r="EA15" s="173">
        <f t="shared" si="120"/>
        <v>0.13666666666666666</v>
      </c>
      <c r="EB15" s="173">
        <f t="shared" si="78"/>
        <v>1.64</v>
      </c>
      <c r="EC15" s="173">
        <f t="shared" si="79"/>
        <v>0.43166666666666664</v>
      </c>
      <c r="ED15" s="173">
        <f t="shared" si="121"/>
        <v>3.7992277992277992</v>
      </c>
      <c r="EE15" s="460">
        <f t="shared" si="80"/>
        <v>0.3125</v>
      </c>
      <c r="EF15" s="5">
        <f t="shared" si="81"/>
        <v>0.17547425474254741</v>
      </c>
      <c r="EG15" s="5"/>
      <c r="EH15" s="173">
        <f t="shared" si="122"/>
        <v>0.21343747458109494</v>
      </c>
      <c r="EI15" s="173">
        <f t="shared" si="82"/>
        <v>0.53644923131436939</v>
      </c>
      <c r="EJ15" s="173"/>
      <c r="EK15" s="528">
        <f t="shared" si="83"/>
        <v>9.1111111111111102E-4</v>
      </c>
      <c r="EL15" s="528">
        <f t="shared" si="84"/>
        <v>0.20981066666666667</v>
      </c>
      <c r="EM15" s="528">
        <f t="shared" si="85"/>
        <v>3.1433333333333334E-2</v>
      </c>
      <c r="EN15" s="528">
        <f t="shared" si="86"/>
        <v>0.21971593866666664</v>
      </c>
      <c r="EO15">
        <f t="shared" si="87"/>
        <v>1.0800000000000001E-2</v>
      </c>
      <c r="EP15" s="460">
        <f t="shared" si="123"/>
        <v>42.233333333333334</v>
      </c>
      <c r="EQ15" s="528">
        <f t="shared" si="88"/>
        <v>0.47301944902810328</v>
      </c>
      <c r="ER15" s="460">
        <f t="shared" si="124"/>
        <v>473.01944902810328</v>
      </c>
      <c r="ES15" s="528">
        <f t="shared" si="125"/>
        <v>6.2124999999999993E-2</v>
      </c>
      <c r="ET15" s="528"/>
      <c r="EV15" s="460">
        <f t="shared" si="126"/>
        <v>62.124999999999993</v>
      </c>
      <c r="EW15" s="528">
        <f t="shared" si="89"/>
        <v>1.3666666666666664E-3</v>
      </c>
      <c r="EX15" s="528">
        <f t="shared" si="90"/>
        <v>8.6333333333333331E-3</v>
      </c>
      <c r="EY15" s="528">
        <f t="shared" si="91"/>
        <v>6.1759176789328012E-2</v>
      </c>
      <c r="EZ15" s="528">
        <f t="shared" si="92"/>
        <v>7.4218551630632526E-2</v>
      </c>
      <c r="FA15" s="528">
        <f t="shared" si="93"/>
        <v>1.3666666666666666E-3</v>
      </c>
      <c r="FB15" s="460">
        <f t="shared" si="127"/>
        <v>75.585218297299193</v>
      </c>
      <c r="FC15" s="173">
        <f t="shared" si="128"/>
        <v>0.61072966732540246</v>
      </c>
      <c r="FD15" s="5">
        <f t="shared" si="129"/>
        <v>1.6</v>
      </c>
      <c r="FE15" s="173">
        <f t="shared" si="130"/>
        <v>0.72374294498690162</v>
      </c>
      <c r="FF15" s="5">
        <f t="shared" si="131"/>
        <v>72.374294498690162</v>
      </c>
      <c r="FI15" s="562">
        <f t="shared" si="94"/>
        <v>-50</v>
      </c>
      <c r="FJ15">
        <f t="shared" si="95"/>
        <v>-50</v>
      </c>
      <c r="FL15">
        <f t="shared" si="96"/>
        <v>0.2</v>
      </c>
    </row>
    <row r="16" spans="2:168">
      <c r="E16" s="170">
        <v>11</v>
      </c>
      <c r="F16" s="217">
        <f t="shared" si="97"/>
        <v>0.11</v>
      </c>
      <c r="G16" s="217"/>
      <c r="H16" s="217">
        <f t="shared" si="0"/>
        <v>1.76</v>
      </c>
      <c r="I16" s="541">
        <f t="shared" si="1"/>
        <v>23.975306760083761</v>
      </c>
      <c r="J16" s="172">
        <f t="shared" si="2"/>
        <v>16.414815943949744</v>
      </c>
      <c r="K16" s="172">
        <f t="shared" si="3"/>
        <v>40.414815943949748</v>
      </c>
      <c r="L16" s="443"/>
      <c r="M16" s="217">
        <f t="shared" si="4"/>
        <v>0.40640939167667661</v>
      </c>
      <c r="N16" s="172">
        <f t="shared" si="5"/>
        <v>24.651788284137204</v>
      </c>
      <c r="O16" s="172">
        <f t="shared" si="98"/>
        <v>1.76</v>
      </c>
      <c r="P16" s="217">
        <f t="shared" si="6"/>
        <v>1.5407367677585753</v>
      </c>
      <c r="Q16" s="217">
        <f t="shared" si="7"/>
        <v>16</v>
      </c>
      <c r="R16" s="217">
        <f t="shared" si="8"/>
        <v>1.5224671618167738</v>
      </c>
      <c r="S16" s="172">
        <f t="shared" si="9"/>
        <v>520.93642396334315</v>
      </c>
      <c r="T16" s="172">
        <f t="shared" si="10"/>
        <v>16</v>
      </c>
      <c r="U16" s="217">
        <f t="shared" si="99"/>
        <v>0.37062580996929789</v>
      </c>
      <c r="V16" s="217">
        <f t="shared" si="11"/>
        <v>0.18550376702733945</v>
      </c>
      <c r="W16" s="217">
        <f t="shared" si="12"/>
        <v>0.27094484244100586</v>
      </c>
      <c r="X16" s="197">
        <f t="shared" si="13"/>
        <v>350</v>
      </c>
      <c r="Y16" s="443">
        <f t="shared" si="14"/>
        <v>350</v>
      </c>
      <c r="AA16" s="217">
        <f t="shared" si="15"/>
        <v>2.3199345198136747</v>
      </c>
      <c r="AB16" s="173">
        <f t="shared" si="16"/>
        <v>1.6959808951147708</v>
      </c>
      <c r="AC16" s="173">
        <f t="shared" si="17"/>
        <v>0.68854880911621907</v>
      </c>
      <c r="AD16" s="173"/>
      <c r="AE16" s="173">
        <f t="shared" si="18"/>
        <v>0.7310468811210169</v>
      </c>
      <c r="AF16" s="545">
        <f t="shared" si="100"/>
        <v>300.93829230574528</v>
      </c>
      <c r="AG16" s="528">
        <f t="shared" si="19"/>
        <v>0.12793320419617796</v>
      </c>
      <c r="AI16" s="173">
        <f t="shared" si="20"/>
        <v>0.92726678593710532</v>
      </c>
      <c r="AJ16" s="173">
        <f t="shared" si="21"/>
        <v>1</v>
      </c>
      <c r="AK16" s="173">
        <f t="shared" si="22"/>
        <v>1.1719647384604259</v>
      </c>
      <c r="AM16" s="545">
        <f t="shared" si="23"/>
        <v>110</v>
      </c>
      <c r="AN16" s="460">
        <f t="shared" si="24"/>
        <v>300.93829230574528</v>
      </c>
      <c r="AP16">
        <f t="shared" si="25"/>
        <v>110</v>
      </c>
      <c r="AQ16" s="460">
        <f t="shared" si="26"/>
        <v>300.93829230574528</v>
      </c>
      <c r="AR16" s="460"/>
      <c r="AS16" s="5">
        <f t="shared" si="101"/>
        <v>3.3229403687318948</v>
      </c>
      <c r="AT16" s="5">
        <f t="shared" si="27"/>
        <v>0.50051497234557496</v>
      </c>
      <c r="AU16" s="5">
        <f t="shared" si="102"/>
        <v>2.8224253963863197</v>
      </c>
      <c r="AV16" s="5">
        <f t="shared" si="28"/>
        <v>0.7310468811210169</v>
      </c>
      <c r="AW16" s="173">
        <f t="shared" si="103"/>
        <v>0.15062412105113465</v>
      </c>
      <c r="AX16" s="173">
        <f t="shared" si="29"/>
        <v>1.8056297538344717</v>
      </c>
      <c r="AY16" s="173">
        <f t="shared" si="30"/>
        <v>0.42468793947443267</v>
      </c>
      <c r="AZ16" s="173">
        <f t="shared" si="104"/>
        <v>4.251662423164186</v>
      </c>
      <c r="BA16" s="460">
        <f t="shared" si="31"/>
        <v>0.34410404348758283</v>
      </c>
      <c r="BB16" s="5">
        <f t="shared" si="32"/>
        <v>0.17265919846019132</v>
      </c>
      <c r="BC16" s="5"/>
      <c r="BD16" s="173">
        <f t="shared" si="105"/>
        <v>0.22407150722565825</v>
      </c>
      <c r="BE16" s="173">
        <f t="shared" si="33"/>
        <v>0.53209519165554875</v>
      </c>
      <c r="BF16" s="173"/>
      <c r="BG16" s="528">
        <f t="shared" si="34"/>
        <v>1.0041608070075643E-3</v>
      </c>
      <c r="BH16" s="528">
        <f t="shared" si="35"/>
        <v>0.22196317391592418</v>
      </c>
      <c r="BI16" s="528">
        <f t="shared" si="36"/>
        <v>0.16594702109937798</v>
      </c>
      <c r="BJ16" s="528">
        <f t="shared" si="37"/>
        <v>0.24208333720122682</v>
      </c>
      <c r="BK16">
        <f t="shared" si="38"/>
        <v>1.0788888042037693E-2</v>
      </c>
      <c r="BL16" s="460">
        <f t="shared" si="106"/>
        <v>176.73590914141568</v>
      </c>
      <c r="BM16" s="528">
        <f t="shared" si="39"/>
        <v>0.46543284231589754</v>
      </c>
      <c r="BN16" s="460">
        <f t="shared" si="107"/>
        <v>465.43284231589752</v>
      </c>
      <c r="BO16" s="528">
        <f t="shared" si="108"/>
        <v>6.8337499999999995E-2</v>
      </c>
      <c r="BP16" s="528"/>
      <c r="BR16" s="460">
        <f t="shared" si="109"/>
        <v>68.337499999999991</v>
      </c>
      <c r="BS16" s="528">
        <f t="shared" si="40"/>
        <v>1.5062412105113464E-3</v>
      </c>
      <c r="BT16" s="528">
        <f t="shared" si="41"/>
        <v>8.4937587894886538E-3</v>
      </c>
      <c r="BU16" s="528">
        <f t="shared" si="42"/>
        <v>2.64E-2</v>
      </c>
      <c r="BV16" s="528">
        <f t="shared" si="43"/>
        <v>3.8831064851881508E-2</v>
      </c>
      <c r="BW16" s="528">
        <f t="shared" si="44"/>
        <v>1.5046914615287265E-3</v>
      </c>
      <c r="BX16" s="460">
        <f t="shared" si="110"/>
        <v>40.335756313410236</v>
      </c>
      <c r="BY16" s="173">
        <f t="shared" si="45"/>
        <v>0.75084200777072341</v>
      </c>
      <c r="BZ16" s="5">
        <f t="shared" si="111"/>
        <v>1.76</v>
      </c>
      <c r="CA16" s="173">
        <f t="shared" si="112"/>
        <v>0.70096007417154604</v>
      </c>
      <c r="CB16" s="5">
        <f t="shared" si="113"/>
        <v>70.09600741715461</v>
      </c>
      <c r="CE16" s="562">
        <f t="shared" si="46"/>
        <v>-50</v>
      </c>
      <c r="CF16">
        <f t="shared" si="47"/>
        <v>-50</v>
      </c>
      <c r="CG16" s="173">
        <f t="shared" si="48"/>
        <v>0.22273302404448245</v>
      </c>
      <c r="CI16" s="170">
        <v>11</v>
      </c>
      <c r="CJ16" s="217">
        <f t="shared" si="114"/>
        <v>0.11</v>
      </c>
      <c r="CK16" s="217"/>
      <c r="CL16" s="217">
        <f t="shared" si="49"/>
        <v>1.76</v>
      </c>
      <c r="CM16" s="541">
        <f t="shared" si="50"/>
        <v>24</v>
      </c>
      <c r="CN16" s="172">
        <f t="shared" si="51"/>
        <v>16.399999999999999</v>
      </c>
      <c r="CO16" s="443">
        <f t="shared" si="52"/>
        <v>40.4</v>
      </c>
      <c r="CP16" s="443"/>
      <c r="CQ16" s="217">
        <f t="shared" si="53"/>
        <v>0.40594059405940591</v>
      </c>
      <c r="CR16" s="172">
        <f t="shared" si="54"/>
        <v>24.648712871287128</v>
      </c>
      <c r="CS16" s="172">
        <f t="shared" si="115"/>
        <v>1.76</v>
      </c>
      <c r="CT16" s="217">
        <f t="shared" si="55"/>
        <v>1.5405445544554455</v>
      </c>
      <c r="CU16" s="217">
        <f t="shared" si="56"/>
        <v>16</v>
      </c>
      <c r="CV16" s="217">
        <f t="shared" si="57"/>
        <v>1.5222772277227721</v>
      </c>
      <c r="CW16" s="172">
        <f t="shared" si="58"/>
        <v>521.47294073671219</v>
      </c>
      <c r="CX16" s="172">
        <f t="shared" si="59"/>
        <v>16</v>
      </c>
      <c r="CY16" s="217">
        <f t="shared" si="60"/>
        <v>0.36130081300813011</v>
      </c>
      <c r="CZ16" s="217">
        <f t="shared" si="61"/>
        <v>0.18065040650406505</v>
      </c>
      <c r="DA16" s="217">
        <f t="shared" si="62"/>
        <v>0.26436644854253427</v>
      </c>
      <c r="DB16" s="197">
        <f t="shared" si="63"/>
        <v>350</v>
      </c>
      <c r="DC16" s="443">
        <f t="shared" si="116"/>
        <v>350</v>
      </c>
      <c r="DE16" s="217">
        <f t="shared" si="64"/>
        <v>2.3196605374823194</v>
      </c>
      <c r="DF16" s="173">
        <f t="shared" si="65"/>
        <v>1.6973125884016973</v>
      </c>
      <c r="DG16" s="173">
        <f t="shared" si="66"/>
        <v>0.68900808044029282</v>
      </c>
      <c r="DH16" s="173"/>
      <c r="DI16" s="173">
        <f t="shared" si="67"/>
        <v>0.73170731707317083</v>
      </c>
      <c r="DJ16" s="545">
        <f t="shared" si="117"/>
        <v>300.66666666666663</v>
      </c>
      <c r="DK16" s="528">
        <f t="shared" si="68"/>
        <v>0.12804878048780488</v>
      </c>
      <c r="DM16" s="173">
        <f t="shared" si="69"/>
        <v>0.9268482179125227</v>
      </c>
      <c r="DN16" s="173">
        <f t="shared" si="70"/>
        <v>1</v>
      </c>
      <c r="DO16" s="173">
        <f t="shared" si="71"/>
        <v>1.1718095238095239</v>
      </c>
      <c r="DQ16" s="545">
        <f t="shared" si="72"/>
        <v>110</v>
      </c>
      <c r="DR16" s="460">
        <f t="shared" si="73"/>
        <v>300.66666666666663</v>
      </c>
      <c r="DT16">
        <f t="shared" si="74"/>
        <v>110</v>
      </c>
      <c r="DU16" s="460">
        <f t="shared" si="75"/>
        <v>300.66666666666663</v>
      </c>
      <c r="DV16" s="460"/>
      <c r="DW16" s="5">
        <f t="shared" si="118"/>
        <v>3.3259423503325944</v>
      </c>
      <c r="DX16" s="5">
        <f t="shared" si="76"/>
        <v>0.5</v>
      </c>
      <c r="DY16" s="5">
        <f t="shared" si="119"/>
        <v>2.8259423503325944</v>
      </c>
      <c r="DZ16" s="5">
        <f t="shared" si="77"/>
        <v>0.73170731707317083</v>
      </c>
      <c r="EA16" s="173">
        <f t="shared" si="120"/>
        <v>0.15033333333333332</v>
      </c>
      <c r="EB16" s="173">
        <f t="shared" si="78"/>
        <v>1.8039999999999998</v>
      </c>
      <c r="EC16" s="173">
        <f t="shared" si="79"/>
        <v>0.42483333333333334</v>
      </c>
      <c r="ED16" s="173">
        <f t="shared" si="121"/>
        <v>4.2463711259317378</v>
      </c>
      <c r="EE16" s="460">
        <f t="shared" si="80"/>
        <v>0.34375</v>
      </c>
      <c r="EF16" s="5">
        <f t="shared" si="81"/>
        <v>0.17269647696476964</v>
      </c>
      <c r="EG16" s="5"/>
      <c r="EH16" s="173">
        <f t="shared" si="122"/>
        <v>0.2238551118717442</v>
      </c>
      <c r="EI16" s="173">
        <f t="shared" si="82"/>
        <v>0.53218626647276623</v>
      </c>
      <c r="EJ16" s="173"/>
      <c r="EK16" s="528">
        <f t="shared" si="83"/>
        <v>1.0022222222222223E-3</v>
      </c>
      <c r="EL16" s="528">
        <f t="shared" si="84"/>
        <v>0.2307917333333333</v>
      </c>
      <c r="EM16" s="528">
        <f t="shared" si="85"/>
        <v>3.4576666666666665E-2</v>
      </c>
      <c r="EN16" s="528">
        <f t="shared" si="86"/>
        <v>0.2416875325333333</v>
      </c>
      <c r="EO16">
        <f t="shared" si="87"/>
        <v>1.0800000000000001E-2</v>
      </c>
      <c r="EP16" s="460">
        <f t="shared" si="123"/>
        <v>45.376666666666665</v>
      </c>
      <c r="EQ16" s="528">
        <f t="shared" si="88"/>
        <v>0.51925240329184663</v>
      </c>
      <c r="ER16" s="460">
        <f t="shared" si="124"/>
        <v>519.25240329184658</v>
      </c>
      <c r="ES16" s="528">
        <f t="shared" si="125"/>
        <v>6.8337499999999995E-2</v>
      </c>
      <c r="ET16" s="528"/>
      <c r="EV16" s="460">
        <f t="shared" si="126"/>
        <v>68.337499999999991</v>
      </c>
      <c r="EW16" s="528">
        <f t="shared" si="89"/>
        <v>1.5033333333333333E-3</v>
      </c>
      <c r="EX16" s="528">
        <f t="shared" si="90"/>
        <v>8.4966666666666645E-3</v>
      </c>
      <c r="EY16" s="528">
        <f t="shared" si="91"/>
        <v>7.8376020997545787E-2</v>
      </c>
      <c r="EZ16" s="528">
        <f t="shared" si="92"/>
        <v>9.0848699957511797E-2</v>
      </c>
      <c r="FA16" s="528">
        <f t="shared" si="93"/>
        <v>1.5033333333333333E-3</v>
      </c>
      <c r="FB16" s="460">
        <f t="shared" si="127"/>
        <v>92.352033290845128</v>
      </c>
      <c r="FC16" s="173">
        <f t="shared" si="128"/>
        <v>0.67994193658269164</v>
      </c>
      <c r="FD16" s="5">
        <f t="shared" si="129"/>
        <v>1.76</v>
      </c>
      <c r="FE16" s="173">
        <f t="shared" si="130"/>
        <v>0.72132864049420886</v>
      </c>
      <c r="FF16" s="5">
        <f t="shared" si="131"/>
        <v>72.132864049420888</v>
      </c>
      <c r="FI16" s="562">
        <f t="shared" si="94"/>
        <v>-50</v>
      </c>
      <c r="FJ16">
        <f t="shared" si="95"/>
        <v>-50</v>
      </c>
      <c r="FL16">
        <f t="shared" si="96"/>
        <v>0.22</v>
      </c>
    </row>
    <row r="17" spans="5:168">
      <c r="E17" s="170">
        <v>12</v>
      </c>
      <c r="F17" s="217">
        <f t="shared" si="97"/>
        <v>0.12</v>
      </c>
      <c r="G17" s="217"/>
      <c r="H17" s="217">
        <f t="shared" si="0"/>
        <v>1.92</v>
      </c>
      <c r="I17" s="541">
        <f t="shared" si="1"/>
        <v>23.975306760083761</v>
      </c>
      <c r="J17" s="172">
        <f t="shared" si="2"/>
        <v>16.414815943949744</v>
      </c>
      <c r="K17" s="172">
        <f t="shared" si="3"/>
        <v>40.414815943949748</v>
      </c>
      <c r="L17" s="443"/>
      <c r="M17" s="217">
        <f t="shared" si="4"/>
        <v>0.40640939167667661</v>
      </c>
      <c r="N17" s="172">
        <f t="shared" si="5"/>
        <v>24.651788284137204</v>
      </c>
      <c r="O17" s="172">
        <f t="shared" si="98"/>
        <v>1.92</v>
      </c>
      <c r="P17" s="217">
        <f t="shared" si="6"/>
        <v>1.5407367677585753</v>
      </c>
      <c r="Q17" s="217">
        <f t="shared" si="7"/>
        <v>16</v>
      </c>
      <c r="R17" s="217">
        <f t="shared" si="8"/>
        <v>1.5224671618167738</v>
      </c>
      <c r="S17" s="172">
        <f t="shared" si="9"/>
        <v>475.53040100456479</v>
      </c>
      <c r="T17" s="172">
        <f t="shared" si="10"/>
        <v>16</v>
      </c>
      <c r="U17" s="217">
        <f t="shared" si="99"/>
        <v>0.40431906542105223</v>
      </c>
      <c r="V17" s="217">
        <f t="shared" si="11"/>
        <v>0.20236774584800668</v>
      </c>
      <c r="W17" s="217">
        <f t="shared" si="12"/>
        <v>0.2955761917538246</v>
      </c>
      <c r="X17" s="197">
        <f t="shared" si="13"/>
        <v>350</v>
      </c>
      <c r="Y17" s="443">
        <f t="shared" si="14"/>
        <v>350</v>
      </c>
      <c r="AA17" s="217">
        <f t="shared" si="15"/>
        <v>2.3199345198136747</v>
      </c>
      <c r="AB17" s="173">
        <f t="shared" si="16"/>
        <v>1.6959808951147708</v>
      </c>
      <c r="AC17" s="173">
        <f t="shared" si="17"/>
        <v>0.68854880911621907</v>
      </c>
      <c r="AD17" s="173"/>
      <c r="AE17" s="173">
        <f t="shared" si="18"/>
        <v>0.7310468811210169</v>
      </c>
      <c r="AF17" s="545">
        <f t="shared" si="100"/>
        <v>328.29631887899484</v>
      </c>
      <c r="AG17" s="528">
        <f t="shared" si="19"/>
        <v>0.12793320419617796</v>
      </c>
      <c r="AI17" s="173">
        <f t="shared" si="20"/>
        <v>0.96849857124903072</v>
      </c>
      <c r="AJ17" s="173">
        <f t="shared" si="21"/>
        <v>1</v>
      </c>
      <c r="AK17" s="173">
        <f t="shared" si="22"/>
        <v>1.1875978965022829</v>
      </c>
      <c r="AM17" s="545">
        <f t="shared" si="23"/>
        <v>120</v>
      </c>
      <c r="AN17" s="460">
        <f t="shared" si="24"/>
        <v>328.29631887899484</v>
      </c>
      <c r="AP17">
        <f t="shared" si="25"/>
        <v>120</v>
      </c>
      <c r="AQ17" s="460">
        <f t="shared" si="26"/>
        <v>328.29631887899484</v>
      </c>
      <c r="AR17" s="460"/>
      <c r="AS17" s="5">
        <f t="shared" si="101"/>
        <v>3.0460286713375702</v>
      </c>
      <c r="AT17" s="5">
        <f t="shared" si="27"/>
        <v>0.50051497234557496</v>
      </c>
      <c r="AU17" s="5">
        <f t="shared" si="102"/>
        <v>2.5455136989919951</v>
      </c>
      <c r="AV17" s="5">
        <f t="shared" si="28"/>
        <v>0.7310468811210169</v>
      </c>
      <c r="AW17" s="173">
        <f t="shared" si="103"/>
        <v>0.16431722296487417</v>
      </c>
      <c r="AX17" s="173">
        <f t="shared" si="29"/>
        <v>1.9697779132739692</v>
      </c>
      <c r="AY17" s="173">
        <f t="shared" si="30"/>
        <v>0.41784138851756292</v>
      </c>
      <c r="AZ17" s="173">
        <f t="shared" si="104"/>
        <v>4.7141761620657991</v>
      </c>
      <c r="BA17" s="460">
        <f t="shared" si="31"/>
        <v>0.37538622925918119</v>
      </c>
      <c r="BB17" s="5">
        <f t="shared" si="32"/>
        <v>0.16987569582083473</v>
      </c>
      <c r="BC17" s="5"/>
      <c r="BD17" s="173">
        <f t="shared" si="105"/>
        <v>0.23403505646581679</v>
      </c>
      <c r="BE17" s="173">
        <f t="shared" si="33"/>
        <v>0.5277887131024831</v>
      </c>
      <c r="BF17" s="173"/>
      <c r="BG17" s="528">
        <f t="shared" si="34"/>
        <v>1.0954481530991611E-3</v>
      </c>
      <c r="BH17" s="528">
        <f t="shared" si="35"/>
        <v>0.24214164427191734</v>
      </c>
      <c r="BI17" s="528">
        <f t="shared" si="36"/>
        <v>0.18103311392659413</v>
      </c>
      <c r="BJ17" s="528">
        <f t="shared" si="37"/>
        <v>0.26409091331042928</v>
      </c>
      <c r="BK17">
        <f t="shared" si="38"/>
        <v>1.0788888042037693E-2</v>
      </c>
      <c r="BL17" s="460">
        <f t="shared" si="106"/>
        <v>191.82200196863184</v>
      </c>
      <c r="BM17" s="528">
        <f t="shared" si="39"/>
        <v>0.50775593468026947</v>
      </c>
      <c r="BN17" s="460">
        <f t="shared" si="107"/>
        <v>507.75593468026949</v>
      </c>
      <c r="BO17" s="528">
        <f t="shared" si="108"/>
        <v>7.4549999999999991E-2</v>
      </c>
      <c r="BP17" s="528"/>
      <c r="BR17" s="460">
        <f t="shared" si="109"/>
        <v>74.55</v>
      </c>
      <c r="BS17" s="528">
        <f t="shared" si="40"/>
        <v>1.6431722296487417E-3</v>
      </c>
      <c r="BT17" s="528">
        <f t="shared" si="41"/>
        <v>8.3568277703512557E-3</v>
      </c>
      <c r="BU17" s="528">
        <f t="shared" si="42"/>
        <v>2.8799999999999999E-2</v>
      </c>
      <c r="BV17" s="528">
        <f t="shared" si="43"/>
        <v>4.1232986389111284E-2</v>
      </c>
      <c r="BW17" s="528">
        <f t="shared" si="44"/>
        <v>1.6414815943949742E-3</v>
      </c>
      <c r="BX17" s="460">
        <f t="shared" si="110"/>
        <v>42.874467983506257</v>
      </c>
      <c r="BY17" s="173">
        <f t="shared" si="45"/>
        <v>0.81700240463240759</v>
      </c>
      <c r="BZ17" s="5">
        <f t="shared" si="111"/>
        <v>1.92</v>
      </c>
      <c r="CA17" s="173">
        <f t="shared" si="112"/>
        <v>0.70149737418950686</v>
      </c>
      <c r="CB17" s="5">
        <f t="shared" si="113"/>
        <v>70.149737418950693</v>
      </c>
      <c r="CE17" s="562">
        <f t="shared" si="46"/>
        <v>-50</v>
      </c>
      <c r="CF17">
        <f t="shared" si="47"/>
        <v>-50</v>
      </c>
      <c r="CG17" s="173">
        <f t="shared" si="48"/>
        <v>0.24298148077579901</v>
      </c>
      <c r="CI17" s="170">
        <v>12</v>
      </c>
      <c r="CJ17" s="217">
        <f t="shared" si="114"/>
        <v>0.12</v>
      </c>
      <c r="CK17" s="217"/>
      <c r="CL17" s="217">
        <f t="shared" si="49"/>
        <v>1.92</v>
      </c>
      <c r="CM17" s="541">
        <f t="shared" si="50"/>
        <v>24</v>
      </c>
      <c r="CN17" s="172">
        <f t="shared" si="51"/>
        <v>16.399999999999999</v>
      </c>
      <c r="CO17" s="443">
        <f t="shared" si="52"/>
        <v>40.4</v>
      </c>
      <c r="CP17" s="443"/>
      <c r="CQ17" s="217">
        <f t="shared" si="53"/>
        <v>0.40594059405940591</v>
      </c>
      <c r="CR17" s="172">
        <f t="shared" si="54"/>
        <v>24.648712871287128</v>
      </c>
      <c r="CS17" s="172">
        <f t="shared" si="115"/>
        <v>1.92</v>
      </c>
      <c r="CT17" s="217">
        <f t="shared" si="55"/>
        <v>1.5405445544554455</v>
      </c>
      <c r="CU17" s="217">
        <f t="shared" si="56"/>
        <v>16</v>
      </c>
      <c r="CV17" s="217">
        <f t="shared" si="57"/>
        <v>1.5222772277227721</v>
      </c>
      <c r="CW17" s="172">
        <f t="shared" si="58"/>
        <v>476.02015028120519</v>
      </c>
      <c r="CX17" s="172">
        <f t="shared" si="59"/>
        <v>16</v>
      </c>
      <c r="CY17" s="217">
        <f t="shared" si="60"/>
        <v>0.39414634146341465</v>
      </c>
      <c r="CZ17" s="217">
        <f t="shared" si="61"/>
        <v>0.19707317073170733</v>
      </c>
      <c r="DA17" s="217">
        <f t="shared" si="62"/>
        <v>0.288399762046401</v>
      </c>
      <c r="DB17" s="197">
        <f t="shared" si="63"/>
        <v>350</v>
      </c>
      <c r="DC17" s="443">
        <f t="shared" si="116"/>
        <v>350</v>
      </c>
      <c r="DE17" s="217">
        <f t="shared" si="64"/>
        <v>2.3196605374823194</v>
      </c>
      <c r="DF17" s="173">
        <f t="shared" si="65"/>
        <v>1.6973125884016973</v>
      </c>
      <c r="DG17" s="173">
        <f t="shared" si="66"/>
        <v>0.68900808044029282</v>
      </c>
      <c r="DH17" s="173"/>
      <c r="DI17" s="173">
        <f t="shared" si="67"/>
        <v>0.73170731707317083</v>
      </c>
      <c r="DJ17" s="545">
        <f t="shared" si="117"/>
        <v>327.99999999999994</v>
      </c>
      <c r="DK17" s="528">
        <f t="shared" si="68"/>
        <v>0.12804878048780488</v>
      </c>
      <c r="DM17" s="173">
        <f t="shared" si="69"/>
        <v>0.96806139120556656</v>
      </c>
      <c r="DN17" s="173">
        <f t="shared" si="70"/>
        <v>1</v>
      </c>
      <c r="DO17" s="173">
        <f t="shared" si="71"/>
        <v>1.1874285714285715</v>
      </c>
      <c r="DQ17" s="545">
        <f t="shared" si="72"/>
        <v>120</v>
      </c>
      <c r="DR17" s="460">
        <f t="shared" si="73"/>
        <v>327.99999999999994</v>
      </c>
      <c r="DT17">
        <f t="shared" si="74"/>
        <v>120</v>
      </c>
      <c r="DU17" s="460">
        <f t="shared" si="75"/>
        <v>327.99999999999994</v>
      </c>
      <c r="DV17" s="460"/>
      <c r="DW17" s="5">
        <f t="shared" si="118"/>
        <v>3.0487804878048785</v>
      </c>
      <c r="DX17" s="5">
        <f t="shared" si="76"/>
        <v>0.5</v>
      </c>
      <c r="DY17" s="5">
        <f t="shared" si="119"/>
        <v>2.5487804878048785</v>
      </c>
      <c r="DZ17" s="5">
        <f t="shared" si="77"/>
        <v>0.73170731707317083</v>
      </c>
      <c r="EA17" s="173">
        <f t="shared" si="120"/>
        <v>0.16399999999999998</v>
      </c>
      <c r="EB17" s="173">
        <f t="shared" si="78"/>
        <v>1.9679999999999997</v>
      </c>
      <c r="EC17" s="173">
        <f t="shared" si="79"/>
        <v>0.41800000000000004</v>
      </c>
      <c r="ED17" s="173">
        <f t="shared" si="121"/>
        <v>4.7081339712918648</v>
      </c>
      <c r="EE17" s="460">
        <f t="shared" si="80"/>
        <v>0.375</v>
      </c>
      <c r="EF17" s="5">
        <f t="shared" si="81"/>
        <v>0.16991869918699187</v>
      </c>
      <c r="EG17" s="5"/>
      <c r="EH17" s="173">
        <f t="shared" si="122"/>
        <v>0.2338090388900024</v>
      </c>
      <c r="EI17" s="173">
        <f t="shared" si="82"/>
        <v>0.52788887719544408</v>
      </c>
      <c r="EJ17" s="173"/>
      <c r="EK17" s="528">
        <f t="shared" si="83"/>
        <v>1.0933333333333331E-3</v>
      </c>
      <c r="EL17" s="528">
        <f t="shared" si="84"/>
        <v>0.25177279999999996</v>
      </c>
      <c r="EM17" s="528">
        <f t="shared" si="85"/>
        <v>3.7719999999999997E-2</v>
      </c>
      <c r="EN17" s="528">
        <f t="shared" si="86"/>
        <v>0.26365912639999994</v>
      </c>
      <c r="EO17">
        <f t="shared" si="87"/>
        <v>1.0800000000000001E-2</v>
      </c>
      <c r="EP17" s="460">
        <f t="shared" si="123"/>
        <v>48.519999999999996</v>
      </c>
      <c r="EQ17" s="528">
        <f t="shared" si="88"/>
        <v>0.56548735977770692</v>
      </c>
      <c r="ER17" s="460">
        <f t="shared" si="124"/>
        <v>565.48735977770696</v>
      </c>
      <c r="ES17" s="528">
        <f t="shared" si="125"/>
        <v>7.4549999999999991E-2</v>
      </c>
      <c r="ET17" s="528"/>
      <c r="EV17" s="460">
        <f t="shared" si="126"/>
        <v>74.55</v>
      </c>
      <c r="EW17" s="528">
        <f t="shared" si="89"/>
        <v>1.6399999999999995E-3</v>
      </c>
      <c r="EX17" s="528">
        <f t="shared" si="90"/>
        <v>8.3599999999999976E-3</v>
      </c>
      <c r="EY17" s="528">
        <f t="shared" si="91"/>
        <v>9.7421455470137461E-2</v>
      </c>
      <c r="EZ17" s="528">
        <f t="shared" si="92"/>
        <v>0.10990938297651867</v>
      </c>
      <c r="FA17" s="528">
        <f t="shared" si="93"/>
        <v>1.6399999999999997E-3</v>
      </c>
      <c r="FB17" s="460">
        <f t="shared" si="127"/>
        <v>111.54938297651867</v>
      </c>
      <c r="FC17" s="173">
        <f t="shared" si="128"/>
        <v>0.75158674275422555</v>
      </c>
      <c r="FD17" s="5">
        <f t="shared" si="129"/>
        <v>1.92</v>
      </c>
      <c r="FE17" s="173">
        <f t="shared" si="130"/>
        <v>0.71867402591637708</v>
      </c>
      <c r="FF17" s="5">
        <f t="shared" si="131"/>
        <v>71.867402591637713</v>
      </c>
      <c r="FI17" s="562">
        <f t="shared" si="94"/>
        <v>-50</v>
      </c>
      <c r="FJ17">
        <f t="shared" si="95"/>
        <v>-50</v>
      </c>
      <c r="FL17">
        <f t="shared" si="96"/>
        <v>0.24</v>
      </c>
    </row>
    <row r="18" spans="5:168">
      <c r="E18" s="170">
        <v>13</v>
      </c>
      <c r="F18" s="217">
        <f t="shared" si="97"/>
        <v>0.13</v>
      </c>
      <c r="G18" s="217"/>
      <c r="H18" s="217">
        <f t="shared" si="0"/>
        <v>2.08</v>
      </c>
      <c r="I18" s="541">
        <f t="shared" si="1"/>
        <v>23.975119332423596</v>
      </c>
      <c r="J18" s="172">
        <f t="shared" si="2"/>
        <v>16.414928400545843</v>
      </c>
      <c r="K18" s="172">
        <f t="shared" si="3"/>
        <v>40.414928400545847</v>
      </c>
      <c r="L18" s="443"/>
      <c r="M18" s="217">
        <f t="shared" si="4"/>
        <v>0.40641295082435008</v>
      </c>
      <c r="N18" s="172">
        <f t="shared" si="5"/>
        <v>24.651811455468174</v>
      </c>
      <c r="O18" s="172">
        <f t="shared" si="98"/>
        <v>2.08</v>
      </c>
      <c r="P18" s="217">
        <f t="shared" si="6"/>
        <v>1.5407382159667609</v>
      </c>
      <c r="Q18" s="217">
        <f t="shared" si="7"/>
        <v>16</v>
      </c>
      <c r="R18" s="217">
        <f t="shared" si="8"/>
        <v>1.5224685928525303</v>
      </c>
      <c r="S18" s="172">
        <f t="shared" si="9"/>
        <v>437.10678759859803</v>
      </c>
      <c r="T18" s="172">
        <f t="shared" si="10"/>
        <v>16</v>
      </c>
      <c r="U18" s="217">
        <f t="shared" si="99"/>
        <v>0.43801494719448092</v>
      </c>
      <c r="V18" s="217">
        <f t="shared" si="11"/>
        <v>0.2192347530560731</v>
      </c>
      <c r="W18" s="217">
        <f t="shared" si="12"/>
        <v>0.32020726731643795</v>
      </c>
      <c r="X18" s="197">
        <f t="shared" si="13"/>
        <v>350</v>
      </c>
      <c r="Y18" s="443">
        <f t="shared" si="14"/>
        <v>350</v>
      </c>
      <c r="AA18" s="217">
        <f t="shared" si="15"/>
        <v>2.3199365834243229</v>
      </c>
      <c r="AB18" s="173">
        <f t="shared" si="16"/>
        <v>1.6959707847501877</v>
      </c>
      <c r="AC18" s="173">
        <f t="shared" si="17"/>
        <v>0.68854531689314324</v>
      </c>
      <c r="AD18" s="173"/>
      <c r="AE18" s="173">
        <f t="shared" si="18"/>
        <v>0.73104187281139565</v>
      </c>
      <c r="AF18" s="545">
        <f t="shared" si="100"/>
        <v>355.65678201182658</v>
      </c>
      <c r="AG18" s="528">
        <f t="shared" si="19"/>
        <v>0.12793232774199426</v>
      </c>
      <c r="AI18" s="173">
        <f t="shared" si="20"/>
        <v>1.0080487261633262</v>
      </c>
      <c r="AJ18" s="173">
        <f t="shared" si="21"/>
        <v>1.0080487261633262</v>
      </c>
      <c r="AK18" s="173">
        <f t="shared" si="22"/>
        <v>1.2059620193802416</v>
      </c>
      <c r="AM18" s="545">
        <f t="shared" si="23"/>
        <v>130</v>
      </c>
      <c r="AN18" s="460">
        <f t="shared" si="24"/>
        <v>350</v>
      </c>
      <c r="AP18">
        <f t="shared" si="25"/>
        <v>130</v>
      </c>
      <c r="AQ18" s="460">
        <f t="shared" si="26"/>
        <v>350</v>
      </c>
      <c r="AR18" s="460"/>
      <c r="AS18" s="5">
        <f t="shared" si="101"/>
        <v>2.8571428571428572</v>
      </c>
      <c r="AT18" s="5">
        <f t="shared" si="27"/>
        <v>0.50454742461284319</v>
      </c>
      <c r="AU18" s="5">
        <f t="shared" si="102"/>
        <v>2.352595432530014</v>
      </c>
      <c r="AV18" s="5">
        <f t="shared" si="28"/>
        <v>0.73692582865957967</v>
      </c>
      <c r="AW18" s="173">
        <f t="shared" si="103"/>
        <v>0.17659159861449511</v>
      </c>
      <c r="AX18" s="173">
        <f t="shared" si="29"/>
        <v>2.13394069207096</v>
      </c>
      <c r="AY18" s="173">
        <f t="shared" si="30"/>
        <v>0.4150178950644195</v>
      </c>
      <c r="AZ18" s="173">
        <f t="shared" si="104"/>
        <v>5.1418040461598107</v>
      </c>
      <c r="BA18" s="460">
        <f t="shared" si="31"/>
        <v>0.40994478249793515</v>
      </c>
      <c r="BB18" s="5">
        <f t="shared" si="32"/>
        <v>0.17008599734213728</v>
      </c>
      <c r="BC18" s="5"/>
      <c r="BD18" s="173">
        <f t="shared" si="105"/>
        <v>0.24457153923420069</v>
      </c>
      <c r="BE18" s="173">
        <f t="shared" si="33"/>
        <v>0.52811505088359489</v>
      </c>
      <c r="BF18" s="173"/>
      <c r="BG18" s="528">
        <f t="shared" si="34"/>
        <v>1.1963047560677234E-3</v>
      </c>
      <c r="BH18" s="528">
        <f t="shared" si="35"/>
        <v>0.26022813667612271</v>
      </c>
      <c r="BI18" s="528">
        <f t="shared" si="36"/>
        <v>0.19299971062600996</v>
      </c>
      <c r="BJ18" s="528">
        <f t="shared" si="37"/>
        <v>0.28155153968496249</v>
      </c>
      <c r="BK18">
        <f t="shared" si="38"/>
        <v>1.0788803699590618E-2</v>
      </c>
      <c r="BL18" s="460">
        <f t="shared" si="106"/>
        <v>203.78851432560057</v>
      </c>
      <c r="BM18" s="528">
        <f t="shared" si="39"/>
        <v>0.54345345570390458</v>
      </c>
      <c r="BN18" s="460">
        <f t="shared" si="107"/>
        <v>543.45345570390452</v>
      </c>
      <c r="BO18" s="528">
        <f t="shared" si="108"/>
        <v>8.0762499999999987E-2</v>
      </c>
      <c r="BP18" s="528"/>
      <c r="BR18" s="460">
        <f t="shared" si="109"/>
        <v>80.762499999999989</v>
      </c>
      <c r="BS18" s="528">
        <f t="shared" si="40"/>
        <v>1.794457134101585E-3</v>
      </c>
      <c r="BT18" s="528">
        <f t="shared" si="41"/>
        <v>8.3671652090934606E-3</v>
      </c>
      <c r="BU18" s="528">
        <f t="shared" si="42"/>
        <v>3.1199999999999999E-2</v>
      </c>
      <c r="BV18" s="528">
        <f t="shared" si="43"/>
        <v>4.3836047334204147E-2</v>
      </c>
      <c r="BW18" s="528">
        <f t="shared" si="44"/>
        <v>1.7782839100591334E-3</v>
      </c>
      <c r="BX18" s="460">
        <f t="shared" si="110"/>
        <v>45.614331244263276</v>
      </c>
      <c r="BY18" s="173">
        <f t="shared" si="45"/>
        <v>0.87361880127376834</v>
      </c>
      <c r="BZ18" s="5">
        <f t="shared" si="111"/>
        <v>2.08</v>
      </c>
      <c r="CA18" s="173">
        <f t="shared" si="112"/>
        <v>0.70422086936302875</v>
      </c>
      <c r="CB18" s="5">
        <f t="shared" si="113"/>
        <v>70.422086936302875</v>
      </c>
      <c r="CE18" s="562">
        <f t="shared" si="46"/>
        <v>-50</v>
      </c>
      <c r="CF18">
        <f t="shared" si="47"/>
        <v>-50</v>
      </c>
      <c r="CG18" s="173">
        <f t="shared" si="48"/>
        <v>0.26124700955226265</v>
      </c>
      <c r="CI18" s="170">
        <v>13</v>
      </c>
      <c r="CJ18" s="217">
        <f t="shared" si="114"/>
        <v>0.13</v>
      </c>
      <c r="CK18" s="217"/>
      <c r="CL18" s="217">
        <f t="shared" si="49"/>
        <v>2.08</v>
      </c>
      <c r="CM18" s="541">
        <f t="shared" si="50"/>
        <v>24</v>
      </c>
      <c r="CN18" s="172">
        <f t="shared" si="51"/>
        <v>16.399999999999999</v>
      </c>
      <c r="CO18" s="443">
        <f t="shared" si="52"/>
        <v>40.4</v>
      </c>
      <c r="CP18" s="443"/>
      <c r="CQ18" s="217">
        <f t="shared" si="53"/>
        <v>0.40594059405940591</v>
      </c>
      <c r="CR18" s="172">
        <f t="shared" si="54"/>
        <v>24.648712871287128</v>
      </c>
      <c r="CS18" s="172">
        <f t="shared" si="115"/>
        <v>2.08</v>
      </c>
      <c r="CT18" s="217">
        <f t="shared" si="55"/>
        <v>1.5405445544554455</v>
      </c>
      <c r="CU18" s="217">
        <f t="shared" si="56"/>
        <v>16</v>
      </c>
      <c r="CV18" s="217">
        <f t="shared" si="57"/>
        <v>1.5222772277227721</v>
      </c>
      <c r="CW18" s="172">
        <f t="shared" si="58"/>
        <v>437.56038132940444</v>
      </c>
      <c r="CX18" s="172">
        <f t="shared" si="59"/>
        <v>16</v>
      </c>
      <c r="CY18" s="217">
        <f t="shared" si="60"/>
        <v>0.4269918699186992</v>
      </c>
      <c r="CZ18" s="217">
        <f t="shared" si="61"/>
        <v>0.21349593495934963</v>
      </c>
      <c r="DA18" s="217">
        <f t="shared" si="62"/>
        <v>0.31243307555026772</v>
      </c>
      <c r="DB18" s="197">
        <f t="shared" si="63"/>
        <v>350</v>
      </c>
      <c r="DC18" s="443">
        <f t="shared" si="116"/>
        <v>350</v>
      </c>
      <c r="DE18" s="217">
        <f t="shared" si="64"/>
        <v>2.3196605374823194</v>
      </c>
      <c r="DF18" s="173">
        <f t="shared" si="65"/>
        <v>1.6973125884016973</v>
      </c>
      <c r="DG18" s="173">
        <f t="shared" si="66"/>
        <v>0.68900808044029282</v>
      </c>
      <c r="DH18" s="173"/>
      <c r="DI18" s="173">
        <f t="shared" si="67"/>
        <v>0.73170731707317083</v>
      </c>
      <c r="DJ18" s="545">
        <f t="shared" si="117"/>
        <v>355.33333333333331</v>
      </c>
      <c r="DK18" s="528">
        <f t="shared" si="68"/>
        <v>0.12804878048780488</v>
      </c>
      <c r="DM18" s="173">
        <f t="shared" si="69"/>
        <v>1.0075902417342555</v>
      </c>
      <c r="DN18" s="173">
        <f t="shared" si="70"/>
        <v>1.0075902417342555</v>
      </c>
      <c r="DO18" s="173">
        <f t="shared" si="71"/>
        <v>1.2056224012846337</v>
      </c>
      <c r="DQ18" s="545">
        <f t="shared" si="72"/>
        <v>130</v>
      </c>
      <c r="DR18" s="460">
        <f t="shared" si="73"/>
        <v>350</v>
      </c>
      <c r="DT18">
        <f t="shared" si="74"/>
        <v>130</v>
      </c>
      <c r="DU18" s="460">
        <f t="shared" si="75"/>
        <v>350</v>
      </c>
      <c r="DV18" s="460"/>
      <c r="DW18" s="5">
        <f t="shared" si="118"/>
        <v>2.8571428571428572</v>
      </c>
      <c r="DX18" s="5">
        <f t="shared" si="76"/>
        <v>0.50379512086712774</v>
      </c>
      <c r="DY18" s="5">
        <f t="shared" si="119"/>
        <v>2.3533477362757296</v>
      </c>
      <c r="DZ18" s="5">
        <f t="shared" si="77"/>
        <v>0.73726115248847968</v>
      </c>
      <c r="EA18" s="173">
        <f t="shared" si="120"/>
        <v>0.1763282923034947</v>
      </c>
      <c r="EB18" s="173">
        <f t="shared" si="78"/>
        <v>2.1320000000000006</v>
      </c>
      <c r="EC18" s="173">
        <f t="shared" si="79"/>
        <v>0.41496178753379442</v>
      </c>
      <c r="ED18" s="173">
        <f t="shared" si="121"/>
        <v>5.1378224791996558</v>
      </c>
      <c r="EE18" s="460">
        <f t="shared" si="80"/>
        <v>0.40933353570454134</v>
      </c>
      <c r="EF18" s="5">
        <f t="shared" si="81"/>
        <v>0.16996400317546934</v>
      </c>
      <c r="EG18" s="5"/>
      <c r="EH18" s="173">
        <f t="shared" si="122"/>
        <v>0.24427798346336638</v>
      </c>
      <c r="EI18" s="173">
        <f t="shared" si="82"/>
        <v>0.52795924578301479</v>
      </c>
      <c r="EJ18" s="173"/>
      <c r="EK18" s="528">
        <f t="shared" si="83"/>
        <v>1.193434664098574E-3</v>
      </c>
      <c r="EL18" s="528">
        <f t="shared" si="84"/>
        <v>0.2706991943443251</v>
      </c>
      <c r="EM18" s="528">
        <f t="shared" si="85"/>
        <v>4.0250000000000001E-2</v>
      </c>
      <c r="EN18" s="528">
        <f t="shared" si="86"/>
        <v>0.28134357999999998</v>
      </c>
      <c r="EO18">
        <f t="shared" si="87"/>
        <v>1.0800000000000001E-2</v>
      </c>
      <c r="EP18" s="460">
        <f t="shared" si="123"/>
        <v>51.05</v>
      </c>
      <c r="EQ18" s="528">
        <f t="shared" si="88"/>
        <v>0.60477992781013823</v>
      </c>
      <c r="ER18" s="460">
        <f t="shared" si="124"/>
        <v>604.77992781013825</v>
      </c>
      <c r="ES18" s="528">
        <f t="shared" si="125"/>
        <v>8.0762499999999987E-2</v>
      </c>
      <c r="ET18" s="528"/>
      <c r="EV18" s="460">
        <f t="shared" si="126"/>
        <v>80.762499999999989</v>
      </c>
      <c r="EW18" s="528">
        <f t="shared" si="89"/>
        <v>1.7901519961478608E-3</v>
      </c>
      <c r="EX18" s="528">
        <f t="shared" si="90"/>
        <v>8.3622289562330938E-3</v>
      </c>
      <c r="EY18" s="528">
        <f t="shared" si="91"/>
        <v>0.11677503260967126</v>
      </c>
      <c r="EZ18" s="528">
        <f t="shared" si="92"/>
        <v>0.12946913859194861</v>
      </c>
      <c r="FA18" s="528">
        <f t="shared" si="93"/>
        <v>1.7766666666666671E-3</v>
      </c>
      <c r="FB18" s="460">
        <f t="shared" si="127"/>
        <v>131.24580525861529</v>
      </c>
      <c r="FC18" s="173">
        <f t="shared" si="128"/>
        <v>0.81678823306875348</v>
      </c>
      <c r="FD18" s="5">
        <f t="shared" si="129"/>
        <v>2.08</v>
      </c>
      <c r="FE18" s="173">
        <f t="shared" si="130"/>
        <v>0.71803660904702127</v>
      </c>
      <c r="FF18" s="5">
        <f t="shared" si="131"/>
        <v>71.803660904702127</v>
      </c>
      <c r="FI18" s="562">
        <f t="shared" si="94"/>
        <v>-50</v>
      </c>
      <c r="FJ18">
        <f t="shared" si="95"/>
        <v>-50</v>
      </c>
      <c r="FL18">
        <f t="shared" si="96"/>
        <v>0.25804140337096787</v>
      </c>
    </row>
    <row r="19" spans="5:168">
      <c r="E19" s="170">
        <v>14</v>
      </c>
      <c r="F19" s="217">
        <f t="shared" si="97"/>
        <v>0.14000000000000001</v>
      </c>
      <c r="G19" s="217"/>
      <c r="H19" s="217">
        <f t="shared" si="0"/>
        <v>2.2400000000000002</v>
      </c>
      <c r="I19" s="541">
        <f t="shared" si="1"/>
        <v>23.974180111025284</v>
      </c>
      <c r="J19" s="172">
        <f t="shared" si="2"/>
        <v>16.415491933384828</v>
      </c>
      <c r="K19" s="172">
        <f t="shared" si="3"/>
        <v>40.415491933384828</v>
      </c>
      <c r="L19" s="443"/>
      <c r="M19" s="217">
        <f t="shared" si="4"/>
        <v>0.40643078631488078</v>
      </c>
      <c r="N19" s="172">
        <f t="shared" si="5"/>
        <v>24.651927530659808</v>
      </c>
      <c r="O19" s="172">
        <f t="shared" si="98"/>
        <v>2.2400000000000002</v>
      </c>
      <c r="P19" s="217">
        <f t="shared" si="6"/>
        <v>1.540745470666238</v>
      </c>
      <c r="Q19" s="217">
        <f t="shared" si="7"/>
        <v>16</v>
      </c>
      <c r="R19" s="217">
        <f t="shared" si="8"/>
        <v>1.5224757615279032</v>
      </c>
      <c r="S19" s="172">
        <f t="shared" si="9"/>
        <v>404.15988297630656</v>
      </c>
      <c r="T19" s="172">
        <f t="shared" si="10"/>
        <v>16</v>
      </c>
      <c r="U19" s="217">
        <f t="shared" si="99"/>
        <v>0.47172257850377075</v>
      </c>
      <c r="V19" s="217">
        <f t="shared" si="11"/>
        <v>0.2361153088794061</v>
      </c>
      <c r="W19" s="217">
        <f t="shared" si="12"/>
        <v>0.34483711880317891</v>
      </c>
      <c r="X19" s="197">
        <f t="shared" si="13"/>
        <v>350</v>
      </c>
      <c r="Y19" s="443">
        <f t="shared" si="14"/>
        <v>350</v>
      </c>
      <c r="AA19" s="217">
        <f t="shared" si="15"/>
        <v>2.3199469207854744</v>
      </c>
      <c r="AB19" s="173">
        <f t="shared" si="16"/>
        <v>1.6959201199939484</v>
      </c>
      <c r="AC19" s="173">
        <f t="shared" si="17"/>
        <v>0.68852781554866627</v>
      </c>
      <c r="AD19" s="173"/>
      <c r="AE19" s="173">
        <f t="shared" si="18"/>
        <v>0.73101677663373155</v>
      </c>
      <c r="AF19" s="545">
        <f t="shared" si="100"/>
        <v>383.0281451123127</v>
      </c>
      <c r="AG19" s="528">
        <f t="shared" si="19"/>
        <v>0.12792793591090301</v>
      </c>
      <c r="AI19" s="173">
        <f t="shared" si="20"/>
        <v>1.0461195576473667</v>
      </c>
      <c r="AJ19" s="173">
        <f t="shared" si="21"/>
        <v>1.0461195576473667</v>
      </c>
      <c r="AK19" s="173">
        <f t="shared" si="22"/>
        <v>1.2341626352943458</v>
      </c>
      <c r="AM19" s="545">
        <f t="shared" si="23"/>
        <v>140</v>
      </c>
      <c r="AN19" s="460">
        <f t="shared" si="24"/>
        <v>350</v>
      </c>
      <c r="AP19">
        <f t="shared" si="25"/>
        <v>140</v>
      </c>
      <c r="AQ19" s="460">
        <f t="shared" si="26"/>
        <v>350</v>
      </c>
      <c r="AR19" s="460"/>
      <c r="AS19" s="5">
        <f t="shared" si="101"/>
        <v>2.8571428571428572</v>
      </c>
      <c r="AT19" s="5">
        <f t="shared" si="27"/>
        <v>0.52362310759462882</v>
      </c>
      <c r="AU19" s="5">
        <f t="shared" si="102"/>
        <v>2.3335197495482283</v>
      </c>
      <c r="AV19" s="5">
        <f t="shared" si="28"/>
        <v>0.7647309470048832</v>
      </c>
      <c r="AW19" s="173">
        <f t="shared" si="103"/>
        <v>0.18326808765812008</v>
      </c>
      <c r="AX19" s="173">
        <f t="shared" si="29"/>
        <v>2.298168870673877</v>
      </c>
      <c r="AY19" s="173">
        <f t="shared" si="30"/>
        <v>0.42719961342778767</v>
      </c>
      <c r="AZ19" s="173">
        <f t="shared" si="104"/>
        <v>5.3796136476662602</v>
      </c>
      <c r="BA19" s="460">
        <f t="shared" si="31"/>
        <v>0.45817021914530026</v>
      </c>
      <c r="BB19" s="5">
        <f t="shared" si="32"/>
        <v>0.18169144939754692</v>
      </c>
      <c r="BC19" s="5"/>
      <c r="BD19" s="173">
        <f t="shared" si="105"/>
        <v>0.25856165456870284</v>
      </c>
      <c r="BE19" s="173">
        <f t="shared" si="33"/>
        <v>0.54583383956793019</v>
      </c>
      <c r="BF19" s="173"/>
      <c r="BG19" s="528">
        <f t="shared" si="34"/>
        <v>1.3370825842661041E-3</v>
      </c>
      <c r="BH19" s="528">
        <f t="shared" si="35"/>
        <v>0.27005990092130772</v>
      </c>
      <c r="BI19" s="528">
        <f t="shared" si="36"/>
        <v>0.19299214989375355</v>
      </c>
      <c r="BJ19" s="528">
        <f t="shared" si="37"/>
        <v>0.28155939146899056</v>
      </c>
      <c r="BK19">
        <f t="shared" si="38"/>
        <v>1.0788381049961377E-2</v>
      </c>
      <c r="BL19" s="460">
        <f t="shared" si="106"/>
        <v>203.78053094371492</v>
      </c>
      <c r="BM19" s="528">
        <f t="shared" si="39"/>
        <v>0.55349322699058234</v>
      </c>
      <c r="BN19" s="460">
        <f t="shared" si="107"/>
        <v>553.49322699058234</v>
      </c>
      <c r="BO19" s="528">
        <f t="shared" si="108"/>
        <v>8.6974999999999997E-2</v>
      </c>
      <c r="BP19" s="528"/>
      <c r="BR19" s="460">
        <f t="shared" si="109"/>
        <v>86.974999999999994</v>
      </c>
      <c r="BS19" s="528">
        <f t="shared" si="40"/>
        <v>2.0056238763991562E-3</v>
      </c>
      <c r="BT19" s="528">
        <f t="shared" si="41"/>
        <v>8.9380374125240681E-3</v>
      </c>
      <c r="BU19" s="528">
        <f t="shared" si="42"/>
        <v>3.3600000000000005E-2</v>
      </c>
      <c r="BV19" s="528">
        <f t="shared" si="43"/>
        <v>4.7211473308091584E-2</v>
      </c>
      <c r="BW19" s="528">
        <f t="shared" si="44"/>
        <v>1.915140725561564E-3</v>
      </c>
      <c r="BX19" s="460">
        <f t="shared" si="110"/>
        <v>49.126614033653148</v>
      </c>
      <c r="BY19" s="173">
        <f t="shared" si="45"/>
        <v>0.89337537196795047</v>
      </c>
      <c r="BZ19" s="5">
        <f t="shared" si="111"/>
        <v>2.2400000000000002</v>
      </c>
      <c r="CA19" s="173">
        <f t="shared" si="112"/>
        <v>0.71488402571861143</v>
      </c>
      <c r="CB19" s="5">
        <f t="shared" si="113"/>
        <v>71.488402571861144</v>
      </c>
      <c r="CE19" s="562">
        <f t="shared" si="46"/>
        <v>-50</v>
      </c>
      <c r="CF19">
        <f t="shared" si="47"/>
        <v>-50</v>
      </c>
      <c r="CG19" s="173">
        <f t="shared" si="48"/>
        <v>0.2711088342345192</v>
      </c>
      <c r="CI19" s="170">
        <v>14</v>
      </c>
      <c r="CJ19" s="217">
        <f t="shared" si="114"/>
        <v>0.14000000000000001</v>
      </c>
      <c r="CK19" s="217"/>
      <c r="CL19" s="217">
        <f t="shared" si="49"/>
        <v>2.2400000000000002</v>
      </c>
      <c r="CM19" s="541">
        <f t="shared" si="50"/>
        <v>24</v>
      </c>
      <c r="CN19" s="172">
        <f t="shared" si="51"/>
        <v>16.399999999999999</v>
      </c>
      <c r="CO19" s="443">
        <f t="shared" si="52"/>
        <v>40.4</v>
      </c>
      <c r="CP19" s="443"/>
      <c r="CQ19" s="217">
        <f t="shared" si="53"/>
        <v>0.40594059405940591</v>
      </c>
      <c r="CR19" s="172">
        <f t="shared" si="54"/>
        <v>24.648712871287128</v>
      </c>
      <c r="CS19" s="172">
        <f t="shared" si="115"/>
        <v>2.2400000000000002</v>
      </c>
      <c r="CT19" s="217">
        <f t="shared" si="55"/>
        <v>1.5405445544554455</v>
      </c>
      <c r="CU19" s="217">
        <f t="shared" si="56"/>
        <v>16</v>
      </c>
      <c r="CV19" s="217">
        <f t="shared" si="57"/>
        <v>1.5222772277227721</v>
      </c>
      <c r="CW19" s="172">
        <f t="shared" si="58"/>
        <v>404.5951325600156</v>
      </c>
      <c r="CX19" s="172">
        <f t="shared" si="59"/>
        <v>16</v>
      </c>
      <c r="CY19" s="217">
        <f t="shared" si="60"/>
        <v>0.4598373983739838</v>
      </c>
      <c r="CZ19" s="217">
        <f t="shared" si="61"/>
        <v>0.2299186991869919</v>
      </c>
      <c r="DA19" s="217">
        <f t="shared" si="62"/>
        <v>0.33646638905413451</v>
      </c>
      <c r="DB19" s="197">
        <f t="shared" si="63"/>
        <v>350</v>
      </c>
      <c r="DC19" s="443">
        <f t="shared" si="116"/>
        <v>350</v>
      </c>
      <c r="DE19" s="217">
        <f t="shared" si="64"/>
        <v>2.3196605374823194</v>
      </c>
      <c r="DF19" s="173">
        <f t="shared" si="65"/>
        <v>1.6973125884016973</v>
      </c>
      <c r="DG19" s="173">
        <f t="shared" si="66"/>
        <v>0.68900808044029282</v>
      </c>
      <c r="DH19" s="173"/>
      <c r="DI19" s="173">
        <f t="shared" si="67"/>
        <v>0.73170731707317083</v>
      </c>
      <c r="DJ19" s="545">
        <f t="shared" si="117"/>
        <v>382.66666666666663</v>
      </c>
      <c r="DK19" s="528">
        <f t="shared" si="68"/>
        <v>0.12804878048780488</v>
      </c>
      <c r="DM19" s="173">
        <f t="shared" si="69"/>
        <v>1.0456258094238748</v>
      </c>
      <c r="DN19" s="173">
        <f t="shared" si="70"/>
        <v>1.0456258094238748</v>
      </c>
      <c r="DO19" s="173">
        <f t="shared" si="71"/>
        <v>1.2337968958695369</v>
      </c>
      <c r="DQ19" s="545">
        <f t="shared" si="72"/>
        <v>140</v>
      </c>
      <c r="DR19" s="460">
        <f t="shared" si="73"/>
        <v>350</v>
      </c>
      <c r="DT19">
        <f t="shared" si="74"/>
        <v>140</v>
      </c>
      <c r="DU19" s="460">
        <f t="shared" si="75"/>
        <v>350</v>
      </c>
      <c r="DV19" s="460"/>
      <c r="DW19" s="5">
        <f t="shared" si="118"/>
        <v>2.8571428571428572</v>
      </c>
      <c r="DX19" s="5">
        <f t="shared" si="76"/>
        <v>0.52281290471193742</v>
      </c>
      <c r="DY19" s="5">
        <f t="shared" si="119"/>
        <v>2.3343299524309198</v>
      </c>
      <c r="DZ19" s="5">
        <f t="shared" si="77"/>
        <v>0.76509205567600602</v>
      </c>
      <c r="EA19" s="173">
        <f t="shared" si="120"/>
        <v>0.18298451664917809</v>
      </c>
      <c r="EB19" s="173">
        <f t="shared" si="78"/>
        <v>2.2960000000000003</v>
      </c>
      <c r="EC19" s="173">
        <f t="shared" si="79"/>
        <v>0.42714623804527074</v>
      </c>
      <c r="ED19" s="173">
        <f t="shared" si="121"/>
        <v>5.3752082905074321</v>
      </c>
      <c r="EE19" s="460">
        <f t="shared" si="80"/>
        <v>0.4574612916229453</v>
      </c>
      <c r="EF19" s="5">
        <f t="shared" si="81"/>
        <v>0.18155899630018263</v>
      </c>
      <c r="EG19" s="5"/>
      <c r="EH19" s="173">
        <f t="shared" si="122"/>
        <v>0.25823959903962235</v>
      </c>
      <c r="EI19" s="173">
        <f t="shared" si="82"/>
        <v>0.54567092091506908</v>
      </c>
      <c r="EJ19" s="173"/>
      <c r="EK19" s="528">
        <f t="shared" si="83"/>
        <v>1.3337538102428984E-3</v>
      </c>
      <c r="EL19" s="528">
        <f t="shared" si="84"/>
        <v>0.28091782995981823</v>
      </c>
      <c r="EM19" s="528">
        <f t="shared" si="85"/>
        <v>4.0250000000000001E-2</v>
      </c>
      <c r="EN19" s="528">
        <f t="shared" si="86"/>
        <v>0.28134357999999998</v>
      </c>
      <c r="EO19">
        <f t="shared" si="87"/>
        <v>1.0800000000000001E-2</v>
      </c>
      <c r="EP19" s="460">
        <f t="shared" si="123"/>
        <v>51.05</v>
      </c>
      <c r="EQ19" s="528">
        <f t="shared" si="88"/>
        <v>0.61520023419479197</v>
      </c>
      <c r="ER19" s="460">
        <f t="shared" si="124"/>
        <v>615.20023419479196</v>
      </c>
      <c r="ES19" s="528">
        <f t="shared" si="125"/>
        <v>8.6974999999999997E-2</v>
      </c>
      <c r="ET19" s="528"/>
      <c r="EV19" s="460">
        <f t="shared" si="126"/>
        <v>86.974999999999994</v>
      </c>
      <c r="EW19" s="528">
        <f t="shared" si="89"/>
        <v>2.0006307153643474E-3</v>
      </c>
      <c r="EX19" s="528">
        <f t="shared" si="90"/>
        <v>8.9327026179689857E-3</v>
      </c>
      <c r="EY19" s="528">
        <f t="shared" si="91"/>
        <v>0.12810935701292506</v>
      </c>
      <c r="EZ19" s="528">
        <f t="shared" si="92"/>
        <v>0.14179070995389809</v>
      </c>
      <c r="FA19" s="528">
        <f t="shared" si="93"/>
        <v>1.9133333333333337E-3</v>
      </c>
      <c r="FB19" s="460">
        <f t="shared" si="127"/>
        <v>143.7040432872314</v>
      </c>
      <c r="FC19" s="173">
        <f t="shared" si="128"/>
        <v>0.84587927748202341</v>
      </c>
      <c r="FD19" s="5">
        <f t="shared" si="129"/>
        <v>2.2400000000000002</v>
      </c>
      <c r="FE19" s="173">
        <f t="shared" si="130"/>
        <v>0.72588711306547515</v>
      </c>
      <c r="FF19" s="5">
        <f t="shared" si="131"/>
        <v>72.588711306547509</v>
      </c>
      <c r="FI19" s="562">
        <f t="shared" si="94"/>
        <v>-50</v>
      </c>
      <c r="FJ19">
        <f t="shared" si="95"/>
        <v>-50</v>
      </c>
      <c r="FL19">
        <f t="shared" si="96"/>
        <v>0.26778221948660214</v>
      </c>
    </row>
    <row r="20" spans="5:168">
      <c r="E20" s="170">
        <v>15</v>
      </c>
      <c r="F20" s="217">
        <f t="shared" si="97"/>
        <v>0.15</v>
      </c>
      <c r="G20" s="217"/>
      <c r="H20" s="217">
        <f t="shared" si="0"/>
        <v>2.4</v>
      </c>
      <c r="I20" s="541">
        <f t="shared" si="1"/>
        <v>23.973273875808758</v>
      </c>
      <c r="J20" s="172">
        <f t="shared" si="2"/>
        <v>16.416035674514745</v>
      </c>
      <c r="K20" s="172">
        <f t="shared" si="3"/>
        <v>40.416035674514745</v>
      </c>
      <c r="L20" s="443"/>
      <c r="M20" s="217">
        <f t="shared" si="4"/>
        <v>0.40644799571785512</v>
      </c>
      <c r="N20" s="172">
        <f t="shared" si="5"/>
        <v>24.652039467572742</v>
      </c>
      <c r="O20" s="172">
        <f t="shared" si="98"/>
        <v>2.4</v>
      </c>
      <c r="P20" s="217">
        <f t="shared" si="6"/>
        <v>1.5407524667232964</v>
      </c>
      <c r="Q20" s="217">
        <f t="shared" si="7"/>
        <v>16</v>
      </c>
      <c r="R20" s="217">
        <f t="shared" si="8"/>
        <v>1.5224826746277633</v>
      </c>
      <c r="S20" s="172">
        <f t="shared" si="9"/>
        <v>375.60679374305005</v>
      </c>
      <c r="T20" s="172">
        <f t="shared" si="10"/>
        <v>16</v>
      </c>
      <c r="U20" s="217">
        <f t="shared" si="99"/>
        <v>0.50543170242146973</v>
      </c>
      <c r="V20" s="217">
        <f t="shared" si="11"/>
        <v>0.25299758641551096</v>
      </c>
      <c r="W20" s="217">
        <f t="shared" si="12"/>
        <v>0.36946681582043545</v>
      </c>
      <c r="X20" s="197">
        <f t="shared" si="13"/>
        <v>350</v>
      </c>
      <c r="Y20" s="443">
        <f t="shared" si="14"/>
        <v>350</v>
      </c>
      <c r="AA20" s="217">
        <f t="shared" si="15"/>
        <v>2.3199568893574591</v>
      </c>
      <c r="AB20" s="173">
        <f t="shared" si="16"/>
        <v>1.6958712337296649</v>
      </c>
      <c r="AC20" s="173">
        <f t="shared" si="17"/>
        <v>0.68851092662699731</v>
      </c>
      <c r="AD20" s="173"/>
      <c r="AE20" s="173">
        <f t="shared" si="18"/>
        <v>0.73099256348653852</v>
      </c>
      <c r="AF20" s="545">
        <f t="shared" si="100"/>
        <v>410.4008918628686</v>
      </c>
      <c r="AG20" s="528">
        <f t="shared" si="19"/>
        <v>0.12792369861014424</v>
      </c>
      <c r="AI20" s="173">
        <f t="shared" si="20"/>
        <v>1.082854550136376</v>
      </c>
      <c r="AJ20" s="173">
        <f t="shared" si="21"/>
        <v>1.082854550136376</v>
      </c>
      <c r="AK20" s="173">
        <f t="shared" si="22"/>
        <v>1.26137374084176</v>
      </c>
      <c r="AM20" s="545">
        <f t="shared" si="23"/>
        <v>150</v>
      </c>
      <c r="AN20" s="460">
        <f t="shared" si="24"/>
        <v>350</v>
      </c>
      <c r="AP20">
        <f t="shared" si="25"/>
        <v>150</v>
      </c>
      <c r="AQ20" s="460">
        <f t="shared" si="26"/>
        <v>350</v>
      </c>
      <c r="AR20" s="460"/>
      <c r="AS20" s="5">
        <f t="shared" si="101"/>
        <v>2.8571428571428572</v>
      </c>
      <c r="AT20" s="5">
        <f t="shared" si="27"/>
        <v>0.54203087442090725</v>
      </c>
      <c r="AU20" s="5">
        <f t="shared" si="102"/>
        <v>2.31511198272195</v>
      </c>
      <c r="AV20" s="5">
        <f t="shared" si="28"/>
        <v>0.79155862348725192</v>
      </c>
      <c r="AW20" s="173">
        <f t="shared" si="103"/>
        <v>0.18971080604731752</v>
      </c>
      <c r="AX20" s="173">
        <f t="shared" si="29"/>
        <v>2.4624053511772117</v>
      </c>
      <c r="AY20" s="173">
        <f t="shared" si="30"/>
        <v>0.43871267029899935</v>
      </c>
      <c r="AZ20" s="173">
        <f t="shared" si="104"/>
        <v>5.6127974364154767</v>
      </c>
      <c r="BA20" s="460">
        <f t="shared" si="31"/>
        <v>0.50815394476960052</v>
      </c>
      <c r="BB20" s="5">
        <f t="shared" si="32"/>
        <v>0.19314107824531307</v>
      </c>
      <c r="BC20" s="5"/>
      <c r="BD20" s="173">
        <f t="shared" si="105"/>
        <v>0.27230494810019573</v>
      </c>
      <c r="BE20" s="173">
        <f t="shared" si="33"/>
        <v>0.56276816495827198</v>
      </c>
      <c r="BF20" s="173"/>
      <c r="BG20" s="528">
        <f t="shared" si="34"/>
        <v>1.4829996951970059E-3</v>
      </c>
      <c r="BH20" s="528">
        <f t="shared" si="35"/>
        <v>0.27954694542157554</v>
      </c>
      <c r="BI20" s="528">
        <f t="shared" si="36"/>
        <v>0.1929848547002605</v>
      </c>
      <c r="BJ20" s="528">
        <f t="shared" si="37"/>
        <v>0.28156696759607391</v>
      </c>
      <c r="BK20">
        <f t="shared" si="38"/>
        <v>1.078797324411394E-2</v>
      </c>
      <c r="BL20" s="460">
        <f t="shared" si="106"/>
        <v>203.77282794437443</v>
      </c>
      <c r="BM20" s="528">
        <f t="shared" si="39"/>
        <v>0.5631957707020836</v>
      </c>
      <c r="BN20" s="460">
        <f t="shared" si="107"/>
        <v>563.19577070208356</v>
      </c>
      <c r="BO20" s="528">
        <f t="shared" si="108"/>
        <v>9.3187499999999993E-2</v>
      </c>
      <c r="BP20" s="528"/>
      <c r="BR20" s="460">
        <f t="shared" si="109"/>
        <v>93.187499999999986</v>
      </c>
      <c r="BS20" s="528">
        <f t="shared" si="40"/>
        <v>2.2244995427955086E-3</v>
      </c>
      <c r="BT20" s="528">
        <f t="shared" si="41"/>
        <v>9.5012402247150237E-3</v>
      </c>
      <c r="BU20" s="528">
        <f t="shared" si="42"/>
        <v>3.5999999999999997E-2</v>
      </c>
      <c r="BV20" s="528">
        <f t="shared" si="43"/>
        <v>5.058737125978624E-2</v>
      </c>
      <c r="BW20" s="528">
        <f t="shared" si="44"/>
        <v>2.0520044593143431E-3</v>
      </c>
      <c r="BX20" s="460">
        <f t="shared" si="110"/>
        <v>52.639375719100585</v>
      </c>
      <c r="BY20" s="173">
        <f t="shared" si="45"/>
        <v>0.91279547436555852</v>
      </c>
      <c r="BZ20" s="5">
        <f t="shared" si="111"/>
        <v>2.4</v>
      </c>
      <c r="CA20" s="173">
        <f t="shared" si="112"/>
        <v>0.72446367986530469</v>
      </c>
      <c r="CB20" s="5">
        <f t="shared" si="113"/>
        <v>72.446367986530475</v>
      </c>
      <c r="CE20" s="562">
        <f t="shared" si="46"/>
        <v>-50</v>
      </c>
      <c r="CF20">
        <f t="shared" si="47"/>
        <v>-50</v>
      </c>
      <c r="CG20" s="173">
        <f t="shared" si="48"/>
        <v>0.28062430400804561</v>
      </c>
      <c r="CI20" s="170">
        <v>15</v>
      </c>
      <c r="CJ20" s="217">
        <f t="shared" si="114"/>
        <v>0.15</v>
      </c>
      <c r="CK20" s="217"/>
      <c r="CL20" s="217">
        <f t="shared" si="49"/>
        <v>2.4</v>
      </c>
      <c r="CM20" s="541">
        <f t="shared" si="50"/>
        <v>24</v>
      </c>
      <c r="CN20" s="172">
        <f t="shared" si="51"/>
        <v>16.399999999999999</v>
      </c>
      <c r="CO20" s="443">
        <f t="shared" si="52"/>
        <v>40.4</v>
      </c>
      <c r="CP20" s="443"/>
      <c r="CQ20" s="217">
        <f t="shared" si="53"/>
        <v>0.40594059405940591</v>
      </c>
      <c r="CR20" s="172">
        <f t="shared" si="54"/>
        <v>24.648712871287128</v>
      </c>
      <c r="CS20" s="172">
        <f t="shared" si="115"/>
        <v>2.4</v>
      </c>
      <c r="CT20" s="217">
        <f t="shared" si="55"/>
        <v>1.5405445544554455</v>
      </c>
      <c r="CU20" s="217">
        <f t="shared" si="56"/>
        <v>16</v>
      </c>
      <c r="CV20" s="217">
        <f t="shared" si="57"/>
        <v>1.5222772277227721</v>
      </c>
      <c r="CW20" s="172">
        <f t="shared" si="58"/>
        <v>376.02550305418231</v>
      </c>
      <c r="CX20" s="172">
        <f t="shared" si="59"/>
        <v>16</v>
      </c>
      <c r="CY20" s="217">
        <f t="shared" si="60"/>
        <v>0.49268292682926829</v>
      </c>
      <c r="CZ20" s="217">
        <f t="shared" si="61"/>
        <v>0.24634146341463414</v>
      </c>
      <c r="DA20" s="217">
        <f t="shared" si="62"/>
        <v>0.36049970255800118</v>
      </c>
      <c r="DB20" s="197">
        <f t="shared" si="63"/>
        <v>350</v>
      </c>
      <c r="DC20" s="443">
        <f t="shared" si="116"/>
        <v>350</v>
      </c>
      <c r="DE20" s="217">
        <f t="shared" si="64"/>
        <v>2.3196605374823194</v>
      </c>
      <c r="DF20" s="173">
        <f t="shared" si="65"/>
        <v>1.6973125884016973</v>
      </c>
      <c r="DG20" s="173">
        <f t="shared" si="66"/>
        <v>0.68900808044029282</v>
      </c>
      <c r="DH20" s="173"/>
      <c r="DI20" s="173">
        <f t="shared" si="67"/>
        <v>0.73170731707317083</v>
      </c>
      <c r="DJ20" s="545">
        <f t="shared" si="117"/>
        <v>409.99999999999994</v>
      </c>
      <c r="DK20" s="528">
        <f t="shared" si="68"/>
        <v>0.12804878048780488</v>
      </c>
      <c r="DM20" s="173">
        <f t="shared" si="69"/>
        <v>1.082325538564332</v>
      </c>
      <c r="DN20" s="173">
        <f t="shared" si="70"/>
        <v>1.082325538564332</v>
      </c>
      <c r="DO20" s="173">
        <f t="shared" si="71"/>
        <v>1.2609818804180237</v>
      </c>
      <c r="DQ20" s="545">
        <f t="shared" si="72"/>
        <v>150</v>
      </c>
      <c r="DR20" s="460">
        <f t="shared" si="73"/>
        <v>350</v>
      </c>
      <c r="DT20">
        <f t="shared" si="74"/>
        <v>150</v>
      </c>
      <c r="DU20" s="460">
        <f t="shared" si="75"/>
        <v>350</v>
      </c>
      <c r="DV20" s="460"/>
      <c r="DW20" s="5">
        <f t="shared" si="118"/>
        <v>2.8571428571428572</v>
      </c>
      <c r="DX20" s="5">
        <f t="shared" si="76"/>
        <v>0.541162769282166</v>
      </c>
      <c r="DY20" s="5">
        <f t="shared" si="119"/>
        <v>2.3159800878606913</v>
      </c>
      <c r="DZ20" s="5">
        <f t="shared" si="77"/>
        <v>0.79194551602268204</v>
      </c>
      <c r="EA20" s="173">
        <f t="shared" si="120"/>
        <v>0.18940696924875811</v>
      </c>
      <c r="EB20" s="173">
        <f t="shared" si="78"/>
        <v>2.46</v>
      </c>
      <c r="EC20" s="173">
        <f t="shared" si="79"/>
        <v>0.43866276928216602</v>
      </c>
      <c r="ED20" s="173">
        <f t="shared" si="121"/>
        <v>5.6079525600624347</v>
      </c>
      <c r="EE20" s="460">
        <f t="shared" si="80"/>
        <v>0.50734009620203058</v>
      </c>
      <c r="EF20" s="5">
        <f t="shared" si="81"/>
        <v>0.19299834065505758</v>
      </c>
      <c r="EG20" s="5"/>
      <c r="EH20" s="173">
        <f t="shared" si="122"/>
        <v>0.27195387807842714</v>
      </c>
      <c r="EI20" s="173">
        <f t="shared" si="82"/>
        <v>0.56259868349854358</v>
      </c>
      <c r="EJ20" s="173"/>
      <c r="EK20" s="528">
        <f t="shared" si="83"/>
        <v>1.4791782360379202E-3</v>
      </c>
      <c r="EL20" s="528">
        <f t="shared" si="84"/>
        <v>0.29077757919069347</v>
      </c>
      <c r="EM20" s="528">
        <f t="shared" si="85"/>
        <v>4.0250000000000001E-2</v>
      </c>
      <c r="EN20" s="528">
        <f t="shared" si="86"/>
        <v>0.28134357999999998</v>
      </c>
      <c r="EO20">
        <f t="shared" si="87"/>
        <v>1.0800000000000001E-2</v>
      </c>
      <c r="EP20" s="460">
        <f t="shared" si="123"/>
        <v>51.05</v>
      </c>
      <c r="EQ20" s="528">
        <f t="shared" si="88"/>
        <v>0.62526946822386142</v>
      </c>
      <c r="ER20" s="460">
        <f t="shared" si="124"/>
        <v>625.2694682238614</v>
      </c>
      <c r="ES20" s="528">
        <f t="shared" si="125"/>
        <v>9.3187499999999993E-2</v>
      </c>
      <c r="ET20" s="528"/>
      <c r="EV20" s="460">
        <f t="shared" si="126"/>
        <v>93.187499999999986</v>
      </c>
      <c r="EW20" s="528">
        <f t="shared" si="89"/>
        <v>2.2187673540568801E-3</v>
      </c>
      <c r="EX20" s="528">
        <f t="shared" si="90"/>
        <v>9.4955183602288325E-3</v>
      </c>
      <c r="EY20" s="528">
        <f t="shared" si="91"/>
        <v>0.13964805158885543</v>
      </c>
      <c r="EZ20" s="528">
        <f t="shared" si="92"/>
        <v>0.15431838424609176</v>
      </c>
      <c r="FA20" s="528">
        <f t="shared" si="93"/>
        <v>2.0499999999999997E-3</v>
      </c>
      <c r="FB20" s="460">
        <f t="shared" si="127"/>
        <v>156.36838424609175</v>
      </c>
      <c r="FC20" s="173">
        <f t="shared" si="128"/>
        <v>0.87482535246995319</v>
      </c>
      <c r="FD20" s="5">
        <f t="shared" si="129"/>
        <v>2.4</v>
      </c>
      <c r="FE20" s="173">
        <f t="shared" si="130"/>
        <v>0.73286350925244348</v>
      </c>
      <c r="FF20" s="5">
        <f t="shared" si="131"/>
        <v>73.286350925244349</v>
      </c>
      <c r="FI20" s="562">
        <f t="shared" si="94"/>
        <v>-50</v>
      </c>
      <c r="FJ20">
        <f t="shared" si="95"/>
        <v>-50</v>
      </c>
      <c r="FL20">
        <f t="shared" si="96"/>
        <v>0.27718093060793869</v>
      </c>
    </row>
    <row r="21" spans="5:168" s="76" customFormat="1">
      <c r="E21" s="189">
        <v>16</v>
      </c>
      <c r="F21" s="329">
        <f t="shared" si="97"/>
        <v>0.16</v>
      </c>
      <c r="G21" s="217"/>
      <c r="H21" s="217">
        <f t="shared" si="0"/>
        <v>2.56</v>
      </c>
      <c r="I21" s="541">
        <f t="shared" si="1"/>
        <v>23.972397377626304</v>
      </c>
      <c r="J21" s="172">
        <f t="shared" si="2"/>
        <v>16.416561573424215</v>
      </c>
      <c r="K21" s="172">
        <f t="shared" si="3"/>
        <v>40.416561573424218</v>
      </c>
      <c r="L21" s="535"/>
      <c r="M21" s="217">
        <f t="shared" si="4"/>
        <v>0.40646464070307198</v>
      </c>
      <c r="N21" s="172">
        <f t="shared" si="5"/>
        <v>24.652147673826995</v>
      </c>
      <c r="O21" s="172">
        <f t="shared" si="98"/>
        <v>2.56</v>
      </c>
      <c r="P21" s="329">
        <f t="shared" si="6"/>
        <v>1.5407592296141872</v>
      </c>
      <c r="Q21" s="217">
        <f t="shared" si="7"/>
        <v>16</v>
      </c>
      <c r="R21" s="217">
        <f t="shared" si="8"/>
        <v>1.5224893573262721</v>
      </c>
      <c r="S21" s="172">
        <f t="shared" si="9"/>
        <v>350.62362878020787</v>
      </c>
      <c r="T21" s="172">
        <f t="shared" si="10"/>
        <v>16</v>
      </c>
      <c r="U21" s="217">
        <f t="shared" si="99"/>
        <v>0.53914226842197877</v>
      </c>
      <c r="V21" s="217">
        <f t="shared" si="11"/>
        <v>0.26988152745632321</v>
      </c>
      <c r="W21" s="217">
        <f t="shared" si="12"/>
        <v>0.39409636373168216</v>
      </c>
      <c r="X21" s="537">
        <f t="shared" si="13"/>
        <v>350</v>
      </c>
      <c r="Y21" s="443">
        <f t="shared" si="14"/>
        <v>350</v>
      </c>
      <c r="AA21" s="329">
        <f t="shared" si="15"/>
        <v>2.3199665254659623</v>
      </c>
      <c r="AB21" s="173">
        <f t="shared" si="16"/>
        <v>1.6958239507753805</v>
      </c>
      <c r="AC21" s="538">
        <f t="shared" si="17"/>
        <v>0.68849458980440614</v>
      </c>
      <c r="AD21" s="538"/>
      <c r="AE21" s="173">
        <f t="shared" si="18"/>
        <v>0.73096914639092758</v>
      </c>
      <c r="AF21" s="545">
        <f t="shared" si="100"/>
        <v>437.77497529131239</v>
      </c>
      <c r="AG21" s="528">
        <f t="shared" si="19"/>
        <v>0.12791960061841234</v>
      </c>
      <c r="AH21"/>
      <c r="AI21" s="173">
        <f t="shared" si="20"/>
        <v>1.1183852840991175</v>
      </c>
      <c r="AJ21" s="173">
        <f t="shared" si="21"/>
        <v>1.1183852840991175</v>
      </c>
      <c r="AK21" s="173">
        <f t="shared" si="22"/>
        <v>1.2876928030363832</v>
      </c>
      <c r="AM21" s="545">
        <f t="shared" si="23"/>
        <v>160</v>
      </c>
      <c r="AN21" s="460">
        <f t="shared" si="24"/>
        <v>350</v>
      </c>
      <c r="AP21">
        <f t="shared" si="25"/>
        <v>160</v>
      </c>
      <c r="AQ21" s="460">
        <f t="shared" si="26"/>
        <v>350</v>
      </c>
      <c r="AR21" s="460"/>
      <c r="AS21" s="5">
        <f t="shared" si="101"/>
        <v>2.8571428571428572</v>
      </c>
      <c r="AT21" s="5">
        <f t="shared" si="27"/>
        <v>0.55983651521290989</v>
      </c>
      <c r="AU21" s="5">
        <f t="shared" si="102"/>
        <v>2.2973063419299473</v>
      </c>
      <c r="AV21" s="5">
        <f t="shared" si="28"/>
        <v>0.81750513645410683</v>
      </c>
      <c r="AW21" s="173">
        <f t="shared" si="103"/>
        <v>0.19594278032451845</v>
      </c>
      <c r="AX21" s="173">
        <f t="shared" si="29"/>
        <v>2.626649851747874</v>
      </c>
      <c r="AY21" s="173">
        <f t="shared" si="30"/>
        <v>0.44962288102935505</v>
      </c>
      <c r="AZ21" s="173">
        <f t="shared" si="104"/>
        <v>5.8418954251938633</v>
      </c>
      <c r="BA21" s="460">
        <f t="shared" si="31"/>
        <v>0.55983651521291</v>
      </c>
      <c r="BB21" s="5">
        <f t="shared" si="32"/>
        <v>0.20444013666698607</v>
      </c>
      <c r="BC21" s="5"/>
      <c r="BD21" s="173">
        <f t="shared" si="105"/>
        <v>0.28582186562875489</v>
      </c>
      <c r="BE21" s="173">
        <f t="shared" si="33"/>
        <v>0.57899430828375686</v>
      </c>
      <c r="BF21" s="173"/>
      <c r="BG21" s="528">
        <f t="shared" si="34"/>
        <v>1.6338827774300402E-3</v>
      </c>
      <c r="BH21" s="528">
        <f t="shared" si="35"/>
        <v>0.28872322516844245</v>
      </c>
      <c r="BI21" s="528">
        <f t="shared" si="36"/>
        <v>0.19297779888989172</v>
      </c>
      <c r="BJ21" s="528">
        <f t="shared" si="37"/>
        <v>0.2815742952184952</v>
      </c>
      <c r="BK21">
        <f t="shared" si="38"/>
        <v>1.0787578819931837E-2</v>
      </c>
      <c r="BL21" s="460">
        <f t="shared" si="106"/>
        <v>203.76537770982355</v>
      </c>
      <c r="BM21" s="528">
        <f t="shared" si="39"/>
        <v>0.5725948388704063</v>
      </c>
      <c r="BN21" s="460">
        <f t="shared" si="107"/>
        <v>572.59483887040631</v>
      </c>
      <c r="BO21" s="528">
        <f t="shared" si="108"/>
        <v>9.9399999999999988E-2</v>
      </c>
      <c r="BP21" s="528"/>
      <c r="BR21" s="460">
        <f t="shared" si="109"/>
        <v>99.399999999999991</v>
      </c>
      <c r="BS21" s="528">
        <f t="shared" si="40"/>
        <v>2.4508241661450603E-3</v>
      </c>
      <c r="BT21" s="528">
        <f t="shared" si="41"/>
        <v>1.0057032270749581E-2</v>
      </c>
      <c r="BU21" s="528">
        <f t="shared" si="42"/>
        <v>3.8399999999999997E-2</v>
      </c>
      <c r="BV21" s="528">
        <f t="shared" si="43"/>
        <v>5.3963739638404958E-2</v>
      </c>
      <c r="BW21" s="528">
        <f t="shared" si="44"/>
        <v>2.1888748764565618E-3</v>
      </c>
      <c r="BX21" s="460">
        <f t="shared" si="110"/>
        <v>56.152614514861519</v>
      </c>
      <c r="BY21" s="173">
        <f t="shared" si="45"/>
        <v>0.93191283109509138</v>
      </c>
      <c r="BZ21" s="5">
        <f t="shared" si="111"/>
        <v>2.56</v>
      </c>
      <c r="CA21" s="173">
        <f t="shared" si="112"/>
        <v>0.73312253879979117</v>
      </c>
      <c r="CB21" s="5">
        <f t="shared" si="113"/>
        <v>73.31225387997911</v>
      </c>
      <c r="CE21" s="562">
        <f t="shared" si="46"/>
        <v>-50</v>
      </c>
      <c r="CF21">
        <f t="shared" si="47"/>
        <v>-50</v>
      </c>
      <c r="CG21" s="173">
        <f t="shared" si="48"/>
        <v>0.28982753492378877</v>
      </c>
      <c r="CH21"/>
      <c r="CI21" s="189">
        <v>16</v>
      </c>
      <c r="CJ21" s="329">
        <f t="shared" si="114"/>
        <v>0.16</v>
      </c>
      <c r="CK21" s="217"/>
      <c r="CL21" s="217">
        <f t="shared" si="49"/>
        <v>2.56</v>
      </c>
      <c r="CM21" s="541">
        <f t="shared" si="50"/>
        <v>24</v>
      </c>
      <c r="CN21" s="172">
        <f t="shared" si="51"/>
        <v>16.399999999999999</v>
      </c>
      <c r="CO21" s="535">
        <f t="shared" si="52"/>
        <v>40.4</v>
      </c>
      <c r="CP21" s="535"/>
      <c r="CQ21" s="329">
        <f t="shared" si="53"/>
        <v>0.40594059405940591</v>
      </c>
      <c r="CR21" s="172">
        <f t="shared" si="54"/>
        <v>24.648712871287128</v>
      </c>
      <c r="CS21" s="172">
        <f t="shared" si="115"/>
        <v>2.56</v>
      </c>
      <c r="CT21" s="329">
        <f t="shared" si="55"/>
        <v>1.5405445544554455</v>
      </c>
      <c r="CU21" s="217">
        <f t="shared" si="56"/>
        <v>16</v>
      </c>
      <c r="CV21" s="217">
        <f t="shared" si="57"/>
        <v>1.5222772277227721</v>
      </c>
      <c r="CW21" s="172">
        <f t="shared" si="58"/>
        <v>351.02731717066644</v>
      </c>
      <c r="CX21" s="172">
        <f t="shared" si="59"/>
        <v>16</v>
      </c>
      <c r="CY21" s="217">
        <f t="shared" si="60"/>
        <v>0.52552845528455283</v>
      </c>
      <c r="CZ21" s="329">
        <f t="shared" si="61"/>
        <v>0.26276422764227642</v>
      </c>
      <c r="DA21" s="217">
        <f t="shared" si="62"/>
        <v>0.38453301606186796</v>
      </c>
      <c r="DB21" s="537">
        <f t="shared" si="63"/>
        <v>350</v>
      </c>
      <c r="DC21" s="535">
        <f t="shared" si="116"/>
        <v>350</v>
      </c>
      <c r="DE21" s="329">
        <f t="shared" si="64"/>
        <v>2.3196605374823194</v>
      </c>
      <c r="DF21" s="173">
        <f t="shared" si="65"/>
        <v>1.6973125884016973</v>
      </c>
      <c r="DG21" s="538">
        <f t="shared" si="66"/>
        <v>0.68900808044029282</v>
      </c>
      <c r="DH21" s="538"/>
      <c r="DI21" s="173">
        <f t="shared" si="67"/>
        <v>0.73170731707317083</v>
      </c>
      <c r="DJ21" s="545">
        <f t="shared" si="117"/>
        <v>437.33333333333331</v>
      </c>
      <c r="DK21" s="528">
        <f t="shared" si="68"/>
        <v>0.12804878048780488</v>
      </c>
      <c r="DL21"/>
      <c r="DM21" s="173">
        <f t="shared" si="69"/>
        <v>1.1178210096092349</v>
      </c>
      <c r="DN21" s="173">
        <f t="shared" si="70"/>
        <v>1.1178210096092349</v>
      </c>
      <c r="DO21" s="173">
        <f t="shared" si="71"/>
        <v>1.2872748219327665</v>
      </c>
      <c r="DQ21" s="545">
        <f t="shared" si="72"/>
        <v>160</v>
      </c>
      <c r="DR21" s="460">
        <f t="shared" si="73"/>
        <v>350</v>
      </c>
      <c r="DT21">
        <f t="shared" si="74"/>
        <v>160</v>
      </c>
      <c r="DU21" s="460">
        <f t="shared" si="75"/>
        <v>350</v>
      </c>
      <c r="DV21" s="460"/>
      <c r="DW21" s="5">
        <f t="shared" si="118"/>
        <v>2.8571428571428572</v>
      </c>
      <c r="DX21" s="5">
        <f t="shared" si="76"/>
        <v>0.55891050480461746</v>
      </c>
      <c r="DY21" s="5">
        <f t="shared" si="119"/>
        <v>2.29823235233824</v>
      </c>
      <c r="DZ21" s="5">
        <f t="shared" si="77"/>
        <v>0.81791781190919632</v>
      </c>
      <c r="EA21" s="173">
        <f t="shared" si="120"/>
        <v>0.19561867668161612</v>
      </c>
      <c r="EB21" s="173">
        <f t="shared" si="78"/>
        <v>2.6239999999999997</v>
      </c>
      <c r="EC21" s="173">
        <f t="shared" si="79"/>
        <v>0.44957717147128412</v>
      </c>
      <c r="ED21" s="173">
        <f t="shared" si="121"/>
        <v>5.8365952866617086</v>
      </c>
      <c r="EE21" s="460">
        <f t="shared" si="80"/>
        <v>0.55891050480461746</v>
      </c>
      <c r="EF21" s="5">
        <f t="shared" si="81"/>
        <v>0.20428732020784354</v>
      </c>
      <c r="EG21" s="5"/>
      <c r="EH21" s="173">
        <f t="shared" si="122"/>
        <v>0.28544129233009213</v>
      </c>
      <c r="EI21" s="173">
        <f t="shared" si="82"/>
        <v>0.57881880164768607</v>
      </c>
      <c r="EJ21" s="173"/>
      <c r="EK21" s="528">
        <f t="shared" si="83"/>
        <v>1.6295346273414624E-3</v>
      </c>
      <c r="EL21" s="528">
        <f t="shared" si="84"/>
        <v>0.3003137924416171</v>
      </c>
      <c r="EM21" s="528">
        <f t="shared" si="85"/>
        <v>4.0250000000000001E-2</v>
      </c>
      <c r="EN21" s="528">
        <f t="shared" si="86"/>
        <v>0.28134357999999998</v>
      </c>
      <c r="EO21">
        <f t="shared" si="87"/>
        <v>1.0800000000000001E-2</v>
      </c>
      <c r="EP21" s="460">
        <f t="shared" si="123"/>
        <v>51.05</v>
      </c>
      <c r="EQ21" s="528">
        <f t="shared" si="88"/>
        <v>0.63502274789224589</v>
      </c>
      <c r="ER21" s="460">
        <f t="shared" si="124"/>
        <v>635.02274789224589</v>
      </c>
      <c r="ES21" s="528">
        <f t="shared" si="125"/>
        <v>9.9399999999999988E-2</v>
      </c>
      <c r="ET21" s="528"/>
      <c r="EV21" s="460">
        <f t="shared" si="126"/>
        <v>99.399999999999991</v>
      </c>
      <c r="EW21" s="528">
        <f t="shared" si="89"/>
        <v>2.4443019410121934E-3</v>
      </c>
      <c r="EX21" s="528">
        <f t="shared" si="90"/>
        <v>1.0050936154225899E-2</v>
      </c>
      <c r="EY21" s="528">
        <f t="shared" si="91"/>
        <v>0.15138079622033604</v>
      </c>
      <c r="EZ21" s="528">
        <f t="shared" si="92"/>
        <v>0.1670418696931264</v>
      </c>
      <c r="FA21" s="528">
        <f t="shared" si="93"/>
        <v>2.1866666666666662E-3</v>
      </c>
      <c r="FB21" s="460">
        <f t="shared" si="127"/>
        <v>169.22853635979308</v>
      </c>
      <c r="FC21" s="173">
        <f t="shared" si="128"/>
        <v>0.90365128425203889</v>
      </c>
      <c r="FD21" s="5">
        <f t="shared" si="129"/>
        <v>2.56</v>
      </c>
      <c r="FE21" s="173">
        <f t="shared" si="130"/>
        <v>0.73910442764240958</v>
      </c>
      <c r="FF21" s="5">
        <f t="shared" si="131"/>
        <v>73.910442764240955</v>
      </c>
      <c r="FI21" s="562">
        <f t="shared" si="94"/>
        <v>-50</v>
      </c>
      <c r="FJ21">
        <f t="shared" si="95"/>
        <v>-50</v>
      </c>
      <c r="FL21">
        <f t="shared" si="96"/>
        <v>0.28627123416821876</v>
      </c>
    </row>
    <row r="22" spans="5:168">
      <c r="E22" s="170">
        <v>17</v>
      </c>
      <c r="F22" s="217">
        <f t="shared" si="97"/>
        <v>0.17</v>
      </c>
      <c r="G22" s="217"/>
      <c r="H22" s="217">
        <f t="shared" si="0"/>
        <v>2.72</v>
      </c>
      <c r="I22" s="541">
        <f t="shared" si="1"/>
        <v>23.971547868102306</v>
      </c>
      <c r="J22" s="172">
        <f t="shared" si="2"/>
        <v>16.417071279138614</v>
      </c>
      <c r="K22" s="172">
        <f t="shared" si="3"/>
        <v>40.417071279138611</v>
      </c>
      <c r="L22" s="443"/>
      <c r="M22" s="217">
        <f t="shared" si="4"/>
        <v>0.40648077343552563</v>
      </c>
      <c r="N22" s="172">
        <f t="shared" si="5"/>
        <v>24.652252494218565</v>
      </c>
      <c r="O22" s="172">
        <f t="shared" si="98"/>
        <v>2.72</v>
      </c>
      <c r="P22" s="217">
        <f t="shared" si="6"/>
        <v>1.5407657808886603</v>
      </c>
      <c r="Q22" s="217">
        <f t="shared" si="7"/>
        <v>16</v>
      </c>
      <c r="R22" s="217">
        <f t="shared" si="8"/>
        <v>1.5224958309176486</v>
      </c>
      <c r="S22" s="172">
        <f t="shared" si="9"/>
        <v>328.58036137696507</v>
      </c>
      <c r="T22" s="172">
        <f t="shared" si="10"/>
        <v>16</v>
      </c>
      <c r="U22" s="217">
        <f t="shared" si="99"/>
        <v>0.57285423080235398</v>
      </c>
      <c r="V22" s="217">
        <f t="shared" si="11"/>
        <v>0.2867670793497426</v>
      </c>
      <c r="W22" s="217">
        <f t="shared" si="12"/>
        <v>0.41872576738845302</v>
      </c>
      <c r="X22" s="197">
        <f t="shared" si="13"/>
        <v>350</v>
      </c>
      <c r="Y22" s="443">
        <f t="shared" si="14"/>
        <v>350</v>
      </c>
      <c r="AA22" s="217">
        <f t="shared" si="15"/>
        <v>2.3199758598380109</v>
      </c>
      <c r="AB22" s="173">
        <f t="shared" si="16"/>
        <v>1.6957781229489095</v>
      </c>
      <c r="AC22" s="173">
        <f t="shared" si="17"/>
        <v>0.68847875405450487</v>
      </c>
      <c r="AD22" s="173"/>
      <c r="AE22" s="173">
        <f t="shared" si="18"/>
        <v>0.73094645177356055</v>
      </c>
      <c r="AF22" s="545">
        <f t="shared" si="100"/>
        <v>465.15035290892746</v>
      </c>
      <c r="AG22" s="528">
        <f t="shared" si="19"/>
        <v>0.1279156290603731</v>
      </c>
      <c r="AI22" s="173">
        <f t="shared" si="20"/>
        <v>1.1528230602790792</v>
      </c>
      <c r="AJ22" s="173">
        <f t="shared" si="21"/>
        <v>1.1528230602790792</v>
      </c>
      <c r="AK22" s="173">
        <f t="shared" si="22"/>
        <v>1.313202266873392</v>
      </c>
      <c r="AM22" s="545">
        <f t="shared" si="23"/>
        <v>170</v>
      </c>
      <c r="AN22" s="460">
        <f t="shared" si="24"/>
        <v>350</v>
      </c>
      <c r="AP22">
        <f t="shared" si="25"/>
        <v>170</v>
      </c>
      <c r="AQ22" s="460">
        <f t="shared" si="26"/>
        <v>350</v>
      </c>
      <c r="AR22" s="460"/>
      <c r="AS22" s="5">
        <f t="shared" si="101"/>
        <v>2.8571428571428572</v>
      </c>
      <c r="AT22" s="5">
        <f t="shared" si="27"/>
        <v>0.57709568024003044</v>
      </c>
      <c r="AU22" s="5">
        <f t="shared" si="102"/>
        <v>2.2800471769028268</v>
      </c>
      <c r="AV22" s="5">
        <f t="shared" si="28"/>
        <v>0.84265192543373058</v>
      </c>
      <c r="AW22" s="173">
        <f t="shared" si="103"/>
        <v>0.20198348808401065</v>
      </c>
      <c r="AX22" s="173">
        <f t="shared" si="29"/>
        <v>2.7909021174535655</v>
      </c>
      <c r="AY22" s="173">
        <f t="shared" si="30"/>
        <v>0.45998591871011357</v>
      </c>
      <c r="AZ22" s="173">
        <f t="shared" si="104"/>
        <v>6.067364247322562</v>
      </c>
      <c r="BA22" s="460">
        <f t="shared" si="31"/>
        <v>0.6131641602550324</v>
      </c>
      <c r="BB22" s="5">
        <f t="shared" si="32"/>
        <v>0.21559337606187728</v>
      </c>
      <c r="BC22" s="5"/>
      <c r="BD22" s="173">
        <f t="shared" si="105"/>
        <v>0.29912999366265924</v>
      </c>
      <c r="BE22" s="173">
        <f t="shared" si="33"/>
        <v>0.59457681000449214</v>
      </c>
      <c r="BF22" s="173"/>
      <c r="BG22" s="528">
        <f t="shared" si="34"/>
        <v>1.7895750621724513E-3</v>
      </c>
      <c r="BH22" s="528">
        <f t="shared" si="35"/>
        <v>0.29761746186952504</v>
      </c>
      <c r="BI22" s="528">
        <f t="shared" si="36"/>
        <v>0.19297096033822356</v>
      </c>
      <c r="BJ22" s="528">
        <f t="shared" si="37"/>
        <v>0.28158139730371468</v>
      </c>
      <c r="BK22">
        <f t="shared" si="38"/>
        <v>1.0787196540646037E-2</v>
      </c>
      <c r="BL22" s="460">
        <f t="shared" si="106"/>
        <v>203.75815687886958</v>
      </c>
      <c r="BM22" s="528">
        <f t="shared" si="39"/>
        <v>0.58171896817285051</v>
      </c>
      <c r="BN22" s="460">
        <f t="shared" si="107"/>
        <v>581.71896817285051</v>
      </c>
      <c r="BO22" s="528">
        <f t="shared" si="108"/>
        <v>0.10561249999999998</v>
      </c>
      <c r="BP22" s="528"/>
      <c r="BR22" s="460">
        <f t="shared" si="109"/>
        <v>105.61249999999998</v>
      </c>
      <c r="BS22" s="528">
        <f t="shared" si="40"/>
        <v>2.6843625932586766E-3</v>
      </c>
      <c r="BT22" s="528">
        <f t="shared" si="41"/>
        <v>1.0605647489853537E-2</v>
      </c>
      <c r="BU22" s="528">
        <f t="shared" si="42"/>
        <v>4.0800000000000003E-2</v>
      </c>
      <c r="BV22" s="528">
        <f t="shared" si="43"/>
        <v>5.7340577050833307E-2</v>
      </c>
      <c r="BW22" s="528">
        <f t="shared" si="44"/>
        <v>2.3257517645446377E-3</v>
      </c>
      <c r="BX22" s="460">
        <f t="shared" si="110"/>
        <v>59.666328815377945</v>
      </c>
      <c r="BY22" s="173">
        <f t="shared" si="45"/>
        <v>0.9507559538670981</v>
      </c>
      <c r="BZ22" s="5">
        <f t="shared" si="111"/>
        <v>2.72</v>
      </c>
      <c r="CA22" s="173">
        <f t="shared" si="112"/>
        <v>0.74099178321416659</v>
      </c>
      <c r="CB22" s="5">
        <f t="shared" si="113"/>
        <v>74.099178321416659</v>
      </c>
      <c r="CE22" s="562">
        <f t="shared" si="46"/>
        <v>-50</v>
      </c>
      <c r="CF22">
        <f t="shared" si="47"/>
        <v>-50</v>
      </c>
      <c r="CG22" s="173">
        <f t="shared" si="48"/>
        <v>0.29874738492579311</v>
      </c>
      <c r="CI22" s="170">
        <v>17</v>
      </c>
      <c r="CJ22" s="217">
        <f t="shared" si="114"/>
        <v>0.17</v>
      </c>
      <c r="CK22" s="217"/>
      <c r="CL22" s="217">
        <f t="shared" si="49"/>
        <v>2.72</v>
      </c>
      <c r="CM22" s="541">
        <f t="shared" si="50"/>
        <v>24</v>
      </c>
      <c r="CN22" s="172">
        <f t="shared" si="51"/>
        <v>16.399999999999999</v>
      </c>
      <c r="CO22" s="443">
        <f t="shared" si="52"/>
        <v>40.4</v>
      </c>
      <c r="CP22" s="443"/>
      <c r="CQ22" s="217">
        <f t="shared" si="53"/>
        <v>0.40594059405940591</v>
      </c>
      <c r="CR22" s="172">
        <f t="shared" si="54"/>
        <v>24.648712871287128</v>
      </c>
      <c r="CS22" s="172">
        <f t="shared" si="115"/>
        <v>2.72</v>
      </c>
      <c r="CT22" s="217">
        <f t="shared" si="55"/>
        <v>1.5405445544554455</v>
      </c>
      <c r="CU22" s="217">
        <f t="shared" si="56"/>
        <v>16</v>
      </c>
      <c r="CV22" s="217">
        <f t="shared" si="57"/>
        <v>1.5222772277227721</v>
      </c>
      <c r="CW22" s="172">
        <f t="shared" si="58"/>
        <v>328.97032299451524</v>
      </c>
      <c r="CX22" s="172">
        <f t="shared" si="59"/>
        <v>16</v>
      </c>
      <c r="CY22" s="217">
        <f t="shared" si="60"/>
        <v>0.55837398373983749</v>
      </c>
      <c r="CZ22" s="217">
        <f t="shared" si="61"/>
        <v>0.27918699186991874</v>
      </c>
      <c r="DA22" s="217">
        <f t="shared" si="62"/>
        <v>0.4085663295657348</v>
      </c>
      <c r="DB22" s="197">
        <f t="shared" si="63"/>
        <v>350</v>
      </c>
      <c r="DC22" s="443">
        <f t="shared" si="116"/>
        <v>350</v>
      </c>
      <c r="DE22" s="217">
        <f t="shared" si="64"/>
        <v>2.3196605374823194</v>
      </c>
      <c r="DF22" s="173">
        <f t="shared" si="65"/>
        <v>1.6973125884016973</v>
      </c>
      <c r="DG22" s="173">
        <f t="shared" si="66"/>
        <v>0.68900808044029282</v>
      </c>
      <c r="DH22" s="173"/>
      <c r="DI22" s="173">
        <f t="shared" si="67"/>
        <v>0.73170731707317083</v>
      </c>
      <c r="DJ22" s="545">
        <f t="shared" si="117"/>
        <v>464.66666666666663</v>
      </c>
      <c r="DK22" s="528">
        <f t="shared" si="68"/>
        <v>0.12804878048780488</v>
      </c>
      <c r="DM22" s="173">
        <f t="shared" si="69"/>
        <v>1.1522235232883624</v>
      </c>
      <c r="DN22" s="173">
        <f t="shared" si="70"/>
        <v>1.1522235232883624</v>
      </c>
      <c r="DO22" s="173">
        <f t="shared" si="71"/>
        <v>1.312758165398787</v>
      </c>
      <c r="DQ22" s="545">
        <f t="shared" si="72"/>
        <v>170</v>
      </c>
      <c r="DR22" s="460">
        <f t="shared" si="73"/>
        <v>350</v>
      </c>
      <c r="DT22">
        <f t="shared" si="74"/>
        <v>170</v>
      </c>
      <c r="DU22" s="460">
        <f t="shared" si="75"/>
        <v>350</v>
      </c>
      <c r="DV22" s="460"/>
      <c r="DW22" s="5">
        <f t="shared" si="118"/>
        <v>2.8571428571428572</v>
      </c>
      <c r="DX22" s="5">
        <f t="shared" si="76"/>
        <v>0.57611176164418121</v>
      </c>
      <c r="DY22" s="5">
        <f t="shared" si="119"/>
        <v>2.2810310954986761</v>
      </c>
      <c r="DZ22" s="5">
        <f t="shared" si="77"/>
        <v>0.8430903828939238</v>
      </c>
      <c r="EA22" s="173">
        <f t="shared" si="120"/>
        <v>0.20163911657546341</v>
      </c>
      <c r="EB22" s="173">
        <f t="shared" si="78"/>
        <v>2.7879999999999998</v>
      </c>
      <c r="EC22" s="173">
        <f t="shared" si="79"/>
        <v>0.45994509497751457</v>
      </c>
      <c r="ED22" s="173">
        <f t="shared" si="121"/>
        <v>6.0615930693560225</v>
      </c>
      <c r="EE22" s="460">
        <f t="shared" si="80"/>
        <v>0.61211874674694267</v>
      </c>
      <c r="EF22" s="5">
        <f t="shared" si="81"/>
        <v>0.21543071457487495</v>
      </c>
      <c r="EG22" s="5"/>
      <c r="EH22" s="173">
        <f t="shared" si="122"/>
        <v>0.2987194513868951</v>
      </c>
      <c r="EI22" s="173">
        <f t="shared" si="82"/>
        <v>0.59439580407569736</v>
      </c>
      <c r="EJ22" s="173"/>
      <c r="EK22" s="528">
        <f t="shared" si="83"/>
        <v>1.7846662127377518E-3</v>
      </c>
      <c r="EL22" s="528">
        <f t="shared" si="84"/>
        <v>0.30955637176665146</v>
      </c>
      <c r="EM22" s="528">
        <f t="shared" si="85"/>
        <v>4.0250000000000001E-2</v>
      </c>
      <c r="EN22" s="528">
        <f t="shared" si="86"/>
        <v>0.28134357999999998</v>
      </c>
      <c r="EO22">
        <f t="shared" si="87"/>
        <v>1.0800000000000001E-2</v>
      </c>
      <c r="EP22" s="460">
        <f t="shared" si="123"/>
        <v>51.05</v>
      </c>
      <c r="EQ22" s="528">
        <f t="shared" si="88"/>
        <v>0.64448976516497125</v>
      </c>
      <c r="ER22" s="460">
        <f t="shared" si="124"/>
        <v>644.48976516497123</v>
      </c>
      <c r="ES22" s="528">
        <f t="shared" si="125"/>
        <v>0.10561249999999998</v>
      </c>
      <c r="ET22" s="528"/>
      <c r="EV22" s="460">
        <f t="shared" si="126"/>
        <v>105.61249999999998</v>
      </c>
      <c r="EW22" s="528">
        <f t="shared" si="89"/>
        <v>2.6769993191066272E-3</v>
      </c>
      <c r="EX22" s="528">
        <f t="shared" si="90"/>
        <v>1.0599191157083843E-2</v>
      </c>
      <c r="EY22" s="528">
        <f t="shared" si="91"/>
        <v>0.16329841092028149</v>
      </c>
      <c r="EZ22" s="528">
        <f t="shared" si="92"/>
        <v>0.17995201328715563</v>
      </c>
      <c r="FA22" s="528">
        <f t="shared" si="93"/>
        <v>2.3233333333333331E-3</v>
      </c>
      <c r="FB22" s="460">
        <f t="shared" si="127"/>
        <v>182.27534662048896</v>
      </c>
      <c r="FC22" s="173">
        <f t="shared" si="128"/>
        <v>0.93237761178546019</v>
      </c>
      <c r="FD22" s="5">
        <f t="shared" si="129"/>
        <v>2.72</v>
      </c>
      <c r="FE22" s="173">
        <f t="shared" si="130"/>
        <v>0.74472036823989052</v>
      </c>
      <c r="FF22" s="5">
        <f t="shared" si="131"/>
        <v>74.472036823989058</v>
      </c>
      <c r="FI22" s="562">
        <f t="shared" si="94"/>
        <v>-50</v>
      </c>
      <c r="FJ22">
        <f t="shared" si="95"/>
        <v>-50</v>
      </c>
      <c r="FL22">
        <f t="shared" si="96"/>
        <v>0.29508163401287335</v>
      </c>
    </row>
    <row r="23" spans="5:168">
      <c r="E23" s="170">
        <v>18</v>
      </c>
      <c r="F23" s="217">
        <f t="shared" si="97"/>
        <v>0.18</v>
      </c>
      <c r="G23" s="217"/>
      <c r="H23" s="217">
        <f t="shared" si="0"/>
        <v>2.88</v>
      </c>
      <c r="I23" s="541">
        <f t="shared" si="1"/>
        <v>23.970722997811546</v>
      </c>
      <c r="J23" s="172">
        <f t="shared" si="2"/>
        <v>16.417566201313072</v>
      </c>
      <c r="K23" s="172">
        <f t="shared" si="3"/>
        <v>40.417566201313072</v>
      </c>
      <c r="L23" s="443"/>
      <c r="M23" s="217">
        <f t="shared" si="4"/>
        <v>0.4064964385080117</v>
      </c>
      <c r="N23" s="172">
        <f t="shared" si="5"/>
        <v>24.652354223493379</v>
      </c>
      <c r="O23" s="172">
        <f t="shared" si="98"/>
        <v>2.88</v>
      </c>
      <c r="P23" s="217">
        <f t="shared" si="6"/>
        <v>1.5407721389683362</v>
      </c>
      <c r="Q23" s="217">
        <f t="shared" si="7"/>
        <v>16</v>
      </c>
      <c r="R23" s="217">
        <f t="shared" si="8"/>
        <v>1.5225021136050754</v>
      </c>
      <c r="S23" s="172">
        <f t="shared" si="9"/>
        <v>308.98697655532686</v>
      </c>
      <c r="T23" s="172">
        <f t="shared" si="10"/>
        <v>16</v>
      </c>
      <c r="U23" s="217">
        <f t="shared" si="99"/>
        <v>0.60656754796046775</v>
      </c>
      <c r="V23" s="217">
        <f t="shared" si="11"/>
        <v>0.30365419416803352</v>
      </c>
      <c r="W23" s="217">
        <f t="shared" si="12"/>
        <v>0.44335503120696756</v>
      </c>
      <c r="X23" s="197">
        <f t="shared" si="13"/>
        <v>350</v>
      </c>
      <c r="Y23" s="443">
        <f t="shared" si="14"/>
        <v>350</v>
      </c>
      <c r="AA23" s="217">
        <f t="shared" si="15"/>
        <v>2.3199849187403423</v>
      </c>
      <c r="AB23" s="173">
        <f t="shared" si="16"/>
        <v>1.6957336235779874</v>
      </c>
      <c r="AC23" s="173">
        <f t="shared" si="17"/>
        <v>0.68846337575782268</v>
      </c>
      <c r="AD23" s="173"/>
      <c r="AE23" s="173">
        <f t="shared" si="18"/>
        <v>0.73092441674090791</v>
      </c>
      <c r="AF23" s="545">
        <f t="shared" si="100"/>
        <v>492.52698603939211</v>
      </c>
      <c r="AG23" s="528">
        <f t="shared" si="19"/>
        <v>0.12791177292965888</v>
      </c>
      <c r="AI23" s="173">
        <f t="shared" si="20"/>
        <v>1.1862630231582492</v>
      </c>
      <c r="AJ23" s="173">
        <f t="shared" si="21"/>
        <v>1.1862630231582492</v>
      </c>
      <c r="AK23" s="173">
        <f t="shared" si="22"/>
        <v>1.3379726097468512</v>
      </c>
      <c r="AM23" s="545">
        <f t="shared" si="23"/>
        <v>180</v>
      </c>
      <c r="AN23" s="460">
        <f t="shared" si="24"/>
        <v>350</v>
      </c>
      <c r="AP23">
        <f t="shared" si="25"/>
        <v>180</v>
      </c>
      <c r="AQ23" s="460">
        <f t="shared" si="26"/>
        <v>350</v>
      </c>
      <c r="AR23" s="460"/>
      <c r="AS23" s="5">
        <f t="shared" si="101"/>
        <v>2.8571428571428572</v>
      </c>
      <c r="AT23" s="5">
        <f t="shared" si="27"/>
        <v>0.59385594165009614</v>
      </c>
      <c r="AU23" s="5">
        <f t="shared" si="102"/>
        <v>2.2632869154927611</v>
      </c>
      <c r="AV23" s="5">
        <f t="shared" si="28"/>
        <v>0.86706860830324939</v>
      </c>
      <c r="AW23" s="173">
        <f t="shared" si="103"/>
        <v>0.20784957957753364</v>
      </c>
      <c r="AX23" s="173">
        <f t="shared" si="29"/>
        <v>2.9551619162363529</v>
      </c>
      <c r="AY23" s="173">
        <f t="shared" si="30"/>
        <v>0.46984937626321649</v>
      </c>
      <c r="AZ23" s="173">
        <f t="shared" si="104"/>
        <v>6.2895942094021811</v>
      </c>
      <c r="BA23" s="460">
        <f t="shared" si="31"/>
        <v>0.66808793435635805</v>
      </c>
      <c r="BB23" s="5">
        <f t="shared" si="32"/>
        <v>0.22660512149251985</v>
      </c>
      <c r="BC23" s="5"/>
      <c r="BD23" s="173">
        <f t="shared" si="105"/>
        <v>0.31224460341347077</v>
      </c>
      <c r="BE23" s="173">
        <f t="shared" si="33"/>
        <v>0.60957085533732713</v>
      </c>
      <c r="BF23" s="173"/>
      <c r="BG23" s="528">
        <f t="shared" si="34"/>
        <v>1.9499338472167128E-3</v>
      </c>
      <c r="BH23" s="528">
        <f t="shared" si="35"/>
        <v>0.30625420802889392</v>
      </c>
      <c r="BI23" s="528">
        <f t="shared" si="36"/>
        <v>0.19296432013238293</v>
      </c>
      <c r="BJ23" s="528">
        <f t="shared" si="37"/>
        <v>0.28158829348526837</v>
      </c>
      <c r="BK23">
        <f t="shared" si="38"/>
        <v>1.0786825349015195E-2</v>
      </c>
      <c r="BL23" s="460">
        <f t="shared" si="106"/>
        <v>203.75114548139814</v>
      </c>
      <c r="BM23" s="528">
        <f t="shared" si="39"/>
        <v>0.59059254155360486</v>
      </c>
      <c r="BN23" s="460">
        <f t="shared" si="107"/>
        <v>590.59254155360486</v>
      </c>
      <c r="BO23" s="528">
        <f t="shared" si="108"/>
        <v>0.11182499999999999</v>
      </c>
      <c r="BP23" s="528"/>
      <c r="BR23" s="460">
        <f t="shared" si="109"/>
        <v>111.82499999999999</v>
      </c>
      <c r="BS23" s="528">
        <f t="shared" si="40"/>
        <v>2.9249007708250689E-3</v>
      </c>
      <c r="BT23" s="528">
        <f t="shared" si="41"/>
        <v>1.1147298830300417E-2</v>
      </c>
      <c r="BU23" s="528">
        <f t="shared" si="42"/>
        <v>4.3199999999999995E-2</v>
      </c>
      <c r="BV23" s="528">
        <f t="shared" si="43"/>
        <v>6.0717882238052516E-2</v>
      </c>
      <c r="BW23" s="528">
        <f t="shared" si="44"/>
        <v>2.4626349301969603E-3</v>
      </c>
      <c r="BX23" s="460">
        <f t="shared" si="110"/>
        <v>63.180517168249473</v>
      </c>
      <c r="BY23" s="173">
        <f t="shared" si="45"/>
        <v>0.96934920420325243</v>
      </c>
      <c r="BZ23" s="5">
        <f t="shared" si="111"/>
        <v>2.88</v>
      </c>
      <c r="CA23" s="173">
        <f t="shared" si="112"/>
        <v>0.74817841853766276</v>
      </c>
      <c r="CB23" s="5">
        <f t="shared" si="113"/>
        <v>74.817841853766282</v>
      </c>
      <c r="CE23" s="562">
        <f t="shared" si="46"/>
        <v>-50</v>
      </c>
      <c r="CF23">
        <f t="shared" si="47"/>
        <v>-50</v>
      </c>
      <c r="CG23" s="173">
        <f t="shared" si="48"/>
        <v>0.30740852297878796</v>
      </c>
      <c r="CI23" s="170">
        <v>18</v>
      </c>
      <c r="CJ23" s="217">
        <f t="shared" si="114"/>
        <v>0.18</v>
      </c>
      <c r="CK23" s="217"/>
      <c r="CL23" s="217">
        <f t="shared" si="49"/>
        <v>2.88</v>
      </c>
      <c r="CM23" s="541">
        <f t="shared" si="50"/>
        <v>24</v>
      </c>
      <c r="CN23" s="172">
        <f t="shared" si="51"/>
        <v>16.399999999999999</v>
      </c>
      <c r="CO23" s="443">
        <f t="shared" si="52"/>
        <v>40.4</v>
      </c>
      <c r="CP23" s="443"/>
      <c r="CQ23" s="217">
        <f t="shared" si="53"/>
        <v>0.40594059405940591</v>
      </c>
      <c r="CR23" s="172">
        <f t="shared" si="54"/>
        <v>24.648712871287128</v>
      </c>
      <c r="CS23" s="172">
        <f t="shared" si="115"/>
        <v>2.88</v>
      </c>
      <c r="CT23" s="217">
        <f t="shared" si="55"/>
        <v>1.5405445544554455</v>
      </c>
      <c r="CU23" s="217">
        <f t="shared" si="56"/>
        <v>16</v>
      </c>
      <c r="CV23" s="217">
        <f t="shared" si="57"/>
        <v>1.5222772277227721</v>
      </c>
      <c r="CW23" s="172">
        <f t="shared" si="58"/>
        <v>309.36432463619326</v>
      </c>
      <c r="CX23" s="172">
        <f t="shared" si="59"/>
        <v>16</v>
      </c>
      <c r="CY23" s="217">
        <f t="shared" si="60"/>
        <v>0.59121951219512192</v>
      </c>
      <c r="CZ23" s="217">
        <f t="shared" si="61"/>
        <v>0.29560975609756102</v>
      </c>
      <c r="DA23" s="217">
        <f t="shared" si="62"/>
        <v>0.43259964306960147</v>
      </c>
      <c r="DB23" s="197">
        <f t="shared" si="63"/>
        <v>350</v>
      </c>
      <c r="DC23" s="443">
        <f t="shared" si="116"/>
        <v>350</v>
      </c>
      <c r="DE23" s="217">
        <f t="shared" si="64"/>
        <v>2.3196605374823194</v>
      </c>
      <c r="DF23" s="173">
        <f t="shared" si="65"/>
        <v>1.6973125884016973</v>
      </c>
      <c r="DG23" s="173">
        <f t="shared" si="66"/>
        <v>0.68900808044029282</v>
      </c>
      <c r="DH23" s="173"/>
      <c r="DI23" s="173">
        <f t="shared" si="67"/>
        <v>0.73170731707317083</v>
      </c>
      <c r="DJ23" s="545">
        <f t="shared" si="117"/>
        <v>491.99999999999994</v>
      </c>
      <c r="DK23" s="528">
        <f t="shared" si="68"/>
        <v>0.12804878048780488</v>
      </c>
      <c r="DM23" s="173">
        <f t="shared" si="69"/>
        <v>1.1856282240712246</v>
      </c>
      <c r="DN23" s="173">
        <f t="shared" si="70"/>
        <v>1.1856282240712246</v>
      </c>
      <c r="DO23" s="173">
        <f t="shared" si="71"/>
        <v>1.3375023882009072</v>
      </c>
      <c r="DQ23" s="545">
        <f t="shared" si="72"/>
        <v>180</v>
      </c>
      <c r="DR23" s="460">
        <f t="shared" si="73"/>
        <v>350</v>
      </c>
      <c r="DT23">
        <f t="shared" si="74"/>
        <v>180</v>
      </c>
      <c r="DU23" s="460">
        <f t="shared" si="75"/>
        <v>350</v>
      </c>
      <c r="DV23" s="460"/>
      <c r="DW23" s="5">
        <f t="shared" si="118"/>
        <v>2.8571428571428572</v>
      </c>
      <c r="DX23" s="5">
        <f t="shared" si="76"/>
        <v>0.5928141120356123</v>
      </c>
      <c r="DY23" s="5">
        <f t="shared" si="119"/>
        <v>2.2643287451072451</v>
      </c>
      <c r="DZ23" s="5">
        <f t="shared" si="77"/>
        <v>0.86753284688138388</v>
      </c>
      <c r="EA23" s="173">
        <f t="shared" si="120"/>
        <v>0.2074849392124643</v>
      </c>
      <c r="EB23" s="173">
        <f t="shared" si="78"/>
        <v>2.9520000000000008</v>
      </c>
      <c r="EC23" s="173">
        <f t="shared" si="79"/>
        <v>0.4698141120356123</v>
      </c>
      <c r="ED23" s="173">
        <f t="shared" si="121"/>
        <v>6.2833361629125282</v>
      </c>
      <c r="EE23" s="460">
        <f t="shared" si="80"/>
        <v>0.66691587604006375</v>
      </c>
      <c r="EF23" s="5">
        <f t="shared" si="81"/>
        <v>0.22643287451072447</v>
      </c>
      <c r="EG23" s="5"/>
      <c r="EH23" s="173">
        <f t="shared" si="122"/>
        <v>0.31180364714647013</v>
      </c>
      <c r="EI23" s="173">
        <f t="shared" si="82"/>
        <v>0.60938486541559944</v>
      </c>
      <c r="EJ23" s="173"/>
      <c r="EK23" s="528">
        <f t="shared" si="83"/>
        <v>1.9444302874768091E-3</v>
      </c>
      <c r="EL23" s="528">
        <f t="shared" si="84"/>
        <v>0.31853087867897523</v>
      </c>
      <c r="EM23" s="528">
        <f t="shared" si="85"/>
        <v>4.0250000000000001E-2</v>
      </c>
      <c r="EN23" s="528">
        <f t="shared" si="86"/>
        <v>0.28134357999999998</v>
      </c>
      <c r="EO23">
        <f t="shared" si="87"/>
        <v>1.0800000000000001E-2</v>
      </c>
      <c r="EP23" s="460">
        <f t="shared" si="123"/>
        <v>51.05</v>
      </c>
      <c r="EQ23" s="528">
        <f t="shared" si="88"/>
        <v>0.65369589044662313</v>
      </c>
      <c r="ER23" s="460">
        <f t="shared" si="124"/>
        <v>653.69589044662314</v>
      </c>
      <c r="ES23" s="528">
        <f t="shared" si="125"/>
        <v>0.11182499999999999</v>
      </c>
      <c r="ET23" s="528"/>
      <c r="EV23" s="460">
        <f t="shared" si="126"/>
        <v>111.82499999999999</v>
      </c>
      <c r="EW23" s="528">
        <f t="shared" si="89"/>
        <v>2.9166454312152135E-3</v>
      </c>
      <c r="EX23" s="528">
        <f t="shared" si="90"/>
        <v>1.1140497425927647E-2</v>
      </c>
      <c r="EY23" s="528">
        <f t="shared" si="91"/>
        <v>0.17539266952864524</v>
      </c>
      <c r="EZ23" s="528">
        <f t="shared" si="92"/>
        <v>0.19304061463127059</v>
      </c>
      <c r="FA23" s="528">
        <f t="shared" si="93"/>
        <v>2.4600000000000004E-3</v>
      </c>
      <c r="FB23" s="460">
        <f t="shared" si="127"/>
        <v>195.50061463127059</v>
      </c>
      <c r="FC23" s="173">
        <f t="shared" si="128"/>
        <v>0.96102150507789375</v>
      </c>
      <c r="FD23" s="5">
        <f t="shared" si="129"/>
        <v>2.88</v>
      </c>
      <c r="FE23" s="173">
        <f t="shared" si="130"/>
        <v>0.74980054034912125</v>
      </c>
      <c r="FF23" s="5">
        <f t="shared" si="131"/>
        <v>74.980054034912129</v>
      </c>
      <c r="FI23" s="562">
        <f t="shared" si="94"/>
        <v>-50</v>
      </c>
      <c r="FJ23">
        <f t="shared" si="95"/>
        <v>-50</v>
      </c>
      <c r="FL23">
        <f t="shared" si="96"/>
        <v>0.30363649640848434</v>
      </c>
    </row>
    <row r="24" spans="5:168">
      <c r="E24" s="170">
        <v>19</v>
      </c>
      <c r="F24" s="217">
        <f t="shared" si="97"/>
        <v>0.19</v>
      </c>
      <c r="G24" s="217"/>
      <c r="H24" s="217">
        <f t="shared" si="0"/>
        <v>3.04</v>
      </c>
      <c r="I24" s="541">
        <f t="shared" si="1"/>
        <v>23.969920739624087</v>
      </c>
      <c r="J24" s="172">
        <f t="shared" si="2"/>
        <v>16.418047556225545</v>
      </c>
      <c r="K24" s="172">
        <f t="shared" si="3"/>
        <v>40.418047556225545</v>
      </c>
      <c r="L24" s="443"/>
      <c r="M24" s="217">
        <f t="shared" si="4"/>
        <v>0.40651167439606434</v>
      </c>
      <c r="N24" s="172">
        <f t="shared" si="5"/>
        <v>24.652453115964004</v>
      </c>
      <c r="O24" s="172">
        <f t="shared" si="98"/>
        <v>3.04</v>
      </c>
      <c r="P24" s="217">
        <f t="shared" si="6"/>
        <v>1.5407783197477503</v>
      </c>
      <c r="Q24" s="217">
        <f t="shared" si="7"/>
        <v>16</v>
      </c>
      <c r="R24" s="217">
        <f t="shared" si="8"/>
        <v>1.522508221094615</v>
      </c>
      <c r="S24" s="172">
        <f t="shared" si="9"/>
        <v>291.45662484117042</v>
      </c>
      <c r="T24" s="172">
        <f t="shared" si="10"/>
        <v>16</v>
      </c>
      <c r="U24" s="217">
        <f t="shared" si="99"/>
        <v>0.64028218181597896</v>
      </c>
      <c r="V24" s="217">
        <f t="shared" si="11"/>
        <v>0.32054282804075074</v>
      </c>
      <c r="W24" s="217">
        <f t="shared" si="12"/>
        <v>0.4679841592295968</v>
      </c>
      <c r="X24" s="197">
        <f t="shared" si="13"/>
        <v>350</v>
      </c>
      <c r="Y24" s="443">
        <f t="shared" si="14"/>
        <v>350</v>
      </c>
      <c r="AA24" s="217">
        <f t="shared" si="15"/>
        <v>2.3199937248364133</v>
      </c>
      <c r="AB24" s="173">
        <f t="shared" si="16"/>
        <v>1.6956903433673125</v>
      </c>
      <c r="AC24" s="173">
        <f t="shared" si="17"/>
        <v>0.68844841727862693</v>
      </c>
      <c r="AD24" s="173"/>
      <c r="AE24" s="173">
        <f t="shared" si="18"/>
        <v>0.7309029870272078</v>
      </c>
      <c r="AF24" s="545">
        <f t="shared" si="100"/>
        <v>519.90483928047558</v>
      </c>
      <c r="AG24" s="528">
        <f t="shared" si="19"/>
        <v>0.12790802272976137</v>
      </c>
      <c r="AI24" s="173">
        <f t="shared" si="20"/>
        <v>1.2187872652535454</v>
      </c>
      <c r="AJ24" s="173">
        <f t="shared" si="21"/>
        <v>1.2187872652535454</v>
      </c>
      <c r="AK24" s="173">
        <f t="shared" si="22"/>
        <v>1.3620646409285522</v>
      </c>
      <c r="AM24" s="545">
        <f t="shared" si="23"/>
        <v>190</v>
      </c>
      <c r="AN24" s="460">
        <f t="shared" si="24"/>
        <v>350</v>
      </c>
      <c r="AP24">
        <f t="shared" si="25"/>
        <v>190</v>
      </c>
      <c r="AQ24" s="460">
        <f t="shared" si="26"/>
        <v>350</v>
      </c>
      <c r="AR24" s="460"/>
      <c r="AS24" s="5">
        <f t="shared" si="101"/>
        <v>2.8571428571428572</v>
      </c>
      <c r="AT24" s="5">
        <f t="shared" si="27"/>
        <v>0.61015834561628646</v>
      </c>
      <c r="AU24" s="5">
        <f t="shared" si="102"/>
        <v>2.2469845115265707</v>
      </c>
      <c r="AV24" s="5">
        <f t="shared" si="28"/>
        <v>0.89081525272453821</v>
      </c>
      <c r="AW24" s="173">
        <f t="shared" si="103"/>
        <v>0.21355542096570027</v>
      </c>
      <c r="AX24" s="173">
        <f t="shared" si="29"/>
        <v>3.1194290356828538</v>
      </c>
      <c r="AY24" s="173">
        <f t="shared" si="30"/>
        <v>0.47925431887734499</v>
      </c>
      <c r="AZ24" s="173">
        <f t="shared" si="104"/>
        <v>6.5089221167377849</v>
      </c>
      <c r="BA24" s="460">
        <f t="shared" si="31"/>
        <v>0.72456303541934008</v>
      </c>
      <c r="BB24" s="5">
        <f t="shared" si="32"/>
        <v>0.2374793318829827</v>
      </c>
      <c r="BC24" s="5"/>
      <c r="BD24" s="173">
        <f t="shared" si="105"/>
        <v>0.32517906688124737</v>
      </c>
      <c r="BE24" s="173">
        <f t="shared" si="33"/>
        <v>0.62402407040405627</v>
      </c>
      <c r="BF24" s="173"/>
      <c r="BG24" s="528">
        <f t="shared" si="34"/>
        <v>2.1148285107551752E-3</v>
      </c>
      <c r="BH24" s="528">
        <f t="shared" si="35"/>
        <v>0.31465464802621596</v>
      </c>
      <c r="BI24" s="528">
        <f t="shared" si="36"/>
        <v>0.19295786195397388</v>
      </c>
      <c r="BJ24" s="528">
        <f t="shared" si="37"/>
        <v>0.28159500070335375</v>
      </c>
      <c r="BK24">
        <f t="shared" si="38"/>
        <v>1.0786464332830838E-2</v>
      </c>
      <c r="BL24" s="460">
        <f t="shared" si="106"/>
        <v>203.74432628680472</v>
      </c>
      <c r="BM24" s="528">
        <f t="shared" si="39"/>
        <v>0.59923658728861851</v>
      </c>
      <c r="BN24" s="460">
        <f t="shared" si="107"/>
        <v>599.23658728861847</v>
      </c>
      <c r="BO24" s="528">
        <f t="shared" si="108"/>
        <v>0.11803749999999998</v>
      </c>
      <c r="BP24" s="528"/>
      <c r="BR24" s="460">
        <f t="shared" si="109"/>
        <v>118.03749999999998</v>
      </c>
      <c r="BS24" s="528">
        <f t="shared" si="40"/>
        <v>3.1722427661327623E-3</v>
      </c>
      <c r="BT24" s="528">
        <f t="shared" si="41"/>
        <v>1.1682181213309396E-2</v>
      </c>
      <c r="BU24" s="528">
        <f t="shared" si="42"/>
        <v>4.5600000000000002E-2</v>
      </c>
      <c r="BV24" s="528">
        <f t="shared" si="43"/>
        <v>6.4095654056155457E-2</v>
      </c>
      <c r="BW24" s="528">
        <f t="shared" si="44"/>
        <v>2.5995241964023785E-3</v>
      </c>
      <c r="BX24" s="460">
        <f t="shared" si="110"/>
        <v>66.695178252557824</v>
      </c>
      <c r="BY24" s="173">
        <f t="shared" si="45"/>
        <v>0.98771359182798113</v>
      </c>
      <c r="BZ24" s="5">
        <f t="shared" si="111"/>
        <v>3.04</v>
      </c>
      <c r="CA24" s="173">
        <f t="shared" si="112"/>
        <v>0.75477064858037579</v>
      </c>
      <c r="CB24" s="5">
        <f t="shared" si="113"/>
        <v>75.477064858037579</v>
      </c>
      <c r="CE24" s="562">
        <f t="shared" si="46"/>
        <v>-50</v>
      </c>
      <c r="CF24">
        <f t="shared" si="47"/>
        <v>-50</v>
      </c>
      <c r="CG24" s="173">
        <f t="shared" si="48"/>
        <v>0.31583223394707516</v>
      </c>
      <c r="CI24" s="170">
        <v>19</v>
      </c>
      <c r="CJ24" s="217">
        <f t="shared" si="114"/>
        <v>0.19</v>
      </c>
      <c r="CK24" s="217"/>
      <c r="CL24" s="217">
        <f t="shared" si="49"/>
        <v>3.04</v>
      </c>
      <c r="CM24" s="541">
        <f t="shared" si="50"/>
        <v>24</v>
      </c>
      <c r="CN24" s="172">
        <f t="shared" si="51"/>
        <v>16.399999999999999</v>
      </c>
      <c r="CO24" s="443">
        <f t="shared" si="52"/>
        <v>40.4</v>
      </c>
      <c r="CP24" s="443"/>
      <c r="CQ24" s="217">
        <f t="shared" si="53"/>
        <v>0.40594059405940591</v>
      </c>
      <c r="CR24" s="172">
        <f t="shared" si="54"/>
        <v>24.648712871287128</v>
      </c>
      <c r="CS24" s="172">
        <f t="shared" si="115"/>
        <v>3.04</v>
      </c>
      <c r="CT24" s="217">
        <f t="shared" si="55"/>
        <v>1.5405445544554455</v>
      </c>
      <c r="CU24" s="217">
        <f t="shared" si="56"/>
        <v>16</v>
      </c>
      <c r="CV24" s="217">
        <f t="shared" si="57"/>
        <v>1.5222772277227721</v>
      </c>
      <c r="CW24" s="172">
        <f t="shared" si="58"/>
        <v>291.82232538363968</v>
      </c>
      <c r="CX24" s="172">
        <f t="shared" si="59"/>
        <v>16</v>
      </c>
      <c r="CY24" s="217">
        <f t="shared" si="60"/>
        <v>0.62406504065040658</v>
      </c>
      <c r="CZ24" s="217">
        <f t="shared" si="61"/>
        <v>0.31203252032520329</v>
      </c>
      <c r="DA24" s="217">
        <f t="shared" si="62"/>
        <v>0.45663295657346825</v>
      </c>
      <c r="DB24" s="197">
        <f t="shared" si="63"/>
        <v>350</v>
      </c>
      <c r="DC24" s="443">
        <f t="shared" si="116"/>
        <v>350</v>
      </c>
      <c r="DE24" s="217">
        <f t="shared" si="64"/>
        <v>2.3196605374823194</v>
      </c>
      <c r="DF24" s="173">
        <f t="shared" si="65"/>
        <v>1.6973125884016973</v>
      </c>
      <c r="DG24" s="173">
        <f t="shared" si="66"/>
        <v>0.68900808044029282</v>
      </c>
      <c r="DH24" s="173"/>
      <c r="DI24" s="173">
        <f t="shared" si="67"/>
        <v>0.73170731707317083</v>
      </c>
      <c r="DJ24" s="545">
        <f t="shared" si="117"/>
        <v>519.33333333333326</v>
      </c>
      <c r="DK24" s="528">
        <f t="shared" si="68"/>
        <v>0.12804878048780488</v>
      </c>
      <c r="DM24" s="173">
        <f t="shared" si="69"/>
        <v>1.218117204463316</v>
      </c>
      <c r="DN24" s="173">
        <f t="shared" si="70"/>
        <v>1.218117204463316</v>
      </c>
      <c r="DO24" s="173">
        <f t="shared" si="71"/>
        <v>1.3615682996024563</v>
      </c>
      <c r="DQ24" s="545">
        <f t="shared" si="72"/>
        <v>190</v>
      </c>
      <c r="DR24" s="460">
        <f t="shared" si="73"/>
        <v>350</v>
      </c>
      <c r="DT24">
        <f t="shared" si="74"/>
        <v>190</v>
      </c>
      <c r="DU24" s="460">
        <f t="shared" si="75"/>
        <v>350</v>
      </c>
      <c r="DV24" s="460"/>
      <c r="DW24" s="5">
        <f t="shared" si="118"/>
        <v>2.8571428571428572</v>
      </c>
      <c r="DX24" s="5">
        <f t="shared" si="76"/>
        <v>0.60905860223165798</v>
      </c>
      <c r="DY24" s="5">
        <f t="shared" si="119"/>
        <v>2.2480842549111992</v>
      </c>
      <c r="DZ24" s="5">
        <f t="shared" si="77"/>
        <v>0.89130527155852401</v>
      </c>
      <c r="EA24" s="173">
        <f t="shared" si="120"/>
        <v>0.21317051078108029</v>
      </c>
      <c r="EB24" s="173">
        <f t="shared" si="78"/>
        <v>3.1160000000000005</v>
      </c>
      <c r="EC24" s="173">
        <f t="shared" si="79"/>
        <v>0.47922526889832462</v>
      </c>
      <c r="ED24" s="173">
        <f t="shared" si="121"/>
        <v>6.5021613053987561</v>
      </c>
      <c r="EE24" s="460">
        <f t="shared" si="80"/>
        <v>0.72325709015009387</v>
      </c>
      <c r="EF24" s="5">
        <f t="shared" si="81"/>
        <v>0.2372977824628488</v>
      </c>
      <c r="EG24" s="5"/>
      <c r="EH24" s="173">
        <f t="shared" si="122"/>
        <v>0.32470727026677826</v>
      </c>
      <c r="EI24" s="173">
        <f t="shared" si="82"/>
        <v>0.62383360220420325</v>
      </c>
      <c r="EJ24" s="173"/>
      <c r="EK24" s="528">
        <f t="shared" si="83"/>
        <v>2.1086962272820519E-3</v>
      </c>
      <c r="EL24" s="528">
        <f t="shared" si="84"/>
        <v>0.3272593681511145</v>
      </c>
      <c r="EM24" s="528">
        <f t="shared" si="85"/>
        <v>4.0250000000000001E-2</v>
      </c>
      <c r="EN24" s="528">
        <f t="shared" si="86"/>
        <v>0.28134357999999998</v>
      </c>
      <c r="EO24">
        <f t="shared" si="87"/>
        <v>1.0800000000000001E-2</v>
      </c>
      <c r="EP24" s="460">
        <f t="shared" si="123"/>
        <v>51.05</v>
      </c>
      <c r="EQ24" s="528">
        <f t="shared" si="88"/>
        <v>0.66266300390212884</v>
      </c>
      <c r="ER24" s="460">
        <f t="shared" si="124"/>
        <v>662.66300390212882</v>
      </c>
      <c r="ES24" s="528">
        <f t="shared" si="125"/>
        <v>0.11803749999999998</v>
      </c>
      <c r="ET24" s="528"/>
      <c r="EV24" s="460">
        <f t="shared" si="126"/>
        <v>118.03749999999998</v>
      </c>
      <c r="EW24" s="528">
        <f t="shared" si="89"/>
        <v>3.1630443409230774E-3</v>
      </c>
      <c r="EX24" s="528">
        <f t="shared" si="90"/>
        <v>1.1675050897172162E-2</v>
      </c>
      <c r="EY24" s="528">
        <f t="shared" si="91"/>
        <v>0.18765615261714053</v>
      </c>
      <c r="EZ24" s="528">
        <f t="shared" si="92"/>
        <v>0.20630027896733569</v>
      </c>
      <c r="FA24" s="528">
        <f t="shared" si="93"/>
        <v>2.5966666666666673E-3</v>
      </c>
      <c r="FB24" s="460">
        <f t="shared" si="127"/>
        <v>208.89694563400235</v>
      </c>
      <c r="FC24" s="173">
        <f t="shared" si="128"/>
        <v>0.98959744953613127</v>
      </c>
      <c r="FD24" s="5">
        <f t="shared" si="129"/>
        <v>3.04</v>
      </c>
      <c r="FE24" s="173">
        <f t="shared" si="130"/>
        <v>0.75441778938736193</v>
      </c>
      <c r="FF24" s="5">
        <f t="shared" si="131"/>
        <v>75.441778938736192</v>
      </c>
      <c r="FI24" s="562">
        <f t="shared" si="94"/>
        <v>-50</v>
      </c>
      <c r="FJ24">
        <f t="shared" si="95"/>
        <v>-50</v>
      </c>
      <c r="FL24">
        <f t="shared" si="96"/>
        <v>0.31195684504548338</v>
      </c>
    </row>
    <row r="25" spans="5:168">
      <c r="E25" s="170">
        <v>20</v>
      </c>
      <c r="F25" s="217">
        <f t="shared" si="97"/>
        <v>0.2</v>
      </c>
      <c r="G25" s="217"/>
      <c r="H25" s="217">
        <f t="shared" si="0"/>
        <v>3.2</v>
      </c>
      <c r="I25" s="541">
        <f t="shared" si="1"/>
        <v>23.969139330007582</v>
      </c>
      <c r="J25" s="172">
        <f t="shared" si="2"/>
        <v>16.418516401995451</v>
      </c>
      <c r="K25" s="172">
        <f t="shared" si="3"/>
        <v>40.418516401995447</v>
      </c>
      <c r="L25" s="443"/>
      <c r="M25" s="217">
        <f t="shared" si="4"/>
        <v>0.40652651457205663</v>
      </c>
      <c r="N25" s="172">
        <f t="shared" si="5"/>
        <v>24.652549392873553</v>
      </c>
      <c r="O25" s="172">
        <f t="shared" si="98"/>
        <v>3.2</v>
      </c>
      <c r="P25" s="217">
        <f t="shared" si="6"/>
        <v>1.5407843370545971</v>
      </c>
      <c r="Q25" s="217">
        <f t="shared" si="7"/>
        <v>16</v>
      </c>
      <c r="R25" s="217">
        <f t="shared" si="8"/>
        <v>1.5225141670499973</v>
      </c>
      <c r="S25" s="172">
        <f t="shared" si="9"/>
        <v>275.67983013350755</v>
      </c>
      <c r="T25" s="172">
        <f t="shared" si="10"/>
        <v>16</v>
      </c>
      <c r="U25" s="217">
        <f t="shared" si="99"/>
        <v>0.67399809733971017</v>
      </c>
      <c r="V25" s="217">
        <f t="shared" si="11"/>
        <v>0.33743294061255574</v>
      </c>
      <c r="W25" s="217">
        <f t="shared" si="12"/>
        <v>0.49261315517482063</v>
      </c>
      <c r="X25" s="197">
        <f t="shared" si="13"/>
        <v>350</v>
      </c>
      <c r="Y25" s="443">
        <f t="shared" si="14"/>
        <v>350</v>
      </c>
      <c r="AA25" s="217">
        <f t="shared" si="15"/>
        <v>2.3200022978426449</v>
      </c>
      <c r="AB25" s="173">
        <f t="shared" si="16"/>
        <v>1.6956481872337843</v>
      </c>
      <c r="AC25" s="173">
        <f t="shared" si="17"/>
        <v>0.68843384587514167</v>
      </c>
      <c r="AD25" s="173"/>
      <c r="AE25" s="173">
        <f t="shared" si="18"/>
        <v>0.73088211542314274</v>
      </c>
      <c r="AF25" s="545">
        <f t="shared" si="100"/>
        <v>547.28388006651505</v>
      </c>
      <c r="AG25" s="528">
        <f t="shared" si="19"/>
        <v>0.12790437019904996</v>
      </c>
      <c r="AI25" s="173">
        <f t="shared" si="20"/>
        <v>1.2504672041926856</v>
      </c>
      <c r="AJ25" s="173">
        <f t="shared" si="21"/>
        <v>1.2504672041926856</v>
      </c>
      <c r="AK25" s="173">
        <f t="shared" si="22"/>
        <v>1.3855312623649523</v>
      </c>
      <c r="AM25" s="545">
        <f t="shared" si="23"/>
        <v>200</v>
      </c>
      <c r="AN25" s="460">
        <f t="shared" si="24"/>
        <v>350</v>
      </c>
      <c r="AP25">
        <f t="shared" si="25"/>
        <v>200</v>
      </c>
      <c r="AQ25" s="460">
        <f t="shared" si="26"/>
        <v>350</v>
      </c>
      <c r="AR25" s="460"/>
      <c r="AS25" s="5">
        <f t="shared" si="101"/>
        <v>2.8571428571428572</v>
      </c>
      <c r="AT25" s="5">
        <f t="shared" si="27"/>
        <v>0.62603860087401308</v>
      </c>
      <c r="AU25" s="5">
        <f t="shared" si="102"/>
        <v>2.2311042562688441</v>
      </c>
      <c r="AV25" s="5">
        <f t="shared" si="28"/>
        <v>0.91394411546761301</v>
      </c>
      <c r="AW25" s="173">
        <f t="shared" si="103"/>
        <v>0.21911351030590456</v>
      </c>
      <c r="AX25" s="173">
        <f t="shared" si="29"/>
        <v>3.2837032803990911</v>
      </c>
      <c r="AY25" s="173">
        <f t="shared" si="30"/>
        <v>0.48823647277980797</v>
      </c>
      <c r="AZ25" s="173">
        <f t="shared" si="104"/>
        <v>6.7256410847454724</v>
      </c>
      <c r="BA25" s="460">
        <f t="shared" si="31"/>
        <v>0.78254825109251636</v>
      </c>
      <c r="BB25" s="5">
        <f t="shared" si="32"/>
        <v>0.24821964894675125</v>
      </c>
      <c r="BC25" s="5"/>
      <c r="BD25" s="173">
        <f t="shared" si="105"/>
        <v>0.3379451802475969</v>
      </c>
      <c r="BE25" s="173">
        <f t="shared" si="33"/>
        <v>0.63797789778950009</v>
      </c>
      <c r="BF25" s="173"/>
      <c r="BG25" s="528">
        <f t="shared" si="34"/>
        <v>2.2841388970516151E-3</v>
      </c>
      <c r="BH25" s="528">
        <f t="shared" si="35"/>
        <v>0.32283721153300932</v>
      </c>
      <c r="BI25" s="528">
        <f t="shared" si="36"/>
        <v>0.19295157160656104</v>
      </c>
      <c r="BJ25" s="528">
        <f t="shared" si="37"/>
        <v>0.2816015336953524</v>
      </c>
      <c r="BK25">
        <f t="shared" si="38"/>
        <v>1.0786112698503412E-2</v>
      </c>
      <c r="BL25" s="460">
        <f t="shared" si="106"/>
        <v>203.73768430506445</v>
      </c>
      <c r="BM25" s="528">
        <f t="shared" si="39"/>
        <v>0.60766939073457849</v>
      </c>
      <c r="BN25" s="460">
        <f t="shared" si="107"/>
        <v>607.66939073457843</v>
      </c>
      <c r="BO25" s="528">
        <f t="shared" si="108"/>
        <v>0.12424999999999999</v>
      </c>
      <c r="BP25" s="528"/>
      <c r="BR25" s="460">
        <f t="shared" si="109"/>
        <v>124.24999999999999</v>
      </c>
      <c r="BS25" s="528">
        <f t="shared" si="40"/>
        <v>3.4262083455774226E-3</v>
      </c>
      <c r="BT25" s="528">
        <f t="shared" si="41"/>
        <v>1.2210473942037295E-2</v>
      </c>
      <c r="BU25" s="528">
        <f t="shared" si="42"/>
        <v>4.8000000000000001E-2</v>
      </c>
      <c r="BV25" s="528">
        <f t="shared" si="43"/>
        <v>6.7473891460920921E-2</v>
      </c>
      <c r="BW25" s="528">
        <f t="shared" si="44"/>
        <v>2.736419400332576E-3</v>
      </c>
      <c r="BX25" s="460">
        <f t="shared" si="110"/>
        <v>70.210310861253504</v>
      </c>
      <c r="BY25" s="173">
        <f t="shared" si="45"/>
        <v>1.0058673859008964</v>
      </c>
      <c r="BZ25" s="5">
        <f t="shared" si="111"/>
        <v>3.2</v>
      </c>
      <c r="CA25" s="173">
        <f t="shared" si="112"/>
        <v>0.76084186836874323</v>
      </c>
      <c r="CB25" s="5">
        <f t="shared" si="113"/>
        <v>76.084186836874323</v>
      </c>
      <c r="CE25" s="562">
        <f t="shared" si="46"/>
        <v>-50</v>
      </c>
      <c r="CF25">
        <f t="shared" si="47"/>
        <v>-50</v>
      </c>
      <c r="CG25" s="173">
        <f t="shared" si="48"/>
        <v>0.32403703492039304</v>
      </c>
      <c r="CI25" s="170">
        <v>20</v>
      </c>
      <c r="CJ25" s="217">
        <f t="shared" si="114"/>
        <v>0.2</v>
      </c>
      <c r="CK25" s="217"/>
      <c r="CL25" s="217">
        <f t="shared" si="49"/>
        <v>3.2</v>
      </c>
      <c r="CM25" s="541">
        <f t="shared" si="50"/>
        <v>24</v>
      </c>
      <c r="CN25" s="172">
        <f t="shared" si="51"/>
        <v>16.399999999999999</v>
      </c>
      <c r="CO25" s="443">
        <f t="shared" si="52"/>
        <v>40.4</v>
      </c>
      <c r="CP25" s="443"/>
      <c r="CQ25" s="217">
        <f t="shared" si="53"/>
        <v>0.40594059405940591</v>
      </c>
      <c r="CR25" s="172">
        <f t="shared" si="54"/>
        <v>24.648712871287128</v>
      </c>
      <c r="CS25" s="172">
        <f t="shared" si="115"/>
        <v>3.2</v>
      </c>
      <c r="CT25" s="217">
        <f t="shared" si="55"/>
        <v>1.5405445544554455</v>
      </c>
      <c r="CU25" s="217">
        <f t="shared" si="56"/>
        <v>16</v>
      </c>
      <c r="CV25" s="217">
        <f t="shared" si="57"/>
        <v>1.5222772277227721</v>
      </c>
      <c r="CW25" s="172">
        <f t="shared" si="58"/>
        <v>276.03472790872775</v>
      </c>
      <c r="CX25" s="172">
        <f t="shared" si="59"/>
        <v>16</v>
      </c>
      <c r="CY25" s="217">
        <f t="shared" si="60"/>
        <v>0.65691056910569112</v>
      </c>
      <c r="CZ25" s="217">
        <f t="shared" si="61"/>
        <v>0.32845528455284562</v>
      </c>
      <c r="DA25" s="217">
        <f t="shared" si="62"/>
        <v>0.48066627007733509</v>
      </c>
      <c r="DB25" s="197">
        <f t="shared" si="63"/>
        <v>350</v>
      </c>
      <c r="DC25" s="443">
        <f t="shared" si="116"/>
        <v>350</v>
      </c>
      <c r="DE25" s="217">
        <f t="shared" si="64"/>
        <v>2.3196605374823194</v>
      </c>
      <c r="DF25" s="173">
        <f t="shared" si="65"/>
        <v>1.6973125884016973</v>
      </c>
      <c r="DG25" s="173">
        <f t="shared" si="66"/>
        <v>0.68900808044029282</v>
      </c>
      <c r="DH25" s="173"/>
      <c r="DI25" s="173">
        <f t="shared" si="67"/>
        <v>0.73170731707317083</v>
      </c>
      <c r="DJ25" s="545">
        <f t="shared" si="117"/>
        <v>546.66666666666663</v>
      </c>
      <c r="DK25" s="528">
        <f t="shared" si="68"/>
        <v>0.12804878048780488</v>
      </c>
      <c r="DM25" s="173">
        <f t="shared" si="69"/>
        <v>1.2497618820818477</v>
      </c>
      <c r="DN25" s="173">
        <f t="shared" si="70"/>
        <v>1.2497618820818477</v>
      </c>
      <c r="DO25" s="173">
        <f t="shared" si="71"/>
        <v>1.3850088015421094</v>
      </c>
      <c r="DQ25" s="545">
        <f t="shared" si="72"/>
        <v>200</v>
      </c>
      <c r="DR25" s="460">
        <f t="shared" si="73"/>
        <v>350</v>
      </c>
      <c r="DT25">
        <f t="shared" si="74"/>
        <v>200</v>
      </c>
      <c r="DU25" s="460">
        <f t="shared" si="75"/>
        <v>350</v>
      </c>
      <c r="DV25" s="460"/>
      <c r="DW25" s="5">
        <f t="shared" si="118"/>
        <v>2.8571428571428572</v>
      </c>
      <c r="DX25" s="5">
        <f t="shared" si="76"/>
        <v>0.62488094104092384</v>
      </c>
      <c r="DY25" s="5">
        <f t="shared" si="119"/>
        <v>2.2322619161019333</v>
      </c>
      <c r="DZ25" s="5">
        <f t="shared" si="77"/>
        <v>0.91445991371842528</v>
      </c>
      <c r="EA25" s="173">
        <f t="shared" si="120"/>
        <v>0.21870832936432333</v>
      </c>
      <c r="EB25" s="173">
        <f t="shared" si="78"/>
        <v>3.2800000000000007</v>
      </c>
      <c r="EC25" s="173">
        <f t="shared" si="79"/>
        <v>0.48821427437425718</v>
      </c>
      <c r="ED25" s="173">
        <f t="shared" si="121"/>
        <v>6.7183615313254963</v>
      </c>
      <c r="EE25" s="460">
        <f t="shared" si="80"/>
        <v>0.78110117630115483</v>
      </c>
      <c r="EF25" s="5">
        <f t="shared" si="81"/>
        <v>0.24802910178910367</v>
      </c>
      <c r="EG25" s="5"/>
      <c r="EH25" s="173">
        <f t="shared" si="122"/>
        <v>0.33744213385525912</v>
      </c>
      <c r="EI25" s="173">
        <f t="shared" si="82"/>
        <v>0.63778344830681377</v>
      </c>
      <c r="EJ25" s="173"/>
      <c r="EK25" s="528">
        <f t="shared" si="83"/>
        <v>2.2773438740158122E-3</v>
      </c>
      <c r="EL25" s="528">
        <f t="shared" si="84"/>
        <v>0.3357610272401092</v>
      </c>
      <c r="EM25" s="528">
        <f t="shared" si="85"/>
        <v>4.0250000000000001E-2</v>
      </c>
      <c r="EN25" s="528">
        <f t="shared" si="86"/>
        <v>0.28134357999999998</v>
      </c>
      <c r="EO25">
        <f t="shared" si="87"/>
        <v>1.0800000000000001E-2</v>
      </c>
      <c r="EP25" s="460">
        <f t="shared" si="123"/>
        <v>51.05</v>
      </c>
      <c r="EQ25" s="528">
        <f t="shared" si="88"/>
        <v>0.67141013190410981</v>
      </c>
      <c r="ER25" s="460">
        <f t="shared" si="124"/>
        <v>671.41013190410979</v>
      </c>
      <c r="ES25" s="528">
        <f t="shared" si="125"/>
        <v>0.12424999999999999</v>
      </c>
      <c r="ET25" s="528"/>
      <c r="EV25" s="460">
        <f t="shared" si="126"/>
        <v>124.24999999999999</v>
      </c>
      <c r="EW25" s="528">
        <f t="shared" si="89"/>
        <v>3.4160158110237183E-3</v>
      </c>
      <c r="EX25" s="528">
        <f t="shared" si="90"/>
        <v>1.2203031808023906E-2</v>
      </c>
      <c r="EY25" s="528">
        <f t="shared" si="91"/>
        <v>0.20008212970016923</v>
      </c>
      <c r="EZ25" s="528">
        <f t="shared" si="92"/>
        <v>0.21972429949153388</v>
      </c>
      <c r="FA25" s="528">
        <f t="shared" si="93"/>
        <v>2.7333333333333337E-3</v>
      </c>
      <c r="FB25" s="460">
        <f t="shared" si="127"/>
        <v>222.45763282486723</v>
      </c>
      <c r="FC25" s="173">
        <f t="shared" si="128"/>
        <v>1.018117764728977</v>
      </c>
      <c r="FD25" s="5">
        <f t="shared" si="129"/>
        <v>3.2</v>
      </c>
      <c r="FE25" s="173">
        <f t="shared" si="130"/>
        <v>0.75863220955036725</v>
      </c>
      <c r="FF25" s="5">
        <f t="shared" si="131"/>
        <v>75.863220955036724</v>
      </c>
      <c r="FI25" s="562">
        <f t="shared" si="94"/>
        <v>-50</v>
      </c>
      <c r="FJ25">
        <f t="shared" si="95"/>
        <v>-50</v>
      </c>
      <c r="FL25">
        <f t="shared" si="96"/>
        <v>0.32006096980144877</v>
      </c>
    </row>
    <row r="26" spans="5:168">
      <c r="E26" s="170">
        <v>21</v>
      </c>
      <c r="F26" s="217">
        <f t="shared" si="97"/>
        <v>0.21</v>
      </c>
      <c r="G26" s="217"/>
      <c r="H26" s="217">
        <f t="shared" si="0"/>
        <v>3.36</v>
      </c>
      <c r="I26" s="541">
        <f t="shared" si="1"/>
        <v>23.968377223398317</v>
      </c>
      <c r="J26" s="172">
        <f t="shared" si="2"/>
        <v>16.418973665961008</v>
      </c>
      <c r="K26" s="172">
        <f t="shared" si="3"/>
        <v>40.418973665961005</v>
      </c>
      <c r="L26" s="443"/>
      <c r="M26" s="217">
        <f t="shared" si="4"/>
        <v>0.40654098837125102</v>
      </c>
      <c r="N26" s="172">
        <f t="shared" si="5"/>
        <v>24.652643248119993</v>
      </c>
      <c r="O26" s="172">
        <f t="shared" si="98"/>
        <v>3.36</v>
      </c>
      <c r="P26" s="217">
        <f t="shared" si="6"/>
        <v>1.5407902030074996</v>
      </c>
      <c r="Q26" s="217">
        <f t="shared" si="7"/>
        <v>16</v>
      </c>
      <c r="R26" s="217">
        <f t="shared" si="8"/>
        <v>1.5225199634461457</v>
      </c>
      <c r="S26" s="172">
        <f t="shared" si="9"/>
        <v>261.40606691325866</v>
      </c>
      <c r="T26" s="172">
        <f t="shared" si="10"/>
        <v>16</v>
      </c>
      <c r="U26" s="217">
        <f t="shared" si="99"/>
        <v>0.70771526216664804</v>
      </c>
      <c r="V26" s="217">
        <f t="shared" si="11"/>
        <v>0.3543244945973722</v>
      </c>
      <c r="W26" s="217">
        <f t="shared" si="12"/>
        <v>0.51724202247830953</v>
      </c>
      <c r="X26" s="197">
        <f t="shared" si="13"/>
        <v>350</v>
      </c>
      <c r="Y26" s="443">
        <f t="shared" si="14"/>
        <v>350</v>
      </c>
      <c r="AA26" s="217">
        <f t="shared" si="15"/>
        <v>2.3200106550385531</v>
      </c>
      <c r="AB26" s="173">
        <f t="shared" si="16"/>
        <v>1.6956070718463598</v>
      </c>
      <c r="AC26" s="173">
        <f t="shared" si="17"/>
        <v>0.68841963285239827</v>
      </c>
      <c r="AD26" s="173"/>
      <c r="AE26" s="173">
        <f t="shared" si="18"/>
        <v>0.7308617605543638</v>
      </c>
      <c r="AF26" s="545">
        <f t="shared" si="100"/>
        <v>574.66407830863523</v>
      </c>
      <c r="AG26" s="528">
        <f t="shared" si="19"/>
        <v>0.12790080809701368</v>
      </c>
      <c r="AI26" s="173">
        <f t="shared" si="20"/>
        <v>1.2813654305451279</v>
      </c>
      <c r="AJ26" s="173">
        <f t="shared" si="21"/>
        <v>1.2813654305451279</v>
      </c>
      <c r="AK26" s="173">
        <f t="shared" si="22"/>
        <v>1.4084188374408355</v>
      </c>
      <c r="AM26" s="545">
        <f t="shared" si="23"/>
        <v>210</v>
      </c>
      <c r="AN26" s="460">
        <f t="shared" si="24"/>
        <v>350</v>
      </c>
      <c r="AP26">
        <f t="shared" si="25"/>
        <v>210</v>
      </c>
      <c r="AQ26" s="460">
        <f t="shared" si="26"/>
        <v>350</v>
      </c>
      <c r="AR26" s="460"/>
      <c r="AS26" s="5">
        <f t="shared" si="101"/>
        <v>2.8571428571428572</v>
      </c>
      <c r="AT26" s="5">
        <f t="shared" si="27"/>
        <v>0.64152800263552512</v>
      </c>
      <c r="AU26" s="5">
        <f t="shared" si="102"/>
        <v>2.215614854507332</v>
      </c>
      <c r="AV26" s="5">
        <f t="shared" si="28"/>
        <v>0.93650099448171253</v>
      </c>
      <c r="AW26" s="173">
        <f t="shared" si="103"/>
        <v>0.22453480092243377</v>
      </c>
      <c r="AX26" s="173">
        <f t="shared" si="29"/>
        <v>3.4479844698518121</v>
      </c>
      <c r="AY26" s="173">
        <f t="shared" si="30"/>
        <v>0.49682714934439448</v>
      </c>
      <c r="AZ26" s="173">
        <f t="shared" si="104"/>
        <v>6.9400081585753108</v>
      </c>
      <c r="BA26" s="460">
        <f t="shared" si="31"/>
        <v>0.84200550345912661</v>
      </c>
      <c r="BB26" s="5">
        <f t="shared" si="32"/>
        <v>0.25882943742075104</v>
      </c>
      <c r="BC26" s="5"/>
      <c r="BD26" s="173">
        <f t="shared" si="105"/>
        <v>0.35055341882216456</v>
      </c>
      <c r="BE26" s="173">
        <f t="shared" si="33"/>
        <v>0.65146866597772168</v>
      </c>
      <c r="BF26" s="173"/>
      <c r="BG26" s="528">
        <f t="shared" si="34"/>
        <v>2.4577539889581584E-3</v>
      </c>
      <c r="BH26" s="528">
        <f t="shared" si="35"/>
        <v>0.33081805035460737</v>
      </c>
      <c r="BI26" s="528">
        <f t="shared" si="36"/>
        <v>0.19294543664835648</v>
      </c>
      <c r="BJ26" s="528">
        <f t="shared" si="37"/>
        <v>0.28160790537713831</v>
      </c>
      <c r="BK26">
        <f t="shared" si="38"/>
        <v>1.0785769750529242E-2</v>
      </c>
      <c r="BL26" s="460">
        <f t="shared" si="106"/>
        <v>203.73120639888572</v>
      </c>
      <c r="BM26" s="528">
        <f t="shared" si="39"/>
        <v>0.6159069697778059</v>
      </c>
      <c r="BN26" s="460">
        <f t="shared" si="107"/>
        <v>615.9069697778059</v>
      </c>
      <c r="BO26" s="528">
        <f t="shared" si="108"/>
        <v>0.13046249999999998</v>
      </c>
      <c r="BP26" s="528"/>
      <c r="BR26" s="460">
        <f t="shared" si="109"/>
        <v>130.46249999999998</v>
      </c>
      <c r="BS26" s="528">
        <f t="shared" si="40"/>
        <v>3.6866309834372377E-3</v>
      </c>
      <c r="BT26" s="528">
        <f t="shared" si="41"/>
        <v>1.2732342682523769E-2</v>
      </c>
      <c r="BU26" s="528">
        <f t="shared" si="42"/>
        <v>5.0399999999999993E-2</v>
      </c>
      <c r="BV26" s="528">
        <f t="shared" si="43"/>
        <v>7.0852593495132565E-2</v>
      </c>
      <c r="BW26" s="528">
        <f t="shared" si="44"/>
        <v>2.8733203915431767E-3</v>
      </c>
      <c r="BX26" s="460">
        <f t="shared" si="110"/>
        <v>73.725913886675741</v>
      </c>
      <c r="BY26" s="173">
        <f t="shared" si="45"/>
        <v>1.0238265900633672</v>
      </c>
      <c r="BZ26" s="5">
        <f t="shared" si="111"/>
        <v>3.36</v>
      </c>
      <c r="CA26" s="173">
        <f t="shared" si="112"/>
        <v>0.76645367488211524</v>
      </c>
      <c r="CB26" s="5">
        <f t="shared" si="113"/>
        <v>76.645367488211519</v>
      </c>
      <c r="CE26" s="562">
        <f t="shared" si="46"/>
        <v>-50</v>
      </c>
      <c r="CF26">
        <f t="shared" si="47"/>
        <v>-50</v>
      </c>
      <c r="CG26" s="173">
        <f t="shared" si="48"/>
        <v>0.33203915431767983</v>
      </c>
      <c r="CI26" s="170">
        <v>21</v>
      </c>
      <c r="CJ26" s="217">
        <f t="shared" si="114"/>
        <v>0.21</v>
      </c>
      <c r="CK26" s="217"/>
      <c r="CL26" s="217">
        <f t="shared" si="49"/>
        <v>3.36</v>
      </c>
      <c r="CM26" s="541">
        <f t="shared" si="50"/>
        <v>24</v>
      </c>
      <c r="CN26" s="172">
        <f t="shared" si="51"/>
        <v>16.399999999999999</v>
      </c>
      <c r="CO26" s="443">
        <f t="shared" si="52"/>
        <v>40.4</v>
      </c>
      <c r="CP26" s="443"/>
      <c r="CQ26" s="217">
        <f t="shared" si="53"/>
        <v>0.40594059405940591</v>
      </c>
      <c r="CR26" s="172">
        <f t="shared" si="54"/>
        <v>24.648712871287128</v>
      </c>
      <c r="CS26" s="172">
        <f t="shared" si="115"/>
        <v>3.36</v>
      </c>
      <c r="CT26" s="217">
        <f t="shared" si="55"/>
        <v>1.5405445544554455</v>
      </c>
      <c r="CU26" s="217">
        <f t="shared" si="56"/>
        <v>16</v>
      </c>
      <c r="CV26" s="217">
        <f t="shared" si="57"/>
        <v>1.5222772277227721</v>
      </c>
      <c r="CW26" s="172">
        <f t="shared" si="58"/>
        <v>261.750905843326</v>
      </c>
      <c r="CX26" s="172">
        <f t="shared" si="59"/>
        <v>16</v>
      </c>
      <c r="CY26" s="217">
        <f t="shared" si="60"/>
        <v>0.68975609756097556</v>
      </c>
      <c r="CZ26" s="217">
        <f t="shared" si="61"/>
        <v>0.34487804878048778</v>
      </c>
      <c r="DA26" s="217">
        <f t="shared" si="62"/>
        <v>0.50469958358120171</v>
      </c>
      <c r="DB26" s="197">
        <f t="shared" si="63"/>
        <v>350</v>
      </c>
      <c r="DC26" s="443">
        <f t="shared" si="116"/>
        <v>350</v>
      </c>
      <c r="DE26" s="217">
        <f t="shared" si="64"/>
        <v>2.3196605374823194</v>
      </c>
      <c r="DF26" s="173">
        <f t="shared" si="65"/>
        <v>1.6973125884016973</v>
      </c>
      <c r="DG26" s="173">
        <f t="shared" si="66"/>
        <v>0.68900808044029282</v>
      </c>
      <c r="DH26" s="173"/>
      <c r="DI26" s="173">
        <f t="shared" si="67"/>
        <v>0.73170731707317083</v>
      </c>
      <c r="DJ26" s="545">
        <f t="shared" si="117"/>
        <v>573.99999999999989</v>
      </c>
      <c r="DK26" s="528">
        <f t="shared" si="68"/>
        <v>0.12804878048780488</v>
      </c>
      <c r="DM26" s="173">
        <f t="shared" si="69"/>
        <v>1.2806248474865698</v>
      </c>
      <c r="DN26" s="173">
        <f t="shared" si="70"/>
        <v>1.2806248474865698</v>
      </c>
      <c r="DO26" s="173">
        <f t="shared" si="71"/>
        <v>1.4078702573974591</v>
      </c>
      <c r="DQ26" s="545">
        <f t="shared" si="72"/>
        <v>210</v>
      </c>
      <c r="DR26" s="460">
        <f t="shared" si="73"/>
        <v>350</v>
      </c>
      <c r="DT26">
        <f t="shared" si="74"/>
        <v>210</v>
      </c>
      <c r="DU26" s="460">
        <f t="shared" si="75"/>
        <v>350</v>
      </c>
      <c r="DV26" s="460"/>
      <c r="DW26" s="5">
        <f t="shared" si="118"/>
        <v>2.8571428571428572</v>
      </c>
      <c r="DX26" s="5">
        <f t="shared" si="76"/>
        <v>0.6403124237432849</v>
      </c>
      <c r="DY26" s="5">
        <f t="shared" si="119"/>
        <v>2.2168304333995721</v>
      </c>
      <c r="DZ26" s="5">
        <f t="shared" si="77"/>
        <v>0.93704257133163638</v>
      </c>
      <c r="EA26" s="173">
        <f t="shared" si="120"/>
        <v>0.2241093483101497</v>
      </c>
      <c r="EB26" s="173">
        <f t="shared" si="78"/>
        <v>3.444</v>
      </c>
      <c r="EC26" s="173">
        <f t="shared" si="79"/>
        <v>0.49681242374328488</v>
      </c>
      <c r="ED26" s="173">
        <f t="shared" si="121"/>
        <v>6.9321937926809953</v>
      </c>
      <c r="EE26" s="460">
        <f t="shared" si="80"/>
        <v>0.84041005616306153</v>
      </c>
      <c r="EF26" s="5">
        <f t="shared" si="81"/>
        <v>0.25863021722995</v>
      </c>
      <c r="EG26" s="5"/>
      <c r="EH26" s="173">
        <f t="shared" si="122"/>
        <v>0.35001872865540856</v>
      </c>
      <c r="EI26" s="173">
        <f t="shared" si="82"/>
        <v>0.65127072424385724</v>
      </c>
      <c r="EJ26" s="173"/>
      <c r="EK26" s="528">
        <f t="shared" si="83"/>
        <v>2.4502622081909705E-3</v>
      </c>
      <c r="EL26" s="528">
        <f t="shared" si="84"/>
        <v>0.34405267152574182</v>
      </c>
      <c r="EM26" s="528">
        <f t="shared" si="85"/>
        <v>4.0250000000000001E-2</v>
      </c>
      <c r="EN26" s="528">
        <f t="shared" si="86"/>
        <v>0.28134357999999998</v>
      </c>
      <c r="EO26">
        <f t="shared" si="87"/>
        <v>1.0800000000000001E-2</v>
      </c>
      <c r="EP26" s="460">
        <f t="shared" si="123"/>
        <v>51.05</v>
      </c>
      <c r="EQ26" s="528">
        <f t="shared" si="88"/>
        <v>0.6799539416802588</v>
      </c>
      <c r="ER26" s="460">
        <f t="shared" si="124"/>
        <v>679.95394168025882</v>
      </c>
      <c r="ES26" s="528">
        <f t="shared" si="125"/>
        <v>0.13046249999999998</v>
      </c>
      <c r="ET26" s="528"/>
      <c r="EV26" s="460">
        <f t="shared" si="126"/>
        <v>130.46249999999998</v>
      </c>
      <c r="EW26" s="528">
        <f t="shared" si="89"/>
        <v>3.6753933122864557E-3</v>
      </c>
      <c r="EX26" s="528">
        <f t="shared" si="90"/>
        <v>1.2724606687713549E-2</v>
      </c>
      <c r="EY26" s="528">
        <f t="shared" si="91"/>
        <v>0.21266446372595665</v>
      </c>
      <c r="EZ26" s="528">
        <f t="shared" si="92"/>
        <v>0.23330656193521568</v>
      </c>
      <c r="FA26" s="528">
        <f t="shared" si="93"/>
        <v>2.8700000000000002E-3</v>
      </c>
      <c r="FB26" s="460">
        <f t="shared" si="127"/>
        <v>236.17656193521569</v>
      </c>
      <c r="FC26" s="173">
        <f t="shared" si="128"/>
        <v>1.0465930036154745</v>
      </c>
      <c r="FD26" s="5">
        <f t="shared" si="129"/>
        <v>3.36</v>
      </c>
      <c r="FE26" s="173">
        <f t="shared" si="130"/>
        <v>0.76249383531522497</v>
      </c>
      <c r="FF26" s="5">
        <f t="shared" si="131"/>
        <v>76.249383531522497</v>
      </c>
      <c r="FI26" s="562">
        <f t="shared" si="94"/>
        <v>-50</v>
      </c>
      <c r="FJ26">
        <f t="shared" si="95"/>
        <v>-50</v>
      </c>
      <c r="FL26">
        <f t="shared" si="96"/>
        <v>0.32796489996607275</v>
      </c>
    </row>
    <row r="27" spans="5:168">
      <c r="E27" s="170">
        <v>22</v>
      </c>
      <c r="F27" s="217">
        <f t="shared" si="97"/>
        <v>0.22</v>
      </c>
      <c r="G27" s="217"/>
      <c r="H27" s="217">
        <f t="shared" si="0"/>
        <v>3.52</v>
      </c>
      <c r="I27" s="541">
        <f t="shared" si="1"/>
        <v>23.967633056251493</v>
      </c>
      <c r="J27" s="172">
        <f t="shared" si="2"/>
        <v>16.419420166249104</v>
      </c>
      <c r="K27" s="172">
        <f t="shared" si="3"/>
        <v>40.419420166249104</v>
      </c>
      <c r="L27" s="443"/>
      <c r="M27" s="217">
        <f t="shared" si="4"/>
        <v>0.40655512167413649</v>
      </c>
      <c r="N27" s="172">
        <f t="shared" si="5"/>
        <v>24.652734852766212</v>
      </c>
      <c r="O27" s="172">
        <f t="shared" si="98"/>
        <v>3.52</v>
      </c>
      <c r="P27" s="217">
        <f t="shared" si="6"/>
        <v>1.5407959282978883</v>
      </c>
      <c r="Q27" s="217">
        <f t="shared" si="7"/>
        <v>16</v>
      </c>
      <c r="R27" s="217">
        <f t="shared" si="8"/>
        <v>1.5225256208477158</v>
      </c>
      <c r="S27" s="172">
        <f t="shared" si="9"/>
        <v>248.43036196240874</v>
      </c>
      <c r="T27" s="172">
        <f t="shared" si="10"/>
        <v>16</v>
      </c>
      <c r="U27" s="217">
        <f t="shared" si="99"/>
        <v>0.7414336462743788</v>
      </c>
      <c r="V27" s="217">
        <f t="shared" si="11"/>
        <v>0.37121745540792489</v>
      </c>
      <c r="W27" s="217">
        <f t="shared" si="12"/>
        <v>0.54187076432706005</v>
      </c>
      <c r="X27" s="197">
        <f t="shared" si="13"/>
        <v>350</v>
      </c>
      <c r="Y27" s="443">
        <f t="shared" si="14"/>
        <v>350</v>
      </c>
      <c r="AA27" s="217">
        <f t="shared" si="15"/>
        <v>2.3200188116686737</v>
      </c>
      <c r="AB27" s="173">
        <f t="shared" si="16"/>
        <v>1.6955669236877799</v>
      </c>
      <c r="AC27" s="173">
        <f t="shared" si="17"/>
        <v>0.68840575289479566</v>
      </c>
      <c r="AD27" s="173"/>
      <c r="AE27" s="173">
        <f t="shared" si="18"/>
        <v>0.73084188591912447</v>
      </c>
      <c r="AF27" s="545">
        <f t="shared" si="100"/>
        <v>602.04540609580044</v>
      </c>
      <c r="AG27" s="528">
        <f t="shared" si="19"/>
        <v>0.1278973300358468</v>
      </c>
      <c r="AI27" s="173">
        <f t="shared" si="20"/>
        <v>1.3115371636756188</v>
      </c>
      <c r="AJ27" s="173">
        <f t="shared" si="21"/>
        <v>1.3115371636756188</v>
      </c>
      <c r="AK27" s="173">
        <f t="shared" si="22"/>
        <v>1.4307682693893473</v>
      </c>
      <c r="AM27" s="545">
        <f t="shared" si="23"/>
        <v>220</v>
      </c>
      <c r="AN27" s="460">
        <f t="shared" si="24"/>
        <v>350</v>
      </c>
      <c r="AP27">
        <f t="shared" si="25"/>
        <v>220</v>
      </c>
      <c r="AQ27" s="460">
        <f t="shared" si="26"/>
        <v>350</v>
      </c>
      <c r="AR27" s="460"/>
      <c r="AS27" s="5">
        <f t="shared" si="101"/>
        <v>2.8571428571428572</v>
      </c>
      <c r="AT27" s="5">
        <f t="shared" si="27"/>
        <v>0.65665416051596126</v>
      </c>
      <c r="AU27" s="5">
        <f t="shared" si="102"/>
        <v>2.2004886966268957</v>
      </c>
      <c r="AV27" s="5">
        <f t="shared" si="28"/>
        <v>0.95852629415370882</v>
      </c>
      <c r="AW27" s="173">
        <f t="shared" si="103"/>
        <v>0.22982895618058644</v>
      </c>
      <c r="AX27" s="173">
        <f t="shared" si="29"/>
        <v>3.6122724365748025</v>
      </c>
      <c r="AY27" s="173">
        <f t="shared" si="30"/>
        <v>0.50505397317800216</v>
      </c>
      <c r="AZ27" s="173">
        <f t="shared" si="104"/>
        <v>7.152250310684491</v>
      </c>
      <c r="BA27" s="460">
        <f t="shared" si="31"/>
        <v>0.90289947070944665</v>
      </c>
      <c r="BB27" s="5">
        <f t="shared" si="32"/>
        <v>0.26931181849662422</v>
      </c>
      <c r="BC27" s="5"/>
      <c r="BD27" s="173">
        <f t="shared" si="105"/>
        <v>0.36301314059426226</v>
      </c>
      <c r="BE27" s="173">
        <f t="shared" si="33"/>
        <v>0.66452843204033496</v>
      </c>
      <c r="BF27" s="173"/>
      <c r="BG27" s="528">
        <f t="shared" si="34"/>
        <v>2.6355708048821924E-3</v>
      </c>
      <c r="BH27" s="528">
        <f t="shared" si="35"/>
        <v>0.33861141412040668</v>
      </c>
      <c r="BI27" s="528">
        <f t="shared" si="36"/>
        <v>0.19293944610282451</v>
      </c>
      <c r="BJ27" s="528">
        <f t="shared" si="37"/>
        <v>0.28161412714350093</v>
      </c>
      <c r="BK27">
        <f t="shared" si="38"/>
        <v>1.0785434875313171E-2</v>
      </c>
      <c r="BL27" s="460">
        <f t="shared" si="106"/>
        <v>203.72488097813769</v>
      </c>
      <c r="BM27" s="528">
        <f t="shared" si="39"/>
        <v>0.62396344935056824</v>
      </c>
      <c r="BN27" s="460">
        <f t="shared" si="107"/>
        <v>623.96344935056823</v>
      </c>
      <c r="BO27" s="528">
        <f t="shared" si="108"/>
        <v>0.13667499999999999</v>
      </c>
      <c r="BP27" s="528"/>
      <c r="BR27" s="460">
        <f t="shared" si="109"/>
        <v>136.67499999999998</v>
      </c>
      <c r="BS27" s="528">
        <f t="shared" si="40"/>
        <v>3.9533562073232886E-3</v>
      </c>
      <c r="BT27" s="528">
        <f t="shared" si="41"/>
        <v>1.3247941109699582E-2</v>
      </c>
      <c r="BU27" s="528">
        <f t="shared" si="42"/>
        <v>5.28E-2</v>
      </c>
      <c r="BV27" s="528">
        <f t="shared" si="43"/>
        <v>7.4231759278044943E-2</v>
      </c>
      <c r="BW27" s="528">
        <f t="shared" si="44"/>
        <v>3.010227030479002E-3</v>
      </c>
      <c r="BX27" s="460">
        <f t="shared" si="110"/>
        <v>77.241986308523934</v>
      </c>
      <c r="BY27" s="173">
        <f>SUM(BM27,BO27:BQ27,BV27, BW27)+BK27+BI27</f>
        <v>1.0416053166372299</v>
      </c>
      <c r="BZ27" s="5">
        <f t="shared" si="111"/>
        <v>3.52</v>
      </c>
      <c r="CA27" s="173">
        <f t="shared" si="112"/>
        <v>0.77165816761080697</v>
      </c>
      <c r="CB27" s="5">
        <f t="shared" si="113"/>
        <v>77.165816761080691</v>
      </c>
      <c r="CE27" s="562">
        <f t="shared" si="46"/>
        <v>-50</v>
      </c>
      <c r="CF27">
        <f t="shared" si="47"/>
        <v>-50</v>
      </c>
      <c r="CG27" s="173">
        <f t="shared" si="48"/>
        <v>0.3398529093593286</v>
      </c>
      <c r="CI27" s="170">
        <v>22</v>
      </c>
      <c r="CJ27" s="217">
        <f t="shared" si="114"/>
        <v>0.22</v>
      </c>
      <c r="CK27" s="217"/>
      <c r="CL27" s="217">
        <f t="shared" si="49"/>
        <v>3.52</v>
      </c>
      <c r="CM27" s="541">
        <f t="shared" si="50"/>
        <v>24</v>
      </c>
      <c r="CN27" s="172">
        <f t="shared" si="51"/>
        <v>16.399999999999999</v>
      </c>
      <c r="CO27" s="443">
        <f t="shared" si="52"/>
        <v>40.4</v>
      </c>
      <c r="CP27" s="443"/>
      <c r="CQ27" s="217">
        <f t="shared" si="53"/>
        <v>0.40594059405940591</v>
      </c>
      <c r="CR27" s="172">
        <f t="shared" si="54"/>
        <v>24.648712871287128</v>
      </c>
      <c r="CS27" s="172">
        <f t="shared" si="115"/>
        <v>3.52</v>
      </c>
      <c r="CT27" s="217">
        <f t="shared" si="55"/>
        <v>1.5405445544554455</v>
      </c>
      <c r="CU27" s="217">
        <f t="shared" si="56"/>
        <v>16</v>
      </c>
      <c r="CV27" s="217">
        <f t="shared" si="57"/>
        <v>1.5222772277227721</v>
      </c>
      <c r="CW27" s="172">
        <f t="shared" si="58"/>
        <v>248.76580128917942</v>
      </c>
      <c r="CX27" s="172">
        <f t="shared" si="59"/>
        <v>16</v>
      </c>
      <c r="CY27" s="217">
        <f t="shared" si="60"/>
        <v>0.72260162601626021</v>
      </c>
      <c r="CZ27" s="217">
        <f t="shared" si="61"/>
        <v>0.36130081300813011</v>
      </c>
      <c r="DA27" s="217">
        <f t="shared" si="62"/>
        <v>0.52873289708506854</v>
      </c>
      <c r="DB27" s="197">
        <f t="shared" si="63"/>
        <v>350</v>
      </c>
      <c r="DC27" s="443">
        <f t="shared" si="116"/>
        <v>350</v>
      </c>
      <c r="DE27" s="217">
        <f t="shared" si="64"/>
        <v>2.3196605374823194</v>
      </c>
      <c r="DF27" s="173">
        <f t="shared" si="65"/>
        <v>1.6973125884016973</v>
      </c>
      <c r="DG27" s="173">
        <f t="shared" si="66"/>
        <v>0.68900808044029282</v>
      </c>
      <c r="DH27" s="173"/>
      <c r="DI27" s="173">
        <f t="shared" si="67"/>
        <v>0.73170731707317083</v>
      </c>
      <c r="DJ27" s="545">
        <f t="shared" si="117"/>
        <v>601.33333333333326</v>
      </c>
      <c r="DK27" s="528">
        <f t="shared" si="68"/>
        <v>0.12804878048780488</v>
      </c>
      <c r="DM27" s="173">
        <f t="shared" si="69"/>
        <v>1.3107613200332233</v>
      </c>
      <c r="DN27" s="173">
        <f t="shared" si="70"/>
        <v>1.3107613200332233</v>
      </c>
      <c r="DO27" s="173">
        <f t="shared" si="71"/>
        <v>1.4301935703949802</v>
      </c>
      <c r="DQ27" s="545">
        <f t="shared" si="72"/>
        <v>220</v>
      </c>
      <c r="DR27" s="460">
        <f t="shared" si="73"/>
        <v>350</v>
      </c>
      <c r="DT27">
        <f t="shared" si="74"/>
        <v>220</v>
      </c>
      <c r="DU27" s="460">
        <f t="shared" si="75"/>
        <v>350</v>
      </c>
      <c r="DV27" s="460"/>
      <c r="DW27" s="5">
        <f t="shared" si="118"/>
        <v>2.8571428571428572</v>
      </c>
      <c r="DX27" s="5">
        <f t="shared" si="76"/>
        <v>0.65538066001661177</v>
      </c>
      <c r="DY27" s="5">
        <f t="shared" si="119"/>
        <v>2.2017621971262455</v>
      </c>
      <c r="DZ27" s="5">
        <f t="shared" si="77"/>
        <v>0.95909364880479764</v>
      </c>
      <c r="EA27" s="173">
        <f t="shared" si="120"/>
        <v>0.22938323100581412</v>
      </c>
      <c r="EB27" s="173">
        <f t="shared" si="78"/>
        <v>3.6080000000000005</v>
      </c>
      <c r="EC27" s="173">
        <f t="shared" si="79"/>
        <v>0.50504732668327823</v>
      </c>
      <c r="ED27" s="173">
        <f t="shared" si="121"/>
        <v>7.1438849576618475</v>
      </c>
      <c r="EE27" s="460">
        <f t="shared" si="80"/>
        <v>0.90114840752284131</v>
      </c>
      <c r="EF27" s="5">
        <f t="shared" si="81"/>
        <v>0.26910426853765218</v>
      </c>
      <c r="EG27" s="5"/>
      <c r="EH27" s="173">
        <f t="shared" si="122"/>
        <v>0.36244642679527561</v>
      </c>
      <c r="EI27" s="173">
        <f t="shared" si="82"/>
        <v>0.66432747978820628</v>
      </c>
      <c r="EJ27" s="173"/>
      <c r="EK27" s="528">
        <f t="shared" si="83"/>
        <v>2.6273482459332614E-3</v>
      </c>
      <c r="EL27" s="528">
        <f t="shared" si="84"/>
        <v>0.35214913624012584</v>
      </c>
      <c r="EM27" s="528">
        <f t="shared" si="85"/>
        <v>4.0250000000000001E-2</v>
      </c>
      <c r="EN27" s="528">
        <f t="shared" si="86"/>
        <v>0.28134357999999998</v>
      </c>
      <c r="EO27">
        <f t="shared" si="87"/>
        <v>1.0800000000000001E-2</v>
      </c>
      <c r="EP27" s="460">
        <f t="shared" si="123"/>
        <v>51.05</v>
      </c>
      <c r="EQ27" s="528">
        <f t="shared" si="88"/>
        <v>0.6883091309548599</v>
      </c>
      <c r="ER27" s="460">
        <f t="shared" si="124"/>
        <v>688.30913095485994</v>
      </c>
      <c r="ES27" s="528">
        <f t="shared" si="125"/>
        <v>0.13667499999999999</v>
      </c>
      <c r="ET27" s="528"/>
      <c r="EV27" s="460">
        <f t="shared" si="126"/>
        <v>136.67499999999998</v>
      </c>
      <c r="EW27" s="528">
        <f t="shared" si="89"/>
        <v>3.9410223688998922E-3</v>
      </c>
      <c r="EX27" s="528">
        <f t="shared" si="90"/>
        <v>1.3239930012052488E-2</v>
      </c>
      <c r="EY27" s="528">
        <f t="shared" si="91"/>
        <v>0.22539753276382396</v>
      </c>
      <c r="EZ27" s="528">
        <f t="shared" si="92"/>
        <v>0.24704146632973545</v>
      </c>
      <c r="FA27" s="528">
        <f t="shared" si="93"/>
        <v>3.0066666666666666E-3</v>
      </c>
      <c r="FB27" s="460">
        <f t="shared" si="127"/>
        <v>250.0481329964021</v>
      </c>
      <c r="FC27" s="173">
        <f t="shared" si="128"/>
        <v>1.0750322639512619</v>
      </c>
      <c r="FD27" s="5">
        <f t="shared" si="129"/>
        <v>3.52</v>
      </c>
      <c r="FE27" s="173">
        <f t="shared" si="130"/>
        <v>0.76604467559780665</v>
      </c>
      <c r="FF27" s="5">
        <f t="shared" si="131"/>
        <v>76.604467559780659</v>
      </c>
      <c r="FI27" s="562">
        <f t="shared" si="94"/>
        <v>-50</v>
      </c>
      <c r="FJ27">
        <f t="shared" si="95"/>
        <v>-50</v>
      </c>
      <c r="FL27">
        <f t="shared" si="96"/>
        <v>0.33568277708167915</v>
      </c>
    </row>
    <row r="28" spans="5:168">
      <c r="E28" s="170">
        <v>23</v>
      </c>
      <c r="F28" s="217">
        <f t="shared" si="97"/>
        <v>0.23</v>
      </c>
      <c r="G28" s="217"/>
      <c r="H28" s="217">
        <f t="shared" si="0"/>
        <v>3.68</v>
      </c>
      <c r="I28" s="541">
        <f t="shared" si="1"/>
        <v>23.966905618373534</v>
      </c>
      <c r="J28" s="172">
        <f t="shared" si="2"/>
        <v>16.419856628975879</v>
      </c>
      <c r="K28" s="172">
        <f t="shared" si="3"/>
        <v>40.419856628975879</v>
      </c>
      <c r="L28" s="443"/>
      <c r="M28" s="217">
        <f t="shared" si="4"/>
        <v>0.40656893745054978</v>
      </c>
      <c r="N28" s="172">
        <f t="shared" si="5"/>
        <v>24.65282435863654</v>
      </c>
      <c r="O28" s="172">
        <f t="shared" si="98"/>
        <v>3.68</v>
      </c>
      <c r="P28" s="217">
        <f t="shared" si="6"/>
        <v>1.5408015224147837</v>
      </c>
      <c r="Q28" s="217">
        <f t="shared" si="7"/>
        <v>16</v>
      </c>
      <c r="R28" s="217">
        <f t="shared" si="8"/>
        <v>1.5225311486312094</v>
      </c>
      <c r="S28" s="172">
        <f t="shared" si="9"/>
        <v>236.58339136812904</v>
      </c>
      <c r="T28" s="172">
        <f t="shared" si="10"/>
        <v>16</v>
      </c>
      <c r="U28" s="217">
        <f t="shared" si="99"/>
        <v>0.77515322171337886</v>
      </c>
      <c r="V28" s="217">
        <f t="shared" si="11"/>
        <v>0.38811179084502095</v>
      </c>
      <c r="W28" s="217">
        <f t="shared" si="12"/>
        <v>0.56649938368802377</v>
      </c>
      <c r="X28" s="197">
        <f t="shared" si="13"/>
        <v>350</v>
      </c>
      <c r="Y28" s="443">
        <f t="shared" si="14"/>
        <v>350</v>
      </c>
      <c r="AA28" s="217">
        <f t="shared" si="15"/>
        <v>2.3200267812630653</v>
      </c>
      <c r="AB28" s="173">
        <f t="shared" si="16"/>
        <v>1.6955276775089119</v>
      </c>
      <c r="AC28" s="173">
        <f t="shared" si="17"/>
        <v>0.68839218353385234</v>
      </c>
      <c r="AD28" s="173"/>
      <c r="AE28" s="173">
        <f t="shared" si="18"/>
        <v>0.73082245912085353</v>
      </c>
      <c r="AF28" s="545">
        <f t="shared" si="100"/>
        <v>629.42783744407541</v>
      </c>
      <c r="AG28" s="528">
        <f t="shared" si="19"/>
        <v>0.12789393034614938</v>
      </c>
      <c r="AI28" s="173">
        <f t="shared" si="20"/>
        <v>1.3410314126970386</v>
      </c>
      <c r="AJ28" s="173">
        <f t="shared" si="21"/>
        <v>1.3410314126970386</v>
      </c>
      <c r="AK28" s="173">
        <f t="shared" si="22"/>
        <v>1.4526158612570657</v>
      </c>
      <c r="AM28" s="545">
        <f t="shared" si="23"/>
        <v>230</v>
      </c>
      <c r="AN28" s="460">
        <f t="shared" si="24"/>
        <v>350</v>
      </c>
      <c r="AP28">
        <f t="shared" si="25"/>
        <v>230</v>
      </c>
      <c r="AQ28" s="460">
        <f t="shared" si="26"/>
        <v>350</v>
      </c>
      <c r="AR28" s="460"/>
      <c r="AS28" s="5">
        <f t="shared" si="101"/>
        <v>2.8571428571428572</v>
      </c>
      <c r="AT28" s="5">
        <f t="shared" si="27"/>
        <v>0.67144157900916968</v>
      </c>
      <c r="AU28" s="5">
        <f t="shared" si="102"/>
        <v>2.1857012781336875</v>
      </c>
      <c r="AV28" s="5">
        <f t="shared" si="28"/>
        <v>0.980055874785562</v>
      </c>
      <c r="AW28" s="173">
        <f t="shared" si="103"/>
        <v>0.23500455265320938</v>
      </c>
      <c r="AX28" s="173">
        <f t="shared" si="29"/>
        <v>3.7765670246644523</v>
      </c>
      <c r="AY28" s="173">
        <f t="shared" si="30"/>
        <v>0.51294146273113483</v>
      </c>
      <c r="AZ28" s="173">
        <f t="shared" si="104"/>
        <v>7.362569219022153</v>
      </c>
      <c r="BA28" s="460">
        <f t="shared" si="31"/>
        <v>0.96519726982568155</v>
      </c>
      <c r="BB28" s="5">
        <f t="shared" si="32"/>
        <v>0.27966969786056933</v>
      </c>
      <c r="BC28" s="5"/>
      <c r="BD28" s="173">
        <f t="shared" si="105"/>
        <v>0.37533275061194121</v>
      </c>
      <c r="BE28" s="173">
        <f t="shared" si="33"/>
        <v>0.67718565371554207</v>
      </c>
      <c r="BF28" s="173"/>
      <c r="BG28" s="528">
        <f t="shared" si="34"/>
        <v>2.8174934736385133E-3</v>
      </c>
      <c r="BH28" s="528">
        <f t="shared" si="35"/>
        <v>0.34622994987351857</v>
      </c>
      <c r="BI28" s="528">
        <f t="shared" si="36"/>
        <v>0.19293359022790693</v>
      </c>
      <c r="BJ28" s="528">
        <f t="shared" si="37"/>
        <v>0.28162020910771313</v>
      </c>
      <c r="BK28">
        <f t="shared" si="38"/>
        <v>1.0785107528268089E-2</v>
      </c>
      <c r="BL28" s="460">
        <f t="shared" si="106"/>
        <v>203.718697756175</v>
      </c>
      <c r="BM28" s="528">
        <f t="shared" si="39"/>
        <v>0.63185136002371534</v>
      </c>
      <c r="BN28" s="460">
        <f t="shared" si="107"/>
        <v>631.8513600237153</v>
      </c>
      <c r="BO28" s="528">
        <f t="shared" si="108"/>
        <v>0.1428875</v>
      </c>
      <c r="BP28" s="528"/>
      <c r="BR28" s="460">
        <f t="shared" si="109"/>
        <v>142.88749999999999</v>
      </c>
      <c r="BS28" s="528">
        <f t="shared" si="40"/>
        <v>4.2262402104577693E-3</v>
      </c>
      <c r="BT28" s="528">
        <f t="shared" si="41"/>
        <v>1.3757412287944382E-2</v>
      </c>
      <c r="BU28" s="528">
        <f t="shared" si="42"/>
        <v>5.5199999999999999E-2</v>
      </c>
      <c r="BV28" s="528">
        <f t="shared" si="43"/>
        <v>7.7611387996550554E-2</v>
      </c>
      <c r="BW28" s="528">
        <f t="shared" si="44"/>
        <v>3.1471391872203765E-3</v>
      </c>
      <c r="BX28" s="460">
        <f t="shared" si="110"/>
        <v>80.758527183770923</v>
      </c>
      <c r="BY28" s="173">
        <f t="shared" si="45"/>
        <v>1.0592160849636614</v>
      </c>
      <c r="BZ28" s="5">
        <f t="shared" si="111"/>
        <v>3.68</v>
      </c>
      <c r="CA28" s="173">
        <f t="shared" si="112"/>
        <v>0.77649972780851095</v>
      </c>
      <c r="CB28" s="5">
        <f t="shared" si="113"/>
        <v>77.649972780851101</v>
      </c>
      <c r="CE28" s="562">
        <f t="shared" si="46"/>
        <v>-50</v>
      </c>
      <c r="CF28">
        <f t="shared" si="47"/>
        <v>-50</v>
      </c>
      <c r="CG28" s="173">
        <f t="shared" si="48"/>
        <v>0.34749100707788111</v>
      </c>
      <c r="CI28" s="170">
        <v>23</v>
      </c>
      <c r="CJ28" s="217">
        <f t="shared" si="114"/>
        <v>0.23</v>
      </c>
      <c r="CK28" s="217"/>
      <c r="CL28" s="217">
        <f t="shared" si="49"/>
        <v>3.68</v>
      </c>
      <c r="CM28" s="541">
        <f t="shared" si="50"/>
        <v>24</v>
      </c>
      <c r="CN28" s="172">
        <f t="shared" si="51"/>
        <v>16.399999999999999</v>
      </c>
      <c r="CO28" s="443">
        <f t="shared" si="52"/>
        <v>40.4</v>
      </c>
      <c r="CP28" s="443"/>
      <c r="CQ28" s="217">
        <f t="shared" si="53"/>
        <v>0.40594059405940591</v>
      </c>
      <c r="CR28" s="172">
        <f t="shared" si="54"/>
        <v>24.648712871287128</v>
      </c>
      <c r="CS28" s="172">
        <f t="shared" si="115"/>
        <v>3.68</v>
      </c>
      <c r="CT28" s="217">
        <f t="shared" si="55"/>
        <v>1.5405445544554455</v>
      </c>
      <c r="CU28" s="217">
        <f t="shared" si="56"/>
        <v>16</v>
      </c>
      <c r="CV28" s="217">
        <f t="shared" si="57"/>
        <v>1.5222772277227721</v>
      </c>
      <c r="CW28" s="172">
        <f t="shared" si="58"/>
        <v>236.91001862957944</v>
      </c>
      <c r="CX28" s="172">
        <f t="shared" si="59"/>
        <v>16</v>
      </c>
      <c r="CY28" s="217">
        <f t="shared" si="60"/>
        <v>0.75544715447154476</v>
      </c>
      <c r="CZ28" s="217">
        <f t="shared" si="61"/>
        <v>0.37772357723577238</v>
      </c>
      <c r="DA28" s="217">
        <f t="shared" si="62"/>
        <v>0.55276621058893527</v>
      </c>
      <c r="DB28" s="197">
        <f t="shared" si="63"/>
        <v>350</v>
      </c>
      <c r="DC28" s="443">
        <f t="shared" si="116"/>
        <v>350</v>
      </c>
      <c r="DE28" s="217">
        <f t="shared" si="64"/>
        <v>2.3196605374823194</v>
      </c>
      <c r="DF28" s="173">
        <f t="shared" si="65"/>
        <v>1.6973125884016973</v>
      </c>
      <c r="DG28" s="173">
        <f t="shared" si="66"/>
        <v>0.68900808044029282</v>
      </c>
      <c r="DH28" s="173"/>
      <c r="DI28" s="173">
        <f t="shared" si="67"/>
        <v>0.73170731707317083</v>
      </c>
      <c r="DJ28" s="545">
        <f t="shared" si="117"/>
        <v>628.66666666666663</v>
      </c>
      <c r="DK28" s="528">
        <f t="shared" si="68"/>
        <v>0.12804878048780488</v>
      </c>
      <c r="DM28" s="173">
        <f t="shared" si="69"/>
        <v>1.3402203088263049</v>
      </c>
      <c r="DN28" s="173">
        <f t="shared" si="70"/>
        <v>1.3402203088263049</v>
      </c>
      <c r="DO28" s="173">
        <f t="shared" si="71"/>
        <v>1.4520150435750407</v>
      </c>
      <c r="DQ28" s="545">
        <f t="shared" si="72"/>
        <v>230</v>
      </c>
      <c r="DR28" s="460">
        <f t="shared" si="73"/>
        <v>350</v>
      </c>
      <c r="DT28">
        <f t="shared" si="74"/>
        <v>230</v>
      </c>
      <c r="DU28" s="460">
        <f t="shared" si="75"/>
        <v>350</v>
      </c>
      <c r="DV28" s="460"/>
      <c r="DW28" s="5">
        <f t="shared" si="118"/>
        <v>2.8571428571428572</v>
      </c>
      <c r="DX28" s="5">
        <f t="shared" si="76"/>
        <v>0.67011015441315258</v>
      </c>
      <c r="DY28" s="5">
        <f t="shared" si="119"/>
        <v>2.1870327027297045</v>
      </c>
      <c r="DZ28" s="5">
        <f t="shared" si="77"/>
        <v>0.98064900645827202</v>
      </c>
      <c r="EA28" s="173">
        <f t="shared" si="120"/>
        <v>0.23453855404460339</v>
      </c>
      <c r="EB28" s="173">
        <f t="shared" si="78"/>
        <v>3.7719999999999998</v>
      </c>
      <c r="EC28" s="173">
        <f t="shared" si="79"/>
        <v>0.51294348774648579</v>
      </c>
      <c r="ED28" s="173">
        <f t="shared" si="121"/>
        <v>7.3536365898152338</v>
      </c>
      <c r="EE28" s="460">
        <f t="shared" si="80"/>
        <v>0.96328334696890694</v>
      </c>
      <c r="EF28" s="5">
        <f t="shared" si="81"/>
        <v>0.27945417868212891</v>
      </c>
      <c r="EG28" s="5"/>
      <c r="EH28" s="173">
        <f t="shared" si="122"/>
        <v>0.37473364632958606</v>
      </c>
      <c r="EI28" s="173">
        <f t="shared" si="82"/>
        <v>0.67698216596797545</v>
      </c>
      <c r="EJ28" s="173"/>
      <c r="EK28" s="528">
        <f t="shared" si="83"/>
        <v>2.8085061138293454E-3</v>
      </c>
      <c r="EL28" s="528">
        <f t="shared" si="84"/>
        <v>0.36006358816927514</v>
      </c>
      <c r="EM28" s="528">
        <f t="shared" si="85"/>
        <v>4.0250000000000001E-2</v>
      </c>
      <c r="EN28" s="528">
        <f t="shared" si="86"/>
        <v>0.28134357999999998</v>
      </c>
      <c r="EO28">
        <f t="shared" si="87"/>
        <v>1.0800000000000001E-2</v>
      </c>
      <c r="EP28" s="460">
        <f t="shared" si="123"/>
        <v>51.05</v>
      </c>
      <c r="EQ28" s="528">
        <f t="shared" si="88"/>
        <v>0.69648873860226368</v>
      </c>
      <c r="ER28" s="460">
        <f t="shared" si="124"/>
        <v>696.48873860226365</v>
      </c>
      <c r="ES28" s="528">
        <f t="shared" si="125"/>
        <v>0.1428875</v>
      </c>
      <c r="ET28" s="528"/>
      <c r="EV28" s="460">
        <f t="shared" si="126"/>
        <v>142.88749999999999</v>
      </c>
      <c r="EW28" s="528">
        <f t="shared" si="89"/>
        <v>4.2127591707440178E-3</v>
      </c>
      <c r="EX28" s="528">
        <f t="shared" si="90"/>
        <v>1.3749145591160743E-2</v>
      </c>
      <c r="EY28" s="528">
        <f t="shared" si="91"/>
        <v>0.23827616514403843</v>
      </c>
      <c r="EZ28" s="528">
        <f t="shared" si="92"/>
        <v>0.26092386221385583</v>
      </c>
      <c r="FA28" s="528">
        <f t="shared" si="93"/>
        <v>3.143333333333333E-3</v>
      </c>
      <c r="FB28" s="460">
        <f t="shared" si="127"/>
        <v>264.06719554718916</v>
      </c>
      <c r="FC28" s="173">
        <f t="shared" si="128"/>
        <v>1.1034434341494528</v>
      </c>
      <c r="FD28" s="5">
        <f t="shared" si="129"/>
        <v>3.68</v>
      </c>
      <c r="FE28" s="173">
        <f t="shared" si="130"/>
        <v>0.76932027119378776</v>
      </c>
      <c r="FF28" s="5">
        <f t="shared" si="131"/>
        <v>76.932027119378773</v>
      </c>
      <c r="FI28" s="562">
        <f t="shared" si="94"/>
        <v>-50</v>
      </c>
      <c r="FJ28">
        <f t="shared" si="95"/>
        <v>-50</v>
      </c>
      <c r="FL28">
        <f t="shared" si="96"/>
        <v>0.34322715226039519</v>
      </c>
    </row>
    <row r="29" spans="5:168">
      <c r="E29" s="170">
        <v>24</v>
      </c>
      <c r="F29" s="217">
        <f t="shared" si="97"/>
        <v>0.24</v>
      </c>
      <c r="G29" s="217"/>
      <c r="H29" s="217">
        <f t="shared" si="0"/>
        <v>3.84</v>
      </c>
      <c r="I29" s="541">
        <f t="shared" si="1"/>
        <v>23.966193829810859</v>
      </c>
      <c r="J29" s="172">
        <f t="shared" si="2"/>
        <v>16.420283702113483</v>
      </c>
      <c r="K29" s="172">
        <f t="shared" si="3"/>
        <v>40.42028370211348</v>
      </c>
      <c r="L29" s="443"/>
      <c r="M29" s="217">
        <f t="shared" si="4"/>
        <v>0.40658245619833344</v>
      </c>
      <c r="N29" s="172">
        <f t="shared" si="5"/>
        <v>24.6529119012161</v>
      </c>
      <c r="O29" s="172">
        <f t="shared" si="98"/>
        <v>3.84</v>
      </c>
      <c r="P29" s="217">
        <f t="shared" si="6"/>
        <v>1.5408069938260063</v>
      </c>
      <c r="Q29" s="217">
        <f t="shared" si="7"/>
        <v>16</v>
      </c>
      <c r="R29" s="217">
        <f t="shared" si="8"/>
        <v>1.522536555164038</v>
      </c>
      <c r="S29" s="172">
        <f t="shared" si="9"/>
        <v>225.72405333537588</v>
      </c>
      <c r="T29" s="172">
        <f t="shared" si="10"/>
        <v>16</v>
      </c>
      <c r="U29" s="217">
        <f t="shared" si="99"/>
        <v>0.80887396237888565</v>
      </c>
      <c r="V29" s="217">
        <f t="shared" si="11"/>
        <v>0.40500747083473082</v>
      </c>
      <c r="W29" s="217">
        <f t="shared" si="12"/>
        <v>0.59112788333232569</v>
      </c>
      <c r="X29" s="197">
        <f t="shared" si="13"/>
        <v>350</v>
      </c>
      <c r="Y29" s="443">
        <f t="shared" si="14"/>
        <v>350</v>
      </c>
      <c r="AA29" s="217">
        <f t="shared" si="15"/>
        <v>2.3200345758956935</v>
      </c>
      <c r="AB29" s="173">
        <f t="shared" si="16"/>
        <v>1.6954892750826793</v>
      </c>
      <c r="AC29" s="173">
        <f t="shared" si="17"/>
        <v>0.68837890471912466</v>
      </c>
      <c r="AD29" s="173"/>
      <c r="AE29" s="173">
        <f t="shared" si="18"/>
        <v>0.73080345124947255</v>
      </c>
      <c r="AF29" s="545">
        <f t="shared" si="100"/>
        <v>656.8113480845393</v>
      </c>
      <c r="AG29" s="528">
        <f t="shared" si="19"/>
        <v>0.1278906039686577</v>
      </c>
      <c r="AI29" s="173">
        <f t="shared" si="20"/>
        <v>1.3698919124040816</v>
      </c>
      <c r="AJ29" s="173">
        <f t="shared" si="21"/>
        <v>1.3698919124040816</v>
      </c>
      <c r="AK29" s="173">
        <f t="shared" si="22"/>
        <v>1.4739940091882087</v>
      </c>
      <c r="AM29" s="545">
        <f t="shared" si="23"/>
        <v>240</v>
      </c>
      <c r="AN29" s="460">
        <f t="shared" si="24"/>
        <v>350</v>
      </c>
      <c r="AP29">
        <f t="shared" si="25"/>
        <v>240</v>
      </c>
      <c r="AQ29" s="460">
        <f t="shared" si="26"/>
        <v>350</v>
      </c>
      <c r="AR29" s="460"/>
      <c r="AS29" s="5">
        <f t="shared" si="101"/>
        <v>2.8571428571428572</v>
      </c>
      <c r="AT29" s="5">
        <f t="shared" si="27"/>
        <v>0.68591212545403635</v>
      </c>
      <c r="AU29" s="5">
        <f t="shared" si="102"/>
        <v>2.1712307316888211</v>
      </c>
      <c r="AV29" s="5">
        <f t="shared" si="28"/>
        <v>1.001121737423643</v>
      </c>
      <c r="AW29" s="173">
        <f t="shared" si="103"/>
        <v>0.24006924390891271</v>
      </c>
      <c r="AX29" s="173">
        <f t="shared" si="29"/>
        <v>3.9408680885072354</v>
      </c>
      <c r="AY29" s="173">
        <f t="shared" si="30"/>
        <v>0.52051149837814958</v>
      </c>
      <c r="AZ29" s="173">
        <f t="shared" si="104"/>
        <v>7.5711451154998501</v>
      </c>
      <c r="BA29" s="460">
        <f t="shared" si="31"/>
        <v>1.0288681881810546</v>
      </c>
      <c r="BB29" s="5">
        <f t="shared" si="32"/>
        <v>0.28990578941082773</v>
      </c>
      <c r="BC29" s="5"/>
      <c r="BD29" s="173">
        <f t="shared" si="105"/>
        <v>0.38751983509965748</v>
      </c>
      <c r="BE29" s="173">
        <f t="shared" si="33"/>
        <v>0.68946573129322741</v>
      </c>
      <c r="BF29" s="173"/>
      <c r="BG29" s="528">
        <f t="shared" si="34"/>
        <v>3.0034324519133144E-3</v>
      </c>
      <c r="BH29" s="528">
        <f t="shared" si="35"/>
        <v>0.35368494359310654</v>
      </c>
      <c r="BI29" s="528">
        <f t="shared" si="36"/>
        <v>0.19292786032997744</v>
      </c>
      <c r="BJ29" s="528">
        <f t="shared" si="37"/>
        <v>0.28162616029466636</v>
      </c>
      <c r="BK29">
        <f t="shared" si="38"/>
        <v>1.0784787223414886E-2</v>
      </c>
      <c r="BL29" s="460">
        <f t="shared" si="106"/>
        <v>203.71264755339232</v>
      </c>
      <c r="BM29" s="528">
        <f t="shared" si="39"/>
        <v>0.63958187867619187</v>
      </c>
      <c r="BN29" s="460">
        <f t="shared" si="107"/>
        <v>639.58187867619188</v>
      </c>
      <c r="BO29" s="528">
        <f t="shared" si="108"/>
        <v>0.14909999999999998</v>
      </c>
      <c r="BP29" s="528"/>
      <c r="BR29" s="460">
        <f t="shared" si="109"/>
        <v>149.1</v>
      </c>
      <c r="BS29" s="528">
        <f t="shared" si="40"/>
        <v>4.5051486778699716E-3</v>
      </c>
      <c r="BT29" s="528">
        <f t="shared" si="41"/>
        <v>1.4260889838831146E-2</v>
      </c>
      <c r="BU29" s="528">
        <f t="shared" si="42"/>
        <v>5.7599999999999998E-2</v>
      </c>
      <c r="BV29" s="528">
        <f t="shared" si="43"/>
        <v>8.0991478897710911E-2</v>
      </c>
      <c r="BW29" s="528">
        <f t="shared" si="44"/>
        <v>3.2840567404226963E-3</v>
      </c>
      <c r="BX29" s="460">
        <f t="shared" si="110"/>
        <v>84.275535638133618</v>
      </c>
      <c r="BY29" s="173">
        <f t="shared" si="45"/>
        <v>1.0766700618677179</v>
      </c>
      <c r="BZ29" s="5">
        <f t="shared" si="111"/>
        <v>3.84</v>
      </c>
      <c r="CA29" s="173">
        <f t="shared" si="112"/>
        <v>0.78101640982215548</v>
      </c>
      <c r="CB29" s="5">
        <f t="shared" si="113"/>
        <v>78.101640982215542</v>
      </c>
      <c r="CE29" s="562">
        <f t="shared" si="46"/>
        <v>-50</v>
      </c>
      <c r="CF29">
        <f t="shared" si="47"/>
        <v>-50</v>
      </c>
      <c r="CG29" s="173">
        <f t="shared" si="48"/>
        <v>0.35496478698597694</v>
      </c>
      <c r="CI29" s="170">
        <v>24</v>
      </c>
      <c r="CJ29" s="217">
        <f t="shared" si="114"/>
        <v>0.24</v>
      </c>
      <c r="CK29" s="217"/>
      <c r="CL29" s="217">
        <f t="shared" si="49"/>
        <v>3.84</v>
      </c>
      <c r="CM29" s="541">
        <f t="shared" si="50"/>
        <v>24</v>
      </c>
      <c r="CN29" s="172">
        <f t="shared" si="51"/>
        <v>16.399999999999999</v>
      </c>
      <c r="CO29" s="443">
        <f t="shared" si="52"/>
        <v>40.4</v>
      </c>
      <c r="CP29" s="443"/>
      <c r="CQ29" s="217">
        <f t="shared" si="53"/>
        <v>0.40594059405940591</v>
      </c>
      <c r="CR29" s="172">
        <f t="shared" si="54"/>
        <v>24.648712871287128</v>
      </c>
      <c r="CS29" s="172">
        <f t="shared" si="115"/>
        <v>3.84</v>
      </c>
      <c r="CT29" s="217">
        <f t="shared" si="55"/>
        <v>1.5405445544554455</v>
      </c>
      <c r="CU29" s="217">
        <f t="shared" si="56"/>
        <v>16</v>
      </c>
      <c r="CV29" s="217">
        <f t="shared" si="57"/>
        <v>1.5222772277227721</v>
      </c>
      <c r="CW29" s="172">
        <f t="shared" si="58"/>
        <v>226.04239488813369</v>
      </c>
      <c r="CX29" s="172">
        <f t="shared" si="59"/>
        <v>16</v>
      </c>
      <c r="CY29" s="217">
        <f t="shared" si="60"/>
        <v>0.7882926829268293</v>
      </c>
      <c r="CZ29" s="217">
        <f t="shared" si="61"/>
        <v>0.39414634146341465</v>
      </c>
      <c r="DA29" s="217">
        <f t="shared" si="62"/>
        <v>0.576799524092802</v>
      </c>
      <c r="DB29" s="197">
        <f t="shared" si="63"/>
        <v>350</v>
      </c>
      <c r="DC29" s="443">
        <f t="shared" si="116"/>
        <v>350</v>
      </c>
      <c r="DE29" s="217">
        <f t="shared" si="64"/>
        <v>2.3196605374823194</v>
      </c>
      <c r="DF29" s="173">
        <f t="shared" si="65"/>
        <v>1.6973125884016973</v>
      </c>
      <c r="DG29" s="173">
        <f t="shared" si="66"/>
        <v>0.68900808044029282</v>
      </c>
      <c r="DH29" s="173"/>
      <c r="DI29" s="173">
        <f t="shared" si="67"/>
        <v>0.73170731707317083</v>
      </c>
      <c r="DJ29" s="545">
        <f t="shared" si="117"/>
        <v>655.99999999999989</v>
      </c>
      <c r="DK29" s="528">
        <f t="shared" si="68"/>
        <v>0.12804878048780488</v>
      </c>
      <c r="DM29" s="173">
        <f t="shared" si="69"/>
        <v>1.3690455486526787</v>
      </c>
      <c r="DN29" s="173">
        <f t="shared" si="70"/>
        <v>1.3690455486526787</v>
      </c>
      <c r="DO29" s="173">
        <f t="shared" si="71"/>
        <v>1.4733670730760582</v>
      </c>
      <c r="DQ29" s="545">
        <f t="shared" si="72"/>
        <v>240</v>
      </c>
      <c r="DR29" s="460">
        <f t="shared" si="73"/>
        <v>350</v>
      </c>
      <c r="DT29">
        <f t="shared" si="74"/>
        <v>240</v>
      </c>
      <c r="DU29" s="460">
        <f t="shared" si="75"/>
        <v>350</v>
      </c>
      <c r="DV29" s="460"/>
      <c r="DW29" s="5">
        <f t="shared" si="118"/>
        <v>2.8571428571428572</v>
      </c>
      <c r="DX29" s="5">
        <f t="shared" si="76"/>
        <v>0.68452277432633946</v>
      </c>
      <c r="DY29" s="5">
        <f t="shared" si="119"/>
        <v>2.1726200828165179</v>
      </c>
      <c r="DZ29" s="5">
        <f t="shared" si="77"/>
        <v>1.0017406453556188</v>
      </c>
      <c r="EA29" s="173">
        <f t="shared" si="120"/>
        <v>0.2395829710142188</v>
      </c>
      <c r="EB29" s="173">
        <f t="shared" si="78"/>
        <v>3.9360000000000004</v>
      </c>
      <c r="EC29" s="173">
        <f t="shared" si="79"/>
        <v>0.52052277432633942</v>
      </c>
      <c r="ED29" s="173">
        <f t="shared" si="121"/>
        <v>7.5616287973066534</v>
      </c>
      <c r="EE29" s="460">
        <f t="shared" si="80"/>
        <v>1.026784161489509</v>
      </c>
      <c r="EF29" s="5">
        <f t="shared" si="81"/>
        <v>0.28968267770886902</v>
      </c>
      <c r="EG29" s="5"/>
      <c r="EH29" s="173">
        <f t="shared" si="122"/>
        <v>0.38688798549368209</v>
      </c>
      <c r="EI29" s="173">
        <f t="shared" si="82"/>
        <v>0.68926017688717878</v>
      </c>
      <c r="EJ29" s="173"/>
      <c r="EK29" s="528">
        <f t="shared" si="83"/>
        <v>2.9936462663871909E-3</v>
      </c>
      <c r="EL29" s="528">
        <f t="shared" si="84"/>
        <v>0.36780777710102869</v>
      </c>
      <c r="EM29" s="528">
        <f t="shared" si="85"/>
        <v>4.0250000000000001E-2</v>
      </c>
      <c r="EN29" s="528">
        <f t="shared" si="86"/>
        <v>0.28134357999999998</v>
      </c>
      <c r="EO29">
        <f t="shared" si="87"/>
        <v>1.0800000000000001E-2</v>
      </c>
      <c r="EP29" s="460">
        <f t="shared" si="123"/>
        <v>51.05</v>
      </c>
      <c r="EQ29" s="528">
        <f t="shared" si="88"/>
        <v>0.70450439503910289</v>
      </c>
      <c r="ER29" s="460">
        <f t="shared" si="124"/>
        <v>704.50439503910286</v>
      </c>
      <c r="ES29" s="528">
        <f t="shared" si="125"/>
        <v>0.14909999999999998</v>
      </c>
      <c r="ET29" s="528"/>
      <c r="EV29" s="460">
        <f t="shared" si="126"/>
        <v>149.1</v>
      </c>
      <c r="EW29" s="528">
        <f t="shared" si="89"/>
        <v>4.4904693995807864E-3</v>
      </c>
      <c r="EX29" s="528">
        <f t="shared" si="90"/>
        <v>1.4252387743276348E-2</v>
      </c>
      <c r="EY29" s="528">
        <f t="shared" si="91"/>
        <v>0.25129558525032702</v>
      </c>
      <c r="EZ29" s="528">
        <f t="shared" si="92"/>
        <v>0.27494899448548699</v>
      </c>
      <c r="FA29" s="528">
        <f t="shared" si="93"/>
        <v>3.2799999999999995E-3</v>
      </c>
      <c r="FB29" s="460">
        <f t="shared" si="127"/>
        <v>278.22899448548696</v>
      </c>
      <c r="FC29" s="173">
        <f t="shared" si="128"/>
        <v>1.1318333895245898</v>
      </c>
      <c r="FD29" s="5">
        <f t="shared" si="129"/>
        <v>3.84</v>
      </c>
      <c r="FE29" s="173">
        <f t="shared" si="130"/>
        <v>0.77235090139800189</v>
      </c>
      <c r="FF29" s="5">
        <f t="shared" si="131"/>
        <v>77.235090139800192</v>
      </c>
      <c r="FI29" s="562">
        <f t="shared" si="94"/>
        <v>-50</v>
      </c>
      <c r="FJ29">
        <f t="shared" si="95"/>
        <v>-50</v>
      </c>
      <c r="FL29">
        <f t="shared" si="96"/>
        <v>0.35060922587446652</v>
      </c>
    </row>
    <row r="30" spans="5:168">
      <c r="E30" s="170">
        <v>25</v>
      </c>
      <c r="F30" s="217">
        <f t="shared" si="97"/>
        <v>0.25</v>
      </c>
      <c r="G30" s="217"/>
      <c r="H30" s="217">
        <f t="shared" si="0"/>
        <v>4</v>
      </c>
      <c r="I30" s="541">
        <f t="shared" si="1"/>
        <v>23.965496722032881</v>
      </c>
      <c r="J30" s="172">
        <f t="shared" si="2"/>
        <v>16.420701966780268</v>
      </c>
      <c r="K30" s="172">
        <f t="shared" si="3"/>
        <v>40.420701966780271</v>
      </c>
      <c r="L30" s="443"/>
      <c r="M30" s="217">
        <f t="shared" si="4"/>
        <v>0.40659569630048786</v>
      </c>
      <c r="N30" s="172">
        <f t="shared" si="5"/>
        <v>24.652997602011506</v>
      </c>
      <c r="O30" s="172">
        <f t="shared" si="98"/>
        <v>4</v>
      </c>
      <c r="P30" s="217">
        <f t="shared" si="6"/>
        <v>1.5408123501257192</v>
      </c>
      <c r="Q30" s="217">
        <f t="shared" si="7"/>
        <v>16</v>
      </c>
      <c r="R30" s="217">
        <f t="shared" si="8"/>
        <v>1.5225418479503154</v>
      </c>
      <c r="S30" s="172">
        <f t="shared" si="9"/>
        <v>215.73382356867859</v>
      </c>
      <c r="T30" s="172">
        <f t="shared" si="10"/>
        <v>16</v>
      </c>
      <c r="U30" s="217">
        <f t="shared" si="99"/>
        <v>0.84259584381644437</v>
      </c>
      <c r="V30" s="217">
        <f t="shared" si="11"/>
        <v>0.42190446720436892</v>
      </c>
      <c r="W30" s="217">
        <f t="shared" si="12"/>
        <v>0.61575626585590504</v>
      </c>
      <c r="X30" s="197">
        <f t="shared" si="13"/>
        <v>350</v>
      </c>
      <c r="Y30" s="443">
        <f t="shared" si="14"/>
        <v>350</v>
      </c>
      <c r="AA30" s="217">
        <f t="shared" si="15"/>
        <v>2.3200422063948087</v>
      </c>
      <c r="AB30" s="173">
        <f t="shared" si="16"/>
        <v>1.6954516641895188</v>
      </c>
      <c r="AC30" s="173">
        <f t="shared" si="17"/>
        <v>0.68836589846885032</v>
      </c>
      <c r="AD30" s="173"/>
      <c r="AE30" s="173">
        <f t="shared" si="18"/>
        <v>0.73078483637766989</v>
      </c>
      <c r="AF30" s="545">
        <f t="shared" si="100"/>
        <v>684.19591528251112</v>
      </c>
      <c r="AG30" s="528">
        <f t="shared" si="19"/>
        <v>0.12788734636609222</v>
      </c>
      <c r="AI30" s="173">
        <f t="shared" si="20"/>
        <v>1.3981578853032823</v>
      </c>
      <c r="AJ30" s="173">
        <f t="shared" si="21"/>
        <v>1.3981578853032823</v>
      </c>
      <c r="AK30" s="173">
        <f t="shared" si="22"/>
        <v>1.4949317668913202</v>
      </c>
      <c r="AM30" s="545">
        <f t="shared" si="23"/>
        <v>250</v>
      </c>
      <c r="AN30" s="460">
        <f t="shared" si="24"/>
        <v>350</v>
      </c>
      <c r="AP30">
        <f t="shared" si="25"/>
        <v>250</v>
      </c>
      <c r="AQ30" s="460">
        <f t="shared" si="26"/>
        <v>350</v>
      </c>
      <c r="AR30" s="460"/>
      <c r="AS30" s="5">
        <f t="shared" si="101"/>
        <v>2.8571428571428572</v>
      </c>
      <c r="AT30" s="5">
        <f t="shared" si="27"/>
        <v>0.70008541104906419</v>
      </c>
      <c r="AU30" s="5">
        <f t="shared" si="102"/>
        <v>2.157057446093793</v>
      </c>
      <c r="AV30" s="5">
        <f t="shared" si="28"/>
        <v>1.0217525814415083</v>
      </c>
      <c r="AW30" s="173">
        <f t="shared" si="103"/>
        <v>0.24502989386717247</v>
      </c>
      <c r="AX30" s="173">
        <f t="shared" si="29"/>
        <v>4.1051754916950678</v>
      </c>
      <c r="AY30" s="173">
        <f t="shared" si="30"/>
        <v>0.52778370352893444</v>
      </c>
      <c r="AZ30" s="173">
        <f t="shared" si="104"/>
        <v>7.7781399164970839</v>
      </c>
      <c r="BA30" s="460">
        <f t="shared" si="31"/>
        <v>1.0938834547641629</v>
      </c>
      <c r="BB30" s="5">
        <f t="shared" si="32"/>
        <v>0.30002263547364516</v>
      </c>
      <c r="BC30" s="5"/>
      <c r="BD30" s="173">
        <f t="shared" si="105"/>
        <v>0.39958127191208859</v>
      </c>
      <c r="BE30" s="173">
        <f t="shared" si="33"/>
        <v>0.70139144887076654</v>
      </c>
      <c r="BF30" s="173"/>
      <c r="BG30" s="528">
        <f t="shared" si="34"/>
        <v>3.1933038572576496E-3</v>
      </c>
      <c r="BH30" s="528">
        <f t="shared" si="35"/>
        <v>0.36098651684002114</v>
      </c>
      <c r="BI30" s="528">
        <f t="shared" si="36"/>
        <v>0.19292224861236471</v>
      </c>
      <c r="BJ30" s="528">
        <f t="shared" si="37"/>
        <v>0.2816319887981189</v>
      </c>
      <c r="BK30">
        <f t="shared" si="38"/>
        <v>1.0784473524914797E-2</v>
      </c>
      <c r="BL30" s="460">
        <f t="shared" si="106"/>
        <v>203.70672213727951</v>
      </c>
      <c r="BM30" s="528">
        <f t="shared" si="39"/>
        <v>0.64716502440638501</v>
      </c>
      <c r="BN30" s="460">
        <f t="shared" si="107"/>
        <v>647.16502440638499</v>
      </c>
      <c r="BO30" s="528">
        <f t="shared" si="108"/>
        <v>0.15531249999999999</v>
      </c>
      <c r="BP30" s="528"/>
      <c r="BR30" s="460">
        <f t="shared" si="109"/>
        <v>155.3125</v>
      </c>
      <c r="BS30" s="528">
        <f t="shared" si="40"/>
        <v>4.7899557858864742E-3</v>
      </c>
      <c r="BT30" s="528">
        <f t="shared" si="41"/>
        <v>1.4758498936470993E-2</v>
      </c>
      <c r="BU30" s="528">
        <f t="shared" si="42"/>
        <v>0.06</v>
      </c>
      <c r="BV30" s="528">
        <f t="shared" si="43"/>
        <v>8.4372031282391818E-2</v>
      </c>
      <c r="BW30" s="528">
        <f t="shared" si="44"/>
        <v>3.4209795764125568E-3</v>
      </c>
      <c r="BX30" s="460">
        <f t="shared" si="110"/>
        <v>87.793010858804379</v>
      </c>
      <c r="BY30" s="173">
        <f t="shared" si="45"/>
        <v>1.0939772574024689</v>
      </c>
      <c r="BZ30" s="5">
        <f t="shared" si="111"/>
        <v>4</v>
      </c>
      <c r="CA30" s="173">
        <f t="shared" si="112"/>
        <v>0.78524104012974882</v>
      </c>
      <c r="CB30" s="5">
        <f t="shared" si="113"/>
        <v>78.524104012974888</v>
      </c>
      <c r="CE30" s="562">
        <f t="shared" si="46"/>
        <v>-50</v>
      </c>
      <c r="CF30">
        <f t="shared" si="47"/>
        <v>-50</v>
      </c>
      <c r="CG30" s="173">
        <f t="shared" si="48"/>
        <v>0.36228441865473598</v>
      </c>
      <c r="CI30" s="170">
        <v>25</v>
      </c>
      <c r="CJ30" s="217">
        <f t="shared" si="114"/>
        <v>0.25</v>
      </c>
      <c r="CK30" s="217"/>
      <c r="CL30" s="217">
        <f t="shared" si="49"/>
        <v>4</v>
      </c>
      <c r="CM30" s="541">
        <f t="shared" si="50"/>
        <v>24</v>
      </c>
      <c r="CN30" s="172">
        <f t="shared" si="51"/>
        <v>16.399999999999999</v>
      </c>
      <c r="CO30" s="443">
        <f t="shared" si="52"/>
        <v>40.4</v>
      </c>
      <c r="CP30" s="443"/>
      <c r="CQ30" s="217">
        <f t="shared" si="53"/>
        <v>0.40594059405940591</v>
      </c>
      <c r="CR30" s="172">
        <f t="shared" si="54"/>
        <v>24.648712871287128</v>
      </c>
      <c r="CS30" s="172">
        <f t="shared" si="115"/>
        <v>4</v>
      </c>
      <c r="CT30" s="217">
        <f t="shared" si="55"/>
        <v>1.5405445544554455</v>
      </c>
      <c r="CU30" s="217">
        <f t="shared" si="56"/>
        <v>16</v>
      </c>
      <c r="CV30" s="217">
        <f t="shared" si="57"/>
        <v>1.5222772277227721</v>
      </c>
      <c r="CW30" s="172">
        <f t="shared" si="58"/>
        <v>216.04435320144881</v>
      </c>
      <c r="CX30" s="172">
        <f t="shared" si="59"/>
        <v>16</v>
      </c>
      <c r="CY30" s="217">
        <f t="shared" si="60"/>
        <v>0.82113821138211385</v>
      </c>
      <c r="CZ30" s="217">
        <f t="shared" si="61"/>
        <v>0.41056910569105692</v>
      </c>
      <c r="DA30" s="217">
        <f t="shared" si="62"/>
        <v>0.60083283759666883</v>
      </c>
      <c r="DB30" s="197">
        <f t="shared" si="63"/>
        <v>350</v>
      </c>
      <c r="DC30" s="443">
        <f t="shared" si="116"/>
        <v>350</v>
      </c>
      <c r="DE30" s="217">
        <f t="shared" si="64"/>
        <v>2.3196605374823194</v>
      </c>
      <c r="DF30" s="173">
        <f t="shared" si="65"/>
        <v>1.6973125884016973</v>
      </c>
      <c r="DG30" s="173">
        <f t="shared" si="66"/>
        <v>0.68900808044029282</v>
      </c>
      <c r="DH30" s="173"/>
      <c r="DI30" s="173">
        <f t="shared" si="67"/>
        <v>0.73170731707317083</v>
      </c>
      <c r="DJ30" s="545">
        <f t="shared" si="117"/>
        <v>683.33333333333326</v>
      </c>
      <c r="DK30" s="528">
        <f t="shared" si="68"/>
        <v>0.12804878048780488</v>
      </c>
      <c r="DM30" s="173">
        <f t="shared" si="69"/>
        <v>1.3972762620115438</v>
      </c>
      <c r="DN30" s="173">
        <f t="shared" si="70"/>
        <v>1.3972762620115438</v>
      </c>
      <c r="DO30" s="173">
        <f t="shared" si="71"/>
        <v>1.4942787126011434</v>
      </c>
      <c r="DQ30" s="545">
        <f t="shared" si="72"/>
        <v>250</v>
      </c>
      <c r="DR30" s="460">
        <f t="shared" si="73"/>
        <v>350</v>
      </c>
      <c r="DT30">
        <f t="shared" si="74"/>
        <v>250</v>
      </c>
      <c r="DU30" s="460">
        <f t="shared" si="75"/>
        <v>350</v>
      </c>
      <c r="DV30" s="460"/>
      <c r="DW30" s="5">
        <f t="shared" si="118"/>
        <v>2.8571428571428572</v>
      </c>
      <c r="DX30" s="5">
        <f t="shared" si="76"/>
        <v>0.69863813100577188</v>
      </c>
      <c r="DY30" s="5">
        <f t="shared" si="119"/>
        <v>2.1585047261370853</v>
      </c>
      <c r="DZ30" s="5">
        <f t="shared" si="77"/>
        <v>1.0223972648864956</v>
      </c>
      <c r="EA30" s="173">
        <f t="shared" si="120"/>
        <v>0.24452334585202015</v>
      </c>
      <c r="EB30" s="173">
        <f t="shared" si="78"/>
        <v>4.1000000000000005</v>
      </c>
      <c r="EC30" s="173">
        <f t="shared" si="79"/>
        <v>0.52780479767243849</v>
      </c>
      <c r="ED30" s="173">
        <f t="shared" si="121"/>
        <v>7.768023364093227</v>
      </c>
      <c r="EE30" s="460">
        <f t="shared" si="80"/>
        <v>1.0916220796965184</v>
      </c>
      <c r="EF30" s="5">
        <f t="shared" si="81"/>
        <v>0.29979232307459514</v>
      </c>
      <c r="EG30" s="5"/>
      <c r="EH30" s="173">
        <f t="shared" si="122"/>
        <v>0.39891633327217207</v>
      </c>
      <c r="EI30" s="173">
        <f t="shared" si="82"/>
        <v>0.70118429092666934</v>
      </c>
      <c r="EJ30" s="173"/>
      <c r="EK30" s="528">
        <f t="shared" si="83"/>
        <v>3.1826848190262928E-3</v>
      </c>
      <c r="EL30" s="528">
        <f t="shared" si="84"/>
        <v>0.37539224055202136</v>
      </c>
      <c r="EM30" s="528">
        <f t="shared" si="85"/>
        <v>4.0250000000000001E-2</v>
      </c>
      <c r="EN30" s="528">
        <f t="shared" si="86"/>
        <v>0.28134357999999998</v>
      </c>
      <c r="EO30">
        <f t="shared" si="87"/>
        <v>1.0800000000000001E-2</v>
      </c>
      <c r="EP30" s="460">
        <f t="shared" si="123"/>
        <v>51.05</v>
      </c>
      <c r="EQ30" s="528">
        <f t="shared" si="88"/>
        <v>0.71236652605140871</v>
      </c>
      <c r="ER30" s="460">
        <f t="shared" si="124"/>
        <v>712.36652605140875</v>
      </c>
      <c r="ES30" s="528">
        <f t="shared" si="125"/>
        <v>0.15531249999999999</v>
      </c>
      <c r="ET30" s="528"/>
      <c r="EV30" s="460">
        <f t="shared" si="126"/>
        <v>155.3125</v>
      </c>
      <c r="EW30" s="528">
        <f t="shared" si="89"/>
        <v>4.7740272285394392E-3</v>
      </c>
      <c r="EX30" s="528">
        <f t="shared" si="90"/>
        <v>1.4749782295270082E-2</v>
      </c>
      <c r="EY30" s="528">
        <f t="shared" si="91"/>
        <v>0.26445136784118334</v>
      </c>
      <c r="EZ30" s="528">
        <f t="shared" si="92"/>
        <v>0.28911245777523226</v>
      </c>
      <c r="FA30" s="528">
        <f t="shared" si="93"/>
        <v>3.4166666666666668E-3</v>
      </c>
      <c r="FB30" s="460">
        <f t="shared" si="127"/>
        <v>292.52912444189894</v>
      </c>
      <c r="FC30" s="173">
        <f t="shared" si="128"/>
        <v>1.1602081504933075</v>
      </c>
      <c r="FD30" s="5">
        <f t="shared" si="129"/>
        <v>4</v>
      </c>
      <c r="FE30" s="173">
        <f t="shared" si="130"/>
        <v>0.77516252898007743</v>
      </c>
      <c r="FF30" s="5">
        <f t="shared" si="131"/>
        <v>77.516252898007735</v>
      </c>
      <c r="FI30" s="562">
        <f t="shared" si="94"/>
        <v>-50</v>
      </c>
      <c r="FJ30">
        <f t="shared" si="95"/>
        <v>-50</v>
      </c>
      <c r="FL30">
        <f t="shared" si="96"/>
        <v>0.35783904271027339</v>
      </c>
    </row>
    <row r="31" spans="5:168">
      <c r="E31" s="170">
        <v>26</v>
      </c>
      <c r="F31" s="217">
        <f t="shared" si="97"/>
        <v>0.26</v>
      </c>
      <c r="G31" s="217"/>
      <c r="H31" s="217">
        <f t="shared" si="0"/>
        <v>4.16</v>
      </c>
      <c r="I31" s="541">
        <f t="shared" si="1"/>
        <v>23.964813422472549</v>
      </c>
      <c r="J31" s="172">
        <f t="shared" si="2"/>
        <v>16.421111946516469</v>
      </c>
      <c r="K31" s="172">
        <f t="shared" si="3"/>
        <v>40.421111946516469</v>
      </c>
      <c r="L31" s="443"/>
      <c r="M31" s="217">
        <f t="shared" si="4"/>
        <v>0.4066086743185971</v>
      </c>
      <c r="N31" s="172">
        <f t="shared" si="5"/>
        <v>24.653081570490333</v>
      </c>
      <c r="O31" s="172">
        <f t="shared" si="98"/>
        <v>4.16</v>
      </c>
      <c r="P31" s="217">
        <f t="shared" si="6"/>
        <v>1.5408175981556458</v>
      </c>
      <c r="Q31" s="217">
        <f t="shared" si="7"/>
        <v>16</v>
      </c>
      <c r="R31" s="217">
        <f t="shared" si="8"/>
        <v>1.5225470337506384</v>
      </c>
      <c r="S31" s="172">
        <f t="shared" si="9"/>
        <v>206.51241329141624</v>
      </c>
      <c r="T31" s="172">
        <f t="shared" si="10"/>
        <v>16</v>
      </c>
      <c r="U31" s="217">
        <f t="shared" si="99"/>
        <v>0.87631884305500063</v>
      </c>
      <c r="V31" s="217">
        <f t="shared" si="11"/>
        <v>0.43880275349020625</v>
      </c>
      <c r="W31" s="217">
        <f t="shared" si="12"/>
        <v>0.64038453369723281</v>
      </c>
      <c r="X31" s="197">
        <f t="shared" si="13"/>
        <v>350</v>
      </c>
      <c r="Y31" s="443">
        <f t="shared" si="14"/>
        <v>350</v>
      </c>
      <c r="AA31" s="217">
        <f t="shared" si="15"/>
        <v>2.3200496825157835</v>
      </c>
      <c r="AB31" s="173">
        <f t="shared" si="16"/>
        <v>1.6954147977838634</v>
      </c>
      <c r="AC31" s="173">
        <f t="shared" si="17"/>
        <v>0.6883531485829274</v>
      </c>
      <c r="AD31" s="173"/>
      <c r="AE31" s="173">
        <f t="shared" si="18"/>
        <v>0.73076659114705378</v>
      </c>
      <c r="AF31" s="545">
        <f t="shared" si="100"/>
        <v>711.58151768238031</v>
      </c>
      <c r="AG31" s="528">
        <f t="shared" si="19"/>
        <v>0.12788415345073442</v>
      </c>
      <c r="AI31" s="173">
        <f t="shared" si="20"/>
        <v>1.4258646676740001</v>
      </c>
      <c r="AJ31" s="173">
        <f t="shared" si="21"/>
        <v>1.4258646676740001</v>
      </c>
      <c r="AK31" s="173">
        <f t="shared" si="22"/>
        <v>1.5154553093881482</v>
      </c>
      <c r="AM31" s="545">
        <f t="shared" si="23"/>
        <v>260</v>
      </c>
      <c r="AN31" s="460">
        <f t="shared" si="24"/>
        <v>350</v>
      </c>
      <c r="AP31">
        <f t="shared" si="25"/>
        <v>260</v>
      </c>
      <c r="AQ31" s="460">
        <f t="shared" si="26"/>
        <v>350</v>
      </c>
      <c r="AR31" s="460"/>
      <c r="AS31" s="5">
        <f t="shared" si="101"/>
        <v>2.8571428571428572</v>
      </c>
      <c r="AT31" s="5">
        <f t="shared" si="27"/>
        <v>0.71397910388248931</v>
      </c>
      <c r="AU31" s="5">
        <f t="shared" si="102"/>
        <v>2.1431637532603678</v>
      </c>
      <c r="AV31" s="5">
        <f t="shared" si="28"/>
        <v>1.0419742626331558</v>
      </c>
      <c r="AW31" s="173">
        <f t="shared" si="103"/>
        <v>0.24989268635887124</v>
      </c>
      <c r="AX31" s="173">
        <f t="shared" si="29"/>
        <v>4.2694891060942819</v>
      </c>
      <c r="AY31" s="173">
        <f t="shared" si="30"/>
        <v>0.53477575774237252</v>
      </c>
      <c r="AZ31" s="173">
        <f t="shared" si="104"/>
        <v>7.9836997924485242</v>
      </c>
      <c r="BA31" s="460">
        <f t="shared" si="31"/>
        <v>1.1602160438090452</v>
      </c>
      <c r="BB31" s="5">
        <f t="shared" si="32"/>
        <v>0.31002262415566906</v>
      </c>
      <c r="BC31" s="5"/>
      <c r="BD31" s="173">
        <f t="shared" si="105"/>
        <v>0.41152332227720606</v>
      </c>
      <c r="BE31" s="173">
        <f t="shared" si="33"/>
        <v>0.71298333692237137</v>
      </c>
      <c r="BF31" s="173"/>
      <c r="BG31" s="528">
        <f t="shared" si="34"/>
        <v>3.3870288955613844E-3</v>
      </c>
      <c r="BH31" s="528">
        <f t="shared" si="35"/>
        <v>0.36814378831494493</v>
      </c>
      <c r="BI31" s="528">
        <f t="shared" si="36"/>
        <v>0.19291674805090403</v>
      </c>
      <c r="BJ31" s="528">
        <f t="shared" si="37"/>
        <v>0.28163770190988674</v>
      </c>
      <c r="BK31">
        <f t="shared" si="38"/>
        <v>1.0784166040112647E-2</v>
      </c>
      <c r="BL31" s="460">
        <f t="shared" si="106"/>
        <v>203.70091409101667</v>
      </c>
      <c r="BM31" s="528">
        <f t="shared" si="39"/>
        <v>0.65460981945421171</v>
      </c>
      <c r="BN31" s="460">
        <f t="shared" si="107"/>
        <v>654.60981945421167</v>
      </c>
      <c r="BO31" s="528">
        <f t="shared" si="108"/>
        <v>0.16152499999999997</v>
      </c>
      <c r="BP31" s="528"/>
      <c r="BR31" s="460">
        <f t="shared" si="109"/>
        <v>161.52499999999998</v>
      </c>
      <c r="BS31" s="528">
        <f t="shared" si="40"/>
        <v>5.080543343342076E-3</v>
      </c>
      <c r="BT31" s="528">
        <f t="shared" si="41"/>
        <v>1.5250357161868792E-2</v>
      </c>
      <c r="BU31" s="528">
        <f t="shared" si="42"/>
        <v>6.2399999999999997E-2</v>
      </c>
      <c r="BV31" s="528">
        <f t="shared" si="43"/>
        <v>8.7753044499801855E-2</v>
      </c>
      <c r="BW31" s="528">
        <f t="shared" si="44"/>
        <v>3.5579075884119024E-3</v>
      </c>
      <c r="BX31" s="460">
        <f t="shared" si="110"/>
        <v>91.310952088213753</v>
      </c>
      <c r="BY31" s="173">
        <f t="shared" si="45"/>
        <v>1.1111466856334422</v>
      </c>
      <c r="BZ31" s="5">
        <f t="shared" si="111"/>
        <v>4.16</v>
      </c>
      <c r="CA31" s="173">
        <f t="shared" si="112"/>
        <v>0.78920209360481608</v>
      </c>
      <c r="CB31" s="5">
        <f t="shared" si="113"/>
        <v>78.920209360481607</v>
      </c>
      <c r="CE31" s="562">
        <f t="shared" si="46"/>
        <v>-50</v>
      </c>
      <c r="CF31">
        <f t="shared" si="47"/>
        <v>-50</v>
      </c>
      <c r="CG31" s="173">
        <f t="shared" si="48"/>
        <v>0.36945906403822332</v>
      </c>
      <c r="CI31" s="170">
        <v>26</v>
      </c>
      <c r="CJ31" s="217">
        <f t="shared" si="114"/>
        <v>0.26</v>
      </c>
      <c r="CK31" s="217"/>
      <c r="CL31" s="217">
        <f t="shared" si="49"/>
        <v>4.16</v>
      </c>
      <c r="CM31" s="541">
        <f t="shared" si="50"/>
        <v>24</v>
      </c>
      <c r="CN31" s="172">
        <f t="shared" si="51"/>
        <v>16.399999999999999</v>
      </c>
      <c r="CO31" s="443">
        <f t="shared" si="52"/>
        <v>40.4</v>
      </c>
      <c r="CP31" s="443"/>
      <c r="CQ31" s="217">
        <f t="shared" si="53"/>
        <v>0.40594059405940591</v>
      </c>
      <c r="CR31" s="172">
        <f t="shared" si="54"/>
        <v>24.648712871287128</v>
      </c>
      <c r="CS31" s="172">
        <f t="shared" si="115"/>
        <v>4.16</v>
      </c>
      <c r="CT31" s="217">
        <f t="shared" si="55"/>
        <v>1.5405445544554455</v>
      </c>
      <c r="CU31" s="217">
        <f t="shared" si="56"/>
        <v>16</v>
      </c>
      <c r="CV31" s="217">
        <f t="shared" si="57"/>
        <v>1.5222772277227721</v>
      </c>
      <c r="CW31" s="172">
        <f t="shared" si="58"/>
        <v>206.81555933659672</v>
      </c>
      <c r="CX31" s="172">
        <f t="shared" si="59"/>
        <v>16</v>
      </c>
      <c r="CY31" s="217">
        <f t="shared" si="60"/>
        <v>0.85398373983739839</v>
      </c>
      <c r="CZ31" s="217">
        <f t="shared" si="61"/>
        <v>0.42699186991869925</v>
      </c>
      <c r="DA31" s="217">
        <f t="shared" si="62"/>
        <v>0.62486615110053545</v>
      </c>
      <c r="DB31" s="197">
        <f t="shared" si="63"/>
        <v>350</v>
      </c>
      <c r="DC31" s="443">
        <f t="shared" si="116"/>
        <v>350</v>
      </c>
      <c r="DE31" s="217">
        <f t="shared" si="64"/>
        <v>2.3196605374823194</v>
      </c>
      <c r="DF31" s="173">
        <f t="shared" si="65"/>
        <v>1.6973125884016973</v>
      </c>
      <c r="DG31" s="173">
        <f t="shared" si="66"/>
        <v>0.68900808044029282</v>
      </c>
      <c r="DH31" s="173"/>
      <c r="DI31" s="173">
        <f t="shared" si="67"/>
        <v>0.73170731707317083</v>
      </c>
      <c r="DJ31" s="545">
        <f t="shared" si="117"/>
        <v>710.66666666666663</v>
      </c>
      <c r="DK31" s="528">
        <f t="shared" si="68"/>
        <v>0.12804878048780488</v>
      </c>
      <c r="DM31" s="173">
        <f t="shared" si="69"/>
        <v>1.4249477851753694</v>
      </c>
      <c r="DN31" s="173">
        <f t="shared" si="70"/>
        <v>1.4249477851753694</v>
      </c>
      <c r="DO31" s="173">
        <f t="shared" si="71"/>
        <v>1.5147761371669402</v>
      </c>
      <c r="DQ31" s="545">
        <f t="shared" si="72"/>
        <v>260</v>
      </c>
      <c r="DR31" s="460">
        <f t="shared" si="73"/>
        <v>350</v>
      </c>
      <c r="DT31">
        <f t="shared" si="74"/>
        <v>260</v>
      </c>
      <c r="DU31" s="460">
        <f t="shared" si="75"/>
        <v>350</v>
      </c>
      <c r="DV31" s="460"/>
      <c r="DW31" s="5">
        <f t="shared" si="118"/>
        <v>2.8571428571428572</v>
      </c>
      <c r="DX31" s="5">
        <f t="shared" si="76"/>
        <v>0.71247389258768468</v>
      </c>
      <c r="DY31" s="5">
        <f t="shared" si="119"/>
        <v>2.1446689645551724</v>
      </c>
      <c r="DZ31" s="5">
        <f t="shared" si="77"/>
        <v>1.0426447208600265</v>
      </c>
      <c r="EA31" s="173">
        <f t="shared" si="120"/>
        <v>0.24936586240568964</v>
      </c>
      <c r="EB31" s="173">
        <f t="shared" si="78"/>
        <v>4.2640000000000002</v>
      </c>
      <c r="EC31" s="173">
        <f t="shared" si="79"/>
        <v>0.53480722592101804</v>
      </c>
      <c r="ED31" s="173">
        <f t="shared" si="121"/>
        <v>7.9729663200730965</v>
      </c>
      <c r="EE31" s="460">
        <f t="shared" si="80"/>
        <v>1.1577700754549878</v>
      </c>
      <c r="EF31" s="5">
        <f t="shared" si="81"/>
        <v>0.30978551710241375</v>
      </c>
      <c r="EG31" s="5"/>
      <c r="EH31" s="173">
        <f t="shared" si="122"/>
        <v>0.41082496123950185</v>
      </c>
      <c r="EI31" s="173">
        <f t="shared" si="82"/>
        <v>0.71277503326642877</v>
      </c>
      <c r="EJ31" s="173"/>
      <c r="EK31" s="528">
        <f t="shared" si="83"/>
        <v>3.3755429755487638E-3</v>
      </c>
      <c r="EL31" s="528">
        <f t="shared" si="84"/>
        <v>0.38282647196521474</v>
      </c>
      <c r="EM31" s="528">
        <f t="shared" si="85"/>
        <v>4.0250000000000001E-2</v>
      </c>
      <c r="EN31" s="528">
        <f t="shared" si="86"/>
        <v>0.28134357999999998</v>
      </c>
      <c r="EO31">
        <f t="shared" si="87"/>
        <v>1.0800000000000001E-2</v>
      </c>
      <c r="EP31" s="460">
        <f t="shared" si="123"/>
        <v>51.05</v>
      </c>
      <c r="EQ31" s="528">
        <f t="shared" si="88"/>
        <v>0.7200845202197429</v>
      </c>
      <c r="ER31" s="460">
        <f t="shared" si="124"/>
        <v>720.0845202197429</v>
      </c>
      <c r="ES31" s="528">
        <f t="shared" si="125"/>
        <v>0.16152499999999997</v>
      </c>
      <c r="ET31" s="528"/>
      <c r="EV31" s="460">
        <f t="shared" si="126"/>
        <v>161.52499999999998</v>
      </c>
      <c r="EW31" s="528">
        <f t="shared" si="89"/>
        <v>5.0633144633231457E-3</v>
      </c>
      <c r="EX31" s="528">
        <f t="shared" si="90"/>
        <v>1.5241447441438759E-2</v>
      </c>
      <c r="EY31" s="528">
        <f t="shared" si="91"/>
        <v>0.27773939926819158</v>
      </c>
      <c r="EZ31" s="528">
        <f t="shared" si="92"/>
        <v>0.30341015771104102</v>
      </c>
      <c r="FA31" s="528">
        <f t="shared" si="93"/>
        <v>3.5533333333333337E-3</v>
      </c>
      <c r="FB31" s="460">
        <f t="shared" si="127"/>
        <v>306.96349104437439</v>
      </c>
      <c r="FC31" s="173">
        <f t="shared" si="128"/>
        <v>1.1885730112641173</v>
      </c>
      <c r="FD31" s="5">
        <f t="shared" si="129"/>
        <v>4.16</v>
      </c>
      <c r="FE31" s="173">
        <f t="shared" si="130"/>
        <v>0.77777754762607187</v>
      </c>
      <c r="FF31" s="5">
        <f t="shared" si="131"/>
        <v>77.777754762607188</v>
      </c>
      <c r="FI31" s="562">
        <f t="shared" si="94"/>
        <v>-50</v>
      </c>
      <c r="FJ31">
        <f t="shared" si="95"/>
        <v>-50</v>
      </c>
      <c r="FL31">
        <f t="shared" si="96"/>
        <v>0.36492565230100926</v>
      </c>
    </row>
    <row r="32" spans="5:168">
      <c r="E32" s="170">
        <v>27</v>
      </c>
      <c r="F32" s="217">
        <f t="shared" si="97"/>
        <v>0.27</v>
      </c>
      <c r="G32" s="217"/>
      <c r="H32" s="217">
        <f t="shared" si="0"/>
        <v>4.32</v>
      </c>
      <c r="I32" s="541">
        <f t="shared" si="1"/>
        <v>23.964143141719969</v>
      </c>
      <c r="J32" s="172">
        <f t="shared" si="2"/>
        <v>16.421514114968019</v>
      </c>
      <c r="K32" s="172">
        <f t="shared" si="3"/>
        <v>40.421514114968019</v>
      </c>
      <c r="L32" s="443"/>
      <c r="M32" s="217">
        <f t="shared" si="4"/>
        <v>0.40662140523589718</v>
      </c>
      <c r="N32" s="172">
        <f t="shared" si="5"/>
        <v>24.653163905687713</v>
      </c>
      <c r="O32" s="172">
        <f t="shared" si="98"/>
        <v>4.32</v>
      </c>
      <c r="P32" s="217">
        <f t="shared" si="6"/>
        <v>1.540822744105482</v>
      </c>
      <c r="Q32" s="217">
        <f t="shared" si="7"/>
        <v>16</v>
      </c>
      <c r="R32" s="217">
        <f t="shared" si="8"/>
        <v>1.5225521186813065</v>
      </c>
      <c r="S32" s="172">
        <f t="shared" si="9"/>
        <v>197.97439217506502</v>
      </c>
      <c r="T32" s="172">
        <f t="shared" si="10"/>
        <v>16</v>
      </c>
      <c r="U32" s="217">
        <f t="shared" si="99"/>
        <v>0.91004293846271389</v>
      </c>
      <c r="V32" s="217">
        <f t="shared" si="11"/>
        <v>0.45570230477135992</v>
      </c>
      <c r="W32" s="217">
        <f t="shared" si="12"/>
        <v>0.66501268915261869</v>
      </c>
      <c r="X32" s="197">
        <f t="shared" si="13"/>
        <v>350</v>
      </c>
      <c r="Y32" s="443">
        <f t="shared" si="14"/>
        <v>350</v>
      </c>
      <c r="AA32" s="217">
        <f t="shared" si="15"/>
        <v>2.3200570130842859</v>
      </c>
      <c r="AB32" s="173">
        <f t="shared" si="16"/>
        <v>1.6953786333036716</v>
      </c>
      <c r="AC32" s="173">
        <f t="shared" si="17"/>
        <v>0.68834064040515108</v>
      </c>
      <c r="AD32" s="173"/>
      <c r="AE32" s="173">
        <f t="shared" si="18"/>
        <v>0.73074869442532953</v>
      </c>
      <c r="AF32" s="545">
        <f t="shared" si="100"/>
        <v>738.96813517356077</v>
      </c>
      <c r="AG32" s="528">
        <f t="shared" si="19"/>
        <v>0.12788102152443268</v>
      </c>
      <c r="AI32" s="173">
        <f t="shared" si="20"/>
        <v>1.453044228186918</v>
      </c>
      <c r="AJ32" s="173">
        <f t="shared" si="21"/>
        <v>1.453044228186918</v>
      </c>
      <c r="AK32" s="173">
        <f t="shared" si="22"/>
        <v>1.5355883171754947</v>
      </c>
      <c r="AM32" s="545">
        <f t="shared" si="23"/>
        <v>270</v>
      </c>
      <c r="AN32" s="460">
        <f t="shared" si="24"/>
        <v>350</v>
      </c>
      <c r="AP32">
        <f t="shared" si="25"/>
        <v>270</v>
      </c>
      <c r="AQ32" s="460">
        <f t="shared" si="26"/>
        <v>350</v>
      </c>
      <c r="AR32" s="460"/>
      <c r="AS32" s="5">
        <f t="shared" si="101"/>
        <v>2.8571428571428572</v>
      </c>
      <c r="AT32" s="5">
        <f t="shared" si="27"/>
        <v>0.72760918824120957</v>
      </c>
      <c r="AU32" s="5">
        <f t="shared" si="102"/>
        <v>2.1295336689016477</v>
      </c>
      <c r="AV32" s="5">
        <f t="shared" si="28"/>
        <v>1.061810172689851</v>
      </c>
      <c r="AW32" s="173">
        <f t="shared" si="103"/>
        <v>0.25466321588442337</v>
      </c>
      <c r="AX32" s="173">
        <f t="shared" si="29"/>
        <v>4.4338088110413647</v>
      </c>
      <c r="AY32" s="173">
        <f t="shared" si="30"/>
        <v>0.5415036561072688</v>
      </c>
      <c r="AZ32" s="173">
        <f t="shared" si="104"/>
        <v>8.1879572945358881</v>
      </c>
      <c r="BA32" s="460">
        <f t="shared" si="31"/>
        <v>1.2278405051570411</v>
      </c>
      <c r="BB32" s="5">
        <f t="shared" si="32"/>
        <v>0.31990800433416622</v>
      </c>
      <c r="BC32" s="5"/>
      <c r="BD32" s="173">
        <f t="shared" si="105"/>
        <v>0.42335170759458579</v>
      </c>
      <c r="BE32" s="173">
        <f t="shared" si="33"/>
        <v>0.72425997268420161</v>
      </c>
      <c r="BF32" s="173"/>
      <c r="BG32" s="528">
        <f t="shared" si="34"/>
        <v>3.5845333664650337E-3</v>
      </c>
      <c r="BH32" s="528">
        <f t="shared" si="35"/>
        <v>0.3751650076904724</v>
      </c>
      <c r="BI32" s="528">
        <f t="shared" si="36"/>
        <v>0.19291135229084574</v>
      </c>
      <c r="BJ32" s="528">
        <f t="shared" si="37"/>
        <v>0.28164330622686307</v>
      </c>
      <c r="BK32">
        <f t="shared" si="38"/>
        <v>1.0783864413773986E-2</v>
      </c>
      <c r="BL32" s="460">
        <f t="shared" si="106"/>
        <v>203.69521670461972</v>
      </c>
      <c r="BM32" s="528">
        <f t="shared" si="39"/>
        <v>0.66192442247914685</v>
      </c>
      <c r="BN32" s="460">
        <f t="shared" si="107"/>
        <v>661.92442247914687</v>
      </c>
      <c r="BO32" s="528">
        <f t="shared" si="108"/>
        <v>0.16773749999999998</v>
      </c>
      <c r="BP32" s="528"/>
      <c r="BR32" s="460">
        <f t="shared" si="109"/>
        <v>167.73749999999998</v>
      </c>
      <c r="BS32" s="528">
        <f t="shared" si="40"/>
        <v>5.3768000496975501E-3</v>
      </c>
      <c r="BT32" s="528">
        <f t="shared" si="41"/>
        <v>1.5736575240975614E-2</v>
      </c>
      <c r="BU32" s="528">
        <f t="shared" si="42"/>
        <v>6.4799999999999996E-2</v>
      </c>
      <c r="BV32" s="528">
        <f t="shared" si="43"/>
        <v>9.1134517942775536E-2</v>
      </c>
      <c r="BW32" s="528">
        <f t="shared" si="44"/>
        <v>3.694840675867804E-3</v>
      </c>
      <c r="BX32" s="460">
        <f t="shared" si="110"/>
        <v>94.82935861864334</v>
      </c>
      <c r="BY32" s="173">
        <f t="shared" si="45"/>
        <v>1.1281864978024099</v>
      </c>
      <c r="BZ32" s="5">
        <f t="shared" si="111"/>
        <v>4.32</v>
      </c>
      <c r="CA32" s="173">
        <f t="shared" si="112"/>
        <v>0.79292439819057636</v>
      </c>
      <c r="CB32" s="5">
        <f t="shared" si="113"/>
        <v>79.292439819057634</v>
      </c>
      <c r="CE32" s="562">
        <f t="shared" si="46"/>
        <v>-50</v>
      </c>
      <c r="CF32">
        <f t="shared" si="47"/>
        <v>-50</v>
      </c>
      <c r="CG32" s="173">
        <f t="shared" si="48"/>
        <v>0.37649701194033403</v>
      </c>
      <c r="CI32" s="170">
        <v>27</v>
      </c>
      <c r="CJ32" s="217">
        <f t="shared" si="114"/>
        <v>0.27</v>
      </c>
      <c r="CK32" s="217"/>
      <c r="CL32" s="217">
        <f t="shared" si="49"/>
        <v>4.32</v>
      </c>
      <c r="CM32" s="541">
        <f t="shared" si="50"/>
        <v>24</v>
      </c>
      <c r="CN32" s="172">
        <f t="shared" si="51"/>
        <v>16.399999999999999</v>
      </c>
      <c r="CO32" s="443">
        <f t="shared" si="52"/>
        <v>40.4</v>
      </c>
      <c r="CP32" s="443"/>
      <c r="CQ32" s="217">
        <f t="shared" si="53"/>
        <v>0.40594059405940591</v>
      </c>
      <c r="CR32" s="172">
        <f t="shared" si="54"/>
        <v>24.648712871287128</v>
      </c>
      <c r="CS32" s="172">
        <f t="shared" si="115"/>
        <v>4.32</v>
      </c>
      <c r="CT32" s="217">
        <f t="shared" si="55"/>
        <v>1.5405445544554455</v>
      </c>
      <c r="CU32" s="217">
        <f t="shared" si="56"/>
        <v>16</v>
      </c>
      <c r="CV32" s="217">
        <f t="shared" si="57"/>
        <v>1.5222772277227721</v>
      </c>
      <c r="CW32" s="172">
        <f t="shared" si="58"/>
        <v>198.27054342693839</v>
      </c>
      <c r="CX32" s="172">
        <f t="shared" si="59"/>
        <v>16</v>
      </c>
      <c r="CY32" s="217">
        <f t="shared" si="60"/>
        <v>0.88682926829268305</v>
      </c>
      <c r="CZ32" s="217">
        <f t="shared" si="61"/>
        <v>0.44341463414634152</v>
      </c>
      <c r="DA32" s="217">
        <f t="shared" si="62"/>
        <v>0.64889946460440229</v>
      </c>
      <c r="DB32" s="197">
        <f t="shared" si="63"/>
        <v>350</v>
      </c>
      <c r="DC32" s="443">
        <f t="shared" si="116"/>
        <v>350</v>
      </c>
      <c r="DE32" s="217">
        <f t="shared" si="64"/>
        <v>2.3196605374823194</v>
      </c>
      <c r="DF32" s="173">
        <f t="shared" si="65"/>
        <v>1.6973125884016973</v>
      </c>
      <c r="DG32" s="173">
        <f t="shared" si="66"/>
        <v>0.68900808044029282</v>
      </c>
      <c r="DH32" s="173"/>
      <c r="DI32" s="173">
        <f t="shared" si="67"/>
        <v>0.73170731707317083</v>
      </c>
      <c r="DJ32" s="545">
        <f t="shared" si="117"/>
        <v>738</v>
      </c>
      <c r="DK32" s="528">
        <f t="shared" si="68"/>
        <v>0.12804878048780488</v>
      </c>
      <c r="DM32" s="173">
        <f t="shared" si="69"/>
        <v>1.45209208680835</v>
      </c>
      <c r="DN32" s="173">
        <f t="shared" si="70"/>
        <v>1.45209208680835</v>
      </c>
      <c r="DO32" s="173">
        <f t="shared" si="71"/>
        <v>1.5348830272654443</v>
      </c>
      <c r="DQ32" s="545">
        <f t="shared" si="72"/>
        <v>270</v>
      </c>
      <c r="DR32" s="460">
        <f t="shared" si="73"/>
        <v>350</v>
      </c>
      <c r="DT32">
        <f t="shared" si="74"/>
        <v>270</v>
      </c>
      <c r="DU32" s="460">
        <f t="shared" si="75"/>
        <v>350</v>
      </c>
      <c r="DV32" s="460"/>
      <c r="DW32" s="5">
        <f t="shared" si="118"/>
        <v>2.8571428571428572</v>
      </c>
      <c r="DX32" s="5">
        <f t="shared" si="76"/>
        <v>0.72604604340417511</v>
      </c>
      <c r="DY32" s="5">
        <f t="shared" si="119"/>
        <v>2.1310968137386821</v>
      </c>
      <c r="DZ32" s="5">
        <f t="shared" si="77"/>
        <v>1.0625064049817199</v>
      </c>
      <c r="EA32" s="173">
        <f t="shared" si="120"/>
        <v>0.25411611519146127</v>
      </c>
      <c r="EB32" s="173">
        <f t="shared" si="78"/>
        <v>4.4279999999999999</v>
      </c>
      <c r="EC32" s="173">
        <f t="shared" si="79"/>
        <v>0.541546043404175</v>
      </c>
      <c r="ED32" s="173">
        <f t="shared" si="121"/>
        <v>8.176590068252473</v>
      </c>
      <c r="EE32" s="460">
        <f t="shared" si="80"/>
        <v>1.2252026982445456</v>
      </c>
      <c r="EF32" s="5">
        <f t="shared" si="81"/>
        <v>0.31966452206080226</v>
      </c>
      <c r="EG32" s="5"/>
      <c r="EH32" s="173">
        <f t="shared" si="122"/>
        <v>0.42261960044161118</v>
      </c>
      <c r="EI32" s="173">
        <f t="shared" si="82"/>
        <v>0.72405097623006887</v>
      </c>
      <c r="EJ32" s="173"/>
      <c r="EK32" s="528">
        <f t="shared" si="83"/>
        <v>3.5721465335485413E-3</v>
      </c>
      <c r="EL32" s="528">
        <f t="shared" si="84"/>
        <v>0.39011906004193136</v>
      </c>
      <c r="EM32" s="528">
        <f t="shared" si="85"/>
        <v>4.0250000000000001E-2</v>
      </c>
      <c r="EN32" s="528">
        <f t="shared" si="86"/>
        <v>0.28134357999999998</v>
      </c>
      <c r="EO32">
        <f t="shared" si="87"/>
        <v>1.0800000000000001E-2</v>
      </c>
      <c r="EP32" s="460">
        <f t="shared" si="123"/>
        <v>51.05</v>
      </c>
      <c r="EQ32" s="528">
        <f t="shared" si="88"/>
        <v>0.72766686758397769</v>
      </c>
      <c r="ER32" s="460">
        <f t="shared" si="124"/>
        <v>727.66686758397771</v>
      </c>
      <c r="ES32" s="528">
        <f t="shared" si="125"/>
        <v>0.16773749999999998</v>
      </c>
      <c r="ET32" s="528"/>
      <c r="EV32" s="460">
        <f t="shared" si="126"/>
        <v>167.73749999999998</v>
      </c>
      <c r="EW32" s="528">
        <f t="shared" si="89"/>
        <v>5.3582198003228115E-3</v>
      </c>
      <c r="EX32" s="528">
        <f t="shared" si="90"/>
        <v>1.5727494485391472E-2</v>
      </c>
      <c r="EY32" s="528">
        <f t="shared" si="91"/>
        <v>0.2911558443229878</v>
      </c>
      <c r="EZ32" s="528">
        <f t="shared" si="92"/>
        <v>0.31783827780646479</v>
      </c>
      <c r="FA32" s="528">
        <f t="shared" si="93"/>
        <v>3.6900000000000001E-3</v>
      </c>
      <c r="FB32" s="460">
        <f t="shared" si="127"/>
        <v>321.52827780646481</v>
      </c>
      <c r="FC32" s="173">
        <f t="shared" si="128"/>
        <v>1.2169326453904425</v>
      </c>
      <c r="FD32" s="5">
        <f t="shared" si="129"/>
        <v>4.32</v>
      </c>
      <c r="FE32" s="173">
        <f t="shared" si="130"/>
        <v>0.78021537856279466</v>
      </c>
      <c r="FF32" s="5">
        <f t="shared" si="131"/>
        <v>78.021537856279465</v>
      </c>
      <c r="FI32" s="562">
        <f t="shared" si="94"/>
        <v>-50</v>
      </c>
      <c r="FJ32">
        <f t="shared" si="95"/>
        <v>-50</v>
      </c>
      <c r="FL32">
        <f t="shared" si="96"/>
        <v>0.37187724174360182</v>
      </c>
    </row>
    <row r="33" spans="5:168">
      <c r="E33" s="170">
        <v>28</v>
      </c>
      <c r="F33" s="217">
        <f t="shared" si="97"/>
        <v>0.28000000000000003</v>
      </c>
      <c r="G33" s="217"/>
      <c r="H33" s="217">
        <f t="shared" si="0"/>
        <v>4.4800000000000004</v>
      </c>
      <c r="I33" s="541">
        <f t="shared" si="1"/>
        <v>23.963485162832988</v>
      </c>
      <c r="J33" s="172">
        <f t="shared" si="2"/>
        <v>16.421908902300206</v>
      </c>
      <c r="K33" s="172">
        <f t="shared" si="3"/>
        <v>40.421908902300203</v>
      </c>
      <c r="L33" s="443"/>
      <c r="M33" s="217">
        <f t="shared" si="4"/>
        <v>0.40663390266016458</v>
      </c>
      <c r="N33" s="172">
        <f t="shared" si="5"/>
        <v>24.653244697547368</v>
      </c>
      <c r="O33" s="172">
        <f t="shared" si="98"/>
        <v>4.4800000000000004</v>
      </c>
      <c r="P33" s="217">
        <f t="shared" si="6"/>
        <v>1.5408277935967105</v>
      </c>
      <c r="Q33" s="217">
        <f t="shared" si="7"/>
        <v>16</v>
      </c>
      <c r="R33" s="217">
        <f t="shared" si="8"/>
        <v>1.522557108297145</v>
      </c>
      <c r="S33" s="172">
        <f t="shared" si="9"/>
        <v>190.04653494600961</v>
      </c>
      <c r="T33" s="172">
        <f t="shared" si="10"/>
        <v>16</v>
      </c>
      <c r="U33" s="217">
        <f t="shared" si="99"/>
        <v>0.94376810962166291</v>
      </c>
      <c r="V33" s="217">
        <f t="shared" si="11"/>
        <v>0.47260309752544671</v>
      </c>
      <c r="W33" s="217">
        <f t="shared" si="12"/>
        <v>0.68964073438951057</v>
      </c>
      <c r="X33" s="197">
        <f t="shared" si="13"/>
        <v>350</v>
      </c>
      <c r="Y33" s="443">
        <f t="shared" si="14"/>
        <v>350</v>
      </c>
      <c r="AA33" s="217">
        <f t="shared" si="15"/>
        <v>2.3200642061157914</v>
      </c>
      <c r="AB33" s="173">
        <f t="shared" si="16"/>
        <v>1.6953431320940928</v>
      </c>
      <c r="AC33" s="173">
        <f t="shared" si="17"/>
        <v>0.68832836062475466</v>
      </c>
      <c r="AD33" s="173"/>
      <c r="AE33" s="173">
        <f t="shared" si="18"/>
        <v>0.73073112702014609</v>
      </c>
      <c r="AF33" s="545">
        <f t="shared" si="100"/>
        <v>766.35574877400973</v>
      </c>
      <c r="AG33" s="528">
        <f t="shared" si="19"/>
        <v>0.12787794722852555</v>
      </c>
      <c r="AI33" s="173">
        <f t="shared" si="20"/>
        <v>1.4797256007922643</v>
      </c>
      <c r="AJ33" s="173">
        <f t="shared" si="21"/>
        <v>1.4797256007922643</v>
      </c>
      <c r="AK33" s="173">
        <f t="shared" si="22"/>
        <v>1.5553522968831588</v>
      </c>
      <c r="AM33" s="545">
        <f t="shared" si="23"/>
        <v>280</v>
      </c>
      <c r="AN33" s="460">
        <f t="shared" si="24"/>
        <v>350</v>
      </c>
      <c r="AP33">
        <f t="shared" si="25"/>
        <v>280</v>
      </c>
      <c r="AQ33" s="460">
        <f t="shared" si="26"/>
        <v>350</v>
      </c>
      <c r="AR33" s="460"/>
      <c r="AS33" s="5">
        <f t="shared" si="101"/>
        <v>2.8571428571428572</v>
      </c>
      <c r="AT33" s="5">
        <f t="shared" si="27"/>
        <v>0.74099018105461412</v>
      </c>
      <c r="AU33" s="5">
        <f t="shared" si="102"/>
        <v>2.1161526760882432</v>
      </c>
      <c r="AV33" s="5">
        <f t="shared" si="28"/>
        <v>1.0812815559474942</v>
      </c>
      <c r="AW33" s="173">
        <f t="shared" si="103"/>
        <v>0.25934656336911494</v>
      </c>
      <c r="AX33" s="173">
        <f t="shared" si="29"/>
        <v>4.5981344926440579</v>
      </c>
      <c r="AY33" s="173">
        <f t="shared" si="30"/>
        <v>0.54798192574874582</v>
      </c>
      <c r="AZ33" s="173">
        <f t="shared" si="104"/>
        <v>8.3910331282574813</v>
      </c>
      <c r="BA33" s="460">
        <f t="shared" si="31"/>
        <v>1.2967328168455747</v>
      </c>
      <c r="BB33" s="5">
        <f t="shared" si="32"/>
        <v>0.32968089868313599</v>
      </c>
      <c r="BC33" s="5"/>
      <c r="BD33" s="173">
        <f t="shared" si="105"/>
        <v>0.43507167418572074</v>
      </c>
      <c r="BE33" s="173">
        <f t="shared" si="33"/>
        <v>0.73523823091651264</v>
      </c>
      <c r="BF33" s="173"/>
      <c r="BG33" s="528">
        <f t="shared" si="34"/>
        <v>3.7857472335753191E-3</v>
      </c>
      <c r="BH33" s="528">
        <f t="shared" si="35"/>
        <v>0.38205766732006335</v>
      </c>
      <c r="BI33" s="528">
        <f t="shared" si="36"/>
        <v>0.19290605556080556</v>
      </c>
      <c r="BJ33" s="528">
        <f t="shared" si="37"/>
        <v>0.28164880774034701</v>
      </c>
      <c r="BK33">
        <f t="shared" si="38"/>
        <v>1.0783568323274845E-2</v>
      </c>
      <c r="BL33" s="460">
        <f t="shared" si="106"/>
        <v>203.68962388408042</v>
      </c>
      <c r="BM33" s="528">
        <f t="shared" si="39"/>
        <v>0.66911623978405077</v>
      </c>
      <c r="BN33" s="460">
        <f t="shared" si="107"/>
        <v>669.11623978405078</v>
      </c>
      <c r="BO33" s="528">
        <f t="shared" si="108"/>
        <v>0.17394999999999999</v>
      </c>
      <c r="BP33" s="528"/>
      <c r="BR33" s="460">
        <f t="shared" si="109"/>
        <v>173.95</v>
      </c>
      <c r="BS33" s="528">
        <f t="shared" si="40"/>
        <v>5.6786208503629785E-3</v>
      </c>
      <c r="BT33" s="528">
        <f t="shared" si="41"/>
        <v>1.6217257686037295E-2</v>
      </c>
      <c r="BU33" s="528">
        <f t="shared" si="42"/>
        <v>6.720000000000001E-2</v>
      </c>
      <c r="BV33" s="528">
        <f t="shared" si="43"/>
        <v>9.4516451043675856E-2</v>
      </c>
      <c r="BW33" s="528">
        <f t="shared" si="44"/>
        <v>3.8317787438700486E-3</v>
      </c>
      <c r="BX33" s="460">
        <f t="shared" si="110"/>
        <v>98.348229787545904</v>
      </c>
      <c r="BY33" s="173">
        <f t="shared" si="45"/>
        <v>1.1451040934556771</v>
      </c>
      <c r="BZ33" s="5">
        <f t="shared" si="111"/>
        <v>4.4800000000000004</v>
      </c>
      <c r="CA33" s="173">
        <f t="shared" si="112"/>
        <v>0.79642970611194441</v>
      </c>
      <c r="CB33" s="5">
        <f t="shared" si="113"/>
        <v>79.642970611194443</v>
      </c>
      <c r="CE33" s="562">
        <f t="shared" si="46"/>
        <v>-50</v>
      </c>
      <c r="CF33">
        <f t="shared" si="47"/>
        <v>-50</v>
      </c>
      <c r="CG33" s="173">
        <f t="shared" si="48"/>
        <v>0.38340579025361632</v>
      </c>
      <c r="CI33" s="170">
        <v>28</v>
      </c>
      <c r="CJ33" s="217">
        <f t="shared" si="114"/>
        <v>0.28000000000000003</v>
      </c>
      <c r="CK33" s="217"/>
      <c r="CL33" s="217">
        <f t="shared" si="49"/>
        <v>4.4800000000000004</v>
      </c>
      <c r="CM33" s="541">
        <f t="shared" si="50"/>
        <v>24</v>
      </c>
      <c r="CN33" s="172">
        <f t="shared" si="51"/>
        <v>16.399999999999999</v>
      </c>
      <c r="CO33" s="443">
        <f t="shared" si="52"/>
        <v>40.4</v>
      </c>
      <c r="CP33" s="443"/>
      <c r="CQ33" s="217">
        <f t="shared" si="53"/>
        <v>0.40594059405940591</v>
      </c>
      <c r="CR33" s="172">
        <f t="shared" si="54"/>
        <v>24.648712871287128</v>
      </c>
      <c r="CS33" s="172">
        <f t="shared" si="115"/>
        <v>4.4800000000000004</v>
      </c>
      <c r="CT33" s="217">
        <f t="shared" si="55"/>
        <v>1.5405445544554455</v>
      </c>
      <c r="CU33" s="217">
        <f t="shared" si="56"/>
        <v>16</v>
      </c>
      <c r="CV33" s="217">
        <f t="shared" si="57"/>
        <v>1.5222772277227721</v>
      </c>
      <c r="CW33" s="172">
        <f t="shared" si="58"/>
        <v>190.33604562171689</v>
      </c>
      <c r="CX33" s="172">
        <f t="shared" si="59"/>
        <v>16</v>
      </c>
      <c r="CY33" s="217">
        <f t="shared" si="60"/>
        <v>0.91967479674796759</v>
      </c>
      <c r="CZ33" s="217">
        <f t="shared" si="61"/>
        <v>0.4598373983739838</v>
      </c>
      <c r="DA33" s="217">
        <f t="shared" si="62"/>
        <v>0.67293277810826901</v>
      </c>
      <c r="DB33" s="197">
        <f t="shared" si="63"/>
        <v>350</v>
      </c>
      <c r="DC33" s="443">
        <f t="shared" si="116"/>
        <v>350</v>
      </c>
      <c r="DE33" s="217">
        <f t="shared" si="64"/>
        <v>2.3196605374823194</v>
      </c>
      <c r="DF33" s="173">
        <f t="shared" si="65"/>
        <v>1.6973125884016973</v>
      </c>
      <c r="DG33" s="173">
        <f t="shared" si="66"/>
        <v>0.68900808044029282</v>
      </c>
      <c r="DH33" s="173"/>
      <c r="DI33" s="173">
        <f t="shared" si="67"/>
        <v>0.73170731707317083</v>
      </c>
      <c r="DJ33" s="545">
        <f t="shared" si="117"/>
        <v>765.33333333333326</v>
      </c>
      <c r="DK33" s="528">
        <f t="shared" si="68"/>
        <v>0.12804878048780488</v>
      </c>
      <c r="DM33" s="173">
        <f t="shared" si="69"/>
        <v>1.4787382008545891</v>
      </c>
      <c r="DN33" s="173">
        <f t="shared" si="70"/>
        <v>1.4787382008545891</v>
      </c>
      <c r="DO33" s="173">
        <f t="shared" si="71"/>
        <v>1.5546208895219178</v>
      </c>
      <c r="DQ33" s="545">
        <f t="shared" si="72"/>
        <v>280</v>
      </c>
      <c r="DR33" s="460">
        <f t="shared" si="73"/>
        <v>350</v>
      </c>
      <c r="DT33">
        <f t="shared" si="74"/>
        <v>280</v>
      </c>
      <c r="DU33" s="460">
        <f t="shared" si="75"/>
        <v>350</v>
      </c>
      <c r="DV33" s="460"/>
      <c r="DW33" s="5">
        <f t="shared" si="118"/>
        <v>2.8571428571428572</v>
      </c>
      <c r="DX33" s="5">
        <f t="shared" si="76"/>
        <v>0.73936910042729453</v>
      </c>
      <c r="DY33" s="5">
        <f t="shared" si="119"/>
        <v>2.1177737567155628</v>
      </c>
      <c r="DZ33" s="5">
        <f t="shared" si="77"/>
        <v>1.0820035616009189</v>
      </c>
      <c r="EA33" s="173">
        <f t="shared" si="120"/>
        <v>0.25877918514955306</v>
      </c>
      <c r="EB33" s="173">
        <f t="shared" si="78"/>
        <v>4.5920000000000005</v>
      </c>
      <c r="EC33" s="173">
        <f t="shared" si="79"/>
        <v>0.54803576709396118</v>
      </c>
      <c r="ED33" s="173">
        <f t="shared" si="121"/>
        <v>8.3790151587180954</v>
      </c>
      <c r="EE33" s="460">
        <f t="shared" si="80"/>
        <v>1.2938959257477656</v>
      </c>
      <c r="EF33" s="5">
        <f t="shared" si="81"/>
        <v>0.32943147326686528</v>
      </c>
      <c r="EG33" s="5"/>
      <c r="EH33" s="173">
        <f t="shared" si="122"/>
        <v>0.43430550621795</v>
      </c>
      <c r="EI33" s="173">
        <f t="shared" si="82"/>
        <v>0.73502899001172672</v>
      </c>
      <c r="EJ33" s="173"/>
      <c r="EK33" s="528">
        <f t="shared" si="83"/>
        <v>3.772425454624596E-3</v>
      </c>
      <c r="EL33" s="528">
        <f t="shared" si="84"/>
        <v>0.39727780504159393</v>
      </c>
      <c r="EM33" s="528">
        <f t="shared" si="85"/>
        <v>4.0250000000000001E-2</v>
      </c>
      <c r="EN33" s="528">
        <f t="shared" si="86"/>
        <v>0.28134357999999998</v>
      </c>
      <c r="EO33">
        <f t="shared" si="87"/>
        <v>1.0800000000000001E-2</v>
      </c>
      <c r="EP33" s="460">
        <f t="shared" si="123"/>
        <v>51.05</v>
      </c>
      <c r="EQ33" s="528">
        <f t="shared" si="88"/>
        <v>0.73512127536319971</v>
      </c>
      <c r="ER33" s="460">
        <f t="shared" si="124"/>
        <v>735.12127536319974</v>
      </c>
      <c r="ES33" s="528">
        <f t="shared" si="125"/>
        <v>0.17394999999999999</v>
      </c>
      <c r="ET33" s="528"/>
      <c r="EV33" s="460">
        <f t="shared" si="126"/>
        <v>173.95</v>
      </c>
      <c r="EW33" s="528">
        <f t="shared" si="89"/>
        <v>5.6586381819368941E-3</v>
      </c>
      <c r="EX33" s="528">
        <f t="shared" si="90"/>
        <v>1.620802848472977E-2</v>
      </c>
      <c r="EY33" s="528">
        <f t="shared" si="91"/>
        <v>0.30469711771638852</v>
      </c>
      <c r="EZ33" s="528">
        <f t="shared" si="92"/>
        <v>0.33239325097676392</v>
      </c>
      <c r="FA33" s="528">
        <f t="shared" si="93"/>
        <v>3.8266666666666675E-3</v>
      </c>
      <c r="FB33" s="460">
        <f t="shared" si="127"/>
        <v>336.21991764343056</v>
      </c>
      <c r="FC33" s="173">
        <f t="shared" si="128"/>
        <v>1.2452911930066304</v>
      </c>
      <c r="FD33" s="5">
        <f t="shared" si="129"/>
        <v>4.4800000000000004</v>
      </c>
      <c r="FE33" s="173">
        <f t="shared" si="130"/>
        <v>0.78249295083405757</v>
      </c>
      <c r="FF33" s="5">
        <f t="shared" si="131"/>
        <v>78.249295083405755</v>
      </c>
      <c r="FI33" s="562">
        <f t="shared" si="94"/>
        <v>-50</v>
      </c>
      <c r="FJ33">
        <f t="shared" si="95"/>
        <v>-50</v>
      </c>
      <c r="FL33">
        <f t="shared" si="96"/>
        <v>0.37870124656032161</v>
      </c>
    </row>
    <row r="34" spans="5:168">
      <c r="E34" s="170">
        <v>29</v>
      </c>
      <c r="F34" s="217">
        <f t="shared" si="97"/>
        <v>0.28999999999999998</v>
      </c>
      <c r="G34" s="217"/>
      <c r="H34" s="217">
        <f t="shared" si="0"/>
        <v>4.6399999999999997</v>
      </c>
      <c r="I34" s="541">
        <f t="shared" si="1"/>
        <v>23.962838832352141</v>
      </c>
      <c r="J34" s="172">
        <f t="shared" si="2"/>
        <v>16.422296700588713</v>
      </c>
      <c r="K34" s="172">
        <f t="shared" si="3"/>
        <v>40.422296700588717</v>
      </c>
      <c r="L34" s="443"/>
      <c r="M34" s="217">
        <f t="shared" si="4"/>
        <v>0.40664617899425548</v>
      </c>
      <c r="N34" s="172">
        <f t="shared" si="5"/>
        <v>24.653324028048846</v>
      </c>
      <c r="O34" s="172">
        <f t="shared" si="98"/>
        <v>4.6399999999999997</v>
      </c>
      <c r="P34" s="217">
        <f t="shared" si="6"/>
        <v>1.5408327517530529</v>
      </c>
      <c r="Q34" s="217">
        <f t="shared" si="7"/>
        <v>16</v>
      </c>
      <c r="R34" s="217">
        <f t="shared" si="8"/>
        <v>1.5225620076611195</v>
      </c>
      <c r="S34" s="172">
        <f t="shared" si="9"/>
        <v>182.6657169854727</v>
      </c>
      <c r="T34" s="172">
        <f t="shared" si="10"/>
        <v>16</v>
      </c>
      <c r="U34" s="217">
        <f t="shared" si="99"/>
        <v>0.97749433721837375</v>
      </c>
      <c r="V34" s="217">
        <f t="shared" si="11"/>
        <v>0.48950510950246623</v>
      </c>
      <c r="W34" s="217">
        <f t="shared" si="12"/>
        <v>0.71426867145811501</v>
      </c>
      <c r="X34" s="197">
        <f t="shared" si="13"/>
        <v>350</v>
      </c>
      <c r="Y34" s="443">
        <f t="shared" si="14"/>
        <v>350</v>
      </c>
      <c r="AA34" s="217">
        <f t="shared" si="15"/>
        <v>2.3200712689160339</v>
      </c>
      <c r="AB34" s="173">
        <f t="shared" si="16"/>
        <v>1.6953082589230262</v>
      </c>
      <c r="AC34" s="173">
        <f t="shared" si="17"/>
        <v>0.68831629710959097</v>
      </c>
      <c r="AD34" s="173"/>
      <c r="AE34" s="173">
        <f t="shared" si="18"/>
        <v>0.73071387143856803</v>
      </c>
      <c r="AF34" s="545">
        <f t="shared" si="100"/>
        <v>793.74434052845436</v>
      </c>
      <c r="AG34" s="528">
        <f t="shared" si="19"/>
        <v>0.12787492750174942</v>
      </c>
      <c r="AI34" s="173">
        <f t="shared" si="20"/>
        <v>1.5059352485875486</v>
      </c>
      <c r="AJ34" s="173">
        <f t="shared" si="21"/>
        <v>1.5059352485875486</v>
      </c>
      <c r="AK34" s="173">
        <f t="shared" si="22"/>
        <v>1.5747668508055914</v>
      </c>
      <c r="AM34" s="545">
        <f t="shared" si="23"/>
        <v>290</v>
      </c>
      <c r="AN34" s="460">
        <f t="shared" si="24"/>
        <v>350</v>
      </c>
      <c r="AP34">
        <f t="shared" si="25"/>
        <v>290</v>
      </c>
      <c r="AQ34" s="460">
        <f t="shared" si="26"/>
        <v>350</v>
      </c>
      <c r="AR34" s="460"/>
      <c r="AS34" s="5">
        <f t="shared" si="101"/>
        <v>2.8571428571428572</v>
      </c>
      <c r="AT34" s="5">
        <f t="shared" si="27"/>
        <v>0.7541353138282052</v>
      </c>
      <c r="AU34" s="5">
        <f t="shared" si="102"/>
        <v>2.1030075433146518</v>
      </c>
      <c r="AV34" s="5">
        <f t="shared" si="28"/>
        <v>1.1004077756312098</v>
      </c>
      <c r="AW34" s="173">
        <f t="shared" si="103"/>
        <v>0.26394735983987183</v>
      </c>
      <c r="AX34" s="173">
        <f t="shared" si="29"/>
        <v>4.7624660431707282</v>
      </c>
      <c r="AY34" s="173">
        <f t="shared" si="30"/>
        <v>0.55422380781653202</v>
      </c>
      <c r="AZ34" s="173">
        <f t="shared" si="104"/>
        <v>8.593037642921459</v>
      </c>
      <c r="BA34" s="460">
        <f t="shared" si="31"/>
        <v>1.3668702563136219</v>
      </c>
      <c r="BB34" s="5">
        <f t="shared" si="32"/>
        <v>0.33934331505434301</v>
      </c>
      <c r="BC34" s="5"/>
      <c r="BD34" s="173">
        <f t="shared" si="105"/>
        <v>0.44668804824836011</v>
      </c>
      <c r="BE34" s="173">
        <f t="shared" si="33"/>
        <v>0.74593349471085635</v>
      </c>
      <c r="BF34" s="173"/>
      <c r="BG34" s="528">
        <f t="shared" si="34"/>
        <v>3.9906042489585855E-3</v>
      </c>
      <c r="BH34" s="528">
        <f t="shared" si="35"/>
        <v>0.38882859613591814</v>
      </c>
      <c r="BI34" s="528">
        <f t="shared" si="36"/>
        <v>0.19290085260043471</v>
      </c>
      <c r="BJ34" s="528">
        <f t="shared" si="37"/>
        <v>0.2816542119111296</v>
      </c>
      <c r="BK34">
        <f t="shared" si="38"/>
        <v>1.0783277474558463E-2</v>
      </c>
      <c r="BL34" s="460">
        <f t="shared" si="106"/>
        <v>203.68413007499316</v>
      </c>
      <c r="BM34" s="528">
        <f t="shared" si="39"/>
        <v>0.67619201878622848</v>
      </c>
      <c r="BN34" s="460">
        <f t="shared" si="107"/>
        <v>676.19201878622846</v>
      </c>
      <c r="BO34" s="528">
        <f t="shared" si="108"/>
        <v>0.18016249999999998</v>
      </c>
      <c r="BP34" s="528"/>
      <c r="BR34" s="460">
        <f t="shared" si="109"/>
        <v>180.16249999999997</v>
      </c>
      <c r="BS34" s="528">
        <f t="shared" si="40"/>
        <v>5.9859063734378787E-3</v>
      </c>
      <c r="BT34" s="528">
        <f t="shared" si="41"/>
        <v>1.6692503355946534E-2</v>
      </c>
      <c r="BU34" s="528">
        <f t="shared" si="42"/>
        <v>6.9599999999999995E-2</v>
      </c>
      <c r="BV34" s="528">
        <f t="shared" si="43"/>
        <v>9.7898843270814939E-2</v>
      </c>
      <c r="BW34" s="528">
        <f t="shared" si="44"/>
        <v>3.9687217026422739E-3</v>
      </c>
      <c r="BX34" s="460">
        <f t="shared" si="110"/>
        <v>101.86756497345721</v>
      </c>
      <c r="BY34" s="173">
        <f t="shared" si="45"/>
        <v>1.161906213834679</v>
      </c>
      <c r="BZ34" s="5">
        <f t="shared" si="111"/>
        <v>4.6399999999999997</v>
      </c>
      <c r="CA34" s="173">
        <f t="shared" si="112"/>
        <v>0.79973716033807873</v>
      </c>
      <c r="CB34" s="5">
        <f t="shared" si="113"/>
        <v>79.973716033807875</v>
      </c>
      <c r="CE34" s="562">
        <f t="shared" si="46"/>
        <v>-50</v>
      </c>
      <c r="CF34">
        <f t="shared" si="47"/>
        <v>-50</v>
      </c>
      <c r="CG34" s="173">
        <f t="shared" si="48"/>
        <v>0.3901922603025334</v>
      </c>
      <c r="CI34" s="170">
        <v>29</v>
      </c>
      <c r="CJ34" s="217">
        <f t="shared" si="114"/>
        <v>0.28999999999999998</v>
      </c>
      <c r="CK34" s="217"/>
      <c r="CL34" s="217">
        <f t="shared" si="49"/>
        <v>4.6399999999999997</v>
      </c>
      <c r="CM34" s="541">
        <f t="shared" si="50"/>
        <v>24</v>
      </c>
      <c r="CN34" s="172">
        <f t="shared" si="51"/>
        <v>16.399999999999999</v>
      </c>
      <c r="CO34" s="443">
        <f t="shared" si="52"/>
        <v>40.4</v>
      </c>
      <c r="CP34" s="443"/>
      <c r="CQ34" s="217">
        <f t="shared" si="53"/>
        <v>0.40594059405940591</v>
      </c>
      <c r="CR34" s="172">
        <f t="shared" si="54"/>
        <v>24.648712871287128</v>
      </c>
      <c r="CS34" s="172">
        <f t="shared" si="115"/>
        <v>4.6399999999999997</v>
      </c>
      <c r="CT34" s="217">
        <f t="shared" si="55"/>
        <v>1.5405445544554455</v>
      </c>
      <c r="CU34" s="217">
        <f t="shared" si="56"/>
        <v>16</v>
      </c>
      <c r="CV34" s="217">
        <f t="shared" si="57"/>
        <v>1.5222772277227721</v>
      </c>
      <c r="CW34" s="172">
        <f t="shared" si="58"/>
        <v>182.94891091161426</v>
      </c>
      <c r="CX34" s="172">
        <f t="shared" si="59"/>
        <v>16</v>
      </c>
      <c r="CY34" s="217">
        <f t="shared" si="60"/>
        <v>0.95252032520325203</v>
      </c>
      <c r="CZ34" s="217">
        <f t="shared" si="61"/>
        <v>0.47626016260162601</v>
      </c>
      <c r="DA34" s="217">
        <f t="shared" si="62"/>
        <v>0.69696609161213563</v>
      </c>
      <c r="DB34" s="197">
        <f t="shared" si="63"/>
        <v>350</v>
      </c>
      <c r="DC34" s="443">
        <f t="shared" si="116"/>
        <v>350</v>
      </c>
      <c r="DE34" s="217">
        <f t="shared" si="64"/>
        <v>2.3196605374823194</v>
      </c>
      <c r="DF34" s="173">
        <f t="shared" si="65"/>
        <v>1.6973125884016973</v>
      </c>
      <c r="DG34" s="173">
        <f t="shared" si="66"/>
        <v>0.68900808044029282</v>
      </c>
      <c r="DH34" s="173"/>
      <c r="DI34" s="173">
        <f t="shared" si="67"/>
        <v>0.73170731707317083</v>
      </c>
      <c r="DJ34" s="545">
        <f t="shared" si="117"/>
        <v>792.66666666666652</v>
      </c>
      <c r="DK34" s="528">
        <f t="shared" si="68"/>
        <v>0.12804878048780488</v>
      </c>
      <c r="DM34" s="173">
        <f t="shared" si="69"/>
        <v>1.5049125904058032</v>
      </c>
      <c r="DN34" s="173">
        <f t="shared" si="70"/>
        <v>1.5049125904058032</v>
      </c>
      <c r="DO34" s="173">
        <f t="shared" si="71"/>
        <v>1.5740093262265209</v>
      </c>
      <c r="DQ34" s="545">
        <f t="shared" si="72"/>
        <v>290</v>
      </c>
      <c r="DR34" s="460">
        <f t="shared" si="73"/>
        <v>350</v>
      </c>
      <c r="DT34">
        <f t="shared" si="74"/>
        <v>290</v>
      </c>
      <c r="DU34" s="460">
        <f t="shared" si="75"/>
        <v>350</v>
      </c>
      <c r="DV34" s="460"/>
      <c r="DW34" s="5">
        <f t="shared" si="118"/>
        <v>2.8571428571428572</v>
      </c>
      <c r="DX34" s="5">
        <f t="shared" si="76"/>
        <v>0.75245629520290158</v>
      </c>
      <c r="DY34" s="5">
        <f t="shared" si="119"/>
        <v>2.1046865619399555</v>
      </c>
      <c r="DZ34" s="5">
        <f t="shared" si="77"/>
        <v>1.1011555539554658</v>
      </c>
      <c r="EA34" s="173">
        <f t="shared" si="120"/>
        <v>0.26335970332101555</v>
      </c>
      <c r="EB34" s="173">
        <f t="shared" si="78"/>
        <v>4.7560000000000002</v>
      </c>
      <c r="EC34" s="173">
        <f t="shared" si="79"/>
        <v>0.55428962853623498</v>
      </c>
      <c r="ED34" s="173">
        <f t="shared" si="121"/>
        <v>8.5803517784729593</v>
      </c>
      <c r="EE34" s="460">
        <f t="shared" si="80"/>
        <v>1.363827035055259</v>
      </c>
      <c r="EF34" s="5">
        <f t="shared" si="81"/>
        <v>0.33908839053477058</v>
      </c>
      <c r="EG34" s="5"/>
      <c r="EH34" s="173">
        <f t="shared" si="122"/>
        <v>0.44588751321786424</v>
      </c>
      <c r="EI34" s="173">
        <f t="shared" si="82"/>
        <v>0.74572445345249594</v>
      </c>
      <c r="EJ34" s="173"/>
      <c r="EK34" s="528">
        <f t="shared" si="83"/>
        <v>3.9763134888722209E-3</v>
      </c>
      <c r="EL34" s="528">
        <f t="shared" si="84"/>
        <v>0.40430981653842307</v>
      </c>
      <c r="EM34" s="528">
        <f t="shared" si="85"/>
        <v>4.0250000000000001E-2</v>
      </c>
      <c r="EN34" s="528">
        <f t="shared" si="86"/>
        <v>0.28134357999999998</v>
      </c>
      <c r="EO34">
        <f t="shared" si="87"/>
        <v>1.0800000000000001E-2</v>
      </c>
      <c r="EP34" s="460">
        <f t="shared" si="123"/>
        <v>51.05</v>
      </c>
      <c r="EQ34" s="528">
        <f t="shared" si="88"/>
        <v>0.74245476520579989</v>
      </c>
      <c r="ER34" s="460">
        <f t="shared" si="124"/>
        <v>742.45476520579984</v>
      </c>
      <c r="ES34" s="528">
        <f t="shared" si="125"/>
        <v>0.18016249999999998</v>
      </c>
      <c r="ET34" s="528"/>
      <c r="EV34" s="460">
        <f t="shared" si="126"/>
        <v>180.16249999999997</v>
      </c>
      <c r="EW34" s="528">
        <f t="shared" si="89"/>
        <v>5.9644702333083313E-3</v>
      </c>
      <c r="EX34" s="528">
        <f t="shared" si="90"/>
        <v>1.6683148814310711E-2</v>
      </c>
      <c r="EY34" s="528">
        <f t="shared" si="91"/>
        <v>0.3183598593991443</v>
      </c>
      <c r="EZ34" s="528">
        <f t="shared" si="92"/>
        <v>0.34707173489291598</v>
      </c>
      <c r="FA34" s="528">
        <f t="shared" si="93"/>
        <v>3.9633333333333335E-3</v>
      </c>
      <c r="FB34" s="460">
        <f t="shared" si="127"/>
        <v>351.03506822624928</v>
      </c>
      <c r="FC34" s="173">
        <f t="shared" si="128"/>
        <v>1.2736523334320491</v>
      </c>
      <c r="FD34" s="5">
        <f t="shared" si="129"/>
        <v>4.6399999999999997</v>
      </c>
      <c r="FE34" s="173">
        <f t="shared" si="130"/>
        <v>0.78462509095578292</v>
      </c>
      <c r="FF34" s="5">
        <f t="shared" si="131"/>
        <v>78.462509095578298</v>
      </c>
      <c r="FI34" s="562">
        <f t="shared" si="94"/>
        <v>-50</v>
      </c>
      <c r="FJ34">
        <f t="shared" si="95"/>
        <v>-50</v>
      </c>
      <c r="FL34">
        <f t="shared" si="96"/>
        <v>0.38540444388441303</v>
      </c>
    </row>
    <row r="35" spans="5:168">
      <c r="E35" s="170">
        <v>30</v>
      </c>
      <c r="F35" s="217">
        <f t="shared" si="97"/>
        <v>0.3</v>
      </c>
      <c r="G35" s="217"/>
      <c r="H35" s="217">
        <f t="shared" si="0"/>
        <v>4.8</v>
      </c>
      <c r="I35" s="541">
        <f t="shared" si="1"/>
        <v>23.962203552699076</v>
      </c>
      <c r="J35" s="172">
        <f t="shared" si="2"/>
        <v>16.422677868380553</v>
      </c>
      <c r="K35" s="172">
        <f t="shared" si="3"/>
        <v>40.422677868380553</v>
      </c>
      <c r="L35" s="443"/>
      <c r="M35" s="217">
        <f t="shared" si="4"/>
        <v>0.40665824558038555</v>
      </c>
      <c r="N35" s="172">
        <f t="shared" si="5"/>
        <v>24.653401972161141</v>
      </c>
      <c r="O35" s="172">
        <f t="shared" si="98"/>
        <v>4.8</v>
      </c>
      <c r="P35" s="217">
        <f t="shared" si="6"/>
        <v>1.5408376232600713</v>
      </c>
      <c r="Q35" s="217">
        <f t="shared" si="7"/>
        <v>16</v>
      </c>
      <c r="R35" s="217">
        <f t="shared" si="8"/>
        <v>1.5225668214032326</v>
      </c>
      <c r="S35" s="172">
        <f t="shared" si="9"/>
        <v>175.77723082141807</v>
      </c>
      <c r="T35" s="172">
        <f t="shared" si="10"/>
        <v>16</v>
      </c>
      <c r="U35" s="217">
        <f t="shared" si="99"/>
        <v>1.0112216029476948</v>
      </c>
      <c r="V35" s="217">
        <f t="shared" si="11"/>
        <v>0.50640831961405752</v>
      </c>
      <c r="W35" s="217">
        <f t="shared" si="12"/>
        <v>0.7388965023016032</v>
      </c>
      <c r="X35" s="197">
        <f t="shared" si="13"/>
        <v>350</v>
      </c>
      <c r="Y35" s="443">
        <f t="shared" si="14"/>
        <v>350</v>
      </c>
      <c r="AA35" s="217">
        <f t="shared" si="15"/>
        <v>2.320078208165993</v>
      </c>
      <c r="AB35" s="173">
        <f t="shared" si="16"/>
        <v>1.6952739815712723</v>
      </c>
      <c r="AC35" s="173">
        <f t="shared" si="17"/>
        <v>0.68830443876500358</v>
      </c>
      <c r="AD35" s="173"/>
      <c r="AE35" s="173">
        <f t="shared" si="18"/>
        <v>0.73069691168358308</v>
      </c>
      <c r="AF35" s="545">
        <f t="shared" si="100"/>
        <v>821.13389341902769</v>
      </c>
      <c r="AG35" s="528">
        <f t="shared" si="19"/>
        <v>0.12787195954462705</v>
      </c>
      <c r="AI35" s="173">
        <f t="shared" si="20"/>
        <v>1.5316973716567117</v>
      </c>
      <c r="AJ35" s="173">
        <f t="shared" si="21"/>
        <v>1.5316973716567117</v>
      </c>
      <c r="AK35" s="173">
        <f t="shared" si="22"/>
        <v>1.5938499049308974</v>
      </c>
      <c r="AM35" s="545">
        <f t="shared" si="23"/>
        <v>300</v>
      </c>
      <c r="AN35" s="460">
        <f t="shared" si="24"/>
        <v>350</v>
      </c>
      <c r="AP35">
        <f t="shared" si="25"/>
        <v>300</v>
      </c>
      <c r="AQ35" s="460">
        <f t="shared" si="26"/>
        <v>350</v>
      </c>
      <c r="AR35" s="460"/>
      <c r="AS35" s="5">
        <f t="shared" si="101"/>
        <v>2.8571428571428572</v>
      </c>
      <c r="AT35" s="5">
        <f t="shared" si="27"/>
        <v>0.76705668656296</v>
      </c>
      <c r="AU35" s="5">
        <f t="shared" si="102"/>
        <v>2.0900861705798972</v>
      </c>
      <c r="AV35" s="5">
        <f t="shared" si="28"/>
        <v>1.1192065391034205</v>
      </c>
      <c r="AW35" s="173">
        <f t="shared" si="103"/>
        <v>0.26846984029703597</v>
      </c>
      <c r="AX35" s="173">
        <f t="shared" si="29"/>
        <v>4.9268033605141657</v>
      </c>
      <c r="AY35" s="173">
        <f t="shared" si="30"/>
        <v>0.5602414114523222</v>
      </c>
      <c r="AZ35" s="173">
        <f t="shared" si="104"/>
        <v>8.7940720907123584</v>
      </c>
      <c r="BA35" s="460">
        <f t="shared" si="31"/>
        <v>1.4382312873055498</v>
      </c>
      <c r="BB35" s="5">
        <f t="shared" si="32"/>
        <v>0.34889715647114961</v>
      </c>
      <c r="BC35" s="5"/>
      <c r="BD35" s="173">
        <f t="shared" si="105"/>
        <v>0.45820528278292544</v>
      </c>
      <c r="BE35" s="173">
        <f t="shared" si="33"/>
        <v>0.75635983385985817</v>
      </c>
      <c r="BF35" s="173"/>
      <c r="BG35" s="528">
        <f t="shared" si="34"/>
        <v>4.1990416234036132E-3</v>
      </c>
      <c r="BH35" s="528">
        <f t="shared" si="35"/>
        <v>0.39548403908839724</v>
      </c>
      <c r="BI35" s="528">
        <f t="shared" si="36"/>
        <v>0.19289573859922757</v>
      </c>
      <c r="BJ35" s="528">
        <f t="shared" si="37"/>
        <v>0.28165952373301756</v>
      </c>
      <c r="BK35">
        <f t="shared" si="38"/>
        <v>1.0782991598714584E-2</v>
      </c>
      <c r="BL35" s="460">
        <f t="shared" si="106"/>
        <v>203.67873019794214</v>
      </c>
      <c r="BM35" s="528">
        <f t="shared" si="39"/>
        <v>0.6831579270796464</v>
      </c>
      <c r="BN35" s="460">
        <f t="shared" si="107"/>
        <v>683.15792707964636</v>
      </c>
      <c r="BO35" s="528">
        <f t="shared" si="108"/>
        <v>0.18637499999999999</v>
      </c>
      <c r="BP35" s="528"/>
      <c r="BR35" s="460">
        <f t="shared" si="109"/>
        <v>186.37499999999997</v>
      </c>
      <c r="BS35" s="528">
        <f t="shared" si="40"/>
        <v>6.2985624351054193E-3</v>
      </c>
      <c r="BT35" s="528">
        <f t="shared" si="41"/>
        <v>1.7162405948295368E-2</v>
      </c>
      <c r="BU35" s="528">
        <f t="shared" si="42"/>
        <v>7.1999999999999995E-2</v>
      </c>
      <c r="BV35" s="528">
        <f t="shared" si="43"/>
        <v>0.10128169412531228</v>
      </c>
      <c r="BW35" s="528">
        <f t="shared" si="44"/>
        <v>4.1056694670951379E-3</v>
      </c>
      <c r="BX35" s="460">
        <f t="shared" si="110"/>
        <v>105.38736359240741</v>
      </c>
      <c r="BY35" s="173">
        <f t="shared" si="45"/>
        <v>1.1785990208699959</v>
      </c>
      <c r="BZ35" s="5">
        <f t="shared" si="111"/>
        <v>4.8</v>
      </c>
      <c r="CA35" s="173">
        <f t="shared" si="112"/>
        <v>0.80286367813667359</v>
      </c>
      <c r="CB35" s="5">
        <f t="shared" si="113"/>
        <v>80.286367813667354</v>
      </c>
      <c r="CE35" s="562">
        <f t="shared" si="46"/>
        <v>-50</v>
      </c>
      <c r="CF35">
        <f t="shared" si="47"/>
        <v>-50</v>
      </c>
      <c r="CG35" s="173">
        <f t="shared" si="48"/>
        <v>0.3968626966596886</v>
      </c>
      <c r="CI35" s="170">
        <v>30</v>
      </c>
      <c r="CJ35" s="217">
        <f t="shared" si="114"/>
        <v>0.3</v>
      </c>
      <c r="CK35" s="217"/>
      <c r="CL35" s="217">
        <f t="shared" si="49"/>
        <v>4.8</v>
      </c>
      <c r="CM35" s="541">
        <f t="shared" si="50"/>
        <v>24</v>
      </c>
      <c r="CN35" s="172">
        <f t="shared" si="51"/>
        <v>16.399999999999999</v>
      </c>
      <c r="CO35" s="443">
        <f t="shared" si="52"/>
        <v>40.4</v>
      </c>
      <c r="CP35" s="443"/>
      <c r="CQ35" s="217">
        <f t="shared" si="53"/>
        <v>0.40594059405940591</v>
      </c>
      <c r="CR35" s="172">
        <f t="shared" si="54"/>
        <v>24.648712871287128</v>
      </c>
      <c r="CS35" s="172">
        <f t="shared" si="115"/>
        <v>4.8</v>
      </c>
      <c r="CT35" s="217">
        <f t="shared" si="55"/>
        <v>1.5405445544554455</v>
      </c>
      <c r="CU35" s="217">
        <f t="shared" si="56"/>
        <v>16</v>
      </c>
      <c r="CV35" s="217">
        <f t="shared" si="57"/>
        <v>1.5222772277227721</v>
      </c>
      <c r="CW35" s="172">
        <f t="shared" si="58"/>
        <v>176.05440498921288</v>
      </c>
      <c r="CX35" s="172">
        <f t="shared" si="59"/>
        <v>16</v>
      </c>
      <c r="CY35" s="217">
        <f t="shared" si="60"/>
        <v>0.98536585365853657</v>
      </c>
      <c r="CZ35" s="217">
        <f t="shared" si="61"/>
        <v>0.49268292682926829</v>
      </c>
      <c r="DA35" s="217">
        <f t="shared" si="62"/>
        <v>0.72099940511600236</v>
      </c>
      <c r="DB35" s="197">
        <f t="shared" si="63"/>
        <v>350</v>
      </c>
      <c r="DC35" s="443">
        <f t="shared" si="116"/>
        <v>350</v>
      </c>
      <c r="DE35" s="217">
        <f t="shared" si="64"/>
        <v>2.3196605374823194</v>
      </c>
      <c r="DF35" s="173">
        <f t="shared" si="65"/>
        <v>1.6973125884016973</v>
      </c>
      <c r="DG35" s="173">
        <f t="shared" si="66"/>
        <v>0.68900808044029282</v>
      </c>
      <c r="DH35" s="173"/>
      <c r="DI35" s="173">
        <f t="shared" si="67"/>
        <v>0.73170731707317083</v>
      </c>
      <c r="DJ35" s="545">
        <f t="shared" si="117"/>
        <v>819.99999999999989</v>
      </c>
      <c r="DK35" s="528">
        <f t="shared" si="68"/>
        <v>0.12804878048780488</v>
      </c>
      <c r="DM35" s="173">
        <f t="shared" si="69"/>
        <v>1.5306394555404426</v>
      </c>
      <c r="DN35" s="173">
        <f t="shared" si="70"/>
        <v>1.5306394555404426</v>
      </c>
      <c r="DO35" s="173">
        <f t="shared" si="71"/>
        <v>1.5930662633632908</v>
      </c>
      <c r="DQ35" s="545">
        <f t="shared" si="72"/>
        <v>300</v>
      </c>
      <c r="DR35" s="460">
        <f t="shared" si="73"/>
        <v>350</v>
      </c>
      <c r="DT35">
        <f t="shared" si="74"/>
        <v>300</v>
      </c>
      <c r="DU35" s="460">
        <f t="shared" si="75"/>
        <v>350</v>
      </c>
      <c r="DV35" s="460"/>
      <c r="DW35" s="5">
        <f t="shared" si="118"/>
        <v>2.8571428571428572</v>
      </c>
      <c r="DX35" s="5">
        <f t="shared" si="76"/>
        <v>0.76531972777022128</v>
      </c>
      <c r="DY35" s="5">
        <f t="shared" si="119"/>
        <v>2.0918231293726359</v>
      </c>
      <c r="DZ35" s="5">
        <f t="shared" si="77"/>
        <v>1.1199800894198362</v>
      </c>
      <c r="EA35" s="173">
        <f t="shared" si="120"/>
        <v>0.26786190471957744</v>
      </c>
      <c r="EB35" s="173">
        <f t="shared" si="78"/>
        <v>4.92</v>
      </c>
      <c r="EC35" s="173">
        <f t="shared" si="79"/>
        <v>0.56031972777022132</v>
      </c>
      <c r="ED35" s="173">
        <f t="shared" si="121"/>
        <v>8.7807010107943544</v>
      </c>
      <c r="EE35" s="460">
        <f t="shared" si="80"/>
        <v>1.4349744895691647</v>
      </c>
      <c r="EF35" s="5">
        <f t="shared" si="81"/>
        <v>0.3486371882287726</v>
      </c>
      <c r="EG35" s="5"/>
      <c r="EH35" s="173">
        <f t="shared" si="122"/>
        <v>0.45737008238099019</v>
      </c>
      <c r="EI35" s="173">
        <f t="shared" si="82"/>
        <v>0.75615143238321458</v>
      </c>
      <c r="EJ35" s="173"/>
      <c r="EK35" s="528">
        <f t="shared" si="83"/>
        <v>4.1837478451438757E-3</v>
      </c>
      <c r="EL35" s="528">
        <f t="shared" si="84"/>
        <v>0.41122159612549536</v>
      </c>
      <c r="EM35" s="528">
        <f t="shared" si="85"/>
        <v>4.0250000000000001E-2</v>
      </c>
      <c r="EN35" s="528">
        <f t="shared" si="86"/>
        <v>0.28134357999999998</v>
      </c>
      <c r="EO35">
        <f t="shared" si="87"/>
        <v>1.0800000000000001E-2</v>
      </c>
      <c r="EP35" s="460">
        <f t="shared" si="123"/>
        <v>51.05</v>
      </c>
      <c r="EQ35" s="528">
        <f t="shared" si="88"/>
        <v>0.74967375544866721</v>
      </c>
      <c r="ER35" s="460">
        <f t="shared" si="124"/>
        <v>749.67375544866718</v>
      </c>
      <c r="ES35" s="528">
        <f t="shared" si="125"/>
        <v>0.18637499999999999</v>
      </c>
      <c r="ET35" s="528"/>
      <c r="EV35" s="460">
        <f t="shared" si="126"/>
        <v>186.37499999999997</v>
      </c>
      <c r="EW35" s="528">
        <f t="shared" si="89"/>
        <v>6.2756217677158131E-3</v>
      </c>
      <c r="EX35" s="528">
        <f t="shared" si="90"/>
        <v>1.7152949660855614E-2</v>
      </c>
      <c r="EY35" s="528">
        <f t="shared" si="91"/>
        <v>0.33214091309146782</v>
      </c>
      <c r="EZ35" s="528">
        <f t="shared" si="92"/>
        <v>0.36187059054116782</v>
      </c>
      <c r="FA35" s="528">
        <f t="shared" si="93"/>
        <v>4.0999999999999995E-3</v>
      </c>
      <c r="FB35" s="460">
        <f t="shared" si="127"/>
        <v>365.97059054116784</v>
      </c>
      <c r="FC35" s="173">
        <f t="shared" si="128"/>
        <v>1.302019345989835</v>
      </c>
      <c r="FD35" s="5">
        <f t="shared" si="129"/>
        <v>4.8</v>
      </c>
      <c r="FE35" s="173">
        <f t="shared" si="130"/>
        <v>0.78662484135755739</v>
      </c>
      <c r="FF35" s="5">
        <f t="shared" si="131"/>
        <v>78.662484135755733</v>
      </c>
      <c r="FI35" s="562">
        <f t="shared" si="94"/>
        <v>-50</v>
      </c>
      <c r="FJ35">
        <f t="shared" si="95"/>
        <v>-50</v>
      </c>
      <c r="FL35">
        <f t="shared" si="96"/>
        <v>0.39199303129694263</v>
      </c>
    </row>
    <row r="36" spans="5:168">
      <c r="E36" s="170">
        <v>31</v>
      </c>
      <c r="F36" s="217">
        <f t="shared" si="97"/>
        <v>0.31</v>
      </c>
      <c r="G36" s="217"/>
      <c r="H36" s="217">
        <f t="shared" si="0"/>
        <v>4.96</v>
      </c>
      <c r="I36" s="541">
        <f t="shared" si="1"/>
        <v>23.961578775706773</v>
      </c>
      <c r="J36" s="172">
        <f t="shared" si="2"/>
        <v>16.423052734575936</v>
      </c>
      <c r="K36" s="172">
        <f t="shared" si="3"/>
        <v>40.423052734575933</v>
      </c>
      <c r="L36" s="443"/>
      <c r="M36" s="217">
        <f t="shared" si="4"/>
        <v>0.40667011282292898</v>
      </c>
      <c r="N36" s="172">
        <f t="shared" si="5"/>
        <v>24.653478598654399</v>
      </c>
      <c r="O36" s="172">
        <f t="shared" si="98"/>
        <v>4.96</v>
      </c>
      <c r="P36" s="217">
        <f t="shared" si="6"/>
        <v>1.5408424124158999</v>
      </c>
      <c r="Q36" s="217">
        <f t="shared" si="7"/>
        <v>16</v>
      </c>
      <c r="R36" s="217">
        <f t="shared" si="8"/>
        <v>1.5225715537706519</v>
      </c>
      <c r="S36" s="172">
        <f t="shared" si="9"/>
        <v>169.33342847021399</v>
      </c>
      <c r="T36" s="172">
        <f t="shared" si="10"/>
        <v>16</v>
      </c>
      <c r="U36" s="217">
        <f t="shared" si="99"/>
        <v>1.0449498894279863</v>
      </c>
      <c r="V36" s="217">
        <f t="shared" si="11"/>
        <v>0.52331270783579542</v>
      </c>
      <c r="W36" s="217">
        <f t="shared" si="12"/>
        <v>0.76352422876511084</v>
      </c>
      <c r="X36" s="197">
        <f t="shared" si="13"/>
        <v>350</v>
      </c>
      <c r="Y36" s="443">
        <f t="shared" si="14"/>
        <v>350</v>
      </c>
      <c r="AA36" s="217">
        <f t="shared" si="15"/>
        <v>2.3200850299942246</v>
      </c>
      <c r="AB36" s="173">
        <f t="shared" si="16"/>
        <v>1.6952402704837071</v>
      </c>
      <c r="AC36" s="173">
        <f t="shared" si="17"/>
        <v>0.68829277541370659</v>
      </c>
      <c r="AD36" s="173"/>
      <c r="AE36" s="173">
        <f t="shared" si="18"/>
        <v>0.73068023308090868</v>
      </c>
      <c r="AF36" s="545">
        <f t="shared" si="100"/>
        <v>848.52439128642334</v>
      </c>
      <c r="AG36" s="528">
        <f t="shared" si="19"/>
        <v>0.12786904078915901</v>
      </c>
      <c r="AI36" s="173">
        <f t="shared" si="20"/>
        <v>1.5570341690777036</v>
      </c>
      <c r="AJ36" s="173">
        <f t="shared" si="21"/>
        <v>1.5570341690777036</v>
      </c>
      <c r="AK36" s="173">
        <f t="shared" si="22"/>
        <v>1.6126179030205212</v>
      </c>
      <c r="AM36" s="545">
        <f t="shared" si="23"/>
        <v>310</v>
      </c>
      <c r="AN36" s="460">
        <f t="shared" si="24"/>
        <v>350</v>
      </c>
      <c r="AP36">
        <f t="shared" si="25"/>
        <v>310</v>
      </c>
      <c r="AQ36" s="460">
        <f t="shared" si="26"/>
        <v>350</v>
      </c>
      <c r="AR36" s="460"/>
      <c r="AS36" s="5">
        <f t="shared" si="101"/>
        <v>2.8571428571428572</v>
      </c>
      <c r="AT36" s="5">
        <f t="shared" si="27"/>
        <v>0.77976539875892747</v>
      </c>
      <c r="AU36" s="5">
        <f t="shared" si="102"/>
        <v>2.0773774583839297</v>
      </c>
      <c r="AV36" s="5">
        <f t="shared" si="28"/>
        <v>1.1376940895766354</v>
      </c>
      <c r="AW36" s="173">
        <f t="shared" si="103"/>
        <v>0.27291788956562463</v>
      </c>
      <c r="AX36" s="173">
        <f t="shared" si="29"/>
        <v>5.0911463477185395</v>
      </c>
      <c r="AY36" s="173">
        <f t="shared" si="30"/>
        <v>0.5660458448357254</v>
      </c>
      <c r="AZ36" s="173">
        <f t="shared" si="104"/>
        <v>8.9942296974126936</v>
      </c>
      <c r="BA36" s="460">
        <f t="shared" si="31"/>
        <v>1.5107954600954219</v>
      </c>
      <c r="BB36" s="5">
        <f t="shared" si="32"/>
        <v>0.35834422994527027</v>
      </c>
      <c r="BC36" s="5"/>
      <c r="BD36" s="173">
        <f t="shared" si="105"/>
        <v>0.46962749789172764</v>
      </c>
      <c r="BE36" s="173">
        <f t="shared" si="33"/>
        <v>0.7665301566903856</v>
      </c>
      <c r="BF36" s="173"/>
      <c r="BG36" s="528">
        <f t="shared" si="34"/>
        <v>4.410999735520893E-3</v>
      </c>
      <c r="BH36" s="528">
        <f t="shared" si="35"/>
        <v>0.40202972475837667</v>
      </c>
      <c r="BI36" s="528">
        <f t="shared" si="36"/>
        <v>0.19289070914443951</v>
      </c>
      <c r="BJ36" s="528">
        <f t="shared" si="37"/>
        <v>0.28166474778690015</v>
      </c>
      <c r="BK36">
        <f t="shared" si="38"/>
        <v>1.0782710449068048E-2</v>
      </c>
      <c r="BL36" s="460">
        <f t="shared" si="106"/>
        <v>203.67341959350753</v>
      </c>
      <c r="BM36" s="528">
        <f t="shared" si="39"/>
        <v>0.69001961971253767</v>
      </c>
      <c r="BN36" s="460">
        <f t="shared" si="107"/>
        <v>690.01961971253763</v>
      </c>
      <c r="BO36" s="528">
        <f t="shared" si="108"/>
        <v>0.19258749999999999</v>
      </c>
      <c r="BP36" s="528"/>
      <c r="BR36" s="460">
        <f t="shared" si="109"/>
        <v>192.58750000000001</v>
      </c>
      <c r="BS36" s="528">
        <f t="shared" si="40"/>
        <v>6.6164996032813395E-3</v>
      </c>
      <c r="BT36" s="528">
        <f t="shared" si="41"/>
        <v>1.7627054433473611E-2</v>
      </c>
      <c r="BU36" s="528">
        <f t="shared" si="42"/>
        <v>7.4399999999999994E-2</v>
      </c>
      <c r="BV36" s="528">
        <f t="shared" si="43"/>
        <v>0.10466500313832343</v>
      </c>
      <c r="BW36" s="528">
        <f t="shared" si="44"/>
        <v>4.2426219564321169E-3</v>
      </c>
      <c r="BX36" s="460">
        <f t="shared" si="110"/>
        <v>108.90762509475555</v>
      </c>
      <c r="BY36" s="173">
        <f t="shared" si="45"/>
        <v>1.1951881644008009</v>
      </c>
      <c r="BZ36" s="5">
        <f t="shared" si="111"/>
        <v>4.96</v>
      </c>
      <c r="CA36" s="173">
        <f t="shared" si="112"/>
        <v>0.80582426849055533</v>
      </c>
      <c r="CB36" s="5">
        <f t="shared" si="113"/>
        <v>80.582426849055537</v>
      </c>
      <c r="CE36" s="562">
        <f t="shared" si="46"/>
        <v>-50</v>
      </c>
      <c r="CF36">
        <f t="shared" si="47"/>
        <v>-50</v>
      </c>
      <c r="CG36" s="173">
        <f t="shared" si="48"/>
        <v>0.4034228550788862</v>
      </c>
      <c r="CI36" s="170">
        <v>31</v>
      </c>
      <c r="CJ36" s="217">
        <f t="shared" si="114"/>
        <v>0.31</v>
      </c>
      <c r="CK36" s="217"/>
      <c r="CL36" s="217">
        <f t="shared" si="49"/>
        <v>4.96</v>
      </c>
      <c r="CM36" s="541">
        <f t="shared" si="50"/>
        <v>24</v>
      </c>
      <c r="CN36" s="172">
        <f t="shared" si="51"/>
        <v>16.399999999999999</v>
      </c>
      <c r="CO36" s="443">
        <f t="shared" si="52"/>
        <v>40.4</v>
      </c>
      <c r="CP36" s="443"/>
      <c r="CQ36" s="217">
        <f t="shared" si="53"/>
        <v>0.40594059405940591</v>
      </c>
      <c r="CR36" s="172">
        <f t="shared" si="54"/>
        <v>24.648712871287128</v>
      </c>
      <c r="CS36" s="172">
        <f t="shared" si="115"/>
        <v>4.96</v>
      </c>
      <c r="CT36" s="217">
        <f t="shared" si="55"/>
        <v>1.5405445544554455</v>
      </c>
      <c r="CU36" s="217">
        <f t="shared" si="56"/>
        <v>16</v>
      </c>
      <c r="CV36" s="217">
        <f t="shared" si="57"/>
        <v>1.5222772277227721</v>
      </c>
      <c r="CW36" s="172">
        <f t="shared" si="58"/>
        <v>169.60485607196591</v>
      </c>
      <c r="CX36" s="172">
        <f t="shared" si="59"/>
        <v>16</v>
      </c>
      <c r="CY36" s="217">
        <f t="shared" si="60"/>
        <v>1.0182113821138212</v>
      </c>
      <c r="CZ36" s="217">
        <f t="shared" si="61"/>
        <v>0.50910569105691073</v>
      </c>
      <c r="DA36" s="217">
        <f t="shared" si="62"/>
        <v>0.74503271861986931</v>
      </c>
      <c r="DB36" s="197">
        <f t="shared" si="63"/>
        <v>350</v>
      </c>
      <c r="DC36" s="443">
        <f t="shared" si="116"/>
        <v>350</v>
      </c>
      <c r="DE36" s="217">
        <f t="shared" si="64"/>
        <v>2.3196605374823194</v>
      </c>
      <c r="DF36" s="173">
        <f t="shared" si="65"/>
        <v>1.6973125884016973</v>
      </c>
      <c r="DG36" s="173">
        <f t="shared" si="66"/>
        <v>0.68900808044029282</v>
      </c>
      <c r="DH36" s="173"/>
      <c r="DI36" s="173">
        <f t="shared" si="67"/>
        <v>0.73170731707317083</v>
      </c>
      <c r="DJ36" s="545">
        <f t="shared" si="117"/>
        <v>847.33333333333326</v>
      </c>
      <c r="DK36" s="528">
        <f t="shared" si="68"/>
        <v>0.12804878048780488</v>
      </c>
      <c r="DM36" s="173">
        <f t="shared" si="69"/>
        <v>1.5559409953312435</v>
      </c>
      <c r="DN36" s="173">
        <f t="shared" si="70"/>
        <v>1.5559409953312435</v>
      </c>
      <c r="DO36" s="173">
        <f t="shared" si="71"/>
        <v>1.61180814468981</v>
      </c>
      <c r="DQ36" s="545">
        <f t="shared" si="72"/>
        <v>310</v>
      </c>
      <c r="DR36" s="460">
        <f t="shared" si="73"/>
        <v>350</v>
      </c>
      <c r="DT36">
        <f t="shared" si="74"/>
        <v>310</v>
      </c>
      <c r="DU36" s="460">
        <f t="shared" si="75"/>
        <v>350</v>
      </c>
      <c r="DV36" s="460"/>
      <c r="DW36" s="5">
        <f t="shared" si="118"/>
        <v>2.8571428571428572</v>
      </c>
      <c r="DX36" s="5">
        <f t="shared" si="76"/>
        <v>0.77797049766562176</v>
      </c>
      <c r="DY36" s="5">
        <f t="shared" si="119"/>
        <v>2.0791723594772353</v>
      </c>
      <c r="DZ36" s="5">
        <f t="shared" si="77"/>
        <v>1.1384934112179832</v>
      </c>
      <c r="EA36" s="173">
        <f t="shared" si="120"/>
        <v>0.27228967418296762</v>
      </c>
      <c r="EB36" s="173">
        <f t="shared" si="78"/>
        <v>5.0839999999999996</v>
      </c>
      <c r="EC36" s="173">
        <f t="shared" si="79"/>
        <v>0.56613716433228845</v>
      </c>
      <c r="ED36" s="173">
        <f t="shared" si="121"/>
        <v>8.9801559062036738</v>
      </c>
      <c r="EE36" s="460">
        <f t="shared" si="80"/>
        <v>1.5073178392271422</v>
      </c>
      <c r="EF36" s="5">
        <f t="shared" si="81"/>
        <v>0.35807968413219049</v>
      </c>
      <c r="EG36" s="5"/>
      <c r="EH36" s="173">
        <f t="shared" si="122"/>
        <v>0.46875734128366936</v>
      </c>
      <c r="EI36" s="173">
        <f t="shared" si="82"/>
        <v>0.76632283143384972</v>
      </c>
      <c r="EJ36" s="173"/>
      <c r="EK36" s="528">
        <f t="shared" si="83"/>
        <v>4.3946689001466898E-3</v>
      </c>
      <c r="EL36" s="528">
        <f t="shared" si="84"/>
        <v>0.4180191078056919</v>
      </c>
      <c r="EM36" s="528">
        <f t="shared" si="85"/>
        <v>4.0250000000000001E-2</v>
      </c>
      <c r="EN36" s="528">
        <f t="shared" si="86"/>
        <v>0.28134357999999998</v>
      </c>
      <c r="EO36">
        <f t="shared" si="87"/>
        <v>1.0800000000000001E-2</v>
      </c>
      <c r="EP36" s="460">
        <f t="shared" si="123"/>
        <v>51.05</v>
      </c>
      <c r="EQ36" s="528">
        <f t="shared" si="88"/>
        <v>0.75678413111566711</v>
      </c>
      <c r="ER36" s="460">
        <f t="shared" si="124"/>
        <v>756.78413111566715</v>
      </c>
      <c r="ES36" s="528">
        <f t="shared" si="125"/>
        <v>0.19258749999999999</v>
      </c>
      <c r="ET36" s="528"/>
      <c r="EV36" s="460">
        <f t="shared" si="126"/>
        <v>192.58750000000001</v>
      </c>
      <c r="EW36" s="528">
        <f t="shared" si="89"/>
        <v>6.5920033502200335E-3</v>
      </c>
      <c r="EX36" s="528">
        <f t="shared" si="90"/>
        <v>1.7617520459303773E-2</v>
      </c>
      <c r="EY36" s="528">
        <f t="shared" si="91"/>
        <v>0.34603730751048034</v>
      </c>
      <c r="EZ36" s="528">
        <f t="shared" si="92"/>
        <v>0.37678686347768814</v>
      </c>
      <c r="FA36" s="528">
        <f t="shared" si="93"/>
        <v>4.2366666666666672E-3</v>
      </c>
      <c r="FB36" s="460">
        <f t="shared" si="127"/>
        <v>381.02353014435482</v>
      </c>
      <c r="FC36" s="173">
        <f t="shared" si="128"/>
        <v>1.330395161260022</v>
      </c>
      <c r="FD36" s="5">
        <f t="shared" si="129"/>
        <v>4.96</v>
      </c>
      <c r="FE36" s="173">
        <f t="shared" si="130"/>
        <v>0.78850372239674493</v>
      </c>
      <c r="FF36" s="5">
        <f t="shared" si="131"/>
        <v>78.850372239674499</v>
      </c>
      <c r="FI36" s="562">
        <f t="shared" si="94"/>
        <v>-50</v>
      </c>
      <c r="FJ36">
        <f t="shared" si="95"/>
        <v>-50</v>
      </c>
      <c r="FL36">
        <f t="shared" si="96"/>
        <v>0.39847269392629409</v>
      </c>
    </row>
    <row r="37" spans="5:168">
      <c r="E37" s="170">
        <v>32</v>
      </c>
      <c r="F37" s="217">
        <f t="shared" si="97"/>
        <v>0.32</v>
      </c>
      <c r="G37" s="217"/>
      <c r="H37" s="217">
        <f t="shared" ref="H37:H68" si="132">F37*Vout</f>
        <v>5.12</v>
      </c>
      <c r="I37" s="541">
        <f t="shared" ref="I37:I68" si="133">Vin-F37*(Rdcr_pri+RON/1000)/CG37/Nps</f>
        <v>23.960963997082057</v>
      </c>
      <c r="J37" s="172">
        <f t="shared" ref="J37:J68" si="134">(T37+Vfwd1+F37/CG37*Rdcr_sec)*Nps</f>
        <v>16.423421601750764</v>
      </c>
      <c r="K37" s="172">
        <f t="shared" ref="K37:K68" si="135">(Vout+Vfwd1+F37/CG37*Rdcr_sec)*Nps+VIN_nom</f>
        <v>40.423421601750761</v>
      </c>
      <c r="L37" s="443"/>
      <c r="M37" s="217">
        <f t="shared" ref="M37:M68" si="136">(Vout+Vfwd1+F37/FL37*Rdcr_sec)*Nps/((Vout+Vfwd1+F37/FL37*Rdcr_sec)*Nps+I37)</f>
        <v>0.40668179029352081</v>
      </c>
      <c r="N37" s="172">
        <f t="shared" ref="N37:N68" si="137">M37*I37*(Isw_max+VIN_nom/Lmag*ILIM_delay)*0.5*Efficiency</f>
        <v>24.653553970794576</v>
      </c>
      <c r="O37" s="172">
        <f t="shared" si="98"/>
        <v>5.12</v>
      </c>
      <c r="P37" s="217">
        <f t="shared" ref="P37:P68" si="138">N37/Vout</f>
        <v>1.540847123174661</v>
      </c>
      <c r="Q37" s="217">
        <f t="shared" ref="Q37:Q68" si="139">MIN(Vout,N37/F37)</f>
        <v>16</v>
      </c>
      <c r="R37" s="217">
        <f t="shared" ref="R37:R68" si="140">Isw_max/2*I37*Nps*(Q37+Vfwd1+F37/FL37*Rdcr_sec)/Q37/(I37+Nps*(Q37+Vfwd1+F37/FL37*Rdcr_sec))</f>
        <v>1.5225762086706136</v>
      </c>
      <c r="S37" s="172">
        <f t="shared" ref="S37:S68" si="141">(SQRT(Isw_max^2*Nps^2*I37^2+4*Isw_max*F37/Efficiency*(Nps^2*Vfwd1*I37-Nps*I37^2)+4*(F37/Efficiency)^2*Nps^2*Vfwd1^2+8*(F37/Efficiency)^2*Nps*Vfwd1*I37+4*(F37/Efficiency)^2*I37^2)-2*F37/Efficiency*I37-2*F37/Efficiency*Nps*Vfwd1+Isw_max*Nps*I37)/(4*F37/Efficiency*Nps)</f>
        <v>163.29261834681589</v>
      </c>
      <c r="T37" s="172">
        <f t="shared" ref="T37:T68" si="142">MIN(Vout, S37)</f>
        <v>16</v>
      </c>
      <c r="U37" s="217">
        <f t="shared" ref="U37:U68" si="143">MIN(2*(Vout+Vfwd1+F37/FL37*Rdcr_sec)*F37/(I37*M37), Isw_max)</f>
        <v>1.0786791801259812</v>
      </c>
      <c r="V37" s="217">
        <f t="shared" si="11"/>
        <v>0.5402182551206246</v>
      </c>
      <c r="W37" s="217">
        <f t="shared" ref="W37:W68" si="144">L*U37/J37*1000000</f>
        <v>0.78815185260371734</v>
      </c>
      <c r="X37" s="197">
        <f t="shared" ref="X37:X68" si="145">IF(1/((350000*L)*(1/I37+1/J37))&gt;Isw_min, 350, 0.001/((Isw_min*L)*(1/I37+1/J37)))</f>
        <v>350</v>
      </c>
      <c r="Y37" s="443">
        <f t="shared" si="14"/>
        <v>350</v>
      </c>
      <c r="AA37" s="217">
        <f t="shared" ref="AA37:AA68" si="146">1/((X37*1000*L)*(1/I37+1/J37))</f>
        <v>2.3200917400387731</v>
      </c>
      <c r="AB37" s="173">
        <f t="shared" ref="AB37:AB68" si="147">L*AA37/J37*1000000</f>
        <v>1.6952070984707213</v>
      </c>
      <c r="AC37" s="173">
        <f t="shared" ref="AC37:AC68" si="148">0.5*AB37*AA37*Nps*X37/1000</f>
        <v>0.68828129769297763</v>
      </c>
      <c r="AD37" s="173"/>
      <c r="AE37" s="173">
        <f t="shared" ref="AE37:AE68" si="149">L*Isw_min/J37*1000000</f>
        <v>0.73066382213075387</v>
      </c>
      <c r="AF37" s="545">
        <f t="shared" ref="AF37:AF68" si="150">MAX(12, F37/(0.5*AE37/1000000*Isw_min*Nps)/1000)</f>
        <v>875.91581876004068</v>
      </c>
      <c r="AG37" s="528">
        <f t="shared" ref="AG37:AG68" si="151">0.5*AE37/1000000*Isw_min*Nps*X37*1000</f>
        <v>0.12786616887288194</v>
      </c>
      <c r="AI37" s="173">
        <f t="shared" ref="AI37:AI68" si="152">SQRT(F37/Efficiency/(0.5*L/J37*Fsw_DCM*Nps))</f>
        <v>1.5819660631722439</v>
      </c>
      <c r="AJ37" s="173">
        <f t="shared" ref="AJ37:AJ71" si="153">MAX(IF(F37&gt;AC37,U37,AI37),Isw_min)</f>
        <v>1.5819660631722439</v>
      </c>
      <c r="AK37" s="173">
        <f t="shared" ref="AK37:AK68" si="154">IF(F37&gt;AG37, (AJ37-Isw_min)/1.08*0.8+1.2, AF37*0.2/350+1)</f>
        <v>1.6310859727201805</v>
      </c>
      <c r="AM37" s="545">
        <f t="shared" ref="AM37:AM68" si="155">F37*1000</f>
        <v>320</v>
      </c>
      <c r="AN37" s="460">
        <f t="shared" ref="AN37:AN68" si="156">IF(F37&gt;AG37, Y37, AF37)</f>
        <v>350</v>
      </c>
      <c r="AP37">
        <f t="shared" ref="AP37:AP68" si="157">IF(H37&gt;N37, "",AM37)</f>
        <v>320</v>
      </c>
      <c r="AQ37" s="460">
        <f t="shared" ref="AQ37:AQ68" si="158">IF(H37&gt;N37, "",AN37)</f>
        <v>350</v>
      </c>
      <c r="AR37" s="460"/>
      <c r="AS37" s="5">
        <f t="shared" si="101"/>
        <v>2.8571428571428572</v>
      </c>
      <c r="AT37" s="5">
        <f t="shared" ref="AT37:AT68" si="159">L*AJ37/I37*1000000</f>
        <v>0.79227166153994166</v>
      </c>
      <c r="AU37" s="5">
        <f t="shared" si="102"/>
        <v>2.0648711956029153</v>
      </c>
      <c r="AV37" s="5">
        <f t="shared" ref="AV37:AV68" si="160">L*AJ37/J37*1000000</f>
        <v>1.1558853701985732</v>
      </c>
      <c r="AW37" s="173">
        <f t="shared" si="103"/>
        <v>0.27729508153897958</v>
      </c>
      <c r="AX37" s="173">
        <f t="shared" ref="AX37:AX68" si="161">0.5*L*AJ37^2*AN37*1000</f>
        <v>5.2554949125602439</v>
      </c>
      <c r="AY37" s="173">
        <f t="shared" ref="AY37:AY68" si="162">AJ37*Nps/2*(1-AW37)</f>
        <v>0.57164732734649892</v>
      </c>
      <c r="AZ37" s="173">
        <f t="shared" si="104"/>
        <v>9.1935965780780649</v>
      </c>
      <c r="BA37" s="460">
        <f t="shared" ref="BA37:BA68" si="163">F37*AT37/Vout_ripple*1000</f>
        <v>1.5845433230798835</v>
      </c>
      <c r="BB37" s="5">
        <f t="shared" ref="BB37:BB68" si="164">H37/Efficiency/I37*AU37/Vinripple1</f>
        <v>0.36768625428893392</v>
      </c>
      <c r="BC37" s="5"/>
      <c r="BD37" s="173">
        <f t="shared" si="105"/>
        <v>0.4809585155700839</v>
      </c>
      <c r="BE37" s="173">
        <f t="shared" ref="BE37:BE68" si="165">AJ37*Nps*SQRT((1-AW37)/3)</f>
        <v>0.77645634003261943</v>
      </c>
      <c r="BF37" s="173"/>
      <c r="BG37" s="528">
        <f t="shared" ref="BG37:BG68" si="166">Rdson*BD37^2</f>
        <v>4.6264218739875728E-3</v>
      </c>
      <c r="BH37" s="528">
        <f t="shared" ref="BH37:BH68" si="167">0.5*K37*AJ37*AN37*1000*Tfall</f>
        <v>0.40847092322600942</v>
      </c>
      <c r="BI37" s="528">
        <f t="shared" ref="BI37:BI68" si="168">Qg*Vdd*AN37*1000*0+Qg*I37*AN37*1000</f>
        <v>0.19288576017651055</v>
      </c>
      <c r="BJ37" s="528">
        <f t="shared" ref="BJ37:BJ68" si="169">0.5*(Coss+Csw)*K37^2*AN37*1000</f>
        <v>0.28166988828702438</v>
      </c>
      <c r="BK37">
        <f t="shared" ref="BK37:BK68" si="170">I37*IQ</f>
        <v>1.0782433798686925E-2</v>
      </c>
      <c r="BL37" s="460">
        <f t="shared" si="106"/>
        <v>203.66819397519748</v>
      </c>
      <c r="BM37" s="528">
        <f t="shared" ref="BM37:BM68" si="171">(BH37+BI37*0+BJ37+BK37*0+BG37*(1+RdsonTC*(Ta-25)))/(1-BG37*RdsonTC*ThetaJA)</f>
        <v>0.69678229675792691</v>
      </c>
      <c r="BN37" s="460">
        <f t="shared" si="107"/>
        <v>696.78229675792693</v>
      </c>
      <c r="BO37" s="528">
        <f t="shared" ref="BO37:BO68" si="172">Vfwd2*F37*(1+Diode_TC/1000*(Ta-25))</f>
        <v>0.19879999999999998</v>
      </c>
      <c r="BP37" s="528"/>
      <c r="BR37" s="460">
        <f t="shared" si="109"/>
        <v>198.79999999999998</v>
      </c>
      <c r="BS37" s="528">
        <f t="shared" ref="BS37:BS68" si="173">Rdcr_pri*BD37^2</f>
        <v>6.9396328109813587E-3</v>
      </c>
      <c r="BT37" s="528">
        <f t="shared" ref="BT37:BT68" si="174">Rdcr_sec*BE37^2</f>
        <v>1.8086533439305521E-2</v>
      </c>
      <c r="BU37" s="528">
        <f t="shared" ref="BU37:BU68" si="175">AJ37^2.5*AN37^2.5*k_core*0+BZ37*0.015</f>
        <v>7.6799999999999993E-2</v>
      </c>
      <c r="BV37" s="528">
        <f t="shared" ref="BV37:BV68" si="176">(BU37+(BS37+BT37)*(1+Ltc*(Ta-25)))/(1-(BS37+BT37)*Ltc*ThetaCa)</f>
        <v>0.10804876986858535</v>
      </c>
      <c r="BW37" s="528">
        <f t="shared" ref="BW37:BW68" si="177">0.5*Lleak*0.000000001*AJ37^2*AN37*1000</f>
        <v>4.3795790938002026E-3</v>
      </c>
      <c r="BX37" s="460">
        <f t="shared" si="110"/>
        <v>112.42834896238554</v>
      </c>
      <c r="BY37" s="173">
        <f t="shared" si="45"/>
        <v>1.2116788396955098</v>
      </c>
      <c r="BZ37" s="5">
        <f t="shared" si="111"/>
        <v>5.12</v>
      </c>
      <c r="CA37" s="173">
        <f t="shared" si="112"/>
        <v>0.80863229636679124</v>
      </c>
      <c r="CB37" s="5">
        <f t="shared" si="113"/>
        <v>80.863229636679122</v>
      </c>
      <c r="CE37" s="562">
        <f t="shared" ref="CE37:CE68" si="178">IF(ABS(F37-Ioutmax_Vinnom)&lt;Iout/200, AN37, -50)</f>
        <v>-50</v>
      </c>
      <c r="CF37">
        <f t="shared" ref="CF37:CF68" si="179">IF(ABS(F37-Ioutmax_Vinnom)&lt;Iout/200, N37*CA37, -50)</f>
        <v>-50</v>
      </c>
      <c r="CG37" s="173">
        <f t="shared" ref="CG37:CG68" si="180">MIN(SQRT(2*DU37*1000*Ls1_*CL37)/CU37,1-EA37-0.00000005*DU37*1000)</f>
        <v>0.40987803063838396</v>
      </c>
      <c r="CI37" s="170">
        <v>32</v>
      </c>
      <c r="CJ37" s="217">
        <f t="shared" si="114"/>
        <v>0.32</v>
      </c>
      <c r="CK37" s="217"/>
      <c r="CL37" s="217">
        <f t="shared" si="49"/>
        <v>5.12</v>
      </c>
      <c r="CM37" s="541">
        <f t="shared" si="50"/>
        <v>24</v>
      </c>
      <c r="CN37" s="172">
        <f t="shared" si="51"/>
        <v>16.399999999999999</v>
      </c>
      <c r="CO37" s="443">
        <f t="shared" si="52"/>
        <v>40.4</v>
      </c>
      <c r="CP37" s="443"/>
      <c r="CQ37" s="217">
        <f t="shared" si="53"/>
        <v>0.40594059405940591</v>
      </c>
      <c r="CR37" s="172">
        <f t="shared" si="54"/>
        <v>24.648712871287128</v>
      </c>
      <c r="CS37" s="172">
        <f t="shared" si="115"/>
        <v>5.12</v>
      </c>
      <c r="CT37" s="217">
        <f t="shared" si="55"/>
        <v>1.5405445544554455</v>
      </c>
      <c r="CU37" s="217">
        <f t="shared" si="56"/>
        <v>16</v>
      </c>
      <c r="CV37" s="217">
        <f t="shared" si="57"/>
        <v>1.5222772277227721</v>
      </c>
      <c r="CW37" s="172">
        <f t="shared" si="58"/>
        <v>163.55855138337708</v>
      </c>
      <c r="CX37" s="172">
        <f t="shared" si="59"/>
        <v>16</v>
      </c>
      <c r="CY37" s="217">
        <f t="shared" si="60"/>
        <v>1.0510569105691057</v>
      </c>
      <c r="CZ37" s="217">
        <f t="shared" si="61"/>
        <v>0.52552845528455283</v>
      </c>
      <c r="DA37" s="217">
        <f t="shared" si="62"/>
        <v>0.76906603212373592</v>
      </c>
      <c r="DB37" s="197">
        <f t="shared" si="63"/>
        <v>350</v>
      </c>
      <c r="DC37" s="443">
        <f t="shared" si="116"/>
        <v>350</v>
      </c>
      <c r="DE37" s="217">
        <f t="shared" si="64"/>
        <v>2.3196605374823194</v>
      </c>
      <c r="DF37" s="173">
        <f t="shared" si="65"/>
        <v>1.6973125884016973</v>
      </c>
      <c r="DG37" s="173">
        <f t="shared" si="66"/>
        <v>0.68900808044029282</v>
      </c>
      <c r="DH37" s="173"/>
      <c r="DI37" s="173">
        <f t="shared" si="67"/>
        <v>0.73170731707317083</v>
      </c>
      <c r="DJ37" s="545">
        <f t="shared" si="117"/>
        <v>874.66666666666663</v>
      </c>
      <c r="DK37" s="528">
        <f t="shared" si="68"/>
        <v>0.12804878048780488</v>
      </c>
      <c r="DM37" s="173">
        <f t="shared" si="69"/>
        <v>1.580837632094966</v>
      </c>
      <c r="DN37" s="173">
        <f t="shared" si="70"/>
        <v>1.580837632094966</v>
      </c>
      <c r="DO37" s="173">
        <f t="shared" si="71"/>
        <v>1.6302500978481229</v>
      </c>
      <c r="DQ37" s="545">
        <f t="shared" si="72"/>
        <v>320</v>
      </c>
      <c r="DR37" s="460">
        <f t="shared" si="73"/>
        <v>350</v>
      </c>
      <c r="DT37">
        <f t="shared" si="74"/>
        <v>320</v>
      </c>
      <c r="DU37" s="460">
        <f t="shared" si="75"/>
        <v>350</v>
      </c>
      <c r="DV37" s="460"/>
      <c r="DW37" s="5">
        <f t="shared" si="118"/>
        <v>2.8571428571428572</v>
      </c>
      <c r="DX37" s="5">
        <f t="shared" si="76"/>
        <v>0.79041881604748299</v>
      </c>
      <c r="DY37" s="5">
        <f t="shared" si="119"/>
        <v>2.066724041095374</v>
      </c>
      <c r="DZ37" s="5">
        <f t="shared" si="77"/>
        <v>1.1567104625085116</v>
      </c>
      <c r="EA37" s="173">
        <f t="shared" si="120"/>
        <v>0.27664658561661903</v>
      </c>
      <c r="EB37" s="173">
        <f t="shared" si="78"/>
        <v>5.2480000000000002</v>
      </c>
      <c r="EC37" s="173">
        <f t="shared" si="79"/>
        <v>0.57175214938081631</v>
      </c>
      <c r="ED37" s="173">
        <f t="shared" si="121"/>
        <v>9.1788023983527918</v>
      </c>
      <c r="EE37" s="460">
        <f t="shared" si="80"/>
        <v>1.580837632094966</v>
      </c>
      <c r="EF37" s="5">
        <f t="shared" si="81"/>
        <v>0.36741760730584422</v>
      </c>
      <c r="EG37" s="5"/>
      <c r="EH37" s="173">
        <f t="shared" si="122"/>
        <v>0.4800531189715242</v>
      </c>
      <c r="EI37" s="173">
        <f t="shared" si="82"/>
        <v>0.77625052398152017</v>
      </c>
      <c r="EJ37" s="173"/>
      <c r="EK37" s="528">
        <f t="shared" si="83"/>
        <v>4.6090199406857678E-3</v>
      </c>
      <c r="EL37" s="528">
        <f t="shared" si="84"/>
        <v>0.42470783823863356</v>
      </c>
      <c r="EM37" s="528">
        <f t="shared" si="85"/>
        <v>4.0250000000000001E-2</v>
      </c>
      <c r="EN37" s="528">
        <f t="shared" si="86"/>
        <v>0.28134357999999998</v>
      </c>
      <c r="EO37">
        <f t="shared" si="87"/>
        <v>1.0800000000000001E-2</v>
      </c>
      <c r="EP37" s="460">
        <f t="shared" si="123"/>
        <v>51.05</v>
      </c>
      <c r="EQ37" s="528">
        <f t="shared" si="88"/>
        <v>0.76379130381682048</v>
      </c>
      <c r="ER37" s="460">
        <f t="shared" si="124"/>
        <v>763.79130381682046</v>
      </c>
      <c r="ES37" s="528">
        <f t="shared" si="125"/>
        <v>0.19879999999999998</v>
      </c>
      <c r="ET37" s="528"/>
      <c r="EV37" s="460">
        <f t="shared" si="126"/>
        <v>198.79999999999998</v>
      </c>
      <c r="EW37" s="528">
        <f t="shared" si="89"/>
        <v>6.9135299110286508E-3</v>
      </c>
      <c r="EX37" s="528">
        <f t="shared" si="90"/>
        <v>1.8076946279447538E-2</v>
      </c>
      <c r="EY37" s="528">
        <f t="shared" si="91"/>
        <v>0.3600462398800014</v>
      </c>
      <c r="EZ37" s="528">
        <f t="shared" si="92"/>
        <v>0.39181776736309526</v>
      </c>
      <c r="FA37" s="528">
        <f t="shared" si="93"/>
        <v>4.3733333333333332E-3</v>
      </c>
      <c r="FB37" s="460">
        <f t="shared" si="127"/>
        <v>396.19110069642858</v>
      </c>
      <c r="FC37" s="173">
        <f t="shared" si="128"/>
        <v>1.3587824045132491</v>
      </c>
      <c r="FD37" s="5">
        <f t="shared" si="129"/>
        <v>5.12</v>
      </c>
      <c r="FE37" s="173">
        <f t="shared" si="130"/>
        <v>0.7902719493146283</v>
      </c>
      <c r="FF37" s="5">
        <f t="shared" si="131"/>
        <v>79.02719493146283</v>
      </c>
      <c r="FI37" s="562">
        <f t="shared" si="94"/>
        <v>-50</v>
      </c>
      <c r="FJ37">
        <f t="shared" si="95"/>
        <v>-50</v>
      </c>
      <c r="FL37">
        <f t="shared" ref="FL37:FL68" si="181">MIN(SQRT(2*L*DR37*1000*CJ37*(CX37+Vfwd1))/(Nps*(CX37+Vfwd1)), 1-EA37)</f>
        <v>0.40484866187797913</v>
      </c>
    </row>
    <row r="38" spans="5:168">
      <c r="E38" s="170">
        <v>33</v>
      </c>
      <c r="F38" s="217">
        <f t="shared" ref="F38:F69" si="182">IF(PLOT_TYPE=1, E38/100*Iout_max, min_I*EXP(N38*rr/100))</f>
        <v>0.33</v>
      </c>
      <c r="G38" s="217"/>
      <c r="H38" s="217">
        <f t="shared" si="132"/>
        <v>5.28</v>
      </c>
      <c r="I38" s="541">
        <f t="shared" si="133"/>
        <v>23.960358751641394</v>
      </c>
      <c r="J38" s="172">
        <f t="shared" si="134"/>
        <v>16.423784749015162</v>
      </c>
      <c r="K38" s="172">
        <f t="shared" si="135"/>
        <v>40.423784749015162</v>
      </c>
      <c r="L38" s="443"/>
      <c r="M38" s="217">
        <f t="shared" si="136"/>
        <v>0.40669328682148348</v>
      </c>
      <c r="N38" s="172">
        <f t="shared" si="137"/>
        <v>24.653628146941145</v>
      </c>
      <c r="O38" s="172">
        <f t="shared" si="98"/>
        <v>5.28</v>
      </c>
      <c r="P38" s="217">
        <f t="shared" si="138"/>
        <v>1.5408517591838216</v>
      </c>
      <c r="Q38" s="217">
        <f t="shared" si="139"/>
        <v>16</v>
      </c>
      <c r="R38" s="217">
        <f t="shared" si="140"/>
        <v>1.5225807897073336</v>
      </c>
      <c r="S38" s="172">
        <f t="shared" si="141"/>
        <v>157.61816274284232</v>
      </c>
      <c r="T38" s="172">
        <f t="shared" si="142"/>
        <v>16</v>
      </c>
      <c r="U38" s="217">
        <f t="shared" si="143"/>
        <v>1.1124094592899314</v>
      </c>
      <c r="V38" s="217">
        <f t="shared" si="11"/>
        <v>0.55712494332184048</v>
      </c>
      <c r="W38" s="217">
        <f t="shared" si="144"/>
        <v>0.81277937548954016</v>
      </c>
      <c r="X38" s="197">
        <f t="shared" si="145"/>
        <v>350</v>
      </c>
      <c r="Y38" s="443">
        <f t="shared" si="14"/>
        <v>350</v>
      </c>
      <c r="AA38" s="217">
        <f t="shared" si="146"/>
        <v>2.3200983435004345</v>
      </c>
      <c r="AB38" s="173">
        <f t="shared" si="147"/>
        <v>1.6951744404513513</v>
      </c>
      <c r="AC38" s="173">
        <f t="shared" si="148"/>
        <v>0.68826999696620483</v>
      </c>
      <c r="AD38" s="173"/>
      <c r="AE38" s="173">
        <f t="shared" si="149"/>
        <v>0.73064766638028233</v>
      </c>
      <c r="AF38" s="545">
        <f t="shared" si="150"/>
        <v>903.30816119583392</v>
      </c>
      <c r="AG38" s="528">
        <f t="shared" si="151"/>
        <v>0.12786334161654941</v>
      </c>
      <c r="AI38" s="173">
        <f t="shared" si="152"/>
        <v>1.6065118924426067</v>
      </c>
      <c r="AJ38" s="173">
        <f t="shared" si="153"/>
        <v>1.6065118924426067</v>
      </c>
      <c r="AK38" s="173">
        <f t="shared" si="154"/>
        <v>1.649268068476005</v>
      </c>
      <c r="AM38" s="545">
        <f t="shared" si="155"/>
        <v>330</v>
      </c>
      <c r="AN38" s="460">
        <f t="shared" si="156"/>
        <v>350</v>
      </c>
      <c r="AP38">
        <f t="shared" si="157"/>
        <v>330</v>
      </c>
      <c r="AQ38" s="460">
        <f t="shared" si="158"/>
        <v>350</v>
      </c>
      <c r="AR38" s="460"/>
      <c r="AS38" s="5">
        <f t="shared" si="101"/>
        <v>2.8571428571428572</v>
      </c>
      <c r="AT38" s="5">
        <f t="shared" si="159"/>
        <v>0.80458489412186462</v>
      </c>
      <c r="AU38" s="5">
        <f t="shared" si="102"/>
        <v>2.0525579630209925</v>
      </c>
      <c r="AV38" s="5">
        <f t="shared" si="160"/>
        <v>1.1737941652253618</v>
      </c>
      <c r="AW38" s="173">
        <f t="shared" si="103"/>
        <v>0.2816047129426526</v>
      </c>
      <c r="AX38" s="173">
        <f t="shared" si="161"/>
        <v>5.4198489671750041</v>
      </c>
      <c r="AY38" s="173">
        <f t="shared" si="162"/>
        <v>0.5770552860661744</v>
      </c>
      <c r="AZ38" s="173">
        <f t="shared" si="104"/>
        <v>9.3922525242295016</v>
      </c>
      <c r="BA38" s="460">
        <f t="shared" si="163"/>
        <v>1.6594563441263461</v>
      </c>
      <c r="BB38" s="5">
        <f t="shared" si="164"/>
        <v>0.37692486706500938</v>
      </c>
      <c r="BC38" s="5"/>
      <c r="BD38" s="173">
        <f t="shared" si="105"/>
        <v>0.49220188989044128</v>
      </c>
      <c r="BE38" s="173">
        <f t="shared" si="165"/>
        <v>0.78614934105515411</v>
      </c>
      <c r="BF38" s="173"/>
      <c r="BG38" s="528">
        <f t="shared" si="166"/>
        <v>4.8452540082344411E-3</v>
      </c>
      <c r="BH38" s="528">
        <f t="shared" si="167"/>
        <v>0.41481249585902036</v>
      </c>
      <c r="BI38" s="528">
        <f t="shared" si="168"/>
        <v>0.19288088795071323</v>
      </c>
      <c r="BJ38" s="528">
        <f t="shared" si="169"/>
        <v>0.28167494912080832</v>
      </c>
      <c r="BK38">
        <f t="shared" si="170"/>
        <v>1.0782161438238626E-2</v>
      </c>
      <c r="BL38" s="460">
        <f t="shared" si="106"/>
        <v>203.66304938895186</v>
      </c>
      <c r="BM38" s="528">
        <f t="shared" si="171"/>
        <v>0.70345075283523983</v>
      </c>
      <c r="BN38" s="460">
        <f t="shared" si="107"/>
        <v>703.45075283523988</v>
      </c>
      <c r="BO38" s="528">
        <f t="shared" si="172"/>
        <v>0.20501249999999999</v>
      </c>
      <c r="BP38" s="528"/>
      <c r="BR38" s="460">
        <f t="shared" si="109"/>
        <v>205.01249999999999</v>
      </c>
      <c r="BS38" s="528">
        <f t="shared" si="173"/>
        <v>7.2678810123516617E-3</v>
      </c>
      <c r="BT38" s="528">
        <f t="shared" si="174"/>
        <v>1.854092359324359E-2</v>
      </c>
      <c r="BU38" s="528">
        <f t="shared" si="175"/>
        <v>7.9200000000000007E-2</v>
      </c>
      <c r="BV38" s="528">
        <f t="shared" si="176"/>
        <v>0.11143299390023313</v>
      </c>
      <c r="BW38" s="528">
        <f t="shared" si="177"/>
        <v>4.5165408059791709E-3</v>
      </c>
      <c r="BX38" s="460">
        <f t="shared" si="110"/>
        <v>115.9495347062123</v>
      </c>
      <c r="BY38" s="173">
        <f t="shared" si="45"/>
        <v>1.2280758369304041</v>
      </c>
      <c r="BZ38" s="5">
        <f t="shared" si="111"/>
        <v>5.28</v>
      </c>
      <c r="CA38" s="173">
        <f t="shared" si="112"/>
        <v>0.81129970398291529</v>
      </c>
      <c r="CB38" s="5">
        <f t="shared" si="113"/>
        <v>81.129970398291533</v>
      </c>
      <c r="CE38" s="562">
        <f t="shared" si="178"/>
        <v>-50</v>
      </c>
      <c r="CF38">
        <f t="shared" si="179"/>
        <v>-50</v>
      </c>
      <c r="CG38" s="173">
        <f t="shared" si="180"/>
        <v>0.41623310776534828</v>
      </c>
      <c r="CI38" s="170">
        <v>33</v>
      </c>
      <c r="CJ38" s="217">
        <f t="shared" si="114"/>
        <v>0.33</v>
      </c>
      <c r="CK38" s="217"/>
      <c r="CL38" s="217">
        <f t="shared" si="49"/>
        <v>5.28</v>
      </c>
      <c r="CM38" s="541">
        <f t="shared" si="50"/>
        <v>24</v>
      </c>
      <c r="CN38" s="172">
        <f t="shared" si="51"/>
        <v>16.399999999999999</v>
      </c>
      <c r="CO38" s="443">
        <f t="shared" si="52"/>
        <v>40.4</v>
      </c>
      <c r="CP38" s="443"/>
      <c r="CQ38" s="217">
        <f t="shared" si="53"/>
        <v>0.40594059405940591</v>
      </c>
      <c r="CR38" s="172">
        <f t="shared" si="54"/>
        <v>24.648712871287128</v>
      </c>
      <c r="CS38" s="172">
        <f t="shared" si="115"/>
        <v>5.28</v>
      </c>
      <c r="CT38" s="217">
        <f t="shared" si="55"/>
        <v>1.5405445544554455</v>
      </c>
      <c r="CU38" s="217">
        <f t="shared" si="56"/>
        <v>16</v>
      </c>
      <c r="CV38" s="217">
        <f t="shared" si="57"/>
        <v>1.5222772277227721</v>
      </c>
      <c r="CW38" s="172">
        <f t="shared" si="58"/>
        <v>157.87883427398259</v>
      </c>
      <c r="CX38" s="172">
        <f t="shared" si="59"/>
        <v>16</v>
      </c>
      <c r="CY38" s="217">
        <f t="shared" si="60"/>
        <v>1.0839024390243903</v>
      </c>
      <c r="CZ38" s="217">
        <f t="shared" si="61"/>
        <v>0.54195121951219516</v>
      </c>
      <c r="DA38" s="217">
        <f t="shared" si="62"/>
        <v>0.79309934562760276</v>
      </c>
      <c r="DB38" s="197">
        <f t="shared" si="63"/>
        <v>350</v>
      </c>
      <c r="DC38" s="443">
        <f t="shared" si="116"/>
        <v>350</v>
      </c>
      <c r="DE38" s="217">
        <f t="shared" si="64"/>
        <v>2.3196605374823194</v>
      </c>
      <c r="DF38" s="173">
        <f t="shared" si="65"/>
        <v>1.6973125884016973</v>
      </c>
      <c r="DG38" s="173">
        <f t="shared" si="66"/>
        <v>0.68900808044029282</v>
      </c>
      <c r="DH38" s="173"/>
      <c r="DI38" s="173">
        <f t="shared" si="67"/>
        <v>0.73170731707317083</v>
      </c>
      <c r="DJ38" s="545">
        <f t="shared" si="117"/>
        <v>901.99999999999989</v>
      </c>
      <c r="DK38" s="528">
        <f t="shared" si="68"/>
        <v>0.12804878048780488</v>
      </c>
      <c r="DM38" s="173">
        <f t="shared" si="69"/>
        <v>1.6053482043291596</v>
      </c>
      <c r="DN38" s="173">
        <f t="shared" si="70"/>
        <v>1.6053482043291596</v>
      </c>
      <c r="DO38" s="173">
        <f t="shared" si="71"/>
        <v>1.6484060772808589</v>
      </c>
      <c r="DQ38" s="545">
        <f t="shared" si="72"/>
        <v>330</v>
      </c>
      <c r="DR38" s="460">
        <f t="shared" si="73"/>
        <v>350</v>
      </c>
      <c r="DT38">
        <f t="shared" si="74"/>
        <v>330</v>
      </c>
      <c r="DU38" s="460">
        <f t="shared" si="75"/>
        <v>350</v>
      </c>
      <c r="DV38" s="460"/>
      <c r="DW38" s="5">
        <f t="shared" si="118"/>
        <v>2.8571428571428572</v>
      </c>
      <c r="DX38" s="5">
        <f t="shared" si="76"/>
        <v>0.80267410216457991</v>
      </c>
      <c r="DY38" s="5">
        <f t="shared" si="119"/>
        <v>2.0544687549782772</v>
      </c>
      <c r="DZ38" s="5">
        <f t="shared" si="77"/>
        <v>1.1746450275579219</v>
      </c>
      <c r="EA38" s="173">
        <f t="shared" si="120"/>
        <v>0.28093593575760295</v>
      </c>
      <c r="EB38" s="173">
        <f t="shared" si="78"/>
        <v>5.411999999999999</v>
      </c>
      <c r="EC38" s="173">
        <f t="shared" si="79"/>
        <v>0.57717410216457987</v>
      </c>
      <c r="ED38" s="173">
        <f t="shared" si="121"/>
        <v>9.3767200913958888</v>
      </c>
      <c r="EE38" s="460">
        <f t="shared" si="80"/>
        <v>1.6555153357144463</v>
      </c>
      <c r="EF38" s="5">
        <f t="shared" si="81"/>
        <v>0.37665260507935078</v>
      </c>
      <c r="EG38" s="5"/>
      <c r="EH38" s="173">
        <f t="shared" si="122"/>
        <v>0.4912609761801599</v>
      </c>
      <c r="EI38" s="173">
        <f t="shared" si="82"/>
        <v>0.78594546396689347</v>
      </c>
      <c r="EJ38" s="173"/>
      <c r="EK38" s="528">
        <f t="shared" si="83"/>
        <v>4.826746934349673E-3</v>
      </c>
      <c r="EL38" s="528">
        <f t="shared" si="84"/>
        <v>0.43129284857507205</v>
      </c>
      <c r="EM38" s="528">
        <f t="shared" si="85"/>
        <v>4.0250000000000001E-2</v>
      </c>
      <c r="EN38" s="528">
        <f t="shared" si="86"/>
        <v>0.28134357999999998</v>
      </c>
      <c r="EO38">
        <f t="shared" si="87"/>
        <v>1.0800000000000001E-2</v>
      </c>
      <c r="EP38" s="460">
        <f t="shared" si="123"/>
        <v>51.05</v>
      </c>
      <c r="EQ38" s="528">
        <f t="shared" si="88"/>
        <v>0.77070026327331054</v>
      </c>
      <c r="ER38" s="460">
        <f t="shared" si="124"/>
        <v>770.7002632733105</v>
      </c>
      <c r="ES38" s="528">
        <f t="shared" si="125"/>
        <v>0.20501249999999999</v>
      </c>
      <c r="ET38" s="528"/>
      <c r="EV38" s="460">
        <f t="shared" si="126"/>
        <v>205.01249999999999</v>
      </c>
      <c r="EW38" s="528">
        <f t="shared" si="89"/>
        <v>7.240120401524509E-3</v>
      </c>
      <c r="EX38" s="528">
        <f t="shared" si="90"/>
        <v>1.8531308169904063E-2</v>
      </c>
      <c r="EY38" s="528">
        <f t="shared" si="91"/>
        <v>0.3741650613821772</v>
      </c>
      <c r="EZ38" s="528">
        <f t="shared" si="92"/>
        <v>0.40696066943665005</v>
      </c>
      <c r="FA38" s="528">
        <f t="shared" si="93"/>
        <v>4.5100000000000001E-3</v>
      </c>
      <c r="FB38" s="460">
        <f t="shared" si="127"/>
        <v>411.47066943665004</v>
      </c>
      <c r="FC38" s="173">
        <f t="shared" si="128"/>
        <v>1.3871834327099606</v>
      </c>
      <c r="FD38" s="5">
        <f t="shared" si="129"/>
        <v>5.28</v>
      </c>
      <c r="FE38" s="173">
        <f t="shared" si="130"/>
        <v>0.79193861295246792</v>
      </c>
      <c r="FF38" s="5">
        <f t="shared" si="131"/>
        <v>79.193861295246791</v>
      </c>
      <c r="FI38" s="562">
        <f t="shared" si="94"/>
        <v>-50</v>
      </c>
      <c r="FJ38">
        <f t="shared" si="95"/>
        <v>-50</v>
      </c>
      <c r="FL38">
        <f t="shared" si="181"/>
        <v>0.41112575964527259</v>
      </c>
    </row>
    <row r="39" spans="5:168">
      <c r="E39" s="170">
        <v>34</v>
      </c>
      <c r="F39" s="217">
        <f t="shared" si="182"/>
        <v>0.34</v>
      </c>
      <c r="G39" s="217"/>
      <c r="H39" s="217">
        <f t="shared" si="132"/>
        <v>5.44</v>
      </c>
      <c r="I39" s="541">
        <f t="shared" si="133"/>
        <v>23.959762609191852</v>
      </c>
      <c r="J39" s="172">
        <f t="shared" si="134"/>
        <v>16.424142434484889</v>
      </c>
      <c r="K39" s="172">
        <f t="shared" si="135"/>
        <v>40.424142434484892</v>
      </c>
      <c r="L39" s="443"/>
      <c r="M39" s="217">
        <f t="shared" si="136"/>
        <v>0.40670461057200735</v>
      </c>
      <c r="N39" s="172">
        <f t="shared" si="137"/>
        <v>24.653701181063859</v>
      </c>
      <c r="O39" s="172">
        <f t="shared" si="98"/>
        <v>5.44</v>
      </c>
      <c r="P39" s="217">
        <f t="shared" si="138"/>
        <v>1.5408563238164912</v>
      </c>
      <c r="Q39" s="217">
        <f t="shared" si="139"/>
        <v>16</v>
      </c>
      <c r="R39" s="217">
        <f t="shared" si="140"/>
        <v>1.5225853002139242</v>
      </c>
      <c r="S39" s="172">
        <f t="shared" si="141"/>
        <v>152.27773457818179</v>
      </c>
      <c r="T39" s="172">
        <f t="shared" si="142"/>
        <v>16</v>
      </c>
      <c r="U39" s="217">
        <f t="shared" si="143"/>
        <v>1.1461407118899085</v>
      </c>
      <c r="V39" s="217">
        <f t="shared" si="11"/>
        <v>0.57403275512431329</v>
      </c>
      <c r="W39" s="217">
        <f t="shared" si="144"/>
        <v>0.83740679901807369</v>
      </c>
      <c r="X39" s="197">
        <f t="shared" si="145"/>
        <v>350</v>
      </c>
      <c r="Y39" s="443">
        <f t="shared" si="14"/>
        <v>350</v>
      </c>
      <c r="AA39" s="217">
        <f t="shared" si="146"/>
        <v>2.3201048451888067</v>
      </c>
      <c r="AB39" s="173">
        <f t="shared" si="147"/>
        <v>1.6951422732311969</v>
      </c>
      <c r="AC39" s="173">
        <f t="shared" si="148"/>
        <v>0.68825886524641189</v>
      </c>
      <c r="AD39" s="173"/>
      <c r="AE39" s="173">
        <f t="shared" si="149"/>
        <v>0.73063175431334826</v>
      </c>
      <c r="AF39" s="545">
        <f t="shared" si="150"/>
        <v>930.70140462081042</v>
      </c>
      <c r="AG39" s="528">
        <f t="shared" si="151"/>
        <v>0.12786055700483592</v>
      </c>
      <c r="AI39" s="173">
        <f t="shared" si="152"/>
        <v>1.6306890783791901</v>
      </c>
      <c r="AJ39" s="173">
        <f t="shared" si="153"/>
        <v>1.6306890783791901</v>
      </c>
      <c r="AK39" s="173">
        <f t="shared" si="154"/>
        <v>1.6671770950956963</v>
      </c>
      <c r="AM39" s="545">
        <f t="shared" si="155"/>
        <v>340</v>
      </c>
      <c r="AN39" s="460">
        <f t="shared" si="156"/>
        <v>350</v>
      </c>
      <c r="AP39">
        <f t="shared" si="157"/>
        <v>340</v>
      </c>
      <c r="AQ39" s="460">
        <f t="shared" si="158"/>
        <v>350</v>
      </c>
      <c r="AR39" s="460"/>
      <c r="AS39" s="5">
        <f t="shared" si="101"/>
        <v>2.8571428571428572</v>
      </c>
      <c r="AT39" s="5">
        <f t="shared" si="159"/>
        <v>0.81671380721623543</v>
      </c>
      <c r="AU39" s="5">
        <f t="shared" si="102"/>
        <v>2.0404290499266216</v>
      </c>
      <c r="AV39" s="5">
        <f t="shared" si="160"/>
        <v>1.1914332220758046</v>
      </c>
      <c r="AW39" s="173">
        <f t="shared" si="103"/>
        <v>0.28584983252568241</v>
      </c>
      <c r="AX39" s="173">
        <f t="shared" si="161"/>
        <v>5.5842084277248611</v>
      </c>
      <c r="AY39" s="173">
        <f t="shared" si="162"/>
        <v>0.58227843921151956</v>
      </c>
      <c r="AZ39" s="173">
        <f t="shared" si="104"/>
        <v>9.5902716839156934</v>
      </c>
      <c r="BA39" s="460">
        <f t="shared" si="163"/>
        <v>1.7355168403345005</v>
      </c>
      <c r="BB39" s="5">
        <f t="shared" si="164"/>
        <v>0.38606163079367889</v>
      </c>
      <c r="BC39" s="5"/>
      <c r="BD39" s="173">
        <f t="shared" si="105"/>
        <v>0.5033609333104031</v>
      </c>
      <c r="BE39" s="173">
        <f t="shared" si="165"/>
        <v>0.79561929396661657</v>
      </c>
      <c r="BF39" s="173"/>
      <c r="BG39" s="528">
        <f t="shared" si="166"/>
        <v>5.0674445836624013E-3</v>
      </c>
      <c r="BH39" s="528">
        <f t="shared" si="167"/>
        <v>0.42105893835822494</v>
      </c>
      <c r="BI39" s="528">
        <f t="shared" si="168"/>
        <v>0.19287608900399442</v>
      </c>
      <c r="BJ39" s="528">
        <f t="shared" si="169"/>
        <v>0.28167993388326212</v>
      </c>
      <c r="BK39">
        <f t="shared" si="170"/>
        <v>1.0781893174136333E-2</v>
      </c>
      <c r="BL39" s="460">
        <f t="shared" si="106"/>
        <v>203.65798217813074</v>
      </c>
      <c r="BM39" s="528">
        <f t="shared" si="171"/>
        <v>0.71002941991653401</v>
      </c>
      <c r="BN39" s="460">
        <f t="shared" si="107"/>
        <v>710.02941991653404</v>
      </c>
      <c r="BO39" s="528">
        <f t="shared" si="172"/>
        <v>0.21122499999999997</v>
      </c>
      <c r="BP39" s="528"/>
      <c r="BR39" s="460">
        <f t="shared" si="109"/>
        <v>211.22499999999997</v>
      </c>
      <c r="BS39" s="528">
        <f t="shared" si="173"/>
        <v>7.6011668754936024E-3</v>
      </c>
      <c r="BT39" s="528">
        <f t="shared" si="174"/>
        <v>1.8990301827958123E-2</v>
      </c>
      <c r="BU39" s="528">
        <f t="shared" si="175"/>
        <v>8.1600000000000006E-2</v>
      </c>
      <c r="BV39" s="528">
        <f t="shared" si="176"/>
        <v>0.11481767484085083</v>
      </c>
      <c r="BW39" s="528">
        <f t="shared" si="177"/>
        <v>4.6535070231040511E-3</v>
      </c>
      <c r="BX39" s="460">
        <f t="shared" si="110"/>
        <v>119.47118186395488</v>
      </c>
      <c r="BY39" s="173">
        <f t="shared" si="45"/>
        <v>1.2443835839586197</v>
      </c>
      <c r="BZ39" s="5">
        <f t="shared" si="111"/>
        <v>5.44</v>
      </c>
      <c r="CA39" s="173">
        <f t="shared" si="112"/>
        <v>0.81383719705360291</v>
      </c>
      <c r="CB39" s="5">
        <f t="shared" si="113"/>
        <v>81.383719705360292</v>
      </c>
      <c r="CE39" s="562">
        <f t="shared" si="178"/>
        <v>-50</v>
      </c>
      <c r="CF39">
        <f t="shared" si="179"/>
        <v>-50</v>
      </c>
      <c r="CG39" s="173">
        <f t="shared" si="180"/>
        <v>0.42249260348555218</v>
      </c>
      <c r="CI39" s="170">
        <v>34</v>
      </c>
      <c r="CJ39" s="217">
        <f t="shared" si="114"/>
        <v>0.34</v>
      </c>
      <c r="CK39" s="217"/>
      <c r="CL39" s="217">
        <f t="shared" si="49"/>
        <v>5.44</v>
      </c>
      <c r="CM39" s="541">
        <f t="shared" si="50"/>
        <v>24</v>
      </c>
      <c r="CN39" s="172">
        <f t="shared" si="51"/>
        <v>16.399999999999999</v>
      </c>
      <c r="CO39" s="443">
        <f t="shared" si="52"/>
        <v>40.4</v>
      </c>
      <c r="CP39" s="443"/>
      <c r="CQ39" s="217">
        <f t="shared" si="53"/>
        <v>0.40594059405940591</v>
      </c>
      <c r="CR39" s="172">
        <f t="shared" si="54"/>
        <v>24.648712871287128</v>
      </c>
      <c r="CS39" s="172">
        <f t="shared" si="115"/>
        <v>5.44</v>
      </c>
      <c r="CT39" s="217">
        <f t="shared" si="55"/>
        <v>1.5405445544554455</v>
      </c>
      <c r="CU39" s="217">
        <f t="shared" si="56"/>
        <v>16</v>
      </c>
      <c r="CV39" s="217">
        <f t="shared" si="57"/>
        <v>1.5222772277227721</v>
      </c>
      <c r="CW39" s="172">
        <f t="shared" si="58"/>
        <v>152.53336067394119</v>
      </c>
      <c r="CX39" s="172">
        <f t="shared" si="59"/>
        <v>16</v>
      </c>
      <c r="CY39" s="217">
        <f t="shared" si="60"/>
        <v>1.116747967479675</v>
      </c>
      <c r="CZ39" s="217">
        <f t="shared" si="61"/>
        <v>0.55837398373983749</v>
      </c>
      <c r="DA39" s="217">
        <f t="shared" si="62"/>
        <v>0.8171326591314696</v>
      </c>
      <c r="DB39" s="197">
        <f t="shared" si="63"/>
        <v>350</v>
      </c>
      <c r="DC39" s="443">
        <f t="shared" si="116"/>
        <v>350</v>
      </c>
      <c r="DE39" s="217">
        <f t="shared" si="64"/>
        <v>2.3196605374823194</v>
      </c>
      <c r="DF39" s="173">
        <f t="shared" si="65"/>
        <v>1.6973125884016973</v>
      </c>
      <c r="DG39" s="173">
        <f t="shared" si="66"/>
        <v>0.68900808044029282</v>
      </c>
      <c r="DH39" s="173"/>
      <c r="DI39" s="173">
        <f t="shared" si="67"/>
        <v>0.73170731707317083</v>
      </c>
      <c r="DJ39" s="545">
        <f t="shared" si="117"/>
        <v>929.33333333333326</v>
      </c>
      <c r="DK39" s="528">
        <f t="shared" si="68"/>
        <v>0.12804878048780488</v>
      </c>
      <c r="DM39" s="173">
        <f t="shared" si="69"/>
        <v>1.6294901335197141</v>
      </c>
      <c r="DN39" s="173">
        <f t="shared" si="70"/>
        <v>1.6294901335197141</v>
      </c>
      <c r="DO39" s="173">
        <f t="shared" si="71"/>
        <v>1.6662889877923808</v>
      </c>
      <c r="DQ39" s="545">
        <f t="shared" si="72"/>
        <v>340</v>
      </c>
      <c r="DR39" s="460">
        <f t="shared" si="73"/>
        <v>350</v>
      </c>
      <c r="DT39">
        <f t="shared" si="74"/>
        <v>340</v>
      </c>
      <c r="DU39" s="460">
        <f t="shared" si="75"/>
        <v>350</v>
      </c>
      <c r="DV39" s="460"/>
      <c r="DW39" s="5">
        <f t="shared" si="118"/>
        <v>2.8571428571428572</v>
      </c>
      <c r="DX39" s="5">
        <f t="shared" si="76"/>
        <v>0.81474506675985703</v>
      </c>
      <c r="DY39" s="5">
        <f t="shared" si="119"/>
        <v>2.0423977903830002</v>
      </c>
      <c r="DZ39" s="5">
        <f t="shared" si="77"/>
        <v>1.1923098537949131</v>
      </c>
      <c r="EA39" s="173">
        <f t="shared" si="120"/>
        <v>0.28516077336594997</v>
      </c>
      <c r="EB39" s="173">
        <f t="shared" si="78"/>
        <v>5.5760000000000005</v>
      </c>
      <c r="EC39" s="173">
        <f t="shared" si="79"/>
        <v>0.58241173342652364</v>
      </c>
      <c r="ED39" s="173">
        <f t="shared" si="121"/>
        <v>9.5739829402036971</v>
      </c>
      <c r="EE39" s="460">
        <f t="shared" si="80"/>
        <v>1.7313332668646961</v>
      </c>
      <c r="EF39" s="5">
        <f t="shared" si="81"/>
        <v>0.38578624929456667</v>
      </c>
      <c r="EG39" s="5"/>
      <c r="EH39" s="173">
        <f t="shared" si="122"/>
        <v>0.50238423167559287</v>
      </c>
      <c r="EI39" s="173">
        <f t="shared" si="82"/>
        <v>0.79541778257912321</v>
      </c>
      <c r="EJ39" s="173"/>
      <c r="EK39" s="528">
        <f t="shared" si="83"/>
        <v>5.0477983247255156E-3</v>
      </c>
      <c r="EL39" s="528">
        <f t="shared" si="84"/>
        <v>0.43777881927140644</v>
      </c>
      <c r="EM39" s="528">
        <f t="shared" si="85"/>
        <v>4.0250000000000001E-2</v>
      </c>
      <c r="EN39" s="528">
        <f t="shared" si="86"/>
        <v>0.28134357999999998</v>
      </c>
      <c r="EO39">
        <f t="shared" si="87"/>
        <v>1.0800000000000001E-2</v>
      </c>
      <c r="EP39" s="460">
        <f t="shared" si="123"/>
        <v>51.05</v>
      </c>
      <c r="EQ39" s="528">
        <f t="shared" si="88"/>
        <v>0.77751562185570788</v>
      </c>
      <c r="ER39" s="460">
        <f t="shared" si="124"/>
        <v>777.51562185570788</v>
      </c>
      <c r="ES39" s="528">
        <f t="shared" si="125"/>
        <v>0.21122499999999997</v>
      </c>
      <c r="ET39" s="528"/>
      <c r="EV39" s="460">
        <f t="shared" si="126"/>
        <v>211.22499999999997</v>
      </c>
      <c r="EW39" s="528">
        <f t="shared" si="89"/>
        <v>7.571697487088273E-3</v>
      </c>
      <c r="EX39" s="528">
        <f t="shared" si="90"/>
        <v>1.8980683465292678E-2</v>
      </c>
      <c r="EY39" s="528">
        <f t="shared" si="91"/>
        <v>0.3883912642700737</v>
      </c>
      <c r="EZ39" s="528">
        <f t="shared" si="92"/>
        <v>0.42221307764949223</v>
      </c>
      <c r="FA39" s="528">
        <f t="shared" si="93"/>
        <v>4.6466666666666661E-3</v>
      </c>
      <c r="FB39" s="460">
        <f t="shared" si="127"/>
        <v>426.85974431615892</v>
      </c>
      <c r="FC39" s="173">
        <f t="shared" si="128"/>
        <v>1.4156003661718668</v>
      </c>
      <c r="FD39" s="5">
        <f t="shared" si="129"/>
        <v>5.44</v>
      </c>
      <c r="FE39" s="173">
        <f t="shared" si="130"/>
        <v>0.79351183112175327</v>
      </c>
      <c r="FF39" s="5">
        <f t="shared" si="131"/>
        <v>79.351183112175335</v>
      </c>
      <c r="FI39" s="562">
        <f t="shared" si="94"/>
        <v>-50</v>
      </c>
      <c r="FJ39">
        <f t="shared" si="95"/>
        <v>-50</v>
      </c>
      <c r="FL39">
        <f t="shared" si="181"/>
        <v>0.41730844882821949</v>
      </c>
    </row>
    <row r="40" spans="5:168">
      <c r="E40" s="170">
        <v>35</v>
      </c>
      <c r="F40" s="217">
        <f t="shared" si="182"/>
        <v>0.35</v>
      </c>
      <c r="G40" s="217"/>
      <c r="H40" s="217">
        <f t="shared" si="132"/>
        <v>5.6</v>
      </c>
      <c r="I40" s="541">
        <f t="shared" si="133"/>
        <v>23.959175170953614</v>
      </c>
      <c r="J40" s="172">
        <f t="shared" si="134"/>
        <v>16.424494897427831</v>
      </c>
      <c r="K40" s="172">
        <f t="shared" si="135"/>
        <v>40.424494897427834</v>
      </c>
      <c r="L40" s="443"/>
      <c r="M40" s="217">
        <f t="shared" si="136"/>
        <v>0.40671576911405238</v>
      </c>
      <c r="N40" s="172">
        <f t="shared" si="137"/>
        <v>24.653773123191549</v>
      </c>
      <c r="O40" s="172">
        <f t="shared" si="98"/>
        <v>5.6</v>
      </c>
      <c r="P40" s="217">
        <f t="shared" si="138"/>
        <v>1.5408608201994718</v>
      </c>
      <c r="Q40" s="217">
        <f t="shared" si="139"/>
        <v>16</v>
      </c>
      <c r="R40" s="217">
        <f t="shared" si="140"/>
        <v>1.5225897432801103</v>
      </c>
      <c r="S40" s="172">
        <f t="shared" si="141"/>
        <v>147.24270157065942</v>
      </c>
      <c r="T40" s="172">
        <f t="shared" si="142"/>
        <v>16</v>
      </c>
      <c r="U40" s="217">
        <f t="shared" si="143"/>
        <v>1.1798729235642993</v>
      </c>
      <c r="V40" s="217">
        <f t="shared" si="11"/>
        <v>0.59094167398284692</v>
      </c>
      <c r="W40" s="217">
        <f t="shared" si="144"/>
        <v>0.86203412471386798</v>
      </c>
      <c r="X40" s="197">
        <f t="shared" si="145"/>
        <v>350</v>
      </c>
      <c r="Y40" s="443">
        <f t="shared" si="14"/>
        <v>350</v>
      </c>
      <c r="AA40" s="217">
        <f t="shared" si="146"/>
        <v>2.3201112495622871</v>
      </c>
      <c r="AB40" s="173">
        <f t="shared" si="147"/>
        <v>1.6951105753095372</v>
      </c>
      <c r="AC40" s="173">
        <f t="shared" si="148"/>
        <v>0.68824789512984008</v>
      </c>
      <c r="AD40" s="173"/>
      <c r="AE40" s="173">
        <f t="shared" si="149"/>
        <v>0.73061607525472638</v>
      </c>
      <c r="AF40" s="545">
        <f t="shared" si="150"/>
        <v>958.09553568328988</v>
      </c>
      <c r="AG40" s="528">
        <f t="shared" si="151"/>
        <v>0.12785781316957712</v>
      </c>
      <c r="AI40" s="173">
        <f t="shared" si="152"/>
        <v>1.654513770337972</v>
      </c>
      <c r="AJ40" s="173">
        <f t="shared" si="153"/>
        <v>1.654513770337972</v>
      </c>
      <c r="AK40" s="173">
        <f t="shared" si="154"/>
        <v>1.6848250150651645</v>
      </c>
      <c r="AM40" s="545">
        <f t="shared" si="155"/>
        <v>350</v>
      </c>
      <c r="AN40" s="460">
        <f t="shared" si="156"/>
        <v>350</v>
      </c>
      <c r="AP40">
        <f t="shared" si="157"/>
        <v>350</v>
      </c>
      <c r="AQ40" s="460">
        <f t="shared" si="158"/>
        <v>350</v>
      </c>
      <c r="AR40" s="460"/>
      <c r="AS40" s="5">
        <f t="shared" si="101"/>
        <v>2.8571428571428572</v>
      </c>
      <c r="AT40" s="5">
        <f t="shared" si="159"/>
        <v>0.82866647546888139</v>
      </c>
      <c r="AU40" s="5">
        <f t="shared" si="102"/>
        <v>2.0284763816739759</v>
      </c>
      <c r="AV40" s="5">
        <f t="shared" si="160"/>
        <v>1.2088143573392287</v>
      </c>
      <c r="AW40" s="173">
        <f t="shared" si="103"/>
        <v>0.29003326641410848</v>
      </c>
      <c r="AX40" s="173">
        <f t="shared" si="161"/>
        <v>5.7485732140997392</v>
      </c>
      <c r="AY40" s="173">
        <f t="shared" si="162"/>
        <v>0.58732486859986388</v>
      </c>
      <c r="AZ40" s="173">
        <f t="shared" si="104"/>
        <v>9.7877231519310328</v>
      </c>
      <c r="BA40" s="460">
        <f t="shared" si="163"/>
        <v>1.812707915088178</v>
      </c>
      <c r="BB40" s="5">
        <f t="shared" si="164"/>
        <v>0.39509803851489522</v>
      </c>
      <c r="BC40" s="5"/>
      <c r="BD40" s="173">
        <f t="shared" si="105"/>
        <v>0.51443873970154497</v>
      </c>
      <c r="BE40" s="173">
        <f t="shared" si="165"/>
        <v>0.80487559401455111</v>
      </c>
      <c r="BF40" s="173"/>
      <c r="BG40" s="528">
        <f t="shared" si="166"/>
        <v>5.2929443381142787E-3</v>
      </c>
      <c r="BH40" s="528">
        <f t="shared" si="167"/>
        <v>0.42721441814387484</v>
      </c>
      <c r="BI40" s="528">
        <f t="shared" si="168"/>
        <v>0.19287136012617662</v>
      </c>
      <c r="BJ40" s="528">
        <f t="shared" si="169"/>
        <v>0.28168484590688508</v>
      </c>
      <c r="BK40">
        <f t="shared" si="170"/>
        <v>1.0781628826929126E-2</v>
      </c>
      <c r="BL40" s="460">
        <f t="shared" si="106"/>
        <v>203.65298895310573</v>
      </c>
      <c r="BM40" s="528">
        <f t="shared" si="171"/>
        <v>0.71652240449743942</v>
      </c>
      <c r="BN40" s="460">
        <f t="shared" si="107"/>
        <v>716.52240449743942</v>
      </c>
      <c r="BO40" s="528">
        <f t="shared" si="172"/>
        <v>0.21743749999999995</v>
      </c>
      <c r="BP40" s="528"/>
      <c r="BR40" s="460">
        <f t="shared" si="109"/>
        <v>217.43749999999994</v>
      </c>
      <c r="BS40" s="528">
        <f t="shared" si="173"/>
        <v>7.9394165071714172E-3</v>
      </c>
      <c r="BT40" s="528">
        <f t="shared" si="174"/>
        <v>1.9434741655208296E-2</v>
      </c>
      <c r="BU40" s="528">
        <f t="shared" si="175"/>
        <v>8.3999999999999991E-2</v>
      </c>
      <c r="BV40" s="528">
        <f t="shared" si="176"/>
        <v>0.1182028123197251</v>
      </c>
      <c r="BW40" s="528">
        <f t="shared" si="177"/>
        <v>4.7904776784164502E-3</v>
      </c>
      <c r="BX40" s="460">
        <f t="shared" si="110"/>
        <v>122.99328999814155</v>
      </c>
      <c r="BY40" s="173">
        <f t="shared" si="45"/>
        <v>1.2606061834486868</v>
      </c>
      <c r="BZ40" s="5">
        <f t="shared" si="111"/>
        <v>5.6</v>
      </c>
      <c r="CA40" s="173">
        <f t="shared" si="112"/>
        <v>0.81625440234568225</v>
      </c>
      <c r="CB40" s="5">
        <f t="shared" si="113"/>
        <v>81.625440234568231</v>
      </c>
      <c r="CE40" s="562">
        <f t="shared" si="178"/>
        <v>-50</v>
      </c>
      <c r="CF40">
        <f t="shared" si="179"/>
        <v>-50</v>
      </c>
      <c r="CG40" s="173">
        <f t="shared" si="180"/>
        <v>0.42866070498705616</v>
      </c>
      <c r="CI40" s="170">
        <v>35</v>
      </c>
      <c r="CJ40" s="217">
        <f t="shared" si="114"/>
        <v>0.35</v>
      </c>
      <c r="CK40" s="217"/>
      <c r="CL40" s="217">
        <f t="shared" si="49"/>
        <v>5.6</v>
      </c>
      <c r="CM40" s="541">
        <f t="shared" si="50"/>
        <v>24</v>
      </c>
      <c r="CN40" s="172">
        <f t="shared" si="51"/>
        <v>16.399999999999999</v>
      </c>
      <c r="CO40" s="443">
        <f t="shared" si="52"/>
        <v>40.4</v>
      </c>
      <c r="CP40" s="443"/>
      <c r="CQ40" s="217">
        <f t="shared" si="53"/>
        <v>0.40594059405940591</v>
      </c>
      <c r="CR40" s="172">
        <f t="shared" si="54"/>
        <v>24.648712871287128</v>
      </c>
      <c r="CS40" s="172">
        <f t="shared" si="115"/>
        <v>5.6</v>
      </c>
      <c r="CT40" s="217">
        <f t="shared" si="55"/>
        <v>1.5405445544554455</v>
      </c>
      <c r="CU40" s="217">
        <f t="shared" si="56"/>
        <v>16</v>
      </c>
      <c r="CV40" s="217">
        <f t="shared" si="57"/>
        <v>1.5222772277227721</v>
      </c>
      <c r="CW40" s="172">
        <f t="shared" si="58"/>
        <v>147.49348301091135</v>
      </c>
      <c r="CX40" s="172">
        <f t="shared" si="59"/>
        <v>16</v>
      </c>
      <c r="CY40" s="217">
        <f t="shared" si="60"/>
        <v>1.1495934959349594</v>
      </c>
      <c r="CZ40" s="217">
        <f t="shared" si="61"/>
        <v>0.5747967479674797</v>
      </c>
      <c r="DA40" s="217">
        <f t="shared" si="62"/>
        <v>0.84116597263533621</v>
      </c>
      <c r="DB40" s="197">
        <f t="shared" si="63"/>
        <v>350</v>
      </c>
      <c r="DC40" s="443">
        <f t="shared" si="116"/>
        <v>350</v>
      </c>
      <c r="DE40" s="217">
        <f t="shared" si="64"/>
        <v>2.3196605374823194</v>
      </c>
      <c r="DF40" s="173">
        <f t="shared" si="65"/>
        <v>1.6973125884016973</v>
      </c>
      <c r="DG40" s="173">
        <f t="shared" si="66"/>
        <v>0.68900808044029282</v>
      </c>
      <c r="DH40" s="173"/>
      <c r="DI40" s="173">
        <f t="shared" si="67"/>
        <v>0.73170731707317083</v>
      </c>
      <c r="DJ40" s="545">
        <f t="shared" si="117"/>
        <v>956.66666666666652</v>
      </c>
      <c r="DK40" s="528">
        <f t="shared" si="68"/>
        <v>0.12804878048780488</v>
      </c>
      <c r="DM40" s="173">
        <f t="shared" si="69"/>
        <v>1.6532795690182991</v>
      </c>
      <c r="DN40" s="173">
        <f t="shared" si="70"/>
        <v>1.6532795690182991</v>
      </c>
      <c r="DO40" s="173">
        <f t="shared" si="71"/>
        <v>1.6839107918654066</v>
      </c>
      <c r="DQ40" s="545">
        <f t="shared" si="72"/>
        <v>350</v>
      </c>
      <c r="DR40" s="460">
        <f t="shared" si="73"/>
        <v>350</v>
      </c>
      <c r="DT40">
        <f t="shared" si="74"/>
        <v>350</v>
      </c>
      <c r="DU40" s="460">
        <f t="shared" si="75"/>
        <v>350</v>
      </c>
      <c r="DV40" s="460"/>
      <c r="DW40" s="5">
        <f t="shared" si="118"/>
        <v>2.8571428571428572</v>
      </c>
      <c r="DX40" s="5">
        <f t="shared" si="76"/>
        <v>0.82663978450914954</v>
      </c>
      <c r="DY40" s="5">
        <f t="shared" si="119"/>
        <v>2.0305030726337074</v>
      </c>
      <c r="DZ40" s="5">
        <f t="shared" si="77"/>
        <v>1.2097167578182677</v>
      </c>
      <c r="EA40" s="173">
        <f t="shared" si="120"/>
        <v>0.28932392457820233</v>
      </c>
      <c r="EB40" s="173">
        <f t="shared" si="78"/>
        <v>5.7399999999999993</v>
      </c>
      <c r="EC40" s="173">
        <f t="shared" si="79"/>
        <v>0.58747311784248291</v>
      </c>
      <c r="ED40" s="173">
        <f t="shared" si="121"/>
        <v>9.7706598407095893</v>
      </c>
      <c r="EE40" s="460">
        <f t="shared" si="80"/>
        <v>1.8082745286137647</v>
      </c>
      <c r="EF40" s="5">
        <f t="shared" si="81"/>
        <v>0.39482004190099856</v>
      </c>
      <c r="EG40" s="5"/>
      <c r="EH40" s="173">
        <f t="shared" si="122"/>
        <v>0.51342598531187844</v>
      </c>
      <c r="EI40" s="173">
        <f t="shared" si="82"/>
        <v>0.80467687223980644</v>
      </c>
      <c r="EJ40" s="173"/>
      <c r="EK40" s="528">
        <f t="shared" si="83"/>
        <v>5.2721248478694643E-3</v>
      </c>
      <c r="EL40" s="528">
        <f t="shared" si="84"/>
        <v>0.4441700890124563</v>
      </c>
      <c r="EM40" s="528">
        <f t="shared" si="85"/>
        <v>4.0250000000000001E-2</v>
      </c>
      <c r="EN40" s="528">
        <f t="shared" si="86"/>
        <v>0.28134357999999998</v>
      </c>
      <c r="EO40">
        <f t="shared" si="87"/>
        <v>1.0800000000000001E-2</v>
      </c>
      <c r="EP40" s="460">
        <f t="shared" si="123"/>
        <v>51.05</v>
      </c>
      <c r="EQ40" s="528">
        <f t="shared" si="88"/>
        <v>0.78424165325912565</v>
      </c>
      <c r="ER40" s="460">
        <f t="shared" si="124"/>
        <v>784.24165325912566</v>
      </c>
      <c r="ES40" s="528">
        <f t="shared" si="125"/>
        <v>0.21743749999999995</v>
      </c>
      <c r="ET40" s="528"/>
      <c r="EV40" s="460">
        <f t="shared" si="126"/>
        <v>217.43749999999994</v>
      </c>
      <c r="EW40" s="528">
        <f t="shared" si="89"/>
        <v>7.908187271804196E-3</v>
      </c>
      <c r="EX40" s="528">
        <f t="shared" si="90"/>
        <v>1.9425146061529133E-2</v>
      </c>
      <c r="EY40" s="528">
        <f t="shared" si="91"/>
        <v>0.40272247040809472</v>
      </c>
      <c r="EZ40" s="528">
        <f t="shared" si="92"/>
        <v>0.43757262922399787</v>
      </c>
      <c r="FA40" s="528">
        <f t="shared" si="93"/>
        <v>4.783333333333333E-3</v>
      </c>
      <c r="FB40" s="460">
        <f t="shared" si="127"/>
        <v>442.35596255733117</v>
      </c>
      <c r="FC40" s="173">
        <f t="shared" si="128"/>
        <v>1.4440351158164568</v>
      </c>
      <c r="FD40" s="5">
        <f t="shared" si="129"/>
        <v>5.6</v>
      </c>
      <c r="FE40" s="173">
        <f t="shared" si="130"/>
        <v>0.79499887605982189</v>
      </c>
      <c r="FF40" s="5">
        <f t="shared" si="131"/>
        <v>79.499887605982195</v>
      </c>
      <c r="FI40" s="562">
        <f t="shared" si="94"/>
        <v>-50</v>
      </c>
      <c r="FJ40">
        <f t="shared" si="95"/>
        <v>-50</v>
      </c>
      <c r="FL40">
        <f t="shared" si="181"/>
        <v>0.42340086523639375</v>
      </c>
    </row>
    <row r="41" spans="5:168">
      <c r="E41" s="170">
        <v>36</v>
      </c>
      <c r="F41" s="217">
        <f t="shared" si="182"/>
        <v>0.36</v>
      </c>
      <c r="G41" s="217"/>
      <c r="H41" s="217">
        <f t="shared" si="132"/>
        <v>5.76</v>
      </c>
      <c r="I41" s="541">
        <f t="shared" si="133"/>
        <v>23.958596066439458</v>
      </c>
      <c r="J41" s="172">
        <f t="shared" si="134"/>
        <v>16.424842360136324</v>
      </c>
      <c r="K41" s="172">
        <f t="shared" si="135"/>
        <v>40.424842360136324</v>
      </c>
      <c r="L41" s="443"/>
      <c r="M41" s="217">
        <f t="shared" si="136"/>
        <v>0.40672676947957676</v>
      </c>
      <c r="N41" s="172">
        <f t="shared" si="137"/>
        <v>24.653844019803611</v>
      </c>
      <c r="O41" s="172">
        <f t="shared" si="98"/>
        <v>5.76</v>
      </c>
      <c r="P41" s="217">
        <f t="shared" si="138"/>
        <v>1.5408652512377257</v>
      </c>
      <c r="Q41" s="217">
        <f t="shared" si="139"/>
        <v>16</v>
      </c>
      <c r="R41" s="217">
        <f t="shared" si="140"/>
        <v>1.5225941217764087</v>
      </c>
      <c r="S41" s="172">
        <f t="shared" si="141"/>
        <v>142.48761304742141</v>
      </c>
      <c r="T41" s="172">
        <f t="shared" si="142"/>
        <v>16</v>
      </c>
      <c r="U41" s="217">
        <f t="shared" si="143"/>
        <v>1.2136060805716973</v>
      </c>
      <c r="V41" s="217">
        <f t="shared" si="11"/>
        <v>0.60785168406675538</v>
      </c>
      <c r="W41" s="217">
        <f t="shared" si="144"/>
        <v>0.88666135403563728</v>
      </c>
      <c r="X41" s="197">
        <f t="shared" si="145"/>
        <v>350</v>
      </c>
      <c r="Y41" s="443">
        <f t="shared" si="14"/>
        <v>350</v>
      </c>
      <c r="AA41" s="217">
        <f t="shared" si="146"/>
        <v>2.3201175607629594</v>
      </c>
      <c r="AB41" s="173">
        <f t="shared" si="147"/>
        <v>1.6950793267110804</v>
      </c>
      <c r="AC41" s="173">
        <f t="shared" si="148"/>
        <v>0.68823707973801052</v>
      </c>
      <c r="AD41" s="173"/>
      <c r="AE41" s="173">
        <f t="shared" si="149"/>
        <v>0.73060061928657694</v>
      </c>
      <c r="AF41" s="545">
        <f t="shared" si="150"/>
        <v>985.49054160817934</v>
      </c>
      <c r="AG41" s="528">
        <f t="shared" si="151"/>
        <v>0.12785510837515096</v>
      </c>
      <c r="AI41" s="173">
        <f t="shared" si="152"/>
        <v>1.6780009719120117</v>
      </c>
      <c r="AJ41" s="173">
        <f t="shared" si="153"/>
        <v>1.6780009719120117</v>
      </c>
      <c r="AK41" s="173">
        <f t="shared" si="154"/>
        <v>1.7022229421570456</v>
      </c>
      <c r="AM41" s="545">
        <f t="shared" si="155"/>
        <v>360</v>
      </c>
      <c r="AN41" s="460">
        <f t="shared" si="156"/>
        <v>350</v>
      </c>
      <c r="AP41">
        <f t="shared" si="157"/>
        <v>360</v>
      </c>
      <c r="AQ41" s="460">
        <f t="shared" si="158"/>
        <v>350</v>
      </c>
      <c r="AR41" s="460"/>
      <c r="AS41" s="5">
        <f t="shared" si="101"/>
        <v>2.8571428571428572</v>
      </c>
      <c r="AT41" s="5">
        <f t="shared" si="159"/>
        <v>0.84045040064555832</v>
      </c>
      <c r="AU41" s="5">
        <f t="shared" si="102"/>
        <v>2.016692456497299</v>
      </c>
      <c r="AV41" s="5">
        <f t="shared" si="160"/>
        <v>1.2259485492423938</v>
      </c>
      <c r="AW41" s="173">
        <f t="shared" si="103"/>
        <v>0.29415764022594543</v>
      </c>
      <c r="AX41" s="173">
        <f t="shared" si="161"/>
        <v>5.9129432496490777</v>
      </c>
      <c r="AY41" s="173">
        <f t="shared" si="162"/>
        <v>0.59220208285876574</v>
      </c>
      <c r="AZ41" s="173">
        <f t="shared" si="104"/>
        <v>9.9846714842765181</v>
      </c>
      <c r="BA41" s="460">
        <f t="shared" si="163"/>
        <v>1.891013401452506</v>
      </c>
      <c r="BB41" s="5">
        <f t="shared" si="164"/>
        <v>0.40403551879012994</v>
      </c>
      <c r="BC41" s="5"/>
      <c r="BD41" s="173">
        <f t="shared" si="105"/>
        <v>0.52543820458959234</v>
      </c>
      <c r="BE41" s="173">
        <f t="shared" si="165"/>
        <v>0.81392697076389131</v>
      </c>
      <c r="BF41" s="173"/>
      <c r="BG41" s="528">
        <f t="shared" si="166"/>
        <v>5.5217061368466862E-3</v>
      </c>
      <c r="BH41" s="528">
        <f t="shared" si="167"/>
        <v>0.43328280696644988</v>
      </c>
      <c r="BI41" s="528">
        <f t="shared" si="168"/>
        <v>0.19286669833483763</v>
      </c>
      <c r="BJ41" s="528">
        <f t="shared" si="169"/>
        <v>0.28168968828774266</v>
      </c>
      <c r="BK41">
        <f t="shared" si="170"/>
        <v>1.0781368229897757E-2</v>
      </c>
      <c r="BL41" s="460">
        <f t="shared" si="106"/>
        <v>203.64806656473539</v>
      </c>
      <c r="BM41" s="528">
        <f t="shared" si="171"/>
        <v>0.7229335200134559</v>
      </c>
      <c r="BN41" s="460">
        <f t="shared" si="107"/>
        <v>722.9335200134559</v>
      </c>
      <c r="BO41" s="528">
        <f t="shared" si="172"/>
        <v>0.22364999999999999</v>
      </c>
      <c r="BP41" s="528"/>
      <c r="BR41" s="460">
        <f t="shared" si="109"/>
        <v>223.64999999999998</v>
      </c>
      <c r="BS41" s="528">
        <f t="shared" si="173"/>
        <v>8.2825592052700285E-3</v>
      </c>
      <c r="BT41" s="528">
        <f t="shared" si="174"/>
        <v>1.9874313412106531E-2</v>
      </c>
      <c r="BU41" s="528">
        <f t="shared" si="175"/>
        <v>8.6399999999999991E-2</v>
      </c>
      <c r="BV41" s="528">
        <f t="shared" si="176"/>
        <v>0.12158840598627536</v>
      </c>
      <c r="BW41" s="528">
        <f t="shared" si="177"/>
        <v>4.9274527080408982E-3</v>
      </c>
      <c r="BX41" s="460">
        <f t="shared" si="110"/>
        <v>126.51585869431625</v>
      </c>
      <c r="BY41" s="173">
        <f t="shared" si="45"/>
        <v>1.2767474452725078</v>
      </c>
      <c r="BZ41" s="5">
        <f t="shared" si="111"/>
        <v>5.76</v>
      </c>
      <c r="CA41" s="173">
        <f t="shared" si="112"/>
        <v>0.81856000159132269</v>
      </c>
      <c r="CB41" s="5">
        <f t="shared" si="113"/>
        <v>81.856000159132265</v>
      </c>
      <c r="CE41" s="562">
        <f t="shared" si="178"/>
        <v>-50</v>
      </c>
      <c r="CF41">
        <f t="shared" si="179"/>
        <v>-50</v>
      </c>
      <c r="CG41" s="173">
        <f t="shared" si="180"/>
        <v>0.43474130238568315</v>
      </c>
      <c r="CI41" s="170">
        <v>36</v>
      </c>
      <c r="CJ41" s="217">
        <f t="shared" si="114"/>
        <v>0.36</v>
      </c>
      <c r="CK41" s="217"/>
      <c r="CL41" s="217">
        <f t="shared" si="49"/>
        <v>5.76</v>
      </c>
      <c r="CM41" s="541">
        <f t="shared" si="50"/>
        <v>24</v>
      </c>
      <c r="CN41" s="172">
        <f t="shared" si="51"/>
        <v>16.399999999999999</v>
      </c>
      <c r="CO41" s="443">
        <f t="shared" si="52"/>
        <v>40.4</v>
      </c>
      <c r="CP41" s="443"/>
      <c r="CQ41" s="217">
        <f t="shared" si="53"/>
        <v>0.40594059405940591</v>
      </c>
      <c r="CR41" s="172">
        <f t="shared" si="54"/>
        <v>24.648712871287128</v>
      </c>
      <c r="CS41" s="172">
        <f t="shared" si="115"/>
        <v>5.76</v>
      </c>
      <c r="CT41" s="217">
        <f t="shared" si="55"/>
        <v>1.5405445544554455</v>
      </c>
      <c r="CU41" s="217">
        <f t="shared" si="56"/>
        <v>16</v>
      </c>
      <c r="CV41" s="217">
        <f t="shared" si="57"/>
        <v>1.5222772277227721</v>
      </c>
      <c r="CW41" s="172">
        <f t="shared" si="58"/>
        <v>142.73373680829832</v>
      </c>
      <c r="CX41" s="172">
        <f t="shared" si="59"/>
        <v>16</v>
      </c>
      <c r="CY41" s="217">
        <f t="shared" si="60"/>
        <v>1.1824390243902438</v>
      </c>
      <c r="CZ41" s="217">
        <f t="shared" si="61"/>
        <v>0.59121951219512203</v>
      </c>
      <c r="DA41" s="217">
        <f t="shared" si="62"/>
        <v>0.86519928613920294</v>
      </c>
      <c r="DB41" s="197">
        <f t="shared" si="63"/>
        <v>350</v>
      </c>
      <c r="DC41" s="443">
        <f t="shared" si="116"/>
        <v>350</v>
      </c>
      <c r="DE41" s="217">
        <f t="shared" si="64"/>
        <v>2.3196605374823194</v>
      </c>
      <c r="DF41" s="173">
        <f t="shared" si="65"/>
        <v>1.6973125884016973</v>
      </c>
      <c r="DG41" s="173">
        <f t="shared" si="66"/>
        <v>0.68900808044029282</v>
      </c>
      <c r="DH41" s="173"/>
      <c r="DI41" s="173">
        <f t="shared" si="67"/>
        <v>0.73170731707317083</v>
      </c>
      <c r="DJ41" s="545">
        <f t="shared" si="117"/>
        <v>983.99999999999989</v>
      </c>
      <c r="DK41" s="528">
        <f t="shared" si="68"/>
        <v>0.12804878048780488</v>
      </c>
      <c r="DM41" s="173">
        <f t="shared" si="69"/>
        <v>1.6767315144138526</v>
      </c>
      <c r="DN41" s="173">
        <f t="shared" si="70"/>
        <v>1.6767315144138526</v>
      </c>
      <c r="DO41" s="173">
        <f t="shared" si="71"/>
        <v>1.7012826032695205</v>
      </c>
      <c r="DQ41" s="545">
        <f t="shared" si="72"/>
        <v>360</v>
      </c>
      <c r="DR41" s="460">
        <f t="shared" si="73"/>
        <v>350</v>
      </c>
      <c r="DT41">
        <f t="shared" si="74"/>
        <v>360</v>
      </c>
      <c r="DU41" s="460">
        <f t="shared" si="75"/>
        <v>350</v>
      </c>
      <c r="DV41" s="460"/>
      <c r="DW41" s="5">
        <f t="shared" si="118"/>
        <v>2.8571428571428572</v>
      </c>
      <c r="DX41" s="5">
        <f t="shared" si="76"/>
        <v>0.8383657572069263</v>
      </c>
      <c r="DY41" s="5">
        <f t="shared" si="119"/>
        <v>2.0187770999359307</v>
      </c>
      <c r="DZ41" s="5">
        <f t="shared" si="77"/>
        <v>1.2268767178637947</v>
      </c>
      <c r="EA41" s="173">
        <f t="shared" si="120"/>
        <v>0.29342801502242422</v>
      </c>
      <c r="EB41" s="173">
        <f t="shared" si="78"/>
        <v>5.9039999999999999</v>
      </c>
      <c r="EC41" s="173">
        <f t="shared" si="79"/>
        <v>0.5923657572069263</v>
      </c>
      <c r="ED41" s="173">
        <f t="shared" si="121"/>
        <v>9.966815144477712</v>
      </c>
      <c r="EE41" s="460">
        <f t="shared" si="80"/>
        <v>1.8863229537155839</v>
      </c>
      <c r="EF41" s="5">
        <f t="shared" si="81"/>
        <v>0.40375541998718606</v>
      </c>
      <c r="EG41" s="5"/>
      <c r="EH41" s="173">
        <f t="shared" si="122"/>
        <v>0.52438913829700162</v>
      </c>
      <c r="EI41" s="173">
        <f t="shared" si="82"/>
        <v>0.8137314598680484</v>
      </c>
      <c r="EJ41" s="173"/>
      <c r="EK41" s="528">
        <f t="shared" si="83"/>
        <v>5.499679367277438E-3</v>
      </c>
      <c r="EL41" s="528">
        <f t="shared" si="84"/>
        <v>0.45047068866242562</v>
      </c>
      <c r="EM41" s="528">
        <f t="shared" si="85"/>
        <v>4.0250000000000001E-2</v>
      </c>
      <c r="EN41" s="528">
        <f t="shared" si="86"/>
        <v>0.28134357999999998</v>
      </c>
      <c r="EO41">
        <f t="shared" si="87"/>
        <v>1.0800000000000001E-2</v>
      </c>
      <c r="EP41" s="460">
        <f t="shared" si="123"/>
        <v>51.05</v>
      </c>
      <c r="EQ41" s="528">
        <f t="shared" si="88"/>
        <v>0.79088232623152521</v>
      </c>
      <c r="ER41" s="460">
        <f t="shared" si="124"/>
        <v>790.88232623152521</v>
      </c>
      <c r="ES41" s="528">
        <f t="shared" si="125"/>
        <v>0.22364999999999999</v>
      </c>
      <c r="ET41" s="528"/>
      <c r="EV41" s="460">
        <f t="shared" si="126"/>
        <v>223.64999999999998</v>
      </c>
      <c r="EW41" s="528">
        <f t="shared" si="89"/>
        <v>8.249519050916157E-3</v>
      </c>
      <c r="EX41" s="528">
        <f t="shared" si="90"/>
        <v>1.9864766663369556E-2</v>
      </c>
      <c r="EY41" s="528">
        <f t="shared" si="91"/>
        <v>0.41715642104557171</v>
      </c>
      <c r="EZ41" s="528">
        <f t="shared" si="92"/>
        <v>0.45303708044478924</v>
      </c>
      <c r="FA41" s="528">
        <f t="shared" si="93"/>
        <v>4.9199999999999999E-3</v>
      </c>
      <c r="FB41" s="460">
        <f t="shared" si="127"/>
        <v>457.9570804447892</v>
      </c>
      <c r="FC41" s="173">
        <f t="shared" si="128"/>
        <v>1.4724894066763143</v>
      </c>
      <c r="FD41" s="5">
        <f t="shared" si="129"/>
        <v>5.76</v>
      </c>
      <c r="FE41" s="173">
        <f t="shared" si="130"/>
        <v>0.79640628227992172</v>
      </c>
      <c r="FF41" s="5">
        <f t="shared" si="131"/>
        <v>79.640628227992167</v>
      </c>
      <c r="FI41" s="562">
        <f t="shared" si="94"/>
        <v>-50</v>
      </c>
      <c r="FJ41">
        <f t="shared" si="95"/>
        <v>-50</v>
      </c>
      <c r="FL41">
        <f t="shared" si="181"/>
        <v>0.42940685125232808</v>
      </c>
    </row>
    <row r="42" spans="5:168">
      <c r="E42" s="170">
        <v>37</v>
      </c>
      <c r="F42" s="217">
        <f t="shared" si="182"/>
        <v>0.37</v>
      </c>
      <c r="G42" s="217"/>
      <c r="H42" s="217">
        <f t="shared" si="132"/>
        <v>5.92</v>
      </c>
      <c r="I42" s="541">
        <f t="shared" si="133"/>
        <v>23.958024950721832</v>
      </c>
      <c r="J42" s="172">
        <f t="shared" si="134"/>
        <v>16.425185029566901</v>
      </c>
      <c r="K42" s="172">
        <f t="shared" si="135"/>
        <v>40.425185029566904</v>
      </c>
      <c r="L42" s="443"/>
      <c r="M42" s="217">
        <f t="shared" si="136"/>
        <v>0.40673761821540833</v>
      </c>
      <c r="N42" s="172">
        <f t="shared" si="137"/>
        <v>24.653913914172865</v>
      </c>
      <c r="O42" s="172">
        <f t="shared" si="98"/>
        <v>5.92</v>
      </c>
      <c r="P42" s="217">
        <f t="shared" si="138"/>
        <v>1.540869619635804</v>
      </c>
      <c r="Q42" s="217">
        <f t="shared" si="139"/>
        <v>16</v>
      </c>
      <c r="R42" s="217">
        <f t="shared" si="140"/>
        <v>1.5225984383753006</v>
      </c>
      <c r="S42" s="172">
        <f t="shared" si="141"/>
        <v>137.98976997884924</v>
      </c>
      <c r="T42" s="172">
        <f t="shared" si="142"/>
        <v>16</v>
      </c>
      <c r="U42" s="217">
        <f t="shared" si="143"/>
        <v>1.2473401697475019</v>
      </c>
      <c r="V42" s="217">
        <f t="shared" si="11"/>
        <v>0.62476277020986448</v>
      </c>
      <c r="W42" s="217">
        <f t="shared" si="144"/>
        <v>0.9112884883808644</v>
      </c>
      <c r="X42" s="197">
        <f t="shared" si="145"/>
        <v>350</v>
      </c>
      <c r="Y42" s="443">
        <f t="shared" si="14"/>
        <v>350</v>
      </c>
      <c r="AA42" s="217">
        <f t="shared" si="146"/>
        <v>2.3201237826471477</v>
      </c>
      <c r="AB42" s="173">
        <f t="shared" si="147"/>
        <v>1.6950485088386185</v>
      </c>
      <c r="AC42" s="173">
        <f t="shared" si="148"/>
        <v>0.68822641266698603</v>
      </c>
      <c r="AD42" s="173"/>
      <c r="AE42" s="173">
        <f t="shared" si="149"/>
        <v>0.73058537717528627</v>
      </c>
      <c r="AF42" s="545">
        <f t="shared" si="150"/>
        <v>1012.8864101566254</v>
      </c>
      <c r="AG42" s="528">
        <f t="shared" si="151"/>
        <v>0.12785244100567511</v>
      </c>
      <c r="AI42" s="173">
        <f t="shared" si="152"/>
        <v>1.7011646516066787</v>
      </c>
      <c r="AJ42" s="173">
        <f t="shared" si="153"/>
        <v>1.7011646516066787</v>
      </c>
      <c r="AK42" s="173">
        <f t="shared" si="154"/>
        <v>1.7193812234123547</v>
      </c>
      <c r="AM42" s="545">
        <f t="shared" si="155"/>
        <v>370</v>
      </c>
      <c r="AN42" s="460">
        <f t="shared" si="156"/>
        <v>350</v>
      </c>
      <c r="AP42">
        <f t="shared" si="157"/>
        <v>370</v>
      </c>
      <c r="AQ42" s="460">
        <f t="shared" si="158"/>
        <v>350</v>
      </c>
      <c r="AR42" s="460"/>
      <c r="AS42" s="5">
        <f t="shared" si="101"/>
        <v>2.8571428571428572</v>
      </c>
      <c r="AT42" s="5">
        <f t="shared" si="159"/>
        <v>0.85207256696946942</v>
      </c>
      <c r="AU42" s="5">
        <f t="shared" si="102"/>
        <v>2.0050702901733879</v>
      </c>
      <c r="AV42" s="5">
        <f t="shared" si="160"/>
        <v>1.2428460186313299</v>
      </c>
      <c r="AW42" s="173">
        <f t="shared" si="103"/>
        <v>0.29822539843931428</v>
      </c>
      <c r="AX42" s="173">
        <f t="shared" si="161"/>
        <v>6.0773184609397521</v>
      </c>
      <c r="AY42" s="173">
        <f t="shared" si="162"/>
        <v>0.5969170727851999</v>
      </c>
      <c r="AZ42" s="173">
        <f t="shared" si="104"/>
        <v>10.181177148415506</v>
      </c>
      <c r="BA42" s="460">
        <f t="shared" si="163"/>
        <v>1.970417811116898</v>
      </c>
      <c r="BB42" s="5">
        <f t="shared" si="164"/>
        <v>0.41287544021406009</v>
      </c>
      <c r="BC42" s="5"/>
      <c r="BD42" s="173">
        <f t="shared" si="105"/>
        <v>0.53636204301157331</v>
      </c>
      <c r="BE42" s="173">
        <f t="shared" si="165"/>
        <v>0.82278155228173533</v>
      </c>
      <c r="BF42" s="173"/>
      <c r="BG42" s="528">
        <f t="shared" si="166"/>
        <v>5.7536848236709763E-3</v>
      </c>
      <c r="BH42" s="528">
        <f t="shared" si="167"/>
        <v>0.43926770946694871</v>
      </c>
      <c r="BI42" s="528">
        <f t="shared" si="168"/>
        <v>0.19286210085331074</v>
      </c>
      <c r="BJ42" s="528">
        <f t="shared" si="169"/>
        <v>0.28169446390830488</v>
      </c>
      <c r="BK42">
        <f t="shared" si="170"/>
        <v>1.0781111227824824E-2</v>
      </c>
      <c r="BL42" s="460">
        <f t="shared" si="106"/>
        <v>203.64321208113557</v>
      </c>
      <c r="BM42" s="528">
        <f t="shared" si="171"/>
        <v>0.72926631522411955</v>
      </c>
      <c r="BN42" s="460">
        <f t="shared" si="107"/>
        <v>729.26631522411958</v>
      </c>
      <c r="BO42" s="528">
        <f t="shared" si="172"/>
        <v>0.2298625</v>
      </c>
      <c r="BP42" s="528"/>
      <c r="BR42" s="460">
        <f t="shared" si="109"/>
        <v>229.86250000000001</v>
      </c>
      <c r="BS42" s="528">
        <f t="shared" si="173"/>
        <v>8.630527235506464E-3</v>
      </c>
      <c r="BT42" s="528">
        <f t="shared" si="174"/>
        <v>2.0309084483254261E-2</v>
      </c>
      <c r="BU42" s="528">
        <f t="shared" si="175"/>
        <v>8.879999999999999E-2</v>
      </c>
      <c r="BV42" s="528">
        <f t="shared" si="176"/>
        <v>0.12497445550863798</v>
      </c>
      <c r="BW42" s="528">
        <f t="shared" si="177"/>
        <v>5.0644320507831266E-3</v>
      </c>
      <c r="BX42" s="460">
        <f t="shared" si="110"/>
        <v>130.03888755942111</v>
      </c>
      <c r="BY42" s="173">
        <f t="shared" si="45"/>
        <v>1.2928109148646763</v>
      </c>
      <c r="BZ42" s="5">
        <f t="shared" si="111"/>
        <v>5.92</v>
      </c>
      <c r="CA42" s="173">
        <f t="shared" si="112"/>
        <v>0.8207618458151511</v>
      </c>
      <c r="CB42" s="5">
        <f t="shared" si="113"/>
        <v>82.076184581515108</v>
      </c>
      <c r="CE42" s="562">
        <f t="shared" si="178"/>
        <v>-50</v>
      </c>
      <c r="CF42">
        <f t="shared" si="179"/>
        <v>-50</v>
      </c>
      <c r="CG42" s="173">
        <f t="shared" si="180"/>
        <v>0.44073801742078028</v>
      </c>
      <c r="CI42" s="170">
        <v>37</v>
      </c>
      <c r="CJ42" s="217">
        <f t="shared" si="114"/>
        <v>0.37</v>
      </c>
      <c r="CK42" s="217"/>
      <c r="CL42" s="217">
        <f t="shared" si="49"/>
        <v>5.92</v>
      </c>
      <c r="CM42" s="541">
        <f t="shared" si="50"/>
        <v>24</v>
      </c>
      <c r="CN42" s="172">
        <f t="shared" si="51"/>
        <v>16.399999999999999</v>
      </c>
      <c r="CO42" s="443">
        <f t="shared" si="52"/>
        <v>40.4</v>
      </c>
      <c r="CP42" s="443"/>
      <c r="CQ42" s="217">
        <f t="shared" si="53"/>
        <v>0.40594059405940591</v>
      </c>
      <c r="CR42" s="172">
        <f t="shared" si="54"/>
        <v>24.648712871287128</v>
      </c>
      <c r="CS42" s="172">
        <f t="shared" si="115"/>
        <v>5.92</v>
      </c>
      <c r="CT42" s="217">
        <f t="shared" si="55"/>
        <v>1.5405445544554455</v>
      </c>
      <c r="CU42" s="217">
        <f t="shared" si="56"/>
        <v>16</v>
      </c>
      <c r="CV42" s="217">
        <f t="shared" si="57"/>
        <v>1.5222772277227721</v>
      </c>
      <c r="CW42" s="172">
        <f t="shared" si="58"/>
        <v>138.23141053785679</v>
      </c>
      <c r="CX42" s="172">
        <f t="shared" si="59"/>
        <v>16</v>
      </c>
      <c r="CY42" s="217">
        <f t="shared" si="60"/>
        <v>1.2152845528455285</v>
      </c>
      <c r="CZ42" s="217">
        <f t="shared" si="61"/>
        <v>0.60764227642276425</v>
      </c>
      <c r="DA42" s="217">
        <f t="shared" si="62"/>
        <v>0.88923259964306978</v>
      </c>
      <c r="DB42" s="197">
        <f t="shared" si="63"/>
        <v>350</v>
      </c>
      <c r="DC42" s="443">
        <f t="shared" si="116"/>
        <v>350</v>
      </c>
      <c r="DE42" s="217">
        <f t="shared" si="64"/>
        <v>2.3196605374823194</v>
      </c>
      <c r="DF42" s="173">
        <f t="shared" si="65"/>
        <v>1.6973125884016973</v>
      </c>
      <c r="DG42" s="173">
        <f t="shared" si="66"/>
        <v>0.68900808044029282</v>
      </c>
      <c r="DH42" s="173"/>
      <c r="DI42" s="173">
        <f t="shared" si="67"/>
        <v>0.73170731707317083</v>
      </c>
      <c r="DJ42" s="545">
        <f t="shared" si="117"/>
        <v>1011.3333333333331</v>
      </c>
      <c r="DK42" s="528">
        <f t="shared" si="68"/>
        <v>0.12804878048780488</v>
      </c>
      <c r="DM42" s="173">
        <f t="shared" si="69"/>
        <v>1.6998599382077952</v>
      </c>
      <c r="DN42" s="173">
        <f t="shared" si="70"/>
        <v>1.6998599382077952</v>
      </c>
      <c r="DO42" s="173">
        <f t="shared" si="71"/>
        <v>1.7184147690428113</v>
      </c>
      <c r="DQ42" s="545">
        <f t="shared" si="72"/>
        <v>370</v>
      </c>
      <c r="DR42" s="460">
        <f t="shared" si="73"/>
        <v>350</v>
      </c>
      <c r="DT42">
        <f t="shared" si="74"/>
        <v>370</v>
      </c>
      <c r="DU42" s="460">
        <f t="shared" si="75"/>
        <v>350</v>
      </c>
      <c r="DV42" s="460"/>
      <c r="DW42" s="5">
        <f t="shared" si="118"/>
        <v>2.8571428571428572</v>
      </c>
      <c r="DX42" s="5">
        <f t="shared" si="76"/>
        <v>0.84992996910389773</v>
      </c>
      <c r="DY42" s="5">
        <f t="shared" si="119"/>
        <v>2.0072128880389597</v>
      </c>
      <c r="DZ42" s="5">
        <f t="shared" si="77"/>
        <v>1.2437999547861918</v>
      </c>
      <c r="EA42" s="173">
        <f t="shared" si="120"/>
        <v>0.29747548918636418</v>
      </c>
      <c r="EB42" s="173">
        <f t="shared" si="78"/>
        <v>6.0679999999999996</v>
      </c>
      <c r="EC42" s="173">
        <f t="shared" si="79"/>
        <v>0.59709663577056427</v>
      </c>
      <c r="ED42" s="173">
        <f t="shared" si="121"/>
        <v>10.162509109047539</v>
      </c>
      <c r="EE42" s="460">
        <f t="shared" si="80"/>
        <v>1.9654630535527635</v>
      </c>
      <c r="EF42" s="5">
        <f t="shared" si="81"/>
        <v>0.41259376031911943</v>
      </c>
      <c r="EG42" s="5"/>
      <c r="EH42" s="173">
        <f t="shared" si="122"/>
        <v>0.53527641107305224</v>
      </c>
      <c r="EI42" s="173">
        <f t="shared" si="82"/>
        <v>0.82258967105316594</v>
      </c>
      <c r="EJ42" s="173"/>
      <c r="EK42" s="528">
        <f t="shared" si="83"/>
        <v>5.7304167250249441E-3</v>
      </c>
      <c r="EL42" s="528">
        <f t="shared" si="84"/>
        <v>0.45668437099890635</v>
      </c>
      <c r="EM42" s="528">
        <f t="shared" si="85"/>
        <v>4.0250000000000001E-2</v>
      </c>
      <c r="EN42" s="528">
        <f t="shared" si="86"/>
        <v>0.28134357999999998</v>
      </c>
      <c r="EO42">
        <f t="shared" si="87"/>
        <v>1.0800000000000001E-2</v>
      </c>
      <c r="EP42" s="460">
        <f t="shared" si="123"/>
        <v>51.05</v>
      </c>
      <c r="EQ42" s="528">
        <f t="shared" si="88"/>
        <v>0.79744133410687457</v>
      </c>
      <c r="ER42" s="460">
        <f t="shared" si="124"/>
        <v>797.44133410687459</v>
      </c>
      <c r="ES42" s="528">
        <f t="shared" si="125"/>
        <v>0.2298625</v>
      </c>
      <c r="ET42" s="528"/>
      <c r="EV42" s="460">
        <f t="shared" si="126"/>
        <v>229.86250000000001</v>
      </c>
      <c r="EW42" s="528">
        <f t="shared" si="89"/>
        <v>8.5956250875374157E-3</v>
      </c>
      <c r="EX42" s="528">
        <f t="shared" si="90"/>
        <v>2.0299613007700671E-2</v>
      </c>
      <c r="EY42" s="528">
        <f t="shared" si="91"/>
        <v>0.43169096766009485</v>
      </c>
      <c r="EZ42" s="528">
        <f t="shared" si="92"/>
        <v>0.4686042975181291</v>
      </c>
      <c r="FA42" s="528">
        <f t="shared" si="93"/>
        <v>5.0566666666666659E-3</v>
      </c>
      <c r="FB42" s="460">
        <f t="shared" si="127"/>
        <v>473.66096418479577</v>
      </c>
      <c r="FC42" s="173">
        <f t="shared" si="128"/>
        <v>1.5009647982916703</v>
      </c>
      <c r="FD42" s="5">
        <f t="shared" si="129"/>
        <v>5.92</v>
      </c>
      <c r="FE42" s="173">
        <f t="shared" si="130"/>
        <v>0.79773993825746248</v>
      </c>
      <c r="FF42" s="5">
        <f t="shared" si="131"/>
        <v>79.773993825746246</v>
      </c>
      <c r="FI42" s="562">
        <f t="shared" si="94"/>
        <v>-50</v>
      </c>
      <c r="FJ42">
        <f t="shared" si="95"/>
        <v>-50</v>
      </c>
      <c r="FL42">
        <f t="shared" si="181"/>
        <v>0.43532998417516711</v>
      </c>
    </row>
    <row r="43" spans="5:168">
      <c r="E43" s="170">
        <v>38</v>
      </c>
      <c r="F43" s="217">
        <f t="shared" si="182"/>
        <v>0.38</v>
      </c>
      <c r="G43" s="217"/>
      <c r="H43" s="217">
        <f t="shared" si="132"/>
        <v>6.08</v>
      </c>
      <c r="I43" s="541">
        <f t="shared" si="133"/>
        <v>23.957461502030235</v>
      </c>
      <c r="J43" s="172">
        <f t="shared" si="134"/>
        <v>16.425523098781859</v>
      </c>
      <c r="K43" s="172">
        <f t="shared" si="135"/>
        <v>40.425523098781859</v>
      </c>
      <c r="L43" s="443"/>
      <c r="M43" s="217">
        <f t="shared" si="136"/>
        <v>0.40674832142884715</v>
      </c>
      <c r="N43" s="172">
        <f t="shared" si="137"/>
        <v>24.65398284666697</v>
      </c>
      <c r="O43" s="172">
        <f t="shared" si="98"/>
        <v>6.08</v>
      </c>
      <c r="P43" s="217">
        <f t="shared" si="138"/>
        <v>1.5408739279166856</v>
      </c>
      <c r="Q43" s="217">
        <f t="shared" si="139"/>
        <v>16</v>
      </c>
      <c r="R43" s="217">
        <f t="shared" si="140"/>
        <v>1.5226026955698477</v>
      </c>
      <c r="S43" s="172">
        <f t="shared" si="141"/>
        <v>133.72886290414684</v>
      </c>
      <c r="T43" s="172">
        <f t="shared" si="142"/>
        <v>16</v>
      </c>
      <c r="U43" s="217">
        <f t="shared" si="143"/>
        <v>1.2810751784646621</v>
      </c>
      <c r="V43" s="217">
        <f t="shared" si="11"/>
        <v>0.64167491786528363</v>
      </c>
      <c r="W43" s="217">
        <f t="shared" si="144"/>
        <v>0.93591552908996989</v>
      </c>
      <c r="X43" s="197">
        <f t="shared" si="145"/>
        <v>350</v>
      </c>
      <c r="Y43" s="443">
        <f t="shared" si="14"/>
        <v>350</v>
      </c>
      <c r="AA43" s="217">
        <f t="shared" si="146"/>
        <v>2.3201299188122793</v>
      </c>
      <c r="AB43" s="173">
        <f t="shared" si="147"/>
        <v>1.6950181043434849</v>
      </c>
      <c r="AC43" s="173">
        <f t="shared" si="148"/>
        <v>0.68821588794276378</v>
      </c>
      <c r="AD43" s="173"/>
      <c r="AE43" s="173">
        <f t="shared" si="149"/>
        <v>0.73057034030714907</v>
      </c>
      <c r="AF43" s="545">
        <f t="shared" si="150"/>
        <v>1040.2831295895178</v>
      </c>
      <c r="AG43" s="528">
        <f t="shared" si="151"/>
        <v>0.12784980955375111</v>
      </c>
      <c r="AI43" s="173">
        <f t="shared" si="152"/>
        <v>1.7240178401376558</v>
      </c>
      <c r="AJ43" s="173">
        <f t="shared" si="153"/>
        <v>1.7240178401376558</v>
      </c>
      <c r="AK43" s="173">
        <f t="shared" si="154"/>
        <v>1.7363095112130784</v>
      </c>
      <c r="AM43" s="545">
        <f t="shared" si="155"/>
        <v>380</v>
      </c>
      <c r="AN43" s="460">
        <f t="shared" si="156"/>
        <v>350</v>
      </c>
      <c r="AP43">
        <f t="shared" si="157"/>
        <v>380</v>
      </c>
      <c r="AQ43" s="460">
        <f t="shared" si="158"/>
        <v>350</v>
      </c>
      <c r="AR43" s="460"/>
      <c r="AS43" s="5">
        <f t="shared" si="101"/>
        <v>2.8571428571428572</v>
      </c>
      <c r="AT43" s="5">
        <f t="shared" si="159"/>
        <v>0.86353948977017791</v>
      </c>
      <c r="AU43" s="5">
        <f t="shared" si="102"/>
        <v>1.9936033673726792</v>
      </c>
      <c r="AV43" s="5">
        <f t="shared" si="160"/>
        <v>1.2595163001649632</v>
      </c>
      <c r="AW43" s="173">
        <f t="shared" si="103"/>
        <v>0.30223882141956226</v>
      </c>
      <c r="AX43" s="173">
        <f t="shared" si="161"/>
        <v>6.2416987775371053</v>
      </c>
      <c r="AY43" s="173">
        <f t="shared" si="162"/>
        <v>0.60147636001407567</v>
      </c>
      <c r="AZ43" s="173">
        <f t="shared" si="104"/>
        <v>10.377296918853199</v>
      </c>
      <c r="BA43" s="460">
        <f t="shared" si="163"/>
        <v>2.0509062882041729</v>
      </c>
      <c r="BB43" s="5">
        <f t="shared" si="164"/>
        <v>0.42161911549625519</v>
      </c>
      <c r="BC43" s="5"/>
      <c r="BD43" s="173">
        <f t="shared" si="105"/>
        <v>0.54721280532721939</v>
      </c>
      <c r="BE43" s="173">
        <f t="shared" si="165"/>
        <v>0.83144692157119526</v>
      </c>
      <c r="BF43" s="173"/>
      <c r="BG43" s="528">
        <f t="shared" si="166"/>
        <v>5.9888370862817069E-3</v>
      </c>
      <c r="BH43" s="528">
        <f t="shared" si="167"/>
        <v>0.44517248828511968</v>
      </c>
      <c r="BI43" s="528">
        <f t="shared" si="168"/>
        <v>0.19285756509134341</v>
      </c>
      <c r="BJ43" s="528">
        <f t="shared" si="169"/>
        <v>0.28169917545752388</v>
      </c>
      <c r="BK43">
        <f t="shared" si="170"/>
        <v>1.0780857675913606E-2</v>
      </c>
      <c r="BL43" s="460">
        <f t="shared" si="106"/>
        <v>203.63842276725703</v>
      </c>
      <c r="BM43" s="528">
        <f t="shared" si="171"/>
        <v>0.73552409916131301</v>
      </c>
      <c r="BN43" s="460">
        <f t="shared" si="107"/>
        <v>735.52409916131296</v>
      </c>
      <c r="BO43" s="528">
        <f t="shared" si="172"/>
        <v>0.23607499999999995</v>
      </c>
      <c r="BP43" s="528"/>
      <c r="BR43" s="460">
        <f t="shared" si="109"/>
        <v>236.07499999999996</v>
      </c>
      <c r="BS43" s="528">
        <f t="shared" si="173"/>
        <v>8.98325562942256E-3</v>
      </c>
      <c r="BT43" s="528">
        <f t="shared" si="174"/>
        <v>2.073911950170652E-2</v>
      </c>
      <c r="BU43" s="528">
        <f t="shared" si="175"/>
        <v>9.1200000000000003E-2</v>
      </c>
      <c r="BV43" s="528">
        <f t="shared" si="176"/>
        <v>0.12836096057238602</v>
      </c>
      <c r="BW43" s="528">
        <f t="shared" si="177"/>
        <v>5.201415647947588E-3</v>
      </c>
      <c r="BX43" s="460">
        <f t="shared" si="110"/>
        <v>133.56237622033362</v>
      </c>
      <c r="BY43" s="173">
        <f t="shared" si="45"/>
        <v>1.3087998981489035</v>
      </c>
      <c r="BZ43" s="5">
        <f t="shared" si="111"/>
        <v>6.08</v>
      </c>
      <c r="CA43" s="173">
        <f t="shared" si="112"/>
        <v>0.82286705335235921</v>
      </c>
      <c r="CB43" s="5">
        <f t="shared" si="113"/>
        <v>82.286705335235922</v>
      </c>
      <c r="CE43" s="562">
        <f t="shared" si="178"/>
        <v>-50</v>
      </c>
      <c r="CF43">
        <f t="shared" si="179"/>
        <v>-50</v>
      </c>
      <c r="CG43" s="173">
        <f t="shared" si="180"/>
        <v>0.4466542286825459</v>
      </c>
      <c r="CI43" s="170">
        <v>38</v>
      </c>
      <c r="CJ43" s="217">
        <f t="shared" si="114"/>
        <v>0.38</v>
      </c>
      <c r="CK43" s="217"/>
      <c r="CL43" s="217">
        <f t="shared" si="49"/>
        <v>6.08</v>
      </c>
      <c r="CM43" s="541">
        <f t="shared" si="50"/>
        <v>24</v>
      </c>
      <c r="CN43" s="172">
        <f t="shared" si="51"/>
        <v>16.399999999999999</v>
      </c>
      <c r="CO43" s="443">
        <f t="shared" si="52"/>
        <v>40.4</v>
      </c>
      <c r="CP43" s="443"/>
      <c r="CQ43" s="217">
        <f t="shared" si="53"/>
        <v>0.40594059405940591</v>
      </c>
      <c r="CR43" s="172">
        <f t="shared" si="54"/>
        <v>24.648712871287128</v>
      </c>
      <c r="CS43" s="172">
        <f t="shared" si="115"/>
        <v>6.08</v>
      </c>
      <c r="CT43" s="217">
        <f t="shared" si="55"/>
        <v>1.5405445544554455</v>
      </c>
      <c r="CU43" s="217">
        <f t="shared" si="56"/>
        <v>16</v>
      </c>
      <c r="CV43" s="217">
        <f t="shared" si="57"/>
        <v>1.5222772277227721</v>
      </c>
      <c r="CW43" s="172">
        <f t="shared" si="58"/>
        <v>133.9661833903198</v>
      </c>
      <c r="CX43" s="172">
        <f t="shared" si="59"/>
        <v>16</v>
      </c>
      <c r="CY43" s="217">
        <f t="shared" si="60"/>
        <v>1.2481300813008132</v>
      </c>
      <c r="CZ43" s="217">
        <f t="shared" si="61"/>
        <v>0.62406504065040658</v>
      </c>
      <c r="DA43" s="217">
        <f t="shared" si="62"/>
        <v>0.9132659131469365</v>
      </c>
      <c r="DB43" s="197">
        <f t="shared" si="63"/>
        <v>350</v>
      </c>
      <c r="DC43" s="443">
        <f t="shared" si="116"/>
        <v>350</v>
      </c>
      <c r="DE43" s="217">
        <f t="shared" si="64"/>
        <v>2.3196605374823194</v>
      </c>
      <c r="DF43" s="173">
        <f t="shared" si="65"/>
        <v>1.6973125884016973</v>
      </c>
      <c r="DG43" s="173">
        <f t="shared" si="66"/>
        <v>0.68900808044029282</v>
      </c>
      <c r="DH43" s="173"/>
      <c r="DI43" s="173">
        <f t="shared" si="67"/>
        <v>0.73170731707317083</v>
      </c>
      <c r="DJ43" s="545">
        <f t="shared" si="117"/>
        <v>1038.6666666666665</v>
      </c>
      <c r="DK43" s="528">
        <f t="shared" si="68"/>
        <v>0.12804878048780488</v>
      </c>
      <c r="DM43" s="173">
        <f t="shared" si="69"/>
        <v>1.7226778711120216</v>
      </c>
      <c r="DN43" s="173">
        <f t="shared" si="70"/>
        <v>1.7226778711120216</v>
      </c>
      <c r="DO43" s="173">
        <f t="shared" si="71"/>
        <v>1.7353169415644603</v>
      </c>
      <c r="DQ43" s="545">
        <f t="shared" si="72"/>
        <v>380</v>
      </c>
      <c r="DR43" s="460">
        <f t="shared" si="73"/>
        <v>350</v>
      </c>
      <c r="DT43">
        <f t="shared" si="74"/>
        <v>380</v>
      </c>
      <c r="DU43" s="460">
        <f t="shared" si="75"/>
        <v>350</v>
      </c>
      <c r="DV43" s="460"/>
      <c r="DW43" s="5">
        <f t="shared" si="118"/>
        <v>2.8571428571428572</v>
      </c>
      <c r="DX43" s="5">
        <f t="shared" si="76"/>
        <v>0.86133893555601071</v>
      </c>
      <c r="DY43" s="5">
        <f t="shared" si="119"/>
        <v>1.9958039215868464</v>
      </c>
      <c r="DZ43" s="5">
        <f t="shared" si="77"/>
        <v>1.2604960032526988</v>
      </c>
      <c r="EA43" s="173">
        <f t="shared" si="120"/>
        <v>0.30146862744460373</v>
      </c>
      <c r="EB43" s="173">
        <f t="shared" si="78"/>
        <v>6.2319999999999984</v>
      </c>
      <c r="EC43" s="173">
        <f t="shared" si="79"/>
        <v>0.60167226888934433</v>
      </c>
      <c r="ED43" s="173">
        <f t="shared" si="121"/>
        <v>10.357798293585885</v>
      </c>
      <c r="EE43" s="460">
        <f t="shared" si="80"/>
        <v>2.0456799719455252</v>
      </c>
      <c r="EF43" s="5">
        <f t="shared" si="81"/>
        <v>0.42133638344611196</v>
      </c>
      <c r="EG43" s="5"/>
      <c r="EH43" s="173">
        <f t="shared" si="122"/>
        <v>0.54609035914830562</v>
      </c>
      <c r="EI43" s="173">
        <f t="shared" si="82"/>
        <v>0.8312590864776298</v>
      </c>
      <c r="EJ43" s="173"/>
      <c r="EK43" s="528">
        <f t="shared" si="83"/>
        <v>5.9642936070945091E-3</v>
      </c>
      <c r="EL43" s="528">
        <f t="shared" si="84"/>
        <v>0.46281463685295571</v>
      </c>
      <c r="EM43" s="528">
        <f t="shared" si="85"/>
        <v>4.0250000000000001E-2</v>
      </c>
      <c r="EN43" s="528">
        <f t="shared" si="86"/>
        <v>0.28134357999999998</v>
      </c>
      <c r="EO43">
        <f t="shared" si="87"/>
        <v>1.0800000000000001E-2</v>
      </c>
      <c r="EP43" s="460">
        <f t="shared" si="123"/>
        <v>51.05</v>
      </c>
      <c r="EQ43" s="528">
        <f t="shared" si="88"/>
        <v>0.80392212076352176</v>
      </c>
      <c r="ER43" s="460">
        <f t="shared" si="124"/>
        <v>803.92212076352178</v>
      </c>
      <c r="ES43" s="528">
        <f t="shared" si="125"/>
        <v>0.23607499999999995</v>
      </c>
      <c r="ET43" s="528"/>
      <c r="EV43" s="460">
        <f t="shared" si="126"/>
        <v>236.07499999999996</v>
      </c>
      <c r="EW43" s="528">
        <f t="shared" si="89"/>
        <v>8.9464404106417619E-3</v>
      </c>
      <c r="EX43" s="528">
        <f t="shared" si="90"/>
        <v>2.072975006554871E-2</v>
      </c>
      <c r="EY43" s="528">
        <f t="shared" si="91"/>
        <v>0.4463240637326798</v>
      </c>
      <c r="EZ43" s="528">
        <f t="shared" si="92"/>
        <v>0.48427224836193378</v>
      </c>
      <c r="FA43" s="528">
        <f t="shared" si="93"/>
        <v>5.1933333333333328E-3</v>
      </c>
      <c r="FB43" s="460">
        <f t="shared" si="127"/>
        <v>489.46558169526713</v>
      </c>
      <c r="FC43" s="173">
        <f t="shared" si="128"/>
        <v>1.5294627024587888</v>
      </c>
      <c r="FD43" s="5">
        <f t="shared" si="129"/>
        <v>6.08</v>
      </c>
      <c r="FE43" s="173">
        <f t="shared" si="130"/>
        <v>0.79900516471884608</v>
      </c>
      <c r="FF43" s="5">
        <f t="shared" si="131"/>
        <v>79.900516471884615</v>
      </c>
      <c r="FI43" s="562">
        <f t="shared" si="94"/>
        <v>-50</v>
      </c>
      <c r="FJ43">
        <f t="shared" si="95"/>
        <v>-50</v>
      </c>
      <c r="FL43">
        <f t="shared" si="181"/>
        <v>0.44117360113844467</v>
      </c>
    </row>
    <row r="44" spans="5:168">
      <c r="E44" s="170">
        <v>39</v>
      </c>
      <c r="F44" s="217">
        <f t="shared" si="182"/>
        <v>0.39</v>
      </c>
      <c r="G44" s="217"/>
      <c r="H44" s="217">
        <f t="shared" si="132"/>
        <v>6.24</v>
      </c>
      <c r="I44" s="541">
        <f t="shared" si="133"/>
        <v>23.956905419631433</v>
      </c>
      <c r="J44" s="172">
        <f t="shared" si="134"/>
        <v>16.42585674822114</v>
      </c>
      <c r="K44" s="172">
        <f t="shared" si="135"/>
        <v>40.425856748221136</v>
      </c>
      <c r="L44" s="443"/>
      <c r="M44" s="217">
        <f t="shared" si="136"/>
        <v>0.40675888482789974</v>
      </c>
      <c r="N44" s="172">
        <f t="shared" si="137"/>
        <v>24.654050855014372</v>
      </c>
      <c r="O44" s="172">
        <f t="shared" si="98"/>
        <v>6.24</v>
      </c>
      <c r="P44" s="217">
        <f t="shared" si="138"/>
        <v>1.5408781784383982</v>
      </c>
      <c r="Q44" s="217">
        <f t="shared" si="139"/>
        <v>16</v>
      </c>
      <c r="R44" s="217">
        <f t="shared" si="140"/>
        <v>1.5226068956901171</v>
      </c>
      <c r="S44" s="172">
        <f t="shared" si="141"/>
        <v>129.6866655625997</v>
      </c>
      <c r="T44" s="172">
        <f t="shared" si="142"/>
        <v>16</v>
      </c>
      <c r="U44" s="217">
        <f t="shared" si="143"/>
        <v>1.3148110945980549</v>
      </c>
      <c r="V44" s="217">
        <f t="shared" si="11"/>
        <v>0.65858811306437071</v>
      </c>
      <c r="W44" s="217">
        <f t="shared" si="144"/>
        <v>0.96054247745009291</v>
      </c>
      <c r="X44" s="197">
        <f t="shared" si="145"/>
        <v>350</v>
      </c>
      <c r="Y44" s="443">
        <f t="shared" si="14"/>
        <v>350</v>
      </c>
      <c r="AA44" s="217">
        <f t="shared" si="146"/>
        <v>2.3201359726205832</v>
      </c>
      <c r="AB44" s="173">
        <f t="shared" si="147"/>
        <v>1.6949880970112654</v>
      </c>
      <c r="AC44" s="173">
        <f t="shared" si="148"/>
        <v>0.68820549998192015</v>
      </c>
      <c r="AD44" s="173"/>
      <c r="AE44" s="173">
        <f t="shared" si="149"/>
        <v>0.730555500631622</v>
      </c>
      <c r="AF44" s="545">
        <f t="shared" si="150"/>
        <v>1067.6806886343738</v>
      </c>
      <c r="AG44" s="528">
        <f t="shared" si="151"/>
        <v>0.12784721261053383</v>
      </c>
      <c r="AI44" s="173">
        <f t="shared" si="152"/>
        <v>1.7465727162763849</v>
      </c>
      <c r="AJ44" s="173">
        <f t="shared" si="153"/>
        <v>1.7465727162763849</v>
      </c>
      <c r="AK44" s="173">
        <f t="shared" si="154"/>
        <v>1.7530168268713961</v>
      </c>
      <c r="AM44" s="545">
        <f t="shared" si="155"/>
        <v>390</v>
      </c>
      <c r="AN44" s="460">
        <f t="shared" si="156"/>
        <v>350</v>
      </c>
      <c r="AP44">
        <f t="shared" si="157"/>
        <v>390</v>
      </c>
      <c r="AQ44" s="460">
        <f t="shared" si="158"/>
        <v>350</v>
      </c>
      <c r="AR44" s="460"/>
      <c r="AS44" s="5">
        <f t="shared" si="101"/>
        <v>2.8571428571428572</v>
      </c>
      <c r="AT44" s="5">
        <f t="shared" si="159"/>
        <v>0.87485725840625139</v>
      </c>
      <c r="AU44" s="5">
        <f t="shared" si="102"/>
        <v>1.9822855987366057</v>
      </c>
      <c r="AV44" s="5">
        <f t="shared" si="160"/>
        <v>1.2759683051288262</v>
      </c>
      <c r="AW44" s="173">
        <f t="shared" si="103"/>
        <v>0.30620004044218796</v>
      </c>
      <c r="AX44" s="173">
        <f t="shared" si="161"/>
        <v>6.4060841318062458</v>
      </c>
      <c r="AY44" s="173">
        <f t="shared" si="162"/>
        <v>0.60588603995866686</v>
      </c>
      <c r="AZ44" s="173">
        <f t="shared" si="104"/>
        <v>10.573084225943322</v>
      </c>
      <c r="BA44" s="460">
        <f t="shared" si="163"/>
        <v>2.132464567365238</v>
      </c>
      <c r="BB44" s="5">
        <f t="shared" si="164"/>
        <v>0.43026780516416679</v>
      </c>
      <c r="BC44" s="5"/>
      <c r="BD44" s="173">
        <f t="shared" si="105"/>
        <v>0.55799289126653673</v>
      </c>
      <c r="BE44" s="173">
        <f t="shared" si="165"/>
        <v>0.83993016636882811</v>
      </c>
      <c r="BF44" s="173"/>
      <c r="BG44" s="528">
        <f t="shared" si="166"/>
        <v>6.2271213340797816E-3</v>
      </c>
      <c r="BH44" s="528">
        <f t="shared" si="167"/>
        <v>0.4510002862123032</v>
      </c>
      <c r="BI44" s="528">
        <f t="shared" si="168"/>
        <v>0.19285308862803305</v>
      </c>
      <c r="BJ44" s="528">
        <f t="shared" si="169"/>
        <v>0.28170382544854916</v>
      </c>
      <c r="BK44">
        <f t="shared" si="170"/>
        <v>1.0780607438834144E-2</v>
      </c>
      <c r="BL44" s="460">
        <f t="shared" si="106"/>
        <v>203.63369606686717</v>
      </c>
      <c r="BM44" s="528">
        <f t="shared" si="171"/>
        <v>0.7417099631365246</v>
      </c>
      <c r="BN44" s="460">
        <f t="shared" si="107"/>
        <v>741.70996313652461</v>
      </c>
      <c r="BO44" s="528">
        <f t="shared" si="172"/>
        <v>0.24228749999999996</v>
      </c>
      <c r="BP44" s="528"/>
      <c r="BR44" s="460">
        <f t="shared" si="109"/>
        <v>242.28749999999997</v>
      </c>
      <c r="BS44" s="528">
        <f t="shared" si="173"/>
        <v>9.3406820011196715E-3</v>
      </c>
      <c r="BT44" s="528">
        <f t="shared" si="174"/>
        <v>2.1164480531291018E-2</v>
      </c>
      <c r="BU44" s="528">
        <f t="shared" si="175"/>
        <v>9.3600000000000003E-2</v>
      </c>
      <c r="BV44" s="528">
        <f t="shared" si="176"/>
        <v>0.13174792087936785</v>
      </c>
      <c r="BW44" s="528">
        <f t="shared" si="177"/>
        <v>5.3384034431718718E-3</v>
      </c>
      <c r="BX44" s="460">
        <f t="shared" si="110"/>
        <v>137.08632432253972</v>
      </c>
      <c r="BY44" s="173">
        <f t="shared" si="45"/>
        <v>1.3247174835259314</v>
      </c>
      <c r="BZ44" s="5">
        <f t="shared" si="111"/>
        <v>6.24</v>
      </c>
      <c r="CA44" s="173">
        <f t="shared" si="112"/>
        <v>0.82488209422085679</v>
      </c>
      <c r="CB44" s="5">
        <f t="shared" si="113"/>
        <v>82.488209422085674</v>
      </c>
      <c r="CE44" s="562">
        <f t="shared" si="178"/>
        <v>-50</v>
      </c>
      <c r="CF44">
        <f t="shared" si="179"/>
        <v>-50</v>
      </c>
      <c r="CG44" s="173">
        <f t="shared" si="180"/>
        <v>0.45249309386995068</v>
      </c>
      <c r="CI44" s="170">
        <v>39</v>
      </c>
      <c r="CJ44" s="217">
        <f t="shared" si="114"/>
        <v>0.39</v>
      </c>
      <c r="CK44" s="217"/>
      <c r="CL44" s="217">
        <f t="shared" si="49"/>
        <v>6.24</v>
      </c>
      <c r="CM44" s="541">
        <f t="shared" si="50"/>
        <v>24</v>
      </c>
      <c r="CN44" s="172">
        <f t="shared" si="51"/>
        <v>16.399999999999999</v>
      </c>
      <c r="CO44" s="443">
        <f t="shared" si="52"/>
        <v>40.4</v>
      </c>
      <c r="CP44" s="443"/>
      <c r="CQ44" s="217">
        <f t="shared" si="53"/>
        <v>0.40594059405940591</v>
      </c>
      <c r="CR44" s="172">
        <f t="shared" si="54"/>
        <v>24.648712871287128</v>
      </c>
      <c r="CS44" s="172">
        <f t="shared" si="115"/>
        <v>6.24</v>
      </c>
      <c r="CT44" s="217">
        <f t="shared" si="55"/>
        <v>1.5405445544554455</v>
      </c>
      <c r="CU44" s="217">
        <f t="shared" si="56"/>
        <v>16</v>
      </c>
      <c r="CV44" s="217">
        <f t="shared" si="57"/>
        <v>1.5222772277227721</v>
      </c>
      <c r="CW44" s="172">
        <f t="shared" si="58"/>
        <v>129.91981877364023</v>
      </c>
      <c r="CX44" s="172">
        <f t="shared" si="59"/>
        <v>16</v>
      </c>
      <c r="CY44" s="217">
        <f t="shared" si="60"/>
        <v>1.2809756097560976</v>
      </c>
      <c r="CZ44" s="217">
        <f t="shared" si="61"/>
        <v>0.64048780487804868</v>
      </c>
      <c r="DA44" s="217">
        <f t="shared" si="62"/>
        <v>0.93729922665080312</v>
      </c>
      <c r="DB44" s="197">
        <f t="shared" si="63"/>
        <v>350</v>
      </c>
      <c r="DC44" s="443">
        <f t="shared" si="116"/>
        <v>350</v>
      </c>
      <c r="DE44" s="217">
        <f t="shared" si="64"/>
        <v>2.3196605374823194</v>
      </c>
      <c r="DF44" s="173">
        <f t="shared" si="65"/>
        <v>1.6973125884016973</v>
      </c>
      <c r="DG44" s="173">
        <f t="shared" si="66"/>
        <v>0.68900808044029282</v>
      </c>
      <c r="DH44" s="173"/>
      <c r="DI44" s="173">
        <f t="shared" si="67"/>
        <v>0.73170731707317083</v>
      </c>
      <c r="DJ44" s="545">
        <f t="shared" si="117"/>
        <v>1066</v>
      </c>
      <c r="DK44" s="528">
        <f t="shared" si="68"/>
        <v>0.12804878048780488</v>
      </c>
      <c r="DM44" s="173">
        <f t="shared" si="69"/>
        <v>1.7451974918943374</v>
      </c>
      <c r="DN44" s="173">
        <f t="shared" si="70"/>
        <v>1.7451974918943374</v>
      </c>
      <c r="DO44" s="173">
        <f t="shared" si="71"/>
        <v>1.7519981421439534</v>
      </c>
      <c r="DQ44" s="545">
        <f t="shared" si="72"/>
        <v>390</v>
      </c>
      <c r="DR44" s="460">
        <f t="shared" si="73"/>
        <v>350</v>
      </c>
      <c r="DT44">
        <f t="shared" si="74"/>
        <v>390</v>
      </c>
      <c r="DU44" s="460">
        <f t="shared" si="75"/>
        <v>350</v>
      </c>
      <c r="DV44" s="460"/>
      <c r="DW44" s="5">
        <f t="shared" si="118"/>
        <v>2.8571428571428572</v>
      </c>
      <c r="DX44" s="5">
        <f t="shared" si="76"/>
        <v>0.87259874594716869</v>
      </c>
      <c r="DY44" s="5">
        <f t="shared" si="119"/>
        <v>1.9845441111956885</v>
      </c>
      <c r="DZ44" s="5">
        <f t="shared" si="77"/>
        <v>1.2769737745568321</v>
      </c>
      <c r="EA44" s="173">
        <f t="shared" si="120"/>
        <v>0.30540956108150902</v>
      </c>
      <c r="EB44" s="173">
        <f t="shared" si="78"/>
        <v>6.3959999999999999</v>
      </c>
      <c r="EC44" s="173">
        <f t="shared" si="79"/>
        <v>0.60609874594716862</v>
      </c>
      <c r="ED44" s="173">
        <f t="shared" si="121"/>
        <v>10.552735907751764</v>
      </c>
      <c r="EE44" s="460">
        <f t="shared" si="80"/>
        <v>2.126959443246224</v>
      </c>
      <c r="EF44" s="5">
        <f t="shared" si="81"/>
        <v>0.42998455742573249</v>
      </c>
      <c r="EG44" s="5"/>
      <c r="EH44" s="173">
        <f t="shared" si="122"/>
        <v>0.55683338716342601</v>
      </c>
      <c r="EI44" s="173">
        <f t="shared" si="82"/>
        <v>0.8397467917046193</v>
      </c>
      <c r="EJ44" s="173"/>
      <c r="EK44" s="528">
        <f t="shared" si="83"/>
        <v>6.201268421197878E-3</v>
      </c>
      <c r="EL44" s="528">
        <f t="shared" si="84"/>
        <v>0.46886475817233275</v>
      </c>
      <c r="EM44" s="528">
        <f t="shared" si="85"/>
        <v>4.0250000000000001E-2</v>
      </c>
      <c r="EN44" s="528">
        <f t="shared" si="86"/>
        <v>0.28134357999999998</v>
      </c>
      <c r="EO44">
        <f t="shared" si="87"/>
        <v>1.0800000000000001E-2</v>
      </c>
      <c r="EP44" s="460">
        <f t="shared" si="123"/>
        <v>51.05</v>
      </c>
      <c r="EQ44" s="528">
        <f t="shared" si="88"/>
        <v>0.81032790352258377</v>
      </c>
      <c r="ER44" s="460">
        <f t="shared" si="124"/>
        <v>810.32790352258382</v>
      </c>
      <c r="ES44" s="528">
        <f t="shared" si="125"/>
        <v>0.24228749999999996</v>
      </c>
      <c r="ET44" s="528"/>
      <c r="EV44" s="460">
        <f t="shared" si="126"/>
        <v>242.28749999999997</v>
      </c>
      <c r="EW44" s="528">
        <f t="shared" si="89"/>
        <v>9.3019026317968153E-3</v>
      </c>
      <c r="EX44" s="528">
        <f t="shared" si="90"/>
        <v>2.1155240225346036E-2</v>
      </c>
      <c r="EY44" s="528">
        <f t="shared" si="91"/>
        <v>0.46105375733780452</v>
      </c>
      <c r="EZ44" s="528">
        <f t="shared" si="92"/>
        <v>0.50003899520956085</v>
      </c>
      <c r="FA44" s="528">
        <f t="shared" si="93"/>
        <v>5.3300000000000005E-3</v>
      </c>
      <c r="FB44" s="460">
        <f t="shared" si="127"/>
        <v>505.36899520956081</v>
      </c>
      <c r="FC44" s="173">
        <f t="shared" si="128"/>
        <v>1.5579843987321447</v>
      </c>
      <c r="FD44" s="5">
        <f t="shared" si="129"/>
        <v>6.24</v>
      </c>
      <c r="FE44" s="173">
        <f t="shared" si="130"/>
        <v>0.80020678176972837</v>
      </c>
      <c r="FF44" s="5">
        <f t="shared" si="131"/>
        <v>80.020678176972837</v>
      </c>
      <c r="FI44" s="562">
        <f t="shared" si="94"/>
        <v>-50</v>
      </c>
      <c r="FJ44">
        <f t="shared" si="95"/>
        <v>-50</v>
      </c>
      <c r="FL44">
        <f t="shared" si="181"/>
        <v>0.44694082109489131</v>
      </c>
    </row>
    <row r="45" spans="5:168">
      <c r="E45" s="170">
        <v>40</v>
      </c>
      <c r="F45" s="217">
        <f t="shared" si="182"/>
        <v>0.4</v>
      </c>
      <c r="G45" s="217"/>
      <c r="H45" s="217">
        <f t="shared" si="132"/>
        <v>6.4</v>
      </c>
      <c r="I45" s="541">
        <f t="shared" si="133"/>
        <v>23.956356421952801</v>
      </c>
      <c r="J45" s="172">
        <f t="shared" si="134"/>
        <v>16.426186146828318</v>
      </c>
      <c r="K45" s="172">
        <f t="shared" si="135"/>
        <v>40.426186146828314</v>
      </c>
      <c r="L45" s="443"/>
      <c r="M45" s="217">
        <f t="shared" si="136"/>
        <v>0.4067693137568984</v>
      </c>
      <c r="N45" s="172">
        <f t="shared" si="137"/>
        <v>24.654117974539719</v>
      </c>
      <c r="O45" s="172">
        <f t="shared" si="98"/>
        <v>6.4</v>
      </c>
      <c r="P45" s="217">
        <f t="shared" si="138"/>
        <v>1.5408823734087325</v>
      </c>
      <c r="Q45" s="217">
        <f t="shared" si="139"/>
        <v>16</v>
      </c>
      <c r="R45" s="217">
        <f t="shared" si="140"/>
        <v>1.52261104091772</v>
      </c>
      <c r="S45" s="172">
        <f t="shared" si="141"/>
        <v>125.8467744817564</v>
      </c>
      <c r="T45" s="172">
        <f t="shared" si="142"/>
        <v>16</v>
      </c>
      <c r="U45" s="217">
        <f t="shared" si="143"/>
        <v>1.3485479064920893</v>
      </c>
      <c r="V45" s="217">
        <f t="shared" si="11"/>
        <v>0.67550234237940721</v>
      </c>
      <c r="W45" s="217">
        <f t="shared" si="144"/>
        <v>0.9851693346985303</v>
      </c>
      <c r="X45" s="197">
        <f t="shared" si="145"/>
        <v>350</v>
      </c>
      <c r="Y45" s="443">
        <f t="shared" si="14"/>
        <v>350</v>
      </c>
      <c r="AA45" s="217">
        <f t="shared" si="146"/>
        <v>2.3201419472200708</v>
      </c>
      <c r="AB45" s="173">
        <f t="shared" si="147"/>
        <v>1.6949584716606125</v>
      </c>
      <c r="AC45" s="173">
        <f t="shared" si="148"/>
        <v>0.68819524355676653</v>
      </c>
      <c r="AD45" s="173"/>
      <c r="AE45" s="173">
        <f t="shared" si="149"/>
        <v>0.7305408506110862</v>
      </c>
      <c r="AF45" s="545">
        <f t="shared" si="150"/>
        <v>1095.0790764552212</v>
      </c>
      <c r="AG45" s="528">
        <f t="shared" si="151"/>
        <v>0.12784464885694008</v>
      </c>
      <c r="AI45" s="173">
        <f t="shared" si="152"/>
        <v>1.7688406828486936</v>
      </c>
      <c r="AJ45" s="173">
        <f t="shared" si="153"/>
        <v>1.7688406828486936</v>
      </c>
      <c r="AK45" s="173">
        <f t="shared" si="154"/>
        <v>1.7695116169249583</v>
      </c>
      <c r="AM45" s="545">
        <f t="shared" si="155"/>
        <v>400</v>
      </c>
      <c r="AN45" s="460">
        <f t="shared" si="156"/>
        <v>350</v>
      </c>
      <c r="AP45">
        <f t="shared" si="157"/>
        <v>400</v>
      </c>
      <c r="AQ45" s="460">
        <f t="shared" si="158"/>
        <v>350</v>
      </c>
      <c r="AR45" s="460"/>
      <c r="AS45" s="5">
        <f t="shared" si="101"/>
        <v>2.8571428571428572</v>
      </c>
      <c r="AT45" s="5">
        <f t="shared" si="159"/>
        <v>0.88603157426450085</v>
      </c>
      <c r="AU45" s="5">
        <f t="shared" si="102"/>
        <v>1.9711112828783564</v>
      </c>
      <c r="AV45" s="5">
        <f t="shared" si="160"/>
        <v>1.2922103770437792</v>
      </c>
      <c r="AW45" s="173">
        <f t="shared" si="103"/>
        <v>0.3101110509925753</v>
      </c>
      <c r="AX45" s="173">
        <f t="shared" si="161"/>
        <v>6.5704744587313284</v>
      </c>
      <c r="AY45" s="173">
        <f t="shared" si="162"/>
        <v>0.61015181982603028</v>
      </c>
      <c r="AZ45" s="173">
        <f t="shared" si="104"/>
        <v>10.76858946451186</v>
      </c>
      <c r="BA45" s="460">
        <f t="shared" si="163"/>
        <v>2.2150789356612521</v>
      </c>
      <c r="BB45" s="5">
        <f t="shared" si="164"/>
        <v>0.43882272093143421</v>
      </c>
      <c r="BC45" s="5"/>
      <c r="BD45" s="173">
        <f t="shared" si="105"/>
        <v>0.56870456245040968</v>
      </c>
      <c r="BE45" s="173">
        <f t="shared" si="165"/>
        <v>0.84823792323555403</v>
      </c>
      <c r="BF45" s="173"/>
      <c r="BG45" s="528">
        <f t="shared" si="166"/>
        <v>6.4684975870382393E-3</v>
      </c>
      <c r="BH45" s="528">
        <f t="shared" si="167"/>
        <v>0.45675404580325329</v>
      </c>
      <c r="BI45" s="528">
        <f t="shared" si="168"/>
        <v>0.19284866919672006</v>
      </c>
      <c r="BJ45" s="528">
        <f t="shared" si="169"/>
        <v>0.28170841623441012</v>
      </c>
      <c r="BK45">
        <f t="shared" si="170"/>
        <v>1.078036038987876E-2</v>
      </c>
      <c r="BL45" s="460">
        <f t="shared" si="106"/>
        <v>203.62902958659882</v>
      </c>
      <c r="BM45" s="528">
        <f t="shared" si="171"/>
        <v>0.74782680021981407</v>
      </c>
      <c r="BN45" s="460">
        <f t="shared" si="107"/>
        <v>747.82680021981412</v>
      </c>
      <c r="BO45" s="528">
        <f t="shared" si="172"/>
        <v>0.24849999999999997</v>
      </c>
      <c r="BP45" s="528"/>
      <c r="BR45" s="460">
        <f t="shared" si="109"/>
        <v>248.49999999999997</v>
      </c>
      <c r="BS45" s="528">
        <f t="shared" si="173"/>
        <v>9.7027463805573581E-3</v>
      </c>
      <c r="BT45" s="528">
        <f t="shared" si="174"/>
        <v>2.1585227232448968E-2</v>
      </c>
      <c r="BU45" s="528">
        <f t="shared" si="175"/>
        <v>9.6000000000000002E-2</v>
      </c>
      <c r="BV45" s="528">
        <f t="shared" si="176"/>
        <v>0.13513533614665113</v>
      </c>
      <c r="BW45" s="528">
        <f t="shared" si="177"/>
        <v>5.4753953822761067E-3</v>
      </c>
      <c r="BX45" s="460">
        <f t="shared" si="110"/>
        <v>140.61073152892723</v>
      </c>
      <c r="BY45" s="173">
        <f t="shared" si="45"/>
        <v>1.3405665613353404</v>
      </c>
      <c r="BZ45" s="5">
        <f t="shared" si="111"/>
        <v>6.4</v>
      </c>
      <c r="CA45" s="173">
        <f t="shared" si="112"/>
        <v>0.82681286302328805</v>
      </c>
      <c r="CB45" s="5">
        <f t="shared" si="113"/>
        <v>82.6812863023288</v>
      </c>
      <c r="CE45" s="562">
        <f t="shared" si="178"/>
        <v>-50</v>
      </c>
      <c r="CF45">
        <f t="shared" si="179"/>
        <v>-50</v>
      </c>
      <c r="CG45" s="173">
        <f t="shared" si="180"/>
        <v>0.45825756949558405</v>
      </c>
      <c r="CI45" s="170">
        <v>40</v>
      </c>
      <c r="CJ45" s="217">
        <f t="shared" si="114"/>
        <v>0.4</v>
      </c>
      <c r="CK45" s="217"/>
      <c r="CL45" s="217">
        <f t="shared" si="49"/>
        <v>6.4</v>
      </c>
      <c r="CM45" s="541">
        <f t="shared" si="50"/>
        <v>24</v>
      </c>
      <c r="CN45" s="172">
        <f t="shared" si="51"/>
        <v>16.399999999999999</v>
      </c>
      <c r="CO45" s="443">
        <f t="shared" si="52"/>
        <v>40.4</v>
      </c>
      <c r="CP45" s="443"/>
      <c r="CQ45" s="217">
        <f t="shared" si="53"/>
        <v>0.40594059405940591</v>
      </c>
      <c r="CR45" s="172">
        <f t="shared" si="54"/>
        <v>24.648712871287128</v>
      </c>
      <c r="CS45" s="172">
        <f t="shared" si="115"/>
        <v>6.4</v>
      </c>
      <c r="CT45" s="217">
        <f t="shared" si="55"/>
        <v>1.5405445544554455</v>
      </c>
      <c r="CU45" s="217">
        <f t="shared" si="56"/>
        <v>16</v>
      </c>
      <c r="CV45" s="217">
        <f t="shared" si="57"/>
        <v>1.5222772277227721</v>
      </c>
      <c r="CW45" s="172">
        <f t="shared" si="58"/>
        <v>126.0759037865126</v>
      </c>
      <c r="CX45" s="172">
        <f t="shared" si="59"/>
        <v>16</v>
      </c>
      <c r="CY45" s="217">
        <f t="shared" si="60"/>
        <v>1.3138211382113822</v>
      </c>
      <c r="CZ45" s="217">
        <f t="shared" si="61"/>
        <v>0.65691056910569123</v>
      </c>
      <c r="DA45" s="217">
        <f t="shared" si="62"/>
        <v>0.96133254015467018</v>
      </c>
      <c r="DB45" s="197">
        <f t="shared" si="63"/>
        <v>350</v>
      </c>
      <c r="DC45" s="443">
        <f t="shared" si="116"/>
        <v>350</v>
      </c>
      <c r="DE45" s="217">
        <f t="shared" si="64"/>
        <v>2.3196605374823194</v>
      </c>
      <c r="DF45" s="173">
        <f t="shared" si="65"/>
        <v>1.6973125884016973</v>
      </c>
      <c r="DG45" s="173">
        <f t="shared" si="66"/>
        <v>0.68900808044029282</v>
      </c>
      <c r="DH45" s="173"/>
      <c r="DI45" s="173">
        <f t="shared" si="67"/>
        <v>0.73170731707317083</v>
      </c>
      <c r="DJ45" s="545">
        <f t="shared" si="117"/>
        <v>1093.3333333333333</v>
      </c>
      <c r="DK45" s="528">
        <f t="shared" si="68"/>
        <v>0.12804878048780488</v>
      </c>
      <c r="DM45" s="173">
        <f t="shared" si="69"/>
        <v>1.7674302033770737</v>
      </c>
      <c r="DN45" s="173">
        <f t="shared" si="70"/>
        <v>1.7674302033770737</v>
      </c>
      <c r="DO45" s="173">
        <f t="shared" si="71"/>
        <v>1.7684668173163507</v>
      </c>
      <c r="DQ45" s="545">
        <f t="shared" si="72"/>
        <v>400</v>
      </c>
      <c r="DR45" s="460">
        <f t="shared" si="73"/>
        <v>350</v>
      </c>
      <c r="DT45">
        <f t="shared" si="74"/>
        <v>400</v>
      </c>
      <c r="DU45" s="460">
        <f t="shared" si="75"/>
        <v>350</v>
      </c>
      <c r="DV45" s="460"/>
      <c r="DW45" s="5">
        <f t="shared" si="118"/>
        <v>2.8571428571428572</v>
      </c>
      <c r="DX45" s="5">
        <f t="shared" si="76"/>
        <v>0.88371510168853684</v>
      </c>
      <c r="DY45" s="5">
        <f t="shared" si="119"/>
        <v>1.9734277554543205</v>
      </c>
      <c r="DZ45" s="5">
        <f t="shared" si="77"/>
        <v>1.2932416122271271</v>
      </c>
      <c r="EA45" s="173">
        <f t="shared" si="120"/>
        <v>0.30930028559098788</v>
      </c>
      <c r="EB45" s="173">
        <f t="shared" si="78"/>
        <v>6.5600000000000014</v>
      </c>
      <c r="EC45" s="173">
        <f t="shared" si="79"/>
        <v>0.61038176835520352</v>
      </c>
      <c r="ED45" s="173">
        <f t="shared" si="121"/>
        <v>10.747372120365327</v>
      </c>
      <c r="EE45" s="460">
        <f t="shared" si="80"/>
        <v>2.2092877542213425</v>
      </c>
      <c r="EF45" s="5">
        <f t="shared" si="81"/>
        <v>0.43853950121207114</v>
      </c>
      <c r="EG45" s="5"/>
      <c r="EH45" s="173">
        <f t="shared" si="122"/>
        <v>0.56750776142890291</v>
      </c>
      <c r="EI45" s="173">
        <f t="shared" si="82"/>
        <v>0.84805942125997091</v>
      </c>
      <c r="EJ45" s="173"/>
      <c r="EK45" s="528">
        <f t="shared" si="83"/>
        <v>6.4413011856408924E-3</v>
      </c>
      <c r="EL45" s="528">
        <f t="shared" si="84"/>
        <v>0.47483779843928464</v>
      </c>
      <c r="EM45" s="528">
        <f t="shared" si="85"/>
        <v>4.0250000000000001E-2</v>
      </c>
      <c r="EN45" s="528">
        <f t="shared" si="86"/>
        <v>0.28134357999999998</v>
      </c>
      <c r="EO45">
        <f t="shared" si="87"/>
        <v>1.0800000000000001E-2</v>
      </c>
      <c r="EP45" s="460">
        <f t="shared" si="123"/>
        <v>51.05</v>
      </c>
      <c r="EQ45" s="528">
        <f t="shared" si="88"/>
        <v>0.81666169341578287</v>
      </c>
      <c r="ER45" s="460">
        <f t="shared" si="124"/>
        <v>816.66169341578291</v>
      </c>
      <c r="ES45" s="528">
        <f t="shared" si="125"/>
        <v>0.24849999999999997</v>
      </c>
      <c r="ET45" s="528"/>
      <c r="EV45" s="460">
        <f t="shared" si="126"/>
        <v>248.49999999999997</v>
      </c>
      <c r="EW45" s="528">
        <f t="shared" si="89"/>
        <v>9.6619517784613373E-3</v>
      </c>
      <c r="EX45" s="528">
        <f t="shared" si="90"/>
        <v>2.1576143459633903E-2</v>
      </c>
      <c r="EY45" s="528">
        <f t="shared" si="91"/>
        <v>0.4758781844486768</v>
      </c>
      <c r="EZ45" s="528">
        <f t="shared" si="92"/>
        <v>0.51590268792784122</v>
      </c>
      <c r="FA45" s="528">
        <f t="shared" si="93"/>
        <v>5.4666666666666674E-3</v>
      </c>
      <c r="FB45" s="460">
        <f t="shared" si="127"/>
        <v>521.36935459450785</v>
      </c>
      <c r="FC45" s="173">
        <f t="shared" si="128"/>
        <v>1.5865310480102908</v>
      </c>
      <c r="FD45" s="5">
        <f t="shared" si="129"/>
        <v>6.4</v>
      </c>
      <c r="FE45" s="173">
        <f t="shared" si="130"/>
        <v>0.80134916668162859</v>
      </c>
      <c r="FF45" s="5">
        <f t="shared" si="131"/>
        <v>80.134916668162859</v>
      </c>
      <c r="FI45" s="562">
        <f t="shared" si="94"/>
        <v>-50</v>
      </c>
      <c r="FJ45">
        <f t="shared" si="95"/>
        <v>-50</v>
      </c>
      <c r="FL45">
        <f t="shared" si="181"/>
        <v>0.4526345642794945</v>
      </c>
    </row>
    <row r="46" spans="5:168">
      <c r="E46" s="170">
        <v>41</v>
      </c>
      <c r="F46" s="217">
        <f t="shared" si="182"/>
        <v>0.41</v>
      </c>
      <c r="G46" s="217"/>
      <c r="H46" s="217">
        <f t="shared" si="132"/>
        <v>6.56</v>
      </c>
      <c r="I46" s="541">
        <f t="shared" si="133"/>
        <v>23.955814244915572</v>
      </c>
      <c r="J46" s="172">
        <f t="shared" si="134"/>
        <v>16.426511453050654</v>
      </c>
      <c r="K46" s="172">
        <f t="shared" si="135"/>
        <v>40.426511453050651</v>
      </c>
      <c r="L46" s="443"/>
      <c r="M46" s="217">
        <f t="shared" si="136"/>
        <v>0.40677961322813705</v>
      </c>
      <c r="N46" s="172">
        <f t="shared" si="137"/>
        <v>24.654184238372984</v>
      </c>
      <c r="O46" s="172">
        <f t="shared" si="98"/>
        <v>6.56</v>
      </c>
      <c r="P46" s="217">
        <f t="shared" si="138"/>
        <v>1.5408865148983115</v>
      </c>
      <c r="Q46" s="217">
        <f t="shared" si="139"/>
        <v>16</v>
      </c>
      <c r="R46" s="217">
        <f t="shared" si="140"/>
        <v>1.522615133298727</v>
      </c>
      <c r="S46" s="172">
        <f t="shared" si="141"/>
        <v>122.19438667601837</v>
      </c>
      <c r="T46" s="172">
        <f t="shared" si="142"/>
        <v>16</v>
      </c>
      <c r="U46" s="217">
        <f t="shared" si="143"/>
        <v>1.3822856029311588</v>
      </c>
      <c r="V46" s="217">
        <f t="shared" si="11"/>
        <v>0.69241759288956128</v>
      </c>
      <c r="W46" s="217">
        <f t="shared" si="144"/>
        <v>1.0097961020258728</v>
      </c>
      <c r="X46" s="197">
        <f t="shared" si="145"/>
        <v>350</v>
      </c>
      <c r="Y46" s="443">
        <f t="shared" si="14"/>
        <v>350</v>
      </c>
      <c r="AA46" s="217">
        <f t="shared" si="146"/>
        <v>2.3201478455631701</v>
      </c>
      <c r="AB46" s="173">
        <f t="shared" si="147"/>
        <v>1.6949292140533831</v>
      </c>
      <c r="AC46" s="173">
        <f t="shared" si="148"/>
        <v>0.68818511376440594</v>
      </c>
      <c r="AD46" s="173"/>
      <c r="AE46" s="173">
        <f t="shared" si="149"/>
        <v>0.7305263831762292</v>
      </c>
      <c r="AF46" s="545">
        <f t="shared" si="150"/>
        <v>1122.478282625128</v>
      </c>
      <c r="AG46" s="528">
        <f t="shared" si="151"/>
        <v>0.12784211705584009</v>
      </c>
      <c r="AI46" s="173">
        <f t="shared" si="152"/>
        <v>1.790832434232853</v>
      </c>
      <c r="AJ46" s="173">
        <f t="shared" si="153"/>
        <v>1.790832434232853</v>
      </c>
      <c r="AK46" s="173">
        <f t="shared" si="154"/>
        <v>1.7858018031354466</v>
      </c>
      <c r="AM46" s="545">
        <f t="shared" si="155"/>
        <v>410</v>
      </c>
      <c r="AN46" s="460">
        <f t="shared" si="156"/>
        <v>350</v>
      </c>
      <c r="AP46">
        <f t="shared" si="157"/>
        <v>410</v>
      </c>
      <c r="AQ46" s="460">
        <f t="shared" si="158"/>
        <v>350</v>
      </c>
      <c r="AR46" s="460"/>
      <c r="AS46" s="5">
        <f t="shared" si="101"/>
        <v>2.8571428571428572</v>
      </c>
      <c r="AT46" s="5">
        <f t="shared" si="159"/>
        <v>0.89706778450894498</v>
      </c>
      <c r="AU46" s="5">
        <f t="shared" si="102"/>
        <v>1.9600750726339122</v>
      </c>
      <c r="AV46" s="5">
        <f t="shared" si="160"/>
        <v>1.3082503410548085</v>
      </c>
      <c r="AW46" s="173">
        <f t="shared" si="103"/>
        <v>0.31397372457813072</v>
      </c>
      <c r="AX46" s="173">
        <f t="shared" si="161"/>
        <v>6.7348696957507679</v>
      </c>
      <c r="AY46" s="173">
        <f t="shared" si="162"/>
        <v>0.614279052380722</v>
      </c>
      <c r="AZ46" s="173">
        <f t="shared" si="104"/>
        <v>10.963860267819429</v>
      </c>
      <c r="BA46" s="460">
        <f t="shared" si="163"/>
        <v>2.2987361978041716</v>
      </c>
      <c r="BB46" s="5">
        <f t="shared" si="164"/>
        <v>0.4472850287694245</v>
      </c>
      <c r="BC46" s="5"/>
      <c r="BD46" s="173">
        <f t="shared" si="105"/>
        <v>0.57934995358416685</v>
      </c>
      <c r="BE46" s="173">
        <f t="shared" si="165"/>
        <v>0.85637641672075437</v>
      </c>
      <c r="BF46" s="173"/>
      <c r="BG46" s="528">
        <f t="shared" si="166"/>
        <v>6.7129273743595256E-3</v>
      </c>
      <c r="BH46" s="528">
        <f t="shared" si="167"/>
        <v>0.4624365267943451</v>
      </c>
      <c r="BI46" s="528">
        <f t="shared" si="168"/>
        <v>0.19284430467157038</v>
      </c>
      <c r="BJ46" s="528">
        <f t="shared" si="169"/>
        <v>0.28171295002194419</v>
      </c>
      <c r="BK46">
        <f t="shared" si="170"/>
        <v>1.0780116410212008E-2</v>
      </c>
      <c r="BL46" s="460">
        <f t="shared" si="106"/>
        <v>203.62442108178237</v>
      </c>
      <c r="BM46" s="528">
        <f t="shared" si="171"/>
        <v>0.75387732253649631</v>
      </c>
      <c r="BN46" s="460">
        <f t="shared" si="107"/>
        <v>753.87732253649631</v>
      </c>
      <c r="BO46" s="528">
        <f t="shared" si="172"/>
        <v>0.25471249999999995</v>
      </c>
      <c r="BP46" s="528"/>
      <c r="BR46" s="460">
        <f t="shared" si="109"/>
        <v>254.71249999999995</v>
      </c>
      <c r="BS46" s="528">
        <f t="shared" si="173"/>
        <v>1.0069391061539288E-2</v>
      </c>
      <c r="BT46" s="528">
        <f t="shared" si="174"/>
        <v>2.2001417013464374E-2</v>
      </c>
      <c r="BU46" s="528">
        <f t="shared" si="175"/>
        <v>9.8399999999999987E-2</v>
      </c>
      <c r="BV46" s="528">
        <f t="shared" si="176"/>
        <v>0.13852320610556015</v>
      </c>
      <c r="BW46" s="528">
        <f t="shared" si="177"/>
        <v>5.61239141312564E-3</v>
      </c>
      <c r="BX46" s="460">
        <f t="shared" si="110"/>
        <v>144.13559751868578</v>
      </c>
      <c r="BY46" s="173">
        <f t="shared" si="45"/>
        <v>1.3563498411369643</v>
      </c>
      <c r="BZ46" s="5">
        <f t="shared" si="111"/>
        <v>6.56</v>
      </c>
      <c r="CA46" s="173">
        <f t="shared" si="112"/>
        <v>0.82866474216579566</v>
      </c>
      <c r="CB46" s="5">
        <f t="shared" si="113"/>
        <v>82.866474216579562</v>
      </c>
      <c r="CE46" s="562">
        <f t="shared" si="178"/>
        <v>-50</v>
      </c>
      <c r="CF46">
        <f t="shared" si="179"/>
        <v>-50</v>
      </c>
      <c r="CG46" s="173">
        <f t="shared" si="180"/>
        <v>0.46395042838648182</v>
      </c>
      <c r="CI46" s="170">
        <v>41</v>
      </c>
      <c r="CJ46" s="217">
        <f t="shared" si="114"/>
        <v>0.41</v>
      </c>
      <c r="CK46" s="217"/>
      <c r="CL46" s="217">
        <f t="shared" si="49"/>
        <v>6.56</v>
      </c>
      <c r="CM46" s="541">
        <f t="shared" si="50"/>
        <v>24</v>
      </c>
      <c r="CN46" s="172">
        <f t="shared" si="51"/>
        <v>16.399999999999999</v>
      </c>
      <c r="CO46" s="443">
        <f t="shared" si="52"/>
        <v>40.4</v>
      </c>
      <c r="CP46" s="443"/>
      <c r="CQ46" s="217">
        <f t="shared" si="53"/>
        <v>0.40594059405940591</v>
      </c>
      <c r="CR46" s="172">
        <f t="shared" si="54"/>
        <v>24.648712871287128</v>
      </c>
      <c r="CS46" s="172">
        <f t="shared" si="115"/>
        <v>6.56</v>
      </c>
      <c r="CT46" s="217">
        <f t="shared" si="55"/>
        <v>1.5405445544554455</v>
      </c>
      <c r="CU46" s="217">
        <f t="shared" si="56"/>
        <v>16</v>
      </c>
      <c r="CV46" s="217">
        <f t="shared" si="57"/>
        <v>1.5222772277227721</v>
      </c>
      <c r="CW46" s="172">
        <f t="shared" si="58"/>
        <v>122.41962681773785</v>
      </c>
      <c r="CX46" s="172">
        <f t="shared" si="59"/>
        <v>16</v>
      </c>
      <c r="CY46" s="217">
        <f t="shared" si="60"/>
        <v>1.3466666666666667</v>
      </c>
      <c r="CZ46" s="217">
        <f t="shared" si="61"/>
        <v>0.67333333333333334</v>
      </c>
      <c r="DA46" s="217">
        <f t="shared" si="62"/>
        <v>0.98536585365853679</v>
      </c>
      <c r="DB46" s="197">
        <f t="shared" si="63"/>
        <v>350</v>
      </c>
      <c r="DC46" s="443">
        <f t="shared" si="116"/>
        <v>350</v>
      </c>
      <c r="DE46" s="217">
        <f t="shared" si="64"/>
        <v>2.3196605374823194</v>
      </c>
      <c r="DF46" s="173">
        <f t="shared" si="65"/>
        <v>1.6973125884016973</v>
      </c>
      <c r="DG46" s="173">
        <f t="shared" si="66"/>
        <v>0.68900808044029282</v>
      </c>
      <c r="DH46" s="173"/>
      <c r="DI46" s="173">
        <f t="shared" si="67"/>
        <v>0.73170731707317083</v>
      </c>
      <c r="DJ46" s="545">
        <f t="shared" si="117"/>
        <v>1120.6666666666665</v>
      </c>
      <c r="DK46" s="528">
        <f t="shared" si="68"/>
        <v>0.12804878048780488</v>
      </c>
      <c r="DM46" s="173">
        <f t="shared" si="69"/>
        <v>1.7893866999351375</v>
      </c>
      <c r="DN46" s="173">
        <f t="shared" si="70"/>
        <v>1.7893866999351375</v>
      </c>
      <c r="DO46" s="173">
        <f t="shared" si="71"/>
        <v>1.7847308888408424</v>
      </c>
      <c r="DQ46" s="545">
        <f t="shared" si="72"/>
        <v>410</v>
      </c>
      <c r="DR46" s="460">
        <f t="shared" si="73"/>
        <v>350</v>
      </c>
      <c r="DT46">
        <f t="shared" si="74"/>
        <v>410</v>
      </c>
      <c r="DU46" s="460">
        <f t="shared" si="75"/>
        <v>350</v>
      </c>
      <c r="DV46" s="460"/>
      <c r="DW46" s="5">
        <f t="shared" si="118"/>
        <v>2.8571428571428572</v>
      </c>
      <c r="DX46" s="5">
        <f t="shared" si="76"/>
        <v>0.89469334996756877</v>
      </c>
      <c r="DY46" s="5">
        <f t="shared" si="119"/>
        <v>1.9624495071752883</v>
      </c>
      <c r="DZ46" s="5">
        <f t="shared" si="77"/>
        <v>1.3093073414159546</v>
      </c>
      <c r="EA46" s="173">
        <f t="shared" si="120"/>
        <v>0.31314267248864908</v>
      </c>
      <c r="EB46" s="173">
        <f t="shared" si="78"/>
        <v>6.7240000000000002</v>
      </c>
      <c r="EC46" s="173">
        <f t="shared" si="79"/>
        <v>0.6145266833009021</v>
      </c>
      <c r="ED46" s="173">
        <f t="shared" si="121"/>
        <v>10.941754333403946</v>
      </c>
      <c r="EE46" s="460">
        <f t="shared" si="80"/>
        <v>2.2926517092918948</v>
      </c>
      <c r="EF46" s="5">
        <f t="shared" si="81"/>
        <v>0.44700238774548229</v>
      </c>
      <c r="EG46" s="5"/>
      <c r="EH46" s="173">
        <f t="shared" si="122"/>
        <v>0.5781156211338665</v>
      </c>
      <c r="EI46" s="173">
        <f t="shared" si="82"/>
        <v>0.85620319778811338</v>
      </c>
      <c r="EJ46" s="173"/>
      <c r="EK46" s="528">
        <f t="shared" si="83"/>
        <v>6.6843534279799255E-3</v>
      </c>
      <c r="EL46" s="528">
        <f t="shared" si="84"/>
        <v>0.48073663080457413</v>
      </c>
      <c r="EM46" s="528">
        <f t="shared" si="85"/>
        <v>4.0250000000000001E-2</v>
      </c>
      <c r="EN46" s="528">
        <f t="shared" si="86"/>
        <v>0.28134357999999998</v>
      </c>
      <c r="EO46">
        <f t="shared" si="87"/>
        <v>1.0800000000000001E-2</v>
      </c>
      <c r="EP46" s="460">
        <f t="shared" si="123"/>
        <v>51.05</v>
      </c>
      <c r="EQ46" s="528">
        <f t="shared" si="88"/>
        <v>0.82292631318273401</v>
      </c>
      <c r="ER46" s="460">
        <f t="shared" si="124"/>
        <v>822.92631318273402</v>
      </c>
      <c r="ES46" s="528">
        <f t="shared" si="125"/>
        <v>0.25471249999999995</v>
      </c>
      <c r="ET46" s="528"/>
      <c r="EV46" s="460">
        <f t="shared" si="126"/>
        <v>254.71249999999995</v>
      </c>
      <c r="EW46" s="528">
        <f t="shared" si="89"/>
        <v>1.0026530141969888E-2</v>
      </c>
      <c r="EX46" s="528">
        <f t="shared" si="90"/>
        <v>2.1992517477077738E-2</v>
      </c>
      <c r="EY46" s="528">
        <f t="shared" si="91"/>
        <v>0.49079556287247406</v>
      </c>
      <c r="EZ46" s="528">
        <f t="shared" si="92"/>
        <v>0.53186155796418888</v>
      </c>
      <c r="FA46" s="528">
        <f t="shared" si="93"/>
        <v>5.6033333333333334E-3</v>
      </c>
      <c r="FB46" s="460">
        <f t="shared" si="127"/>
        <v>537.46489129752217</v>
      </c>
      <c r="FC46" s="173">
        <f t="shared" si="128"/>
        <v>1.6151037044802561</v>
      </c>
      <c r="FD46" s="5">
        <f t="shared" si="129"/>
        <v>6.56</v>
      </c>
      <c r="FE46" s="173">
        <f t="shared" si="130"/>
        <v>0.80243630382387443</v>
      </c>
      <c r="FF46" s="5">
        <f t="shared" si="131"/>
        <v>80.243630382387437</v>
      </c>
      <c r="FI46" s="562">
        <f t="shared" si="94"/>
        <v>-50</v>
      </c>
      <c r="FJ46">
        <f t="shared" si="95"/>
        <v>-50</v>
      </c>
      <c r="FL46">
        <f t="shared" si="181"/>
        <v>0.45825756949558405</v>
      </c>
    </row>
    <row r="47" spans="5:168">
      <c r="E47" s="170">
        <v>42</v>
      </c>
      <c r="F47" s="217">
        <f t="shared" si="182"/>
        <v>0.42</v>
      </c>
      <c r="G47" s="217"/>
      <c r="H47" s="217">
        <f t="shared" si="132"/>
        <v>6.72</v>
      </c>
      <c r="I47" s="541">
        <f t="shared" si="133"/>
        <v>23.955278640450004</v>
      </c>
      <c r="J47" s="172">
        <f t="shared" si="134"/>
        <v>16.426832815729995</v>
      </c>
      <c r="K47" s="172">
        <f t="shared" si="135"/>
        <v>40.426832815729995</v>
      </c>
      <c r="L47" s="443"/>
      <c r="M47" s="217">
        <f t="shared" si="136"/>
        <v>0.40678978795005311</v>
      </c>
      <c r="N47" s="172">
        <f t="shared" si="137"/>
        <v>24.654249677635725</v>
      </c>
      <c r="O47" s="172">
        <f t="shared" si="98"/>
        <v>6.72</v>
      </c>
      <c r="P47" s="217">
        <f t="shared" si="138"/>
        <v>1.5408906048522328</v>
      </c>
      <c r="Q47" s="217">
        <f t="shared" si="139"/>
        <v>16</v>
      </c>
      <c r="R47" s="217">
        <f t="shared" si="140"/>
        <v>1.5226191747551709</v>
      </c>
      <c r="S47" s="172">
        <f t="shared" si="141"/>
        <v>118.71610910372965</v>
      </c>
      <c r="T47" s="172">
        <f t="shared" si="142"/>
        <v>16</v>
      </c>
      <c r="U47" s="217">
        <f t="shared" si="143"/>
        <v>1.4160241731126402</v>
      </c>
      <c r="V47" s="217">
        <f t="shared" si="11"/>
        <v>0.7093338521497774</v>
      </c>
      <c r="W47" s="217">
        <f t="shared" si="144"/>
        <v>1.0344227805788719</v>
      </c>
      <c r="X47" s="197">
        <f t="shared" si="145"/>
        <v>350</v>
      </c>
      <c r="Y47" s="443">
        <f t="shared" si="14"/>
        <v>350</v>
      </c>
      <c r="AA47" s="217">
        <f t="shared" si="146"/>
        <v>2.3201536704233288</v>
      </c>
      <c r="AB47" s="173">
        <f t="shared" si="147"/>
        <v>1.6949003108145821</v>
      </c>
      <c r="AC47" s="173">
        <f t="shared" si="148"/>
        <v>0.68817510599916631</v>
      </c>
      <c r="AD47" s="173"/>
      <c r="AE47" s="173">
        <f t="shared" si="149"/>
        <v>0.73051209168629572</v>
      </c>
      <c r="AF47" s="545">
        <f t="shared" si="150"/>
        <v>1149.8782971010994</v>
      </c>
      <c r="AG47" s="528">
        <f t="shared" si="151"/>
        <v>0.12783961604510174</v>
      </c>
      <c r="AI47" s="173">
        <f t="shared" si="152"/>
        <v>1.812558016491058</v>
      </c>
      <c r="AJ47" s="173">
        <f t="shared" si="153"/>
        <v>1.812558016491058</v>
      </c>
      <c r="AK47" s="173">
        <f t="shared" si="154"/>
        <v>1.8018948270304134</v>
      </c>
      <c r="AM47" s="545">
        <f t="shared" si="155"/>
        <v>420</v>
      </c>
      <c r="AN47" s="460">
        <f t="shared" si="156"/>
        <v>350</v>
      </c>
      <c r="AP47">
        <f t="shared" si="157"/>
        <v>420</v>
      </c>
      <c r="AQ47" s="460">
        <f t="shared" si="158"/>
        <v>350</v>
      </c>
      <c r="AR47" s="460"/>
      <c r="AS47" s="5">
        <f t="shared" si="101"/>
        <v>2.8571428571428572</v>
      </c>
      <c r="AT47" s="5">
        <f t="shared" si="159"/>
        <v>0.90797091214648917</v>
      </c>
      <c r="AU47" s="5">
        <f t="shared" si="102"/>
        <v>1.949171944996368</v>
      </c>
      <c r="AV47" s="5">
        <f t="shared" si="160"/>
        <v>1.3240955479296459</v>
      </c>
      <c r="AW47" s="173">
        <f t="shared" si="103"/>
        <v>0.3177898192512712</v>
      </c>
      <c r="AX47" s="173">
        <f t="shared" si="161"/>
        <v>6.8992697826065967</v>
      </c>
      <c r="AY47" s="173">
        <f t="shared" si="162"/>
        <v>0.61827276602396108</v>
      </c>
      <c r="AZ47" s="173">
        <f t="shared" si="104"/>
        <v>11.158941751510394</v>
      </c>
      <c r="BA47" s="460">
        <f t="shared" si="163"/>
        <v>2.3834236443845338</v>
      </c>
      <c r="BB47" s="5">
        <f t="shared" si="164"/>
        <v>0.45565585171480238</v>
      </c>
      <c r="BC47" s="5"/>
      <c r="BD47" s="173">
        <f t="shared" si="105"/>
        <v>0.58993108249363524</v>
      </c>
      <c r="BE47" s="173">
        <f t="shared" si="165"/>
        <v>0.86435149425637059</v>
      </c>
      <c r="BF47" s="173"/>
      <c r="BG47" s="528">
        <f t="shared" si="166"/>
        <v>6.9603736418422458E-3</v>
      </c>
      <c r="BH47" s="528">
        <f t="shared" si="167"/>
        <v>0.46805032162080051</v>
      </c>
      <c r="BI47" s="528">
        <f t="shared" si="168"/>
        <v>0.19283999305562252</v>
      </c>
      <c r="BJ47" s="528">
        <f t="shared" si="169"/>
        <v>0.28171742888420576</v>
      </c>
      <c r="BK47">
        <f t="shared" si="170"/>
        <v>1.0779875388202501E-2</v>
      </c>
      <c r="BL47" s="460">
        <f t="shared" si="106"/>
        <v>203.61986844382503</v>
      </c>
      <c r="BM47" s="528">
        <f t="shared" si="171"/>
        <v>0.75986407667296607</v>
      </c>
      <c r="BN47" s="460">
        <f t="shared" si="107"/>
        <v>759.86407667296612</v>
      </c>
      <c r="BO47" s="528">
        <f t="shared" si="172"/>
        <v>0.26092499999999996</v>
      </c>
      <c r="BP47" s="528"/>
      <c r="BR47" s="460">
        <f t="shared" si="109"/>
        <v>260.92499999999995</v>
      </c>
      <c r="BS47" s="528">
        <f t="shared" si="173"/>
        <v>1.0440560462763367E-2</v>
      </c>
      <c r="BT47" s="528">
        <f t="shared" si="174"/>
        <v>2.2413105168696618E-2</v>
      </c>
      <c r="BU47" s="528">
        <f t="shared" si="175"/>
        <v>0.10079999999999999</v>
      </c>
      <c r="BV47" s="528">
        <f t="shared" si="176"/>
        <v>0.14191153050079611</v>
      </c>
      <c r="BW47" s="528">
        <f t="shared" si="177"/>
        <v>5.7493914855054973E-3</v>
      </c>
      <c r="BX47" s="460">
        <f t="shared" si="110"/>
        <v>147.66092198630159</v>
      </c>
      <c r="BY47" s="173">
        <f t="shared" si="45"/>
        <v>1.3720698671030926</v>
      </c>
      <c r="BZ47" s="5">
        <f t="shared" si="111"/>
        <v>6.72</v>
      </c>
      <c r="CA47" s="173">
        <f t="shared" si="112"/>
        <v>0.83044265686817598</v>
      </c>
      <c r="CB47" s="5">
        <f t="shared" si="113"/>
        <v>83.044265686817596</v>
      </c>
      <c r="CE47" s="562">
        <f t="shared" si="178"/>
        <v>-50</v>
      </c>
      <c r="CF47">
        <f t="shared" si="179"/>
        <v>-50</v>
      </c>
      <c r="CG47" s="173">
        <f t="shared" si="180"/>
        <v>0.46957427527495582</v>
      </c>
      <c r="CI47" s="170">
        <v>42</v>
      </c>
      <c r="CJ47" s="217">
        <f t="shared" si="114"/>
        <v>0.42</v>
      </c>
      <c r="CK47" s="217"/>
      <c r="CL47" s="217">
        <f t="shared" si="49"/>
        <v>6.72</v>
      </c>
      <c r="CM47" s="541">
        <f t="shared" si="50"/>
        <v>24</v>
      </c>
      <c r="CN47" s="172">
        <f t="shared" si="51"/>
        <v>16.399999999999999</v>
      </c>
      <c r="CO47" s="443">
        <f t="shared" si="52"/>
        <v>40.4</v>
      </c>
      <c r="CP47" s="443"/>
      <c r="CQ47" s="217">
        <f t="shared" si="53"/>
        <v>0.40594059405940591</v>
      </c>
      <c r="CR47" s="172">
        <f t="shared" si="54"/>
        <v>24.648712871287128</v>
      </c>
      <c r="CS47" s="172">
        <f t="shared" si="115"/>
        <v>6.72</v>
      </c>
      <c r="CT47" s="217">
        <f t="shared" si="55"/>
        <v>1.5405445544554455</v>
      </c>
      <c r="CU47" s="217">
        <f t="shared" si="56"/>
        <v>16</v>
      </c>
      <c r="CV47" s="217">
        <f t="shared" si="57"/>
        <v>1.5222772277227721</v>
      </c>
      <c r="CW47" s="172">
        <f t="shared" si="58"/>
        <v>118.93758691712429</v>
      </c>
      <c r="CX47" s="172">
        <f t="shared" si="59"/>
        <v>16</v>
      </c>
      <c r="CY47" s="217">
        <f t="shared" si="60"/>
        <v>1.3795121951219511</v>
      </c>
      <c r="CZ47" s="217">
        <f t="shared" si="61"/>
        <v>0.68975609756097556</v>
      </c>
      <c r="DA47" s="217">
        <f t="shared" si="62"/>
        <v>1.0093991671624034</v>
      </c>
      <c r="DB47" s="197">
        <f t="shared" si="63"/>
        <v>350</v>
      </c>
      <c r="DC47" s="443">
        <f t="shared" si="116"/>
        <v>350</v>
      </c>
      <c r="DE47" s="217">
        <f t="shared" si="64"/>
        <v>2.3196605374823194</v>
      </c>
      <c r="DF47" s="173">
        <f t="shared" si="65"/>
        <v>1.6973125884016973</v>
      </c>
      <c r="DG47" s="173">
        <f t="shared" si="66"/>
        <v>0.68900808044029282</v>
      </c>
      <c r="DH47" s="173"/>
      <c r="DI47" s="173">
        <f t="shared" si="67"/>
        <v>0.73170731707317083</v>
      </c>
      <c r="DJ47" s="545">
        <f t="shared" si="117"/>
        <v>1147.9999999999998</v>
      </c>
      <c r="DK47" s="528">
        <f t="shared" si="68"/>
        <v>0.12804878048780488</v>
      </c>
      <c r="DM47" s="173">
        <f t="shared" si="69"/>
        <v>1.8110770276274832</v>
      </c>
      <c r="DN47" s="173">
        <f t="shared" si="70"/>
        <v>1.8110770276274832</v>
      </c>
      <c r="DO47" s="173">
        <f t="shared" si="71"/>
        <v>1.8007977982425802</v>
      </c>
      <c r="DQ47" s="545">
        <f t="shared" si="72"/>
        <v>420</v>
      </c>
      <c r="DR47" s="460">
        <f t="shared" si="73"/>
        <v>350</v>
      </c>
      <c r="DT47">
        <f t="shared" si="74"/>
        <v>420</v>
      </c>
      <c r="DU47" s="460">
        <f t="shared" si="75"/>
        <v>350</v>
      </c>
      <c r="DV47" s="460"/>
      <c r="DW47" s="5">
        <f t="shared" si="118"/>
        <v>2.8571428571428572</v>
      </c>
      <c r="DX47" s="5">
        <f t="shared" si="76"/>
        <v>0.90553851381374162</v>
      </c>
      <c r="DY47" s="5">
        <f t="shared" si="119"/>
        <v>1.9516043433291155</v>
      </c>
      <c r="DZ47" s="5">
        <f t="shared" si="77"/>
        <v>1.3251783128981585</v>
      </c>
      <c r="EA47" s="173">
        <f t="shared" si="120"/>
        <v>0.31693847983480955</v>
      </c>
      <c r="EB47" s="173">
        <f t="shared" si="78"/>
        <v>6.887999999999999</v>
      </c>
      <c r="EC47" s="173">
        <f t="shared" si="79"/>
        <v>0.61853851381374159</v>
      </c>
      <c r="ED47" s="173">
        <f t="shared" si="121"/>
        <v>11.135927425974575</v>
      </c>
      <c r="EE47" s="460">
        <f t="shared" si="80"/>
        <v>2.3770385987610716</v>
      </c>
      <c r="EF47" s="5">
        <f t="shared" si="81"/>
        <v>0.45537434677679345</v>
      </c>
      <c r="EG47" s="5"/>
      <c r="EH47" s="173">
        <f t="shared" si="122"/>
        <v>0.58865898839599129</v>
      </c>
      <c r="EI47" s="173">
        <f t="shared" si="82"/>
        <v>0.86418396693871935</v>
      </c>
      <c r="EJ47" s="173"/>
      <c r="EK47" s="528">
        <f t="shared" si="83"/>
        <v>6.9303880923878361E-3</v>
      </c>
      <c r="EL47" s="528">
        <f t="shared" si="84"/>
        <v>0.48656395424239962</v>
      </c>
      <c r="EM47" s="528">
        <f t="shared" si="85"/>
        <v>4.0250000000000001E-2</v>
      </c>
      <c r="EN47" s="528">
        <f t="shared" si="86"/>
        <v>0.28134357999999998</v>
      </c>
      <c r="EO47">
        <f t="shared" si="87"/>
        <v>1.0800000000000001E-2</v>
      </c>
      <c r="EP47" s="460">
        <f t="shared" si="123"/>
        <v>51.05</v>
      </c>
      <c r="EQ47" s="528">
        <f t="shared" si="88"/>
        <v>0.82912441330087727</v>
      </c>
      <c r="ER47" s="460">
        <f t="shared" si="124"/>
        <v>829.12441330087722</v>
      </c>
      <c r="ES47" s="528">
        <f t="shared" si="125"/>
        <v>0.26092499999999996</v>
      </c>
      <c r="ET47" s="528"/>
      <c r="EV47" s="460">
        <f t="shared" si="126"/>
        <v>260.92499999999995</v>
      </c>
      <c r="EW47" s="528">
        <f t="shared" si="89"/>
        <v>1.0395582138581754E-2</v>
      </c>
      <c r="EX47" s="528">
        <f t="shared" si="90"/>
        <v>2.2404417861418245E-2</v>
      </c>
      <c r="EY47" s="528">
        <f t="shared" si="91"/>
        <v>0.50580418674229144</v>
      </c>
      <c r="EZ47" s="528">
        <f t="shared" si="92"/>
        <v>0.54791391284960889</v>
      </c>
      <c r="FA47" s="528">
        <f t="shared" si="93"/>
        <v>5.7399999999999994E-3</v>
      </c>
      <c r="FB47" s="460">
        <f t="shared" si="127"/>
        <v>553.6539128496089</v>
      </c>
      <c r="FC47" s="173">
        <f t="shared" si="128"/>
        <v>1.6437033261504861</v>
      </c>
      <c r="FD47" s="5">
        <f t="shared" si="129"/>
        <v>6.72</v>
      </c>
      <c r="FE47" s="173">
        <f t="shared" si="130"/>
        <v>0.80347182796271854</v>
      </c>
      <c r="FF47" s="5">
        <f t="shared" si="131"/>
        <v>80.347182796271852</v>
      </c>
      <c r="FI47" s="562">
        <f t="shared" si="94"/>
        <v>-50</v>
      </c>
      <c r="FJ47">
        <f t="shared" si="95"/>
        <v>-50</v>
      </c>
      <c r="FL47">
        <f t="shared" si="181"/>
        <v>0.46381240951435548</v>
      </c>
    </row>
    <row r="48" spans="5:168">
      <c r="E48" s="170">
        <v>43</v>
      </c>
      <c r="F48" s="217">
        <f t="shared" si="182"/>
        <v>0.43</v>
      </c>
      <c r="G48" s="217"/>
      <c r="H48" s="217">
        <f t="shared" si="132"/>
        <v>6.88</v>
      </c>
      <c r="I48" s="541">
        <f t="shared" si="133"/>
        <v>23.954749375168745</v>
      </c>
      <c r="J48" s="172">
        <f t="shared" si="134"/>
        <v>16.427150374898751</v>
      </c>
      <c r="K48" s="172">
        <f t="shared" si="135"/>
        <v>40.427150374898751</v>
      </c>
      <c r="L48" s="443"/>
      <c r="M48" s="217">
        <f t="shared" si="136"/>
        <v>0.40679984235240813</v>
      </c>
      <c r="N48" s="172">
        <f t="shared" si="137"/>
        <v>24.654314321607533</v>
      </c>
      <c r="O48" s="172">
        <f t="shared" si="98"/>
        <v>6.88</v>
      </c>
      <c r="P48" s="217">
        <f t="shared" si="138"/>
        <v>1.5408946451004708</v>
      </c>
      <c r="Q48" s="217">
        <f t="shared" si="139"/>
        <v>16</v>
      </c>
      <c r="R48" s="217">
        <f t="shared" si="140"/>
        <v>1.522623167095327</v>
      </c>
      <c r="S48" s="172">
        <f t="shared" si="141"/>
        <v>115.39979471263524</v>
      </c>
      <c r="T48" s="172">
        <f t="shared" si="142"/>
        <v>16</v>
      </c>
      <c r="U48" s="217">
        <f t="shared" si="143"/>
        <v>1.4497636066221489</v>
      </c>
      <c r="V48" s="217">
        <f t="shared" si="11"/>
        <v>0.72625110816227179</v>
      </c>
      <c r="W48" s="217">
        <f t="shared" si="144"/>
        <v>1.0590493714630658</v>
      </c>
      <c r="X48" s="197">
        <f t="shared" si="145"/>
        <v>350</v>
      </c>
      <c r="Y48" s="443">
        <f t="shared" si="14"/>
        <v>350</v>
      </c>
      <c r="AA48" s="217">
        <f t="shared" si="146"/>
        <v>2.3201594244098431</v>
      </c>
      <c r="AB48" s="173">
        <f t="shared" si="147"/>
        <v>1.6948717493608334</v>
      </c>
      <c r="AC48" s="173">
        <f t="shared" si="148"/>
        <v>0.68816521592796864</v>
      </c>
      <c r="AD48" s="173"/>
      <c r="AE48" s="173">
        <f t="shared" si="149"/>
        <v>0.73049796989357396</v>
      </c>
      <c r="AF48" s="545">
        <f t="shared" si="150"/>
        <v>1177.2791102010772</v>
      </c>
      <c r="AG48" s="528">
        <f t="shared" si="151"/>
        <v>0.12783714473137547</v>
      </c>
      <c r="AI48" s="173">
        <f t="shared" si="152"/>
        <v>1.8340268810937603</v>
      </c>
      <c r="AJ48" s="173">
        <f t="shared" si="153"/>
        <v>1.8340268810937603</v>
      </c>
      <c r="AK48" s="173">
        <f t="shared" si="154"/>
        <v>1.8177976896990817</v>
      </c>
      <c r="AM48" s="545">
        <f t="shared" si="155"/>
        <v>430</v>
      </c>
      <c r="AN48" s="460">
        <f t="shared" si="156"/>
        <v>350</v>
      </c>
      <c r="AP48">
        <f t="shared" si="157"/>
        <v>430</v>
      </c>
      <c r="AQ48" s="460">
        <f t="shared" si="158"/>
        <v>350</v>
      </c>
      <c r="AR48" s="460"/>
      <c r="AS48" s="5">
        <f t="shared" si="101"/>
        <v>2.8571428571428572</v>
      </c>
      <c r="AT48" s="5">
        <f t="shared" si="159"/>
        <v>0.91874568288903635</v>
      </c>
      <c r="AU48" s="5">
        <f t="shared" si="102"/>
        <v>1.9383971742538209</v>
      </c>
      <c r="AV48" s="5">
        <f t="shared" si="160"/>
        <v>1.3397529133692352</v>
      </c>
      <c r="AW48" s="173">
        <f t="shared" si="103"/>
        <v>0.3215609890111627</v>
      </c>
      <c r="AX48" s="173">
        <f t="shared" si="161"/>
        <v>7.0636746612064627</v>
      </c>
      <c r="AY48" s="173">
        <f t="shared" si="162"/>
        <v>0.62213769166809629</v>
      </c>
      <c r="AZ48" s="173">
        <f t="shared" si="104"/>
        <v>11.353876731479012</v>
      </c>
      <c r="BA48" s="460">
        <f t="shared" si="163"/>
        <v>2.4691290227642848</v>
      </c>
      <c r="BB48" s="5">
        <f t="shared" si="164"/>
        <v>0.46393627244160152</v>
      </c>
      <c r="BC48" s="5"/>
      <c r="BD48" s="173">
        <f t="shared" si="105"/>
        <v>0.60044985914803517</v>
      </c>
      <c r="BE48" s="173">
        <f t="shared" si="165"/>
        <v>0.87216865733676008</v>
      </c>
      <c r="BF48" s="173"/>
      <c r="BG48" s="528">
        <f t="shared" si="166"/>
        <v>7.210800667017906E-3</v>
      </c>
      <c r="BH48" s="528">
        <f t="shared" si="167"/>
        <v>0.47359786928051784</v>
      </c>
      <c r="BI48" s="528">
        <f t="shared" si="168"/>
        <v>0.19283573247010838</v>
      </c>
      <c r="BJ48" s="528">
        <f t="shared" si="169"/>
        <v>0.28172185477155232</v>
      </c>
      <c r="BK48">
        <f t="shared" si="170"/>
        <v>1.0779637218825935E-2</v>
      </c>
      <c r="BL48" s="460">
        <f t="shared" si="106"/>
        <v>203.61536968893432</v>
      </c>
      <c r="BM48" s="528">
        <f t="shared" si="171"/>
        <v>0.76578945743818749</v>
      </c>
      <c r="BN48" s="460">
        <f t="shared" si="107"/>
        <v>765.78945743818747</v>
      </c>
      <c r="BO48" s="528">
        <f t="shared" si="172"/>
        <v>0.26713749999999997</v>
      </c>
      <c r="BP48" s="528"/>
      <c r="BR48" s="460">
        <f t="shared" si="109"/>
        <v>267.13749999999999</v>
      </c>
      <c r="BS48" s="528">
        <f t="shared" si="173"/>
        <v>1.0816201000526859E-2</v>
      </c>
      <c r="BT48" s="528">
        <f t="shared" si="174"/>
        <v>2.2820345005218203E-2</v>
      </c>
      <c r="BU48" s="528">
        <f t="shared" si="175"/>
        <v>0.1032</v>
      </c>
      <c r="BV48" s="528">
        <f t="shared" si="176"/>
        <v>0.14530030908963126</v>
      </c>
      <c r="BW48" s="528">
        <f t="shared" si="177"/>
        <v>5.8863955510053854E-3</v>
      </c>
      <c r="BX48" s="460">
        <f t="shared" si="110"/>
        <v>151.18670464063666</v>
      </c>
      <c r="BY48" s="173">
        <f t="shared" si="45"/>
        <v>1.3877290317677584</v>
      </c>
      <c r="BZ48" s="5">
        <f t="shared" si="111"/>
        <v>6.88</v>
      </c>
      <c r="CA48" s="173">
        <f t="shared" si="112"/>
        <v>0.8321511231880514</v>
      </c>
      <c r="CB48" s="5">
        <f t="shared" si="113"/>
        <v>83.21511231880514</v>
      </c>
      <c r="CE48" s="562">
        <f t="shared" si="178"/>
        <v>-50</v>
      </c>
      <c r="CF48">
        <f t="shared" si="179"/>
        <v>-50</v>
      </c>
      <c r="CG48" s="173">
        <f t="shared" si="180"/>
        <v>0.47513156072818402</v>
      </c>
      <c r="CI48" s="170">
        <v>43</v>
      </c>
      <c r="CJ48" s="217">
        <f t="shared" si="114"/>
        <v>0.43</v>
      </c>
      <c r="CK48" s="217"/>
      <c r="CL48" s="217">
        <f t="shared" si="49"/>
        <v>6.88</v>
      </c>
      <c r="CM48" s="541">
        <f t="shared" si="50"/>
        <v>24</v>
      </c>
      <c r="CN48" s="172">
        <f t="shared" si="51"/>
        <v>16.399999999999999</v>
      </c>
      <c r="CO48" s="443">
        <f t="shared" si="52"/>
        <v>40.4</v>
      </c>
      <c r="CP48" s="443"/>
      <c r="CQ48" s="217">
        <f t="shared" si="53"/>
        <v>0.40594059405940591</v>
      </c>
      <c r="CR48" s="172">
        <f t="shared" si="54"/>
        <v>24.648712871287128</v>
      </c>
      <c r="CS48" s="172">
        <f t="shared" si="115"/>
        <v>6.88</v>
      </c>
      <c r="CT48" s="217">
        <f t="shared" si="55"/>
        <v>1.5405445544554455</v>
      </c>
      <c r="CU48" s="217">
        <f t="shared" si="56"/>
        <v>16</v>
      </c>
      <c r="CV48" s="217">
        <f t="shared" si="57"/>
        <v>1.5222772277227721</v>
      </c>
      <c r="CW48" s="172">
        <f t="shared" si="58"/>
        <v>115.61762976581478</v>
      </c>
      <c r="CX48" s="172">
        <f t="shared" si="59"/>
        <v>16</v>
      </c>
      <c r="CY48" s="217">
        <f t="shared" si="60"/>
        <v>1.4123577235772358</v>
      </c>
      <c r="CZ48" s="217">
        <f t="shared" si="61"/>
        <v>0.70617886178861788</v>
      </c>
      <c r="DA48" s="217">
        <f t="shared" si="62"/>
        <v>1.0334324806662702</v>
      </c>
      <c r="DB48" s="197">
        <f t="shared" si="63"/>
        <v>350</v>
      </c>
      <c r="DC48" s="443">
        <f t="shared" si="116"/>
        <v>350</v>
      </c>
      <c r="DE48" s="217">
        <f t="shared" si="64"/>
        <v>2.3196605374823194</v>
      </c>
      <c r="DF48" s="173">
        <f t="shared" si="65"/>
        <v>1.6973125884016973</v>
      </c>
      <c r="DG48" s="173">
        <f t="shared" si="66"/>
        <v>0.68900808044029282</v>
      </c>
      <c r="DH48" s="173"/>
      <c r="DI48" s="173">
        <f t="shared" si="67"/>
        <v>0.73170731707317083</v>
      </c>
      <c r="DJ48" s="545">
        <f t="shared" si="117"/>
        <v>1175.3333333333333</v>
      </c>
      <c r="DK48" s="528">
        <f t="shared" si="68"/>
        <v>0.12804878048780488</v>
      </c>
      <c r="DM48" s="173">
        <f t="shared" si="69"/>
        <v>1.8325106379214386</v>
      </c>
      <c r="DN48" s="173">
        <f t="shared" si="70"/>
        <v>1.8325106379214386</v>
      </c>
      <c r="DO48" s="173">
        <f t="shared" si="71"/>
        <v>1.8166745466084731</v>
      </c>
      <c r="DQ48" s="545">
        <f t="shared" si="72"/>
        <v>430</v>
      </c>
      <c r="DR48" s="460">
        <f t="shared" si="73"/>
        <v>350</v>
      </c>
      <c r="DT48">
        <f t="shared" si="74"/>
        <v>430</v>
      </c>
      <c r="DU48" s="460">
        <f t="shared" si="75"/>
        <v>350</v>
      </c>
      <c r="DV48" s="460"/>
      <c r="DW48" s="5">
        <f t="shared" si="118"/>
        <v>2.8571428571428572</v>
      </c>
      <c r="DX48" s="5">
        <f t="shared" si="76"/>
        <v>0.91625531896071943</v>
      </c>
      <c r="DY48" s="5">
        <f t="shared" si="119"/>
        <v>1.9408875381821378</v>
      </c>
      <c r="DZ48" s="5">
        <f t="shared" si="77"/>
        <v>1.3408614423815408</v>
      </c>
      <c r="EA48" s="173">
        <f t="shared" si="120"/>
        <v>0.32068936163625178</v>
      </c>
      <c r="EB48" s="173">
        <f t="shared" si="78"/>
        <v>7.0519999999999996</v>
      </c>
      <c r="EC48" s="173">
        <f t="shared" si="79"/>
        <v>0.62242198562738593</v>
      </c>
      <c r="ED48" s="173">
        <f t="shared" si="121"/>
        <v>11.329933972193734</v>
      </c>
      <c r="EE48" s="460">
        <f t="shared" si="80"/>
        <v>2.4624361697069337</v>
      </c>
      <c r="EF48" s="5">
        <f t="shared" si="81"/>
        <v>0.46365646745462175</v>
      </c>
      <c r="EG48" s="5"/>
      <c r="EH48" s="173">
        <f t="shared" si="122"/>
        <v>0.59913977729700074</v>
      </c>
      <c r="EI48" s="173">
        <f t="shared" si="82"/>
        <v>0.87200722853975221</v>
      </c>
      <c r="EJ48" s="173"/>
      <c r="EK48" s="528">
        <f t="shared" si="83"/>
        <v>7.1793694547899935E-3</v>
      </c>
      <c r="EL48" s="528">
        <f t="shared" si="84"/>
        <v>0.49232230798397375</v>
      </c>
      <c r="EM48" s="528">
        <f t="shared" si="85"/>
        <v>4.0250000000000001E-2</v>
      </c>
      <c r="EN48" s="528">
        <f t="shared" si="86"/>
        <v>0.28134357999999998</v>
      </c>
      <c r="EO48">
        <f t="shared" si="87"/>
        <v>1.0800000000000001E-2</v>
      </c>
      <c r="EP48" s="460">
        <f t="shared" si="123"/>
        <v>51.05</v>
      </c>
      <c r="EQ48" s="528">
        <f t="shared" si="88"/>
        <v>0.83525848630454769</v>
      </c>
      <c r="ER48" s="460">
        <f t="shared" si="124"/>
        <v>835.25848630454766</v>
      </c>
      <c r="ES48" s="528">
        <f t="shared" si="125"/>
        <v>0.26713749999999997</v>
      </c>
      <c r="ET48" s="528"/>
      <c r="EV48" s="460">
        <f t="shared" si="126"/>
        <v>267.13749999999999</v>
      </c>
      <c r="EW48" s="528">
        <f t="shared" si="89"/>
        <v>1.0769054182184989E-2</v>
      </c>
      <c r="EX48" s="528">
        <f t="shared" si="90"/>
        <v>2.2811898198767389E-2</v>
      </c>
      <c r="EY48" s="528">
        <f t="shared" si="91"/>
        <v>0.52090242150261379</v>
      </c>
      <c r="EZ48" s="528">
        <f t="shared" si="92"/>
        <v>0.56405813119449333</v>
      </c>
      <c r="FA48" s="528">
        <f t="shared" si="93"/>
        <v>5.8766666666666663E-3</v>
      </c>
      <c r="FB48" s="460">
        <f t="shared" si="127"/>
        <v>569.93479786115995</v>
      </c>
      <c r="FC48" s="173">
        <f t="shared" si="128"/>
        <v>1.6723307841657078</v>
      </c>
      <c r="FD48" s="5">
        <f t="shared" si="129"/>
        <v>6.88</v>
      </c>
      <c r="FE48" s="173">
        <f t="shared" si="130"/>
        <v>0.80445906193643024</v>
      </c>
      <c r="FF48" s="5">
        <f t="shared" si="131"/>
        <v>80.445906193643026</v>
      </c>
      <c r="FI48" s="562">
        <f t="shared" si="94"/>
        <v>-50</v>
      </c>
      <c r="FJ48">
        <f t="shared" si="95"/>
        <v>-50</v>
      </c>
      <c r="FL48">
        <f t="shared" si="181"/>
        <v>0.46930150483353922</v>
      </c>
    </row>
    <row r="49" spans="5:168">
      <c r="E49" s="170">
        <v>44</v>
      </c>
      <c r="F49" s="217">
        <f t="shared" si="182"/>
        <v>0.44</v>
      </c>
      <c r="G49" s="217"/>
      <c r="H49" s="217">
        <f t="shared" si="132"/>
        <v>7.04</v>
      </c>
      <c r="I49" s="541">
        <f t="shared" si="133"/>
        <v>23.954226229178293</v>
      </c>
      <c r="J49" s="172">
        <f t="shared" si="134"/>
        <v>16.427464262493022</v>
      </c>
      <c r="K49" s="172">
        <f t="shared" si="135"/>
        <v>40.427464262493018</v>
      </c>
      <c r="L49" s="443"/>
      <c r="M49" s="217">
        <f t="shared" si="136"/>
        <v>0.40680978060884632</v>
      </c>
      <c r="N49" s="172">
        <f t="shared" si="137"/>
        <v>24.654378197875133</v>
      </c>
      <c r="O49" s="172">
        <f t="shared" si="98"/>
        <v>7.04</v>
      </c>
      <c r="P49" s="217">
        <f t="shared" si="138"/>
        <v>1.5408986373671958</v>
      </c>
      <c r="Q49" s="217">
        <f t="shared" si="139"/>
        <v>16</v>
      </c>
      <c r="R49" s="217">
        <f t="shared" si="140"/>
        <v>1.5226271120229207</v>
      </c>
      <c r="S49" s="172">
        <f t="shared" si="141"/>
        <v>112.2344008436213</v>
      </c>
      <c r="T49" s="172">
        <f t="shared" si="142"/>
        <v>16</v>
      </c>
      <c r="U49" s="217">
        <f t="shared" si="143"/>
        <v>1.4835038934108284</v>
      </c>
      <c r="V49" s="217">
        <f t="shared" si="11"/>
        <v>0.7431693493503676</v>
      </c>
      <c r="W49" s="217">
        <f t="shared" si="144"/>
        <v>1.0836758757451903</v>
      </c>
      <c r="X49" s="197">
        <f t="shared" si="145"/>
        <v>350</v>
      </c>
      <c r="Y49" s="443">
        <f t="shared" si="14"/>
        <v>350</v>
      </c>
      <c r="AA49" s="217">
        <f t="shared" si="146"/>
        <v>2.3201651099811462</v>
      </c>
      <c r="AB49" s="173">
        <f t="shared" si="147"/>
        <v>1.6948435178362991</v>
      </c>
      <c r="AC49" s="173">
        <f t="shared" si="148"/>
        <v>0.68815543946826063</v>
      </c>
      <c r="AD49" s="173"/>
      <c r="AE49" s="173">
        <f t="shared" si="149"/>
        <v>0.73048401191157952</v>
      </c>
      <c r="AF49" s="545">
        <f t="shared" si="150"/>
        <v>1204.6807125828216</v>
      </c>
      <c r="AG49" s="528">
        <f t="shared" si="151"/>
        <v>0.12783470208452644</v>
      </c>
      <c r="AI49" s="173">
        <f t="shared" si="152"/>
        <v>1.8552479330520155</v>
      </c>
      <c r="AJ49" s="173">
        <f t="shared" si="153"/>
        <v>1.8552479330520155</v>
      </c>
      <c r="AK49" s="173">
        <f t="shared" si="154"/>
        <v>1.8335169874459374</v>
      </c>
      <c r="AM49" s="545">
        <f t="shared" si="155"/>
        <v>440</v>
      </c>
      <c r="AN49" s="460">
        <f t="shared" si="156"/>
        <v>350</v>
      </c>
      <c r="AP49">
        <f t="shared" si="157"/>
        <v>440</v>
      </c>
      <c r="AQ49" s="460">
        <f t="shared" si="158"/>
        <v>350</v>
      </c>
      <c r="AR49" s="460"/>
      <c r="AS49" s="5">
        <f t="shared" si="101"/>
        <v>2.8571428571428572</v>
      </c>
      <c r="AT49" s="5">
        <f t="shared" si="159"/>
        <v>0.92939654921961035</v>
      </c>
      <c r="AU49" s="5">
        <f t="shared" si="102"/>
        <v>1.9277463079232469</v>
      </c>
      <c r="AV49" s="5">
        <f t="shared" si="160"/>
        <v>1.3552289532265018</v>
      </c>
      <c r="AW49" s="173">
        <f t="shared" si="103"/>
        <v>0.32528879222686363</v>
      </c>
      <c r="AX49" s="173">
        <f t="shared" si="161"/>
        <v>7.2280842754969301</v>
      </c>
      <c r="AY49" s="173">
        <f t="shared" si="162"/>
        <v>0.6258782868140701</v>
      </c>
      <c r="AZ49" s="173">
        <f t="shared" si="104"/>
        <v>11.548705918989933</v>
      </c>
      <c r="BA49" s="460">
        <f t="shared" si="163"/>
        <v>2.5558405103539288</v>
      </c>
      <c r="BB49" s="5">
        <f t="shared" si="164"/>
        <v>0.47212733562260412</v>
      </c>
      <c r="BC49" s="5"/>
      <c r="BD49" s="173">
        <f t="shared" si="105"/>
        <v>0.61090809379313771</v>
      </c>
      <c r="BE49" s="173">
        <f t="shared" si="165"/>
        <v>0.87983308945653249</v>
      </c>
      <c r="BF49" s="173"/>
      <c r="BG49" s="528">
        <f t="shared" si="166"/>
        <v>7.4641739812393026E-3</v>
      </c>
      <c r="BH49" s="528">
        <f t="shared" si="167"/>
        <v>0.4790814677548621</v>
      </c>
      <c r="BI49" s="528">
        <f t="shared" si="168"/>
        <v>0.19283152114488528</v>
      </c>
      <c r="BJ49" s="528">
        <f t="shared" si="169"/>
        <v>0.28172622952157655</v>
      </c>
      <c r="BK49">
        <f t="shared" si="170"/>
        <v>1.0779401803130232E-2</v>
      </c>
      <c r="BL49" s="460">
        <f t="shared" si="106"/>
        <v>203.61092294801549</v>
      </c>
      <c r="BM49" s="528">
        <f t="shared" si="171"/>
        <v>0.77165572019028317</v>
      </c>
      <c r="BN49" s="460">
        <f t="shared" si="107"/>
        <v>771.6557201902832</v>
      </c>
      <c r="BO49" s="528">
        <f t="shared" si="172"/>
        <v>0.27334999999999998</v>
      </c>
      <c r="BP49" s="528"/>
      <c r="BR49" s="460">
        <f t="shared" si="109"/>
        <v>273.34999999999997</v>
      </c>
      <c r="BS49" s="528">
        <f t="shared" si="173"/>
        <v>1.1196260971858954E-2</v>
      </c>
      <c r="BT49" s="528">
        <f t="shared" si="174"/>
        <v>2.3223187959078802E-2</v>
      </c>
      <c r="BU49" s="528">
        <f t="shared" si="175"/>
        <v>0.1056</v>
      </c>
      <c r="BV49" s="528">
        <f t="shared" si="176"/>
        <v>0.14868954164116943</v>
      </c>
      <c r="BW49" s="528">
        <f t="shared" si="177"/>
        <v>6.0234035629141078E-3</v>
      </c>
      <c r="BX49" s="460">
        <f t="shared" si="110"/>
        <v>154.71294520408355</v>
      </c>
      <c r="BY49" s="173">
        <f t="shared" si="45"/>
        <v>1.403329588342382</v>
      </c>
      <c r="BZ49" s="5">
        <f t="shared" si="111"/>
        <v>7.04</v>
      </c>
      <c r="CA49" s="173">
        <f t="shared" si="112"/>
        <v>0.83379429007722927</v>
      </c>
      <c r="CB49" s="5">
        <f t="shared" si="113"/>
        <v>83.379429007722933</v>
      </c>
      <c r="CE49" s="562">
        <f t="shared" si="178"/>
        <v>-50</v>
      </c>
      <c r="CF49">
        <f t="shared" si="179"/>
        <v>-50</v>
      </c>
      <c r="CG49" s="173">
        <f t="shared" si="180"/>
        <v>0.48062459362791665</v>
      </c>
      <c r="CI49" s="170">
        <v>44</v>
      </c>
      <c r="CJ49" s="217">
        <f t="shared" si="114"/>
        <v>0.44</v>
      </c>
      <c r="CK49" s="217"/>
      <c r="CL49" s="217">
        <f t="shared" si="49"/>
        <v>7.04</v>
      </c>
      <c r="CM49" s="541">
        <f t="shared" si="50"/>
        <v>24</v>
      </c>
      <c r="CN49" s="172">
        <f t="shared" si="51"/>
        <v>16.399999999999999</v>
      </c>
      <c r="CO49" s="443">
        <f t="shared" si="52"/>
        <v>40.4</v>
      </c>
      <c r="CP49" s="443"/>
      <c r="CQ49" s="217">
        <f t="shared" si="53"/>
        <v>0.40594059405940591</v>
      </c>
      <c r="CR49" s="172">
        <f t="shared" si="54"/>
        <v>24.648712871287128</v>
      </c>
      <c r="CS49" s="172">
        <f t="shared" si="115"/>
        <v>7.04</v>
      </c>
      <c r="CT49" s="217">
        <f t="shared" si="55"/>
        <v>1.5405445544554455</v>
      </c>
      <c r="CU49" s="217">
        <f t="shared" si="56"/>
        <v>16</v>
      </c>
      <c r="CV49" s="217">
        <f t="shared" si="57"/>
        <v>1.5222772277227721</v>
      </c>
      <c r="CW49" s="172">
        <f t="shared" si="58"/>
        <v>112.44870601431344</v>
      </c>
      <c r="CX49" s="172">
        <f t="shared" si="59"/>
        <v>16</v>
      </c>
      <c r="CY49" s="217">
        <f t="shared" si="60"/>
        <v>1.4452032520325204</v>
      </c>
      <c r="CZ49" s="217">
        <f t="shared" si="61"/>
        <v>0.72260162601626021</v>
      </c>
      <c r="DA49" s="217">
        <f t="shared" si="62"/>
        <v>1.0574657941701371</v>
      </c>
      <c r="DB49" s="197">
        <f t="shared" si="63"/>
        <v>350</v>
      </c>
      <c r="DC49" s="443">
        <f t="shared" si="116"/>
        <v>350</v>
      </c>
      <c r="DE49" s="217">
        <f t="shared" si="64"/>
        <v>2.3196605374823194</v>
      </c>
      <c r="DF49" s="173">
        <f t="shared" si="65"/>
        <v>1.6973125884016973</v>
      </c>
      <c r="DG49" s="173">
        <f t="shared" si="66"/>
        <v>0.68900808044029282</v>
      </c>
      <c r="DH49" s="173"/>
      <c r="DI49" s="173">
        <f t="shared" si="67"/>
        <v>0.73170731707317083</v>
      </c>
      <c r="DJ49" s="545">
        <f t="shared" si="117"/>
        <v>1202.6666666666665</v>
      </c>
      <c r="DK49" s="528">
        <f t="shared" si="68"/>
        <v>0.12804878048780488</v>
      </c>
      <c r="DM49" s="173">
        <f t="shared" si="69"/>
        <v>1.8536964358250454</v>
      </c>
      <c r="DN49" s="173">
        <f t="shared" si="70"/>
        <v>1.8536964358250454</v>
      </c>
      <c r="DO49" s="173">
        <f t="shared" si="71"/>
        <v>1.8323677302407744</v>
      </c>
      <c r="DQ49" s="545">
        <f t="shared" si="72"/>
        <v>440</v>
      </c>
      <c r="DR49" s="460">
        <f t="shared" si="73"/>
        <v>350</v>
      </c>
      <c r="DT49">
        <f t="shared" si="74"/>
        <v>440</v>
      </c>
      <c r="DU49" s="460">
        <f t="shared" si="75"/>
        <v>350</v>
      </c>
      <c r="DV49" s="460"/>
      <c r="DW49" s="5">
        <f t="shared" si="118"/>
        <v>2.8571428571428572</v>
      </c>
      <c r="DX49" s="5">
        <f t="shared" si="76"/>
        <v>0.9268482179125227</v>
      </c>
      <c r="DY49" s="5">
        <f t="shared" si="119"/>
        <v>1.9302946392303344</v>
      </c>
      <c r="DZ49" s="5">
        <f t="shared" si="77"/>
        <v>1.3563632457256432</v>
      </c>
      <c r="EA49" s="173">
        <f t="shared" si="120"/>
        <v>0.32439687626938296</v>
      </c>
      <c r="EB49" s="173">
        <f t="shared" si="78"/>
        <v>7.2160000000000011</v>
      </c>
      <c r="EC49" s="173">
        <f t="shared" si="79"/>
        <v>0.62618155124585595</v>
      </c>
      <c r="ED49" s="173">
        <f t="shared" si="121"/>
        <v>11.52381443631322</v>
      </c>
      <c r="EE49" s="460">
        <f t="shared" si="80"/>
        <v>2.5488325992594372</v>
      </c>
      <c r="EF49" s="5">
        <f t="shared" si="81"/>
        <v>0.47184980070074833</v>
      </c>
      <c r="EG49" s="5"/>
      <c r="EH49" s="173">
        <f t="shared" si="122"/>
        <v>0.60955980202733018</v>
      </c>
      <c r="EI49" s="173">
        <f t="shared" si="82"/>
        <v>0.87967816452906655</v>
      </c>
      <c r="EJ49" s="173"/>
      <c r="EK49" s="528">
        <f t="shared" si="83"/>
        <v>7.4312630449519593E-3</v>
      </c>
      <c r="EL49" s="528">
        <f t="shared" si="84"/>
        <v>0.49801408444875672</v>
      </c>
      <c r="EM49" s="528">
        <f t="shared" si="85"/>
        <v>4.0250000000000001E-2</v>
      </c>
      <c r="EN49" s="528">
        <f t="shared" si="86"/>
        <v>0.28134357999999998</v>
      </c>
      <c r="EO49">
        <f t="shared" si="87"/>
        <v>1.0800000000000001E-2</v>
      </c>
      <c r="EP49" s="460">
        <f t="shared" si="123"/>
        <v>51.05</v>
      </c>
      <c r="EQ49" s="528">
        <f t="shared" si="88"/>
        <v>0.84133087961108288</v>
      </c>
      <c r="ER49" s="460">
        <f t="shared" si="124"/>
        <v>841.33087961108288</v>
      </c>
      <c r="ES49" s="528">
        <f t="shared" si="125"/>
        <v>0.27334999999999998</v>
      </c>
      <c r="ET49" s="528"/>
      <c r="EV49" s="460">
        <f t="shared" si="126"/>
        <v>273.34999999999997</v>
      </c>
      <c r="EW49" s="528">
        <f t="shared" si="89"/>
        <v>1.1146894567427939E-2</v>
      </c>
      <c r="EX49" s="528">
        <f t="shared" si="90"/>
        <v>2.3215010194476825E-2</v>
      </c>
      <c r="EY49" s="528">
        <f t="shared" si="91"/>
        <v>0.53608869933359682</v>
      </c>
      <c r="EZ49" s="528">
        <f t="shared" si="92"/>
        <v>0.58029265812255393</v>
      </c>
      <c r="FA49" s="528">
        <f t="shared" si="93"/>
        <v>6.0133333333333349E-3</v>
      </c>
      <c r="FB49" s="460">
        <f t="shared" si="127"/>
        <v>586.30599145588724</v>
      </c>
      <c r="FC49" s="173">
        <f t="shared" si="128"/>
        <v>1.7009868710669702</v>
      </c>
      <c r="FD49" s="5">
        <f t="shared" si="129"/>
        <v>7.04</v>
      </c>
      <c r="FE49" s="173">
        <f t="shared" si="130"/>
        <v>0.8054010495431233</v>
      </c>
      <c r="FF49" s="5">
        <f t="shared" si="131"/>
        <v>80.540104954312326</v>
      </c>
      <c r="FI49" s="562">
        <f t="shared" si="94"/>
        <v>-50</v>
      </c>
      <c r="FJ49">
        <f t="shared" si="95"/>
        <v>-50</v>
      </c>
      <c r="FL49">
        <f t="shared" si="181"/>
        <v>0.47472713600397504</v>
      </c>
    </row>
    <row r="50" spans="5:168">
      <c r="E50" s="170">
        <v>45</v>
      </c>
      <c r="F50" s="217">
        <f t="shared" si="182"/>
        <v>0.45</v>
      </c>
      <c r="G50" s="217"/>
      <c r="H50" s="217">
        <f t="shared" si="132"/>
        <v>7.2</v>
      </c>
      <c r="I50" s="541">
        <f t="shared" si="133"/>
        <v>23.953708995011372</v>
      </c>
      <c r="J50" s="172">
        <f t="shared" si="134"/>
        <v>16.427774602993175</v>
      </c>
      <c r="K50" s="172">
        <f t="shared" si="135"/>
        <v>40.427774602993175</v>
      </c>
      <c r="L50" s="443"/>
      <c r="M50" s="217">
        <f t="shared" si="136"/>
        <v>0.40681960665715833</v>
      </c>
      <c r="N50" s="172">
        <f t="shared" si="137"/>
        <v>24.65444133246632</v>
      </c>
      <c r="O50" s="172">
        <f t="shared" si="98"/>
        <v>7.2</v>
      </c>
      <c r="P50" s="217">
        <f t="shared" si="138"/>
        <v>1.540902583279145</v>
      </c>
      <c r="Q50" s="217">
        <f t="shared" si="139"/>
        <v>16</v>
      </c>
      <c r="R50" s="217">
        <f t="shared" si="140"/>
        <v>1.5226310111454002</v>
      </c>
      <c r="S50" s="172">
        <f t="shared" si="141"/>
        <v>109.20986651468334</v>
      </c>
      <c r="T50" s="172">
        <f t="shared" si="142"/>
        <v>16</v>
      </c>
      <c r="U50" s="217">
        <f t="shared" si="143"/>
        <v>1.5172450237744544</v>
      </c>
      <c r="V50" s="217">
        <f t="shared" si="11"/>
        <v>0.76008856453442142</v>
      </c>
      <c r="W50" s="217">
        <f t="shared" si="144"/>
        <v>1.108302294455398</v>
      </c>
      <c r="X50" s="197">
        <f t="shared" si="145"/>
        <v>350</v>
      </c>
      <c r="Y50" s="443">
        <f t="shared" si="14"/>
        <v>350</v>
      </c>
      <c r="AA50" s="217">
        <f t="shared" si="146"/>
        <v>2.3201707294567462</v>
      </c>
      <c r="AB50" s="173">
        <f t="shared" si="147"/>
        <v>1.6948156050551164</v>
      </c>
      <c r="AC50" s="173">
        <f t="shared" si="148"/>
        <v>0.688145772768196</v>
      </c>
      <c r="AD50" s="173"/>
      <c r="AE50" s="173">
        <f t="shared" si="149"/>
        <v>0.73047021218647434</v>
      </c>
      <c r="AF50" s="545">
        <f t="shared" si="150"/>
        <v>1232.0830952244883</v>
      </c>
      <c r="AG50" s="528">
        <f t="shared" si="151"/>
        <v>0.12783228713263303</v>
      </c>
      <c r="AI50" s="173">
        <f t="shared" si="152"/>
        <v>1.8762295741532029</v>
      </c>
      <c r="AJ50" s="173">
        <f t="shared" si="153"/>
        <v>1.8762295741532029</v>
      </c>
      <c r="AK50" s="173">
        <f t="shared" si="154"/>
        <v>1.8490589438171874</v>
      </c>
      <c r="AM50" s="545">
        <f t="shared" si="155"/>
        <v>450</v>
      </c>
      <c r="AN50" s="460">
        <f t="shared" si="156"/>
        <v>350</v>
      </c>
      <c r="AP50">
        <f t="shared" si="157"/>
        <v>450</v>
      </c>
      <c r="AQ50" s="460">
        <f t="shared" si="158"/>
        <v>350</v>
      </c>
      <c r="AR50" s="460"/>
      <c r="AS50" s="5">
        <f t="shared" si="101"/>
        <v>2.8571428571428572</v>
      </c>
      <c r="AT50" s="5">
        <f t="shared" si="159"/>
        <v>0.93992771201016867</v>
      </c>
      <c r="AU50" s="5">
        <f t="shared" si="102"/>
        <v>1.9172151451326886</v>
      </c>
      <c r="AV50" s="5">
        <f t="shared" si="160"/>
        <v>1.3705298151422287</v>
      </c>
      <c r="AW50" s="173">
        <f t="shared" si="103"/>
        <v>0.32897469920355904</v>
      </c>
      <c r="AX50" s="173">
        <f t="shared" si="161"/>
        <v>7.3924985713469287</v>
      </c>
      <c r="AY50" s="173">
        <f t="shared" si="162"/>
        <v>0.62949875717966564</v>
      </c>
      <c r="AZ50" s="173">
        <f t="shared" si="104"/>
        <v>11.743468095898132</v>
      </c>
      <c r="BA50" s="460">
        <f t="shared" si="163"/>
        <v>2.6435466900285993</v>
      </c>
      <c r="BB50" s="5">
        <f t="shared" si="164"/>
        <v>0.4802300501017116</v>
      </c>
      <c r="BC50" s="5"/>
      <c r="BD50" s="173">
        <f t="shared" si="105"/>
        <v>0.62130750430061066</v>
      </c>
      <c r="BE50" s="173">
        <f t="shared" si="165"/>
        <v>0.88734968120922675</v>
      </c>
      <c r="BF50" s="173"/>
      <c r="BG50" s="528">
        <f t="shared" si="166"/>
        <v>7.7204602980050661E-3</v>
      </c>
      <c r="BH50" s="528">
        <f t="shared" si="167"/>
        <v>0.48450328516585589</v>
      </c>
      <c r="BI50" s="528">
        <f t="shared" si="168"/>
        <v>0.19282735740984155</v>
      </c>
      <c r="BJ50" s="528">
        <f t="shared" si="169"/>
        <v>0.28173055486802862</v>
      </c>
      <c r="BK50">
        <f t="shared" si="170"/>
        <v>1.0779169047755117E-2</v>
      </c>
      <c r="BL50" s="460">
        <f t="shared" si="106"/>
        <v>203.60652645759666</v>
      </c>
      <c r="BM50" s="528">
        <f t="shared" si="171"/>
        <v>0.77746499190684892</v>
      </c>
      <c r="BN50" s="460">
        <f t="shared" si="107"/>
        <v>777.46499190684892</v>
      </c>
      <c r="BO50" s="528">
        <f t="shared" si="172"/>
        <v>0.27956249999999999</v>
      </c>
      <c r="BP50" s="528"/>
      <c r="BR50" s="460">
        <f t="shared" si="109"/>
        <v>279.5625</v>
      </c>
      <c r="BS50" s="528">
        <f t="shared" si="173"/>
        <v>1.1580690447007599E-2</v>
      </c>
      <c r="BT50" s="528">
        <f t="shared" si="174"/>
        <v>2.3621683702263491E-2</v>
      </c>
      <c r="BU50" s="528">
        <f t="shared" si="175"/>
        <v>0.108</v>
      </c>
      <c r="BV50" s="528">
        <f t="shared" si="176"/>
        <v>0.15207922793566603</v>
      </c>
      <c r="BW50" s="528">
        <f t="shared" si="177"/>
        <v>6.1604154761224408E-3</v>
      </c>
      <c r="BX50" s="460">
        <f t="shared" si="110"/>
        <v>158.23964341178848</v>
      </c>
      <c r="BY50" s="173">
        <f t="shared" si="45"/>
        <v>1.4188736617762341</v>
      </c>
      <c r="BZ50" s="5">
        <f t="shared" si="111"/>
        <v>7.2</v>
      </c>
      <c r="CA50" s="173">
        <f t="shared" si="112"/>
        <v>0.83537597632173399</v>
      </c>
      <c r="CB50" s="5">
        <f t="shared" si="113"/>
        <v>83.537597632173402</v>
      </c>
      <c r="CE50" s="562">
        <f t="shared" si="178"/>
        <v>-50</v>
      </c>
      <c r="CF50">
        <f t="shared" si="179"/>
        <v>-50</v>
      </c>
      <c r="CG50" s="173">
        <f t="shared" si="180"/>
        <v>0.48605555238058951</v>
      </c>
      <c r="CI50" s="170">
        <v>45</v>
      </c>
      <c r="CJ50" s="217">
        <f t="shared" si="114"/>
        <v>0.45</v>
      </c>
      <c r="CK50" s="217"/>
      <c r="CL50" s="217">
        <f t="shared" si="49"/>
        <v>7.2</v>
      </c>
      <c r="CM50" s="541">
        <f t="shared" si="50"/>
        <v>24</v>
      </c>
      <c r="CN50" s="172">
        <f t="shared" si="51"/>
        <v>16.399999999999999</v>
      </c>
      <c r="CO50" s="443">
        <f t="shared" si="52"/>
        <v>40.4</v>
      </c>
      <c r="CP50" s="443"/>
      <c r="CQ50" s="217">
        <f t="shared" si="53"/>
        <v>0.40594059405940591</v>
      </c>
      <c r="CR50" s="172">
        <f t="shared" si="54"/>
        <v>24.648712871287128</v>
      </c>
      <c r="CS50" s="172">
        <f t="shared" si="115"/>
        <v>7.2</v>
      </c>
      <c r="CT50" s="217">
        <f t="shared" si="55"/>
        <v>1.5405445544554455</v>
      </c>
      <c r="CU50" s="217">
        <f t="shared" si="56"/>
        <v>16</v>
      </c>
      <c r="CV50" s="217">
        <f t="shared" si="57"/>
        <v>1.5222772277227721</v>
      </c>
      <c r="CW50" s="172">
        <f t="shared" si="58"/>
        <v>109.42074850879294</v>
      </c>
      <c r="CX50" s="172">
        <f t="shared" si="59"/>
        <v>16</v>
      </c>
      <c r="CY50" s="217">
        <f t="shared" si="60"/>
        <v>1.4780487804878049</v>
      </c>
      <c r="CZ50" s="217">
        <f t="shared" si="61"/>
        <v>0.73902439024390254</v>
      </c>
      <c r="DA50" s="217">
        <f t="shared" si="62"/>
        <v>1.0814991076740037</v>
      </c>
      <c r="DB50" s="197">
        <f t="shared" si="63"/>
        <v>350</v>
      </c>
      <c r="DC50" s="443">
        <f t="shared" si="116"/>
        <v>350</v>
      </c>
      <c r="DE50" s="217">
        <f t="shared" si="64"/>
        <v>2.3196605374823194</v>
      </c>
      <c r="DF50" s="173">
        <f t="shared" si="65"/>
        <v>1.6973125884016973</v>
      </c>
      <c r="DG50" s="173">
        <f t="shared" si="66"/>
        <v>0.68900808044029282</v>
      </c>
      <c r="DH50" s="173"/>
      <c r="DI50" s="173">
        <f t="shared" si="67"/>
        <v>0.73170731707317083</v>
      </c>
      <c r="DJ50" s="545">
        <f t="shared" si="117"/>
        <v>1229.9999999999998</v>
      </c>
      <c r="DK50" s="528">
        <f t="shared" si="68"/>
        <v>0.12804878048780488</v>
      </c>
      <c r="DM50" s="173">
        <f t="shared" si="69"/>
        <v>1.8746428231227714</v>
      </c>
      <c r="DN50" s="173">
        <f t="shared" si="70"/>
        <v>1.8746428231227714</v>
      </c>
      <c r="DO50" s="173">
        <f t="shared" si="71"/>
        <v>1.8478835726835343</v>
      </c>
      <c r="DQ50" s="545">
        <f t="shared" si="72"/>
        <v>450</v>
      </c>
      <c r="DR50" s="460">
        <f t="shared" si="73"/>
        <v>350</v>
      </c>
      <c r="DT50">
        <f t="shared" si="74"/>
        <v>450</v>
      </c>
      <c r="DU50" s="460">
        <f t="shared" si="75"/>
        <v>350</v>
      </c>
      <c r="DV50" s="460"/>
      <c r="DW50" s="5">
        <f t="shared" si="118"/>
        <v>2.8571428571428572</v>
      </c>
      <c r="DX50" s="5">
        <f t="shared" si="76"/>
        <v>0.93732141156138582</v>
      </c>
      <c r="DY50" s="5">
        <f t="shared" si="119"/>
        <v>1.9198214455814715</v>
      </c>
      <c r="DZ50" s="5">
        <f t="shared" si="77"/>
        <v>1.3716898705776379</v>
      </c>
      <c r="EA50" s="173">
        <f t="shared" si="120"/>
        <v>0.32806249404648502</v>
      </c>
      <c r="EB50" s="173">
        <f t="shared" si="78"/>
        <v>7.379999999999999</v>
      </c>
      <c r="EC50" s="173">
        <f t="shared" si="79"/>
        <v>0.62982141156138571</v>
      </c>
      <c r="ED50" s="173">
        <f t="shared" si="121"/>
        <v>11.717607347937401</v>
      </c>
      <c r="EE50" s="460">
        <f t="shared" si="80"/>
        <v>2.6362164700163975</v>
      </c>
      <c r="EF50" s="5">
        <f t="shared" si="81"/>
        <v>0.47995536139536776</v>
      </c>
      <c r="EG50" s="5"/>
      <c r="EH50" s="173">
        <f t="shared" si="122"/>
        <v>0.61992078424599395</v>
      </c>
      <c r="EI50" s="173">
        <f t="shared" si="82"/>
        <v>0.88720166404735923</v>
      </c>
      <c r="EJ50" s="173"/>
      <c r="EK50" s="528">
        <f t="shared" si="83"/>
        <v>7.6860355748033637E-3</v>
      </c>
      <c r="EL50" s="528">
        <f t="shared" si="84"/>
        <v>0.50364154086016388</v>
      </c>
      <c r="EM50" s="528">
        <f t="shared" si="85"/>
        <v>4.0250000000000001E-2</v>
      </c>
      <c r="EN50" s="528">
        <f t="shared" si="86"/>
        <v>0.28134357999999998</v>
      </c>
      <c r="EO50">
        <f t="shared" si="87"/>
        <v>1.0800000000000001E-2</v>
      </c>
      <c r="EP50" s="460">
        <f t="shared" si="123"/>
        <v>51.05</v>
      </c>
      <c r="EQ50" s="528">
        <f t="shared" si="88"/>
        <v>0.8473438070398156</v>
      </c>
      <c r="ER50" s="460">
        <f t="shared" si="124"/>
        <v>847.3438070398156</v>
      </c>
      <c r="ES50" s="528">
        <f t="shared" si="125"/>
        <v>0.27956249999999999</v>
      </c>
      <c r="ET50" s="528"/>
      <c r="EV50" s="460">
        <f t="shared" si="126"/>
        <v>279.5625</v>
      </c>
      <c r="EW50" s="528">
        <f t="shared" si="89"/>
        <v>1.1529053362205045E-2</v>
      </c>
      <c r="EX50" s="528">
        <f t="shared" si="90"/>
        <v>2.3613803780652098E-2</v>
      </c>
      <c r="EY50" s="528">
        <f t="shared" si="91"/>
        <v>0.551361514966625</v>
      </c>
      <c r="EZ50" s="528">
        <f t="shared" si="92"/>
        <v>0.59661600109541901</v>
      </c>
      <c r="FA50" s="528">
        <f t="shared" si="93"/>
        <v>6.1500000000000001E-3</v>
      </c>
      <c r="FB50" s="460">
        <f t="shared" si="127"/>
        <v>602.76600109541903</v>
      </c>
      <c r="FC50" s="173">
        <f t="shared" si="128"/>
        <v>1.7296723081352348</v>
      </c>
      <c r="FD50" s="5">
        <f t="shared" si="129"/>
        <v>7.2</v>
      </c>
      <c r="FE50" s="173">
        <f t="shared" si="130"/>
        <v>0.80630058433841467</v>
      </c>
      <c r="FF50" s="5">
        <f t="shared" si="131"/>
        <v>80.630058433841469</v>
      </c>
      <c r="FI50" s="562">
        <f t="shared" si="94"/>
        <v>-50</v>
      </c>
      <c r="FJ50">
        <f t="shared" si="95"/>
        <v>-50</v>
      </c>
      <c r="FL50">
        <f t="shared" si="181"/>
        <v>0.48009145470217318</v>
      </c>
    </row>
    <row r="51" spans="5:168">
      <c r="E51" s="170">
        <v>46</v>
      </c>
      <c r="F51" s="217">
        <f t="shared" si="182"/>
        <v>0.46</v>
      </c>
      <c r="G51" s="217"/>
      <c r="H51" s="217">
        <f t="shared" si="132"/>
        <v>7.36</v>
      </c>
      <c r="I51" s="541">
        <f t="shared" si="133"/>
        <v>23.953197476665501</v>
      </c>
      <c r="J51" s="172">
        <f t="shared" si="134"/>
        <v>16.428081514000699</v>
      </c>
      <c r="K51" s="172">
        <f t="shared" si="135"/>
        <v>40.428081514000695</v>
      </c>
      <c r="L51" s="443"/>
      <c r="M51" s="217">
        <f t="shared" si="136"/>
        <v>0.40682932421752949</v>
      </c>
      <c r="N51" s="172">
        <f t="shared" si="137"/>
        <v>24.654503749970569</v>
      </c>
      <c r="O51" s="172">
        <f t="shared" si="98"/>
        <v>7.36</v>
      </c>
      <c r="P51" s="217">
        <f t="shared" si="138"/>
        <v>1.5409064843731606</v>
      </c>
      <c r="Q51" s="217">
        <f t="shared" si="139"/>
        <v>16</v>
      </c>
      <c r="R51" s="217">
        <f t="shared" si="140"/>
        <v>1.5226348659813842</v>
      </c>
      <c r="S51" s="172">
        <f t="shared" si="141"/>
        <v>106.31700571196066</v>
      </c>
      <c r="T51" s="172">
        <f t="shared" si="142"/>
        <v>16</v>
      </c>
      <c r="U51" s="217">
        <f t="shared" si="143"/>
        <v>1.5509869883341734</v>
      </c>
      <c r="V51" s="217">
        <f t="shared" si="11"/>
        <v>0.77700874290963406</v>
      </c>
      <c r="W51" s="217">
        <f t="shared" si="144"/>
        <v>1.1329286285893023</v>
      </c>
      <c r="X51" s="197">
        <f t="shared" si="145"/>
        <v>350</v>
      </c>
      <c r="Y51" s="443">
        <f t="shared" si="14"/>
        <v>350</v>
      </c>
      <c r="AA51" s="217">
        <f t="shared" si="146"/>
        <v>2.3201762850279741</v>
      </c>
      <c r="AB51" s="173">
        <f t="shared" si="147"/>
        <v>1.6947880004495639</v>
      </c>
      <c r="AC51" s="173">
        <f t="shared" si="148"/>
        <v>0.68813621218878507</v>
      </c>
      <c r="AD51" s="173"/>
      <c r="AE51" s="173">
        <f t="shared" si="149"/>
        <v>0.73045656547133009</v>
      </c>
      <c r="AF51" s="545">
        <f t="shared" si="150"/>
        <v>1259.4862494067204</v>
      </c>
      <c r="AG51" s="528">
        <f t="shared" si="151"/>
        <v>0.12782989895748276</v>
      </c>
      <c r="AI51" s="173">
        <f t="shared" si="152"/>
        <v>1.896979741895537</v>
      </c>
      <c r="AJ51" s="173">
        <f t="shared" si="153"/>
        <v>1.896979741895537</v>
      </c>
      <c r="AK51" s="173">
        <f t="shared" si="154"/>
        <v>1.8644294384411384</v>
      </c>
      <c r="AM51" s="545">
        <f t="shared" si="155"/>
        <v>460</v>
      </c>
      <c r="AN51" s="460">
        <f t="shared" si="156"/>
        <v>350</v>
      </c>
      <c r="AP51">
        <f t="shared" si="157"/>
        <v>460</v>
      </c>
      <c r="AQ51" s="460">
        <f t="shared" si="158"/>
        <v>350</v>
      </c>
      <c r="AR51" s="460"/>
      <c r="AS51" s="5">
        <f t="shared" si="101"/>
        <v>2.8571428571428572</v>
      </c>
      <c r="AT51" s="5">
        <f t="shared" si="159"/>
        <v>0.9503431399888147</v>
      </c>
      <c r="AU51" s="5">
        <f t="shared" si="102"/>
        <v>1.9067997171540425</v>
      </c>
      <c r="AV51" s="5">
        <f t="shared" si="160"/>
        <v>1.3856613070337043</v>
      </c>
      <c r="AW51" s="173">
        <f t="shared" si="103"/>
        <v>0.33262009899608513</v>
      </c>
      <c r="AX51" s="173">
        <f t="shared" si="161"/>
        <v>7.556917496440323</v>
      </c>
      <c r="AY51" s="173">
        <f t="shared" si="162"/>
        <v>0.63300307617633778</v>
      </c>
      <c r="AZ51" s="173">
        <f t="shared" si="104"/>
        <v>11.938200272403048</v>
      </c>
      <c r="BA51" s="460">
        <f t="shared" si="163"/>
        <v>2.7322365274678422</v>
      </c>
      <c r="BB51" s="5">
        <f t="shared" si="164"/>
        <v>0.4882453908963269</v>
      </c>
      <c r="BC51" s="5"/>
      <c r="BD51" s="173">
        <f t="shared" si="105"/>
        <v>0.63164972282479415</v>
      </c>
      <c r="BE51" s="173">
        <f t="shared" si="165"/>
        <v>0.89472305289181342</v>
      </c>
      <c r="BF51" s="173"/>
      <c r="BG51" s="528">
        <f t="shared" si="166"/>
        <v>7.9796274468927862E-3</v>
      </c>
      <c r="BH51" s="528">
        <f t="shared" si="167"/>
        <v>0.48986536982342188</v>
      </c>
      <c r="BI51" s="528">
        <f t="shared" si="168"/>
        <v>0.19282323968715731</v>
      </c>
      <c r="BJ51" s="528">
        <f t="shared" si="169"/>
        <v>0.28173483244885028</v>
      </c>
      <c r="BK51">
        <f t="shared" si="170"/>
        <v>1.0778938864499476E-2</v>
      </c>
      <c r="BL51" s="460">
        <f t="shared" si="106"/>
        <v>203.60217855165681</v>
      </c>
      <c r="BM51" s="528">
        <f t="shared" si="171"/>
        <v>0.78321928115192696</v>
      </c>
      <c r="BN51" s="460">
        <f t="shared" si="107"/>
        <v>783.21928115192691</v>
      </c>
      <c r="BO51" s="528">
        <f t="shared" si="172"/>
        <v>0.285775</v>
      </c>
      <c r="BP51" s="528"/>
      <c r="BR51" s="460">
        <f t="shared" si="109"/>
        <v>285.77499999999998</v>
      </c>
      <c r="BS51" s="528">
        <f t="shared" si="173"/>
        <v>1.1969441170339178E-2</v>
      </c>
      <c r="BT51" s="528">
        <f t="shared" si="174"/>
        <v>2.4015880241281401E-2</v>
      </c>
      <c r="BU51" s="528">
        <f t="shared" si="175"/>
        <v>0.1104</v>
      </c>
      <c r="BV51" s="528">
        <f t="shared" si="176"/>
        <v>0.15546936776390113</v>
      </c>
      <c r="BW51" s="528">
        <f t="shared" si="177"/>
        <v>6.2974312470336019E-3</v>
      </c>
      <c r="BX51" s="460">
        <f t="shared" si="110"/>
        <v>161.76679901093473</v>
      </c>
      <c r="BY51" s="173">
        <f t="shared" si="45"/>
        <v>1.4343632587145185</v>
      </c>
      <c r="BZ51" s="5">
        <f t="shared" si="111"/>
        <v>7.36</v>
      </c>
      <c r="CA51" s="173">
        <f t="shared" si="112"/>
        <v>0.83689970308047279</v>
      </c>
      <c r="CB51" s="5">
        <f t="shared" si="113"/>
        <v>83.689970308047279</v>
      </c>
      <c r="CE51" s="562">
        <f t="shared" si="178"/>
        <v>-50</v>
      </c>
      <c r="CF51">
        <f t="shared" si="179"/>
        <v>-50</v>
      </c>
      <c r="CG51" s="173">
        <f t="shared" si="180"/>
        <v>0.49142649501222463</v>
      </c>
      <c r="CI51" s="170">
        <v>46</v>
      </c>
      <c r="CJ51" s="217">
        <f t="shared" si="114"/>
        <v>0.46</v>
      </c>
      <c r="CK51" s="217"/>
      <c r="CL51" s="217">
        <f t="shared" si="49"/>
        <v>7.36</v>
      </c>
      <c r="CM51" s="541">
        <f t="shared" si="50"/>
        <v>24</v>
      </c>
      <c r="CN51" s="172">
        <f t="shared" si="51"/>
        <v>16.399999999999999</v>
      </c>
      <c r="CO51" s="443">
        <f t="shared" si="52"/>
        <v>40.4</v>
      </c>
      <c r="CP51" s="443"/>
      <c r="CQ51" s="217">
        <f t="shared" si="53"/>
        <v>0.40594059405940591</v>
      </c>
      <c r="CR51" s="172">
        <f t="shared" si="54"/>
        <v>24.648712871287128</v>
      </c>
      <c r="CS51" s="172">
        <f t="shared" si="115"/>
        <v>7.36</v>
      </c>
      <c r="CT51" s="217">
        <f t="shared" si="55"/>
        <v>1.5405445544554455</v>
      </c>
      <c r="CU51" s="217">
        <f t="shared" si="56"/>
        <v>16</v>
      </c>
      <c r="CV51" s="217">
        <f t="shared" si="57"/>
        <v>1.5222772277227721</v>
      </c>
      <c r="CW51" s="172">
        <f t="shared" si="58"/>
        <v>106.5245655313785</v>
      </c>
      <c r="CX51" s="172">
        <f t="shared" si="59"/>
        <v>16</v>
      </c>
      <c r="CY51" s="217">
        <f t="shared" si="60"/>
        <v>1.5108943089430895</v>
      </c>
      <c r="CZ51" s="217">
        <f t="shared" si="61"/>
        <v>0.75544715447154476</v>
      </c>
      <c r="DA51" s="217">
        <f t="shared" si="62"/>
        <v>1.1055324211778705</v>
      </c>
      <c r="DB51" s="197">
        <f t="shared" si="63"/>
        <v>350</v>
      </c>
      <c r="DC51" s="443">
        <f t="shared" si="116"/>
        <v>350</v>
      </c>
      <c r="DE51" s="217">
        <f t="shared" si="64"/>
        <v>2.3196605374823194</v>
      </c>
      <c r="DF51" s="173">
        <f t="shared" si="65"/>
        <v>1.6973125884016973</v>
      </c>
      <c r="DG51" s="173">
        <f t="shared" si="66"/>
        <v>0.68900808044029282</v>
      </c>
      <c r="DH51" s="173"/>
      <c r="DI51" s="173">
        <f t="shared" si="67"/>
        <v>0.73170731707317083</v>
      </c>
      <c r="DJ51" s="545">
        <f t="shared" si="117"/>
        <v>1257.3333333333333</v>
      </c>
      <c r="DK51" s="528">
        <f t="shared" si="68"/>
        <v>0.12804878048780488</v>
      </c>
      <c r="DM51" s="173">
        <f t="shared" si="69"/>
        <v>1.8953577373100183</v>
      </c>
      <c r="DN51" s="173">
        <f t="shared" si="70"/>
        <v>1.8953577373100183</v>
      </c>
      <c r="DO51" s="173">
        <f t="shared" si="71"/>
        <v>1.8632279535629765</v>
      </c>
      <c r="DQ51" s="545">
        <f t="shared" si="72"/>
        <v>460</v>
      </c>
      <c r="DR51" s="460">
        <f t="shared" si="73"/>
        <v>350</v>
      </c>
      <c r="DT51">
        <f t="shared" si="74"/>
        <v>460</v>
      </c>
      <c r="DU51" s="460">
        <f t="shared" si="75"/>
        <v>350</v>
      </c>
      <c r="DV51" s="460"/>
      <c r="DW51" s="5">
        <f t="shared" si="118"/>
        <v>2.8571428571428572</v>
      </c>
      <c r="DX51" s="5">
        <f t="shared" si="76"/>
        <v>0.94767886865500917</v>
      </c>
      <c r="DY51" s="5">
        <f t="shared" si="119"/>
        <v>1.9094639884878482</v>
      </c>
      <c r="DZ51" s="5">
        <f t="shared" si="77"/>
        <v>1.386847124860989</v>
      </c>
      <c r="EA51" s="173">
        <f t="shared" si="120"/>
        <v>0.33168760402925318</v>
      </c>
      <c r="EB51" s="173">
        <f t="shared" si="78"/>
        <v>7.5440000000000014</v>
      </c>
      <c r="EC51" s="173">
        <f t="shared" si="79"/>
        <v>0.63334553532167592</v>
      </c>
      <c r="ED51" s="173">
        <f t="shared" si="121"/>
        <v>11.911349459767498</v>
      </c>
      <c r="EE51" s="460">
        <f t="shared" si="80"/>
        <v>2.7245767473831517</v>
      </c>
      <c r="EF51" s="5">
        <f t="shared" si="81"/>
        <v>0.48797413039133897</v>
      </c>
      <c r="EG51" s="5"/>
      <c r="EH51" s="173">
        <f t="shared" si="122"/>
        <v>0.6302243597470043</v>
      </c>
      <c r="EI51" s="173">
        <f t="shared" si="82"/>
        <v>0.89458234603740971</v>
      </c>
      <c r="EJ51" s="173"/>
      <c r="EK51" s="528">
        <f t="shared" si="83"/>
        <v>7.9436548723704307E-3</v>
      </c>
      <c r="EL51" s="528">
        <f t="shared" si="84"/>
        <v>0.50920680970570953</v>
      </c>
      <c r="EM51" s="528">
        <f t="shared" si="85"/>
        <v>4.0250000000000001E-2</v>
      </c>
      <c r="EN51" s="528">
        <f t="shared" si="86"/>
        <v>0.28134357999999998</v>
      </c>
      <c r="EO51">
        <f t="shared" si="87"/>
        <v>1.0800000000000001E-2</v>
      </c>
      <c r="EP51" s="460">
        <f t="shared" si="123"/>
        <v>51.05</v>
      </c>
      <c r="EQ51" s="528">
        <f t="shared" si="88"/>
        <v>0.85329935918307043</v>
      </c>
      <c r="ER51" s="460">
        <f t="shared" si="124"/>
        <v>853.29935918307046</v>
      </c>
      <c r="ES51" s="528">
        <f t="shared" si="125"/>
        <v>0.285775</v>
      </c>
      <c r="ET51" s="528"/>
      <c r="EV51" s="460">
        <f t="shared" si="126"/>
        <v>285.77499999999998</v>
      </c>
      <c r="EW51" s="528">
        <f t="shared" si="89"/>
        <v>1.1915482308555644E-2</v>
      </c>
      <c r="EX51" s="528">
        <f t="shared" si="90"/>
        <v>2.4008327215253877E-2</v>
      </c>
      <c r="EY51" s="528">
        <f t="shared" si="91"/>
        <v>0.56671942184970769</v>
      </c>
      <c r="EZ51" s="528">
        <f t="shared" si="92"/>
        <v>0.61302672608650643</v>
      </c>
      <c r="FA51" s="528">
        <f t="shared" si="93"/>
        <v>6.2866666666666678E-3</v>
      </c>
      <c r="FB51" s="460">
        <f t="shared" si="127"/>
        <v>619.31339275317305</v>
      </c>
      <c r="FC51" s="173">
        <f t="shared" si="128"/>
        <v>1.7583877519362436</v>
      </c>
      <c r="FD51" s="5">
        <f t="shared" si="129"/>
        <v>7.36</v>
      </c>
      <c r="FE51" s="173">
        <f t="shared" si="130"/>
        <v>0.80716023492608568</v>
      </c>
      <c r="FF51" s="5">
        <f t="shared" si="131"/>
        <v>80.716023492608571</v>
      </c>
      <c r="FI51" s="562">
        <f t="shared" si="94"/>
        <v>-50</v>
      </c>
      <c r="FJ51">
        <f t="shared" si="95"/>
        <v>-50</v>
      </c>
      <c r="FL51">
        <f t="shared" si="181"/>
        <v>0.48539649370134619</v>
      </c>
    </row>
    <row r="52" spans="5:168">
      <c r="E52" s="170">
        <v>47</v>
      </c>
      <c r="F52" s="217">
        <f t="shared" si="182"/>
        <v>0.47</v>
      </c>
      <c r="G52" s="217"/>
      <c r="H52" s="217">
        <f t="shared" si="132"/>
        <v>7.52</v>
      </c>
      <c r="I52" s="541">
        <f t="shared" si="133"/>
        <v>23.952691488735162</v>
      </c>
      <c r="J52" s="172">
        <f t="shared" si="134"/>
        <v>16.428385106758903</v>
      </c>
      <c r="K52" s="172">
        <f t="shared" si="135"/>
        <v>40.428385106758903</v>
      </c>
      <c r="L52" s="443"/>
      <c r="M52" s="217">
        <f t="shared" si="136"/>
        <v>0.4068389368090119</v>
      </c>
      <c r="N52" s="172">
        <f t="shared" si="137"/>
        <v>24.654565473647942</v>
      </c>
      <c r="O52" s="172">
        <f t="shared" si="98"/>
        <v>7.52</v>
      </c>
      <c r="P52" s="217">
        <f t="shared" si="138"/>
        <v>1.5409103421029964</v>
      </c>
      <c r="Q52" s="217">
        <f t="shared" si="139"/>
        <v>16</v>
      </c>
      <c r="R52" s="217">
        <f t="shared" si="140"/>
        <v>1.5226386779673875</v>
      </c>
      <c r="S52" s="172">
        <f t="shared" si="141"/>
        <v>103.5474143037363</v>
      </c>
      <c r="T52" s="172">
        <f t="shared" si="142"/>
        <v>16</v>
      </c>
      <c r="U52" s="217">
        <f t="shared" si="143"/>
        <v>1.5847297780187157</v>
      </c>
      <c r="V52" s="217">
        <f t="shared" si="11"/>
        <v>0.79392987402555915</v>
      </c>
      <c r="W52" s="217">
        <f t="shared" si="144"/>
        <v>1.1575548791098638</v>
      </c>
      <c r="X52" s="197">
        <f t="shared" si="145"/>
        <v>350</v>
      </c>
      <c r="Y52" s="443">
        <f t="shared" si="14"/>
        <v>350</v>
      </c>
      <c r="AA52" s="217">
        <f t="shared" si="146"/>
        <v>2.3201817787676835</v>
      </c>
      <c r="AB52" s="173">
        <f t="shared" si="147"/>
        <v>1.6947606940232658</v>
      </c>
      <c r="AC52" s="173">
        <f t="shared" si="148"/>
        <v>0.68812675428777959</v>
      </c>
      <c r="AD52" s="173"/>
      <c r="AE52" s="173">
        <f t="shared" si="149"/>
        <v>0.73044306680289639</v>
      </c>
      <c r="AF52" s="545">
        <f t="shared" si="150"/>
        <v>1286.8901666961137</v>
      </c>
      <c r="AG52" s="528">
        <f t="shared" si="151"/>
        <v>0.12782753669050687</v>
      </c>
      <c r="AI52" s="173">
        <f t="shared" si="152"/>
        <v>1.9175059446330753</v>
      </c>
      <c r="AJ52" s="173">
        <f t="shared" si="153"/>
        <v>1.9175059446330753</v>
      </c>
      <c r="AK52" s="173">
        <f t="shared" si="154"/>
        <v>1.8796340330615373</v>
      </c>
      <c r="AM52" s="545">
        <f t="shared" si="155"/>
        <v>470</v>
      </c>
      <c r="AN52" s="460">
        <f t="shared" si="156"/>
        <v>350</v>
      </c>
      <c r="AP52">
        <f t="shared" si="157"/>
        <v>470</v>
      </c>
      <c r="AQ52" s="460">
        <f t="shared" si="158"/>
        <v>350</v>
      </c>
      <c r="AR52" s="460"/>
      <c r="AS52" s="5">
        <f t="shared" si="101"/>
        <v>2.8571428571428572</v>
      </c>
      <c r="AT52" s="5">
        <f t="shared" si="159"/>
        <v>0.96064658731226238</v>
      </c>
      <c r="AU52" s="5">
        <f t="shared" si="102"/>
        <v>1.8964962698305947</v>
      </c>
      <c r="AV52" s="5">
        <f t="shared" si="160"/>
        <v>1.4006289228105682</v>
      </c>
      <c r="AW52" s="173">
        <f t="shared" si="103"/>
        <v>0.33622630555929184</v>
      </c>
      <c r="AX52" s="173">
        <f t="shared" si="161"/>
        <v>7.7213410001766833</v>
      </c>
      <c r="AY52" s="173">
        <f t="shared" si="162"/>
        <v>0.63639500249055825</v>
      </c>
      <c r="AZ52" s="173">
        <f t="shared" si="104"/>
        <v>12.1329378294281</v>
      </c>
      <c r="BA52" s="460">
        <f t="shared" si="163"/>
        <v>2.8218993502297707</v>
      </c>
      <c r="BB52" s="5">
        <f t="shared" si="164"/>
        <v>0.49617430104647653</v>
      </c>
      <c r="BC52" s="5"/>
      <c r="BD52" s="173">
        <f t="shared" si="105"/>
        <v>0.64193630184578554</v>
      </c>
      <c r="BE52" s="173">
        <f t="shared" si="165"/>
        <v>0.90195757491152773</v>
      </c>
      <c r="BF52" s="173"/>
      <c r="BG52" s="528">
        <f t="shared" si="166"/>
        <v>8.2416443125488698E-3</v>
      </c>
      <c r="BH52" s="528">
        <f t="shared" si="167"/>
        <v>0.49516965929472662</v>
      </c>
      <c r="BI52" s="528">
        <f t="shared" si="168"/>
        <v>0.19281916648431804</v>
      </c>
      <c r="BJ52" s="528">
        <f t="shared" si="169"/>
        <v>0.28173906381342734</v>
      </c>
      <c r="BK52">
        <f t="shared" si="170"/>
        <v>1.0778711169930823E-2</v>
      </c>
      <c r="BL52" s="460">
        <f t="shared" si="106"/>
        <v>203.59787765424886</v>
      </c>
      <c r="BM52" s="528">
        <f t="shared" si="171"/>
        <v>0.78892048707105966</v>
      </c>
      <c r="BN52" s="460">
        <f t="shared" si="107"/>
        <v>788.92048707105971</v>
      </c>
      <c r="BO52" s="528">
        <f t="shared" si="172"/>
        <v>0.29198749999999996</v>
      </c>
      <c r="BP52" s="528"/>
      <c r="BR52" s="460">
        <f t="shared" si="109"/>
        <v>291.98749999999995</v>
      </c>
      <c r="BS52" s="528">
        <f t="shared" si="173"/>
        <v>1.2362466468823304E-2</v>
      </c>
      <c r="BT52" s="528">
        <f t="shared" si="174"/>
        <v>2.4405824008208524E-2</v>
      </c>
      <c r="BU52" s="528">
        <f t="shared" si="175"/>
        <v>0.11279999999999998</v>
      </c>
      <c r="BV52" s="528">
        <f t="shared" si="176"/>
        <v>0.15885996092660098</v>
      </c>
      <c r="BW52" s="528">
        <f t="shared" si="177"/>
        <v>6.4344508334805688E-3</v>
      </c>
      <c r="BX52" s="460">
        <f t="shared" si="110"/>
        <v>165.29441176008154</v>
      </c>
      <c r="BY52" s="173">
        <f t="shared" si="45"/>
        <v>1.4498002764853901</v>
      </c>
      <c r="BZ52" s="5">
        <f t="shared" si="111"/>
        <v>7.52</v>
      </c>
      <c r="CA52" s="173">
        <f t="shared" si="112"/>
        <v>0.83836872262517514</v>
      </c>
      <c r="CB52" s="5">
        <f t="shared" si="113"/>
        <v>83.836872262517517</v>
      </c>
      <c r="CE52" s="562">
        <f t="shared" si="178"/>
        <v>-50</v>
      </c>
      <c r="CF52">
        <f t="shared" si="179"/>
        <v>-50</v>
      </c>
      <c r="CG52" s="173">
        <f t="shared" si="180"/>
        <v>0.49673936828079168</v>
      </c>
      <c r="CI52" s="170">
        <v>47</v>
      </c>
      <c r="CJ52" s="217">
        <f t="shared" si="114"/>
        <v>0.47</v>
      </c>
      <c r="CK52" s="217"/>
      <c r="CL52" s="217">
        <f t="shared" si="49"/>
        <v>7.52</v>
      </c>
      <c r="CM52" s="541">
        <f t="shared" si="50"/>
        <v>24</v>
      </c>
      <c r="CN52" s="172">
        <f t="shared" si="51"/>
        <v>16.399999999999999</v>
      </c>
      <c r="CO52" s="443">
        <f t="shared" si="52"/>
        <v>40.4</v>
      </c>
      <c r="CP52" s="443"/>
      <c r="CQ52" s="217">
        <f t="shared" si="53"/>
        <v>0.40594059405940591</v>
      </c>
      <c r="CR52" s="172">
        <f t="shared" si="54"/>
        <v>24.648712871287128</v>
      </c>
      <c r="CS52" s="172">
        <f t="shared" si="115"/>
        <v>7.52</v>
      </c>
      <c r="CT52" s="217">
        <f t="shared" si="55"/>
        <v>1.5405445544554455</v>
      </c>
      <c r="CU52" s="217">
        <f t="shared" si="56"/>
        <v>16</v>
      </c>
      <c r="CV52" s="217">
        <f t="shared" si="57"/>
        <v>1.5222772277227721</v>
      </c>
      <c r="CW52" s="172">
        <f t="shared" si="58"/>
        <v>103.75174766934984</v>
      </c>
      <c r="CX52" s="172">
        <f t="shared" si="59"/>
        <v>16</v>
      </c>
      <c r="CY52" s="217">
        <f t="shared" si="60"/>
        <v>1.5437398373983739</v>
      </c>
      <c r="CZ52" s="217">
        <f t="shared" si="61"/>
        <v>0.77186991869918697</v>
      </c>
      <c r="DA52" s="217">
        <f t="shared" si="62"/>
        <v>1.1295657346817372</v>
      </c>
      <c r="DB52" s="197">
        <f t="shared" si="63"/>
        <v>350</v>
      </c>
      <c r="DC52" s="443">
        <f t="shared" si="116"/>
        <v>350</v>
      </c>
      <c r="DE52" s="217">
        <f t="shared" si="64"/>
        <v>2.3196605374823194</v>
      </c>
      <c r="DF52" s="173">
        <f t="shared" si="65"/>
        <v>1.6973125884016973</v>
      </c>
      <c r="DG52" s="173">
        <f t="shared" si="66"/>
        <v>0.68900808044029282</v>
      </c>
      <c r="DH52" s="173"/>
      <c r="DI52" s="173">
        <f t="shared" si="67"/>
        <v>0.73170731707317083</v>
      </c>
      <c r="DJ52" s="545">
        <f t="shared" si="117"/>
        <v>1284.6666666666665</v>
      </c>
      <c r="DK52" s="528">
        <f t="shared" si="68"/>
        <v>0.12804878048780488</v>
      </c>
      <c r="DM52" s="173">
        <f t="shared" si="69"/>
        <v>1.9158486867381228</v>
      </c>
      <c r="DN52" s="173">
        <f t="shared" si="70"/>
        <v>1.9158486867381228</v>
      </c>
      <c r="DO52" s="173">
        <f t="shared" si="71"/>
        <v>1.8784064346208318</v>
      </c>
      <c r="DQ52" s="545">
        <f t="shared" si="72"/>
        <v>470</v>
      </c>
      <c r="DR52" s="460">
        <f t="shared" si="73"/>
        <v>350</v>
      </c>
      <c r="DT52">
        <f t="shared" si="74"/>
        <v>470</v>
      </c>
      <c r="DU52" s="460">
        <f t="shared" si="75"/>
        <v>350</v>
      </c>
      <c r="DV52" s="460"/>
      <c r="DW52" s="5">
        <f t="shared" si="118"/>
        <v>2.8571428571428572</v>
      </c>
      <c r="DX52" s="5">
        <f t="shared" si="76"/>
        <v>0.9579243433690614</v>
      </c>
      <c r="DY52" s="5">
        <f t="shared" si="119"/>
        <v>1.8992185137737958</v>
      </c>
      <c r="DZ52" s="5">
        <f t="shared" si="77"/>
        <v>1.4018405024913094</v>
      </c>
      <c r="EA52" s="173">
        <f t="shared" si="120"/>
        <v>0.3352735201791715</v>
      </c>
      <c r="EB52" s="173">
        <f t="shared" si="78"/>
        <v>7.7079999999999984</v>
      </c>
      <c r="EC52" s="173">
        <f t="shared" si="79"/>
        <v>0.6367576767023948</v>
      </c>
      <c r="ED52" s="173">
        <f t="shared" si="121"/>
        <v>12.105075889964546</v>
      </c>
      <c r="EE52" s="460">
        <f t="shared" si="80"/>
        <v>2.8139027586466177</v>
      </c>
      <c r="EF52" s="5">
        <f t="shared" si="81"/>
        <v>0.49590705637426874</v>
      </c>
      <c r="EG52" s="5"/>
      <c r="EH52" s="173">
        <f t="shared" si="122"/>
        <v>0.64047208451130988</v>
      </c>
      <c r="EI52" s="173">
        <f t="shared" si="82"/>
        <v>0.90182457964606444</v>
      </c>
      <c r="EJ52" s="173"/>
      <c r="EK52" s="528">
        <f t="shared" si="83"/>
        <v>8.2040898207652486E-3</v>
      </c>
      <c r="EL52" s="528">
        <f t="shared" si="84"/>
        <v>0.51471190817906409</v>
      </c>
      <c r="EM52" s="528">
        <f t="shared" si="85"/>
        <v>4.0250000000000001E-2</v>
      </c>
      <c r="EN52" s="528">
        <f t="shared" si="86"/>
        <v>0.28134357999999998</v>
      </c>
      <c r="EO52">
        <f t="shared" si="87"/>
        <v>1.0800000000000001E-2</v>
      </c>
      <c r="EP52" s="460">
        <f t="shared" si="123"/>
        <v>51.05</v>
      </c>
      <c r="EQ52" s="528">
        <f t="shared" si="88"/>
        <v>0.85919951276589734</v>
      </c>
      <c r="ER52" s="460">
        <f t="shared" si="124"/>
        <v>859.19951276589734</v>
      </c>
      <c r="ES52" s="528">
        <f t="shared" si="125"/>
        <v>0.29198749999999996</v>
      </c>
      <c r="ET52" s="528"/>
      <c r="EV52" s="460">
        <f t="shared" si="126"/>
        <v>291.98749999999995</v>
      </c>
      <c r="EW52" s="528">
        <f t="shared" si="89"/>
        <v>1.2306134731147873E-2</v>
      </c>
      <c r="EX52" s="528">
        <f t="shared" si="90"/>
        <v>2.4398627173614022E-2</v>
      </c>
      <c r="EY52" s="528">
        <f t="shared" si="91"/>
        <v>0.58216102862646613</v>
      </c>
      <c r="EZ52" s="528">
        <f t="shared" si="92"/>
        <v>0.62952345406797316</v>
      </c>
      <c r="FA52" s="528">
        <f t="shared" si="93"/>
        <v>6.4233333333333321E-3</v>
      </c>
      <c r="FB52" s="460">
        <f t="shared" si="127"/>
        <v>635.94678740130655</v>
      </c>
      <c r="FC52" s="173">
        <f t="shared" si="128"/>
        <v>1.7871338001672039</v>
      </c>
      <c r="FD52" s="5">
        <f t="shared" si="129"/>
        <v>7.52</v>
      </c>
      <c r="FE52" s="173">
        <f t="shared" si="130"/>
        <v>0.80798236723156402</v>
      </c>
      <c r="FF52" s="5">
        <f t="shared" si="131"/>
        <v>80.798236723156407</v>
      </c>
      <c r="FI52" s="562">
        <f t="shared" si="94"/>
        <v>-50</v>
      </c>
      <c r="FJ52">
        <f t="shared" si="95"/>
        <v>-50</v>
      </c>
      <c r="FL52">
        <f t="shared" si="181"/>
        <v>0.49064417587195835</v>
      </c>
    </row>
    <row r="53" spans="5:168">
      <c r="E53" s="170">
        <v>48</v>
      </c>
      <c r="F53" s="217">
        <f t="shared" si="182"/>
        <v>0.48</v>
      </c>
      <c r="G53" s="217"/>
      <c r="H53" s="217">
        <f t="shared" si="132"/>
        <v>7.68</v>
      </c>
      <c r="I53" s="541">
        <f t="shared" si="133"/>
        <v>23.952190855626625</v>
      </c>
      <c r="J53" s="172">
        <f t="shared" si="134"/>
        <v>16.428685486624023</v>
      </c>
      <c r="K53" s="172">
        <f t="shared" si="135"/>
        <v>40.428685486624019</v>
      </c>
      <c r="L53" s="443"/>
      <c r="M53" s="217">
        <f t="shared" si="136"/>
        <v>0.40684844776442669</v>
      </c>
      <c r="N53" s="172">
        <f t="shared" si="137"/>
        <v>24.654626525527537</v>
      </c>
      <c r="O53" s="172">
        <f t="shared" si="98"/>
        <v>7.68</v>
      </c>
      <c r="P53" s="217">
        <f t="shared" si="138"/>
        <v>1.540914157845471</v>
      </c>
      <c r="Q53" s="217">
        <f t="shared" si="139"/>
        <v>16</v>
      </c>
      <c r="R53" s="217">
        <f t="shared" si="140"/>
        <v>1.5226424484639045</v>
      </c>
      <c r="S53" s="172">
        <f t="shared" si="141"/>
        <v>100.89338859066096</v>
      </c>
      <c r="T53" s="172">
        <f t="shared" si="142"/>
        <v>16</v>
      </c>
      <c r="U53" s="217">
        <f t="shared" si="143"/>
        <v>1.6184733840479455</v>
      </c>
      <c r="V53" s="217">
        <f t="shared" si="11"/>
        <v>0.81085194776714908</v>
      </c>
      <c r="W53" s="217">
        <f t="shared" si="144"/>
        <v>1.1821810469491409</v>
      </c>
      <c r="X53" s="197">
        <f t="shared" si="145"/>
        <v>350</v>
      </c>
      <c r="Y53" s="443">
        <f t="shared" si="14"/>
        <v>350</v>
      </c>
      <c r="AA53" s="217">
        <f t="shared" si="146"/>
        <v>2.3201872126390337</v>
      </c>
      <c r="AB53" s="173">
        <f t="shared" si="147"/>
        <v>1.6947336763088638</v>
      </c>
      <c r="AC53" s="173">
        <f t="shared" si="148"/>
        <v>0.6881173958050989</v>
      </c>
      <c r="AD53" s="173"/>
      <c r="AE53" s="173">
        <f t="shared" si="149"/>
        <v>0.73042971148058145</v>
      </c>
      <c r="AF53" s="545">
        <f t="shared" si="150"/>
        <v>1314.2948389299215</v>
      </c>
      <c r="AG53" s="528">
        <f t="shared" si="151"/>
        <v>0.12782519950910176</v>
      </c>
      <c r="AI53" s="173">
        <f t="shared" si="152"/>
        <v>1.9378152933724997</v>
      </c>
      <c r="AJ53" s="173">
        <f t="shared" si="153"/>
        <v>1.9378152933724997</v>
      </c>
      <c r="AK53" s="173">
        <f t="shared" si="154"/>
        <v>1.8946779950907404</v>
      </c>
      <c r="AM53" s="545">
        <f t="shared" si="155"/>
        <v>480</v>
      </c>
      <c r="AN53" s="460">
        <f t="shared" si="156"/>
        <v>350</v>
      </c>
      <c r="AP53">
        <f t="shared" si="157"/>
        <v>480</v>
      </c>
      <c r="AQ53" s="460">
        <f t="shared" si="158"/>
        <v>350</v>
      </c>
      <c r="AR53" s="460"/>
      <c r="AS53" s="5">
        <f t="shared" si="101"/>
        <v>2.8571428571428572</v>
      </c>
      <c r="AT53" s="5">
        <f t="shared" si="159"/>
        <v>0.97084160946418963</v>
      </c>
      <c r="AU53" s="5">
        <f t="shared" si="102"/>
        <v>1.8863012476786676</v>
      </c>
      <c r="AV53" s="5">
        <f t="shared" si="160"/>
        <v>1.4154378656407334</v>
      </c>
      <c r="AW53" s="173">
        <f t="shared" si="103"/>
        <v>0.33979456331246638</v>
      </c>
      <c r="AX53" s="173">
        <f t="shared" si="161"/>
        <v>7.8857690335795292</v>
      </c>
      <c r="AY53" s="173">
        <f t="shared" si="162"/>
        <v>0.63967809599038616</v>
      </c>
      <c r="AZ53" s="173">
        <f t="shared" si="104"/>
        <v>12.327714647427987</v>
      </c>
      <c r="BA53" s="460">
        <f t="shared" si="163"/>
        <v>2.9125248283925687</v>
      </c>
      <c r="BB53" s="5">
        <f t="shared" si="164"/>
        <v>0.50401769332543345</v>
      </c>
      <c r="BC53" s="5"/>
      <c r="BD53" s="173">
        <f t="shared" si="105"/>
        <v>0.65216871966723533</v>
      </c>
      <c r="BE53" s="173">
        <f t="shared" si="165"/>
        <v>0.9090573862507515</v>
      </c>
      <c r="BF53" s="173"/>
      <c r="BG53" s="528">
        <f t="shared" si="166"/>
        <v>8.5064807782480201E-3</v>
      </c>
      <c r="BH53" s="528">
        <f t="shared" si="167"/>
        <v>0.50041798860949538</v>
      </c>
      <c r="BI53" s="528">
        <f t="shared" si="168"/>
        <v>0.19281513638779432</v>
      </c>
      <c r="BJ53" s="528">
        <f t="shared" si="169"/>
        <v>0.28174325042915066</v>
      </c>
      <c r="BK53">
        <f t="shared" si="170"/>
        <v>1.0778485885031981E-2</v>
      </c>
      <c r="BL53" s="460">
        <f t="shared" si="106"/>
        <v>203.59362227282628</v>
      </c>
      <c r="BM53" s="528">
        <f t="shared" si="171"/>
        <v>0.79457040752772823</v>
      </c>
      <c r="BN53" s="460">
        <f t="shared" si="107"/>
        <v>794.57040752772821</v>
      </c>
      <c r="BO53" s="528">
        <f t="shared" si="172"/>
        <v>0.29819999999999997</v>
      </c>
      <c r="BP53" s="528"/>
      <c r="BR53" s="460">
        <f t="shared" si="109"/>
        <v>298.2</v>
      </c>
      <c r="BS53" s="528">
        <f t="shared" si="173"/>
        <v>1.2759721167372029E-2</v>
      </c>
      <c r="BT53" s="528">
        <f t="shared" si="174"/>
        <v>2.4791559944911438E-2</v>
      </c>
      <c r="BU53" s="528">
        <f t="shared" si="175"/>
        <v>0.1152</v>
      </c>
      <c r="BV53" s="528">
        <f t="shared" si="176"/>
        <v>0.16225100723390282</v>
      </c>
      <c r="BW53" s="528">
        <f t="shared" si="177"/>
        <v>6.5714741946496071E-3</v>
      </c>
      <c r="BX53" s="460">
        <f t="shared" si="110"/>
        <v>168.82248142855241</v>
      </c>
      <c r="BY53" s="173">
        <f t="shared" si="45"/>
        <v>1.4651865112291069</v>
      </c>
      <c r="BZ53" s="5">
        <f t="shared" si="111"/>
        <v>7.68</v>
      </c>
      <c r="CA53" s="173">
        <f t="shared" si="112"/>
        <v>0.83978604379144739</v>
      </c>
      <c r="CB53" s="5">
        <f t="shared" si="113"/>
        <v>83.978604379144741</v>
      </c>
      <c r="CE53" s="562">
        <f t="shared" si="178"/>
        <v>-50</v>
      </c>
      <c r="CF53">
        <f t="shared" si="179"/>
        <v>-50</v>
      </c>
      <c r="CG53" s="173">
        <f t="shared" si="180"/>
        <v>0.50199601592044529</v>
      </c>
      <c r="CI53" s="170">
        <v>48</v>
      </c>
      <c r="CJ53" s="217">
        <f t="shared" si="114"/>
        <v>0.48</v>
      </c>
      <c r="CK53" s="217"/>
      <c r="CL53" s="217">
        <f t="shared" si="49"/>
        <v>7.68</v>
      </c>
      <c r="CM53" s="541">
        <f t="shared" si="50"/>
        <v>24</v>
      </c>
      <c r="CN53" s="172">
        <f t="shared" si="51"/>
        <v>16.399999999999999</v>
      </c>
      <c r="CO53" s="443">
        <f t="shared" si="52"/>
        <v>40.4</v>
      </c>
      <c r="CP53" s="443"/>
      <c r="CQ53" s="217">
        <f t="shared" si="53"/>
        <v>0.40594059405940591</v>
      </c>
      <c r="CR53" s="172">
        <f t="shared" si="54"/>
        <v>24.648712871287128</v>
      </c>
      <c r="CS53" s="172">
        <f t="shared" si="115"/>
        <v>7.68</v>
      </c>
      <c r="CT53" s="217">
        <f t="shared" si="55"/>
        <v>1.5405445544554455</v>
      </c>
      <c r="CU53" s="217">
        <f t="shared" si="56"/>
        <v>16</v>
      </c>
      <c r="CV53" s="217">
        <f t="shared" si="57"/>
        <v>1.5222772277227721</v>
      </c>
      <c r="CW53" s="172">
        <f t="shared" si="58"/>
        <v>101.09458632570994</v>
      </c>
      <c r="CX53" s="172">
        <f t="shared" si="59"/>
        <v>16</v>
      </c>
      <c r="CY53" s="217">
        <f t="shared" si="60"/>
        <v>1.5765853658536586</v>
      </c>
      <c r="CZ53" s="217">
        <f t="shared" si="61"/>
        <v>0.7882926829268293</v>
      </c>
      <c r="DA53" s="217">
        <f t="shared" si="62"/>
        <v>1.153599048185604</v>
      </c>
      <c r="DB53" s="197">
        <f t="shared" si="63"/>
        <v>350</v>
      </c>
      <c r="DC53" s="443">
        <f t="shared" si="116"/>
        <v>350</v>
      </c>
      <c r="DE53" s="217">
        <f t="shared" si="64"/>
        <v>2.3196605374823194</v>
      </c>
      <c r="DF53" s="173">
        <f t="shared" si="65"/>
        <v>1.6973125884016973</v>
      </c>
      <c r="DG53" s="173">
        <f t="shared" si="66"/>
        <v>0.68900808044029282</v>
      </c>
      <c r="DH53" s="173"/>
      <c r="DI53" s="173">
        <f t="shared" si="67"/>
        <v>0.73170731707317083</v>
      </c>
      <c r="DJ53" s="545">
        <f t="shared" si="117"/>
        <v>1311.9999999999998</v>
      </c>
      <c r="DK53" s="528">
        <f t="shared" si="68"/>
        <v>0.12804878048780488</v>
      </c>
      <c r="DM53" s="173">
        <f t="shared" si="69"/>
        <v>1.9361227824111331</v>
      </c>
      <c r="DN53" s="173">
        <f t="shared" si="70"/>
        <v>1.9361227824111331</v>
      </c>
      <c r="DO53" s="173">
        <f t="shared" si="71"/>
        <v>1.8934242832675059</v>
      </c>
      <c r="DQ53" s="545">
        <f t="shared" si="72"/>
        <v>480</v>
      </c>
      <c r="DR53" s="460">
        <f t="shared" si="73"/>
        <v>350</v>
      </c>
      <c r="DT53">
        <f t="shared" si="74"/>
        <v>480</v>
      </c>
      <c r="DU53" s="460">
        <f t="shared" si="75"/>
        <v>350</v>
      </c>
      <c r="DV53" s="460"/>
      <c r="DW53" s="5">
        <f t="shared" si="118"/>
        <v>2.8571428571428572</v>
      </c>
      <c r="DX53" s="5">
        <f t="shared" si="76"/>
        <v>0.96806139120556656</v>
      </c>
      <c r="DY53" s="5">
        <f t="shared" si="119"/>
        <v>1.8890814659372905</v>
      </c>
      <c r="DZ53" s="5">
        <f t="shared" si="77"/>
        <v>1.4166752066422927</v>
      </c>
      <c r="EA53" s="173">
        <f t="shared" si="120"/>
        <v>0.3388214869219483</v>
      </c>
      <c r="EB53" s="173">
        <f t="shared" si="78"/>
        <v>7.871999999999999</v>
      </c>
      <c r="EC53" s="173">
        <f t="shared" si="79"/>
        <v>0.6400613912055666</v>
      </c>
      <c r="ED53" s="173">
        <f t="shared" si="121"/>
        <v>12.29882025093398</v>
      </c>
      <c r="EE53" s="460">
        <f t="shared" si="80"/>
        <v>2.9041841736166991</v>
      </c>
      <c r="EF53" s="5">
        <f t="shared" si="81"/>
        <v>0.50375505758327743</v>
      </c>
      <c r="EG53" s="5"/>
      <c r="EH53" s="173">
        <f t="shared" si="122"/>
        <v>0.65066544021273665</v>
      </c>
      <c r="EI53" s="173">
        <f t="shared" si="82"/>
        <v>0.90893250268464654</v>
      </c>
      <c r="EJ53" s="173"/>
      <c r="EK53" s="528">
        <f t="shared" si="83"/>
        <v>8.467310301744687E-3</v>
      </c>
      <c r="EL53" s="528">
        <f t="shared" si="84"/>
        <v>0.520158746722575</v>
      </c>
      <c r="EM53" s="528">
        <f t="shared" si="85"/>
        <v>4.0250000000000001E-2</v>
      </c>
      <c r="EN53" s="528">
        <f t="shared" si="86"/>
        <v>0.28134357999999998</v>
      </c>
      <c r="EO53">
        <f t="shared" si="87"/>
        <v>1.0800000000000001E-2</v>
      </c>
      <c r="EP53" s="460">
        <f t="shared" si="123"/>
        <v>51.05</v>
      </c>
      <c r="EQ53" s="528">
        <f t="shared" si="88"/>
        <v>0.86504613911243233</v>
      </c>
      <c r="ER53" s="460">
        <f t="shared" si="124"/>
        <v>865.04613911243234</v>
      </c>
      <c r="ES53" s="528">
        <f t="shared" si="125"/>
        <v>0.29819999999999997</v>
      </c>
      <c r="ET53" s="528"/>
      <c r="EV53" s="460">
        <f t="shared" si="126"/>
        <v>298.2</v>
      </c>
      <c r="EW53" s="528">
        <f t="shared" si="89"/>
        <v>1.270096545261703E-2</v>
      </c>
      <c r="EX53" s="528">
        <f t="shared" si="90"/>
        <v>2.4784748833097246E-2</v>
      </c>
      <c r="EY53" s="528">
        <f t="shared" si="91"/>
        <v>0.59768499589692359</v>
      </c>
      <c r="EZ53" s="528">
        <f t="shared" si="92"/>
        <v>0.64610485777899451</v>
      </c>
      <c r="FA53" s="528">
        <f t="shared" si="93"/>
        <v>6.5599999999999981E-3</v>
      </c>
      <c r="FB53" s="460">
        <f t="shared" si="127"/>
        <v>652.66485777899447</v>
      </c>
      <c r="FC53" s="173">
        <f t="shared" si="128"/>
        <v>1.8159109968914267</v>
      </c>
      <c r="FD53" s="5">
        <f t="shared" si="129"/>
        <v>7.68</v>
      </c>
      <c r="FE53" s="173">
        <f t="shared" si="130"/>
        <v>0.80876916417120148</v>
      </c>
      <c r="FF53" s="5">
        <f t="shared" si="131"/>
        <v>80.876916417120142</v>
      </c>
      <c r="FI53" s="562">
        <f t="shared" si="94"/>
        <v>-50</v>
      </c>
      <c r="FJ53">
        <f t="shared" si="95"/>
        <v>-50</v>
      </c>
      <c r="FL53">
        <f t="shared" si="181"/>
        <v>0.4958363223248024</v>
      </c>
    </row>
    <row r="54" spans="5:168">
      <c r="E54" s="170">
        <v>49</v>
      </c>
      <c r="F54" s="217">
        <f t="shared" si="182"/>
        <v>0.49</v>
      </c>
      <c r="G54" s="217"/>
      <c r="H54" s="217">
        <f t="shared" si="132"/>
        <v>7.84</v>
      </c>
      <c r="I54" s="541">
        <f t="shared" si="133"/>
        <v>23.951695410846035</v>
      </c>
      <c r="J54" s="172">
        <f t="shared" si="134"/>
        <v>16.428982753492377</v>
      </c>
      <c r="K54" s="172">
        <f t="shared" si="135"/>
        <v>40.428982753492377</v>
      </c>
      <c r="L54" s="443"/>
      <c r="M54" s="217">
        <f t="shared" si="136"/>
        <v>0.40685786024387677</v>
      </c>
      <c r="N54" s="172">
        <f t="shared" si="137"/>
        <v>24.654686926496847</v>
      </c>
      <c r="O54" s="172">
        <f t="shared" si="98"/>
        <v>7.84</v>
      </c>
      <c r="P54" s="217">
        <f t="shared" si="138"/>
        <v>1.5409179329060529</v>
      </c>
      <c r="Q54" s="217">
        <f t="shared" si="139"/>
        <v>16</v>
      </c>
      <c r="R54" s="217">
        <f t="shared" si="140"/>
        <v>1.522646178760922</v>
      </c>
      <c r="S54" s="172">
        <f t="shared" si="141"/>
        <v>98.34785382983307</v>
      </c>
      <c r="T54" s="172">
        <f t="shared" si="142"/>
        <v>16</v>
      </c>
      <c r="U54" s="217">
        <f t="shared" si="143"/>
        <v>1.6522177979176076</v>
      </c>
      <c r="V54" s="217">
        <f t="shared" si="11"/>
        <v>0.82777495433718706</v>
      </c>
      <c r="W54" s="217">
        <f t="shared" si="144"/>
        <v>1.2068071330099037</v>
      </c>
      <c r="X54" s="197">
        <f t="shared" si="145"/>
        <v>350</v>
      </c>
      <c r="Y54" s="443">
        <f t="shared" si="14"/>
        <v>350</v>
      </c>
      <c r="AA54" s="217">
        <f t="shared" si="146"/>
        <v>2.3201925885034469</v>
      </c>
      <c r="AB54" s="173">
        <f t="shared" si="147"/>
        <v>1.6947069383296303</v>
      </c>
      <c r="AC54" s="173">
        <f t="shared" si="148"/>
        <v>0.68810813364961088</v>
      </c>
      <c r="AD54" s="173"/>
      <c r="AE54" s="173">
        <f t="shared" si="149"/>
        <v>0.73041649504739481</v>
      </c>
      <c r="AF54" s="545">
        <f t="shared" si="150"/>
        <v>1341.7002582018774</v>
      </c>
      <c r="AG54" s="528">
        <f t="shared" si="151"/>
        <v>0.12782288663329408</v>
      </c>
      <c r="AI54" s="173">
        <f t="shared" si="152"/>
        <v>1.957914530603474</v>
      </c>
      <c r="AJ54" s="173">
        <f t="shared" si="153"/>
        <v>1.957914530603474</v>
      </c>
      <c r="AK54" s="173">
        <f t="shared" si="154"/>
        <v>1.9095663189655363</v>
      </c>
      <c r="AM54" s="545">
        <f t="shared" si="155"/>
        <v>490</v>
      </c>
      <c r="AN54" s="460">
        <f t="shared" si="156"/>
        <v>350</v>
      </c>
      <c r="AP54">
        <f t="shared" si="157"/>
        <v>490</v>
      </c>
      <c r="AQ54" s="460">
        <f t="shared" si="158"/>
        <v>350</v>
      </c>
      <c r="AR54" s="460"/>
      <c r="AS54" s="5">
        <f t="shared" si="101"/>
        <v>2.8571428571428572</v>
      </c>
      <c r="AT54" s="5">
        <f t="shared" si="159"/>
        <v>0.98093157767038364</v>
      </c>
      <c r="AU54" s="5">
        <f t="shared" si="102"/>
        <v>1.8762112794724737</v>
      </c>
      <c r="AV54" s="5">
        <f t="shared" si="160"/>
        <v>1.4300930690457549</v>
      </c>
      <c r="AW54" s="173">
        <f t="shared" si="103"/>
        <v>0.34332605218463425</v>
      </c>
      <c r="AX54" s="173">
        <f t="shared" si="161"/>
        <v>8.0502015492112662</v>
      </c>
      <c r="AY54" s="173">
        <f t="shared" si="162"/>
        <v>0.64285573214822611</v>
      </c>
      <c r="AZ54" s="173">
        <f t="shared" si="104"/>
        <v>12.522563223182235</v>
      </c>
      <c r="BA54" s="460">
        <f t="shared" si="163"/>
        <v>3.0041029566155495</v>
      </c>
      <c r="BB54" s="5">
        <f t="shared" si="164"/>
        <v>0.51177645182489873</v>
      </c>
      <c r="BC54" s="5"/>
      <c r="BD54" s="173">
        <f t="shared" si="105"/>
        <v>0.66234838542837582</v>
      </c>
      <c r="BE54" s="173">
        <f t="shared" si="165"/>
        <v>0.91602641121121486</v>
      </c>
      <c r="BF54" s="173"/>
      <c r="BG54" s="528">
        <f t="shared" si="166"/>
        <v>8.774107673591526E-3</v>
      </c>
      <c r="BH54" s="528">
        <f t="shared" si="167"/>
        <v>0.50561209769982962</v>
      </c>
      <c r="BI54" s="528">
        <f t="shared" si="168"/>
        <v>0.19281114805731059</v>
      </c>
      <c r="BJ54" s="528">
        <f t="shared" si="169"/>
        <v>0.28174739368736645</v>
      </c>
      <c r="BK54">
        <f t="shared" si="170"/>
        <v>1.0778262934880715E-2</v>
      </c>
      <c r="BL54" s="460">
        <f t="shared" si="106"/>
        <v>203.58941099219129</v>
      </c>
      <c r="BM54" s="528">
        <f t="shared" si="171"/>
        <v>0.80017074647921682</v>
      </c>
      <c r="BN54" s="460">
        <f t="shared" si="107"/>
        <v>800.17074647921686</v>
      </c>
      <c r="BO54" s="528">
        <f t="shared" si="172"/>
        <v>0.30441249999999997</v>
      </c>
      <c r="BP54" s="528"/>
      <c r="BR54" s="460">
        <f t="shared" si="109"/>
        <v>304.41249999999997</v>
      </c>
      <c r="BS54" s="528">
        <f t="shared" si="173"/>
        <v>1.3161161510387287E-2</v>
      </c>
      <c r="BT54" s="528">
        <f t="shared" si="174"/>
        <v>2.517313158109493E-2</v>
      </c>
      <c r="BU54" s="528">
        <f t="shared" si="175"/>
        <v>0.1176</v>
      </c>
      <c r="BV54" s="528">
        <f t="shared" si="176"/>
        <v>0.16564250650485915</v>
      </c>
      <c r="BW54" s="528">
        <f t="shared" si="177"/>
        <v>6.7085012910093889E-3</v>
      </c>
      <c r="BX54" s="460">
        <f t="shared" si="110"/>
        <v>172.35100779586853</v>
      </c>
      <c r="BY54" s="173">
        <f t="shared" si="45"/>
        <v>1.4805236652672766</v>
      </c>
      <c r="BZ54" s="5">
        <f t="shared" si="111"/>
        <v>7.84</v>
      </c>
      <c r="CA54" s="173">
        <f t="shared" si="112"/>
        <v>0.84115445457379012</v>
      </c>
      <c r="CB54" s="5">
        <f t="shared" si="113"/>
        <v>84.11544545737901</v>
      </c>
      <c r="CE54" s="562">
        <f t="shared" si="178"/>
        <v>-50</v>
      </c>
      <c r="CF54">
        <f t="shared" si="179"/>
        <v>-50</v>
      </c>
      <c r="CG54" s="173">
        <f t="shared" si="180"/>
        <v>0.50719818611663037</v>
      </c>
      <c r="CI54" s="170">
        <v>49</v>
      </c>
      <c r="CJ54" s="217">
        <f t="shared" si="114"/>
        <v>0.49</v>
      </c>
      <c r="CK54" s="217"/>
      <c r="CL54" s="217">
        <f t="shared" si="49"/>
        <v>7.84</v>
      </c>
      <c r="CM54" s="541">
        <f t="shared" si="50"/>
        <v>24</v>
      </c>
      <c r="CN54" s="172">
        <f t="shared" si="51"/>
        <v>16.399999999999999</v>
      </c>
      <c r="CO54" s="443">
        <f t="shared" si="52"/>
        <v>40.4</v>
      </c>
      <c r="CP54" s="443"/>
      <c r="CQ54" s="217">
        <f t="shared" si="53"/>
        <v>0.40594059405940591</v>
      </c>
      <c r="CR54" s="172">
        <f t="shared" si="54"/>
        <v>24.648712871287128</v>
      </c>
      <c r="CS54" s="172">
        <f t="shared" si="115"/>
        <v>7.84</v>
      </c>
      <c r="CT54" s="217">
        <f t="shared" si="55"/>
        <v>1.5405445544554455</v>
      </c>
      <c r="CU54" s="217">
        <f t="shared" si="56"/>
        <v>16</v>
      </c>
      <c r="CV54" s="217">
        <f t="shared" si="57"/>
        <v>1.5222772277227721</v>
      </c>
      <c r="CW54" s="172">
        <f t="shared" si="58"/>
        <v>98.546002208069496</v>
      </c>
      <c r="CX54" s="172">
        <f t="shared" si="59"/>
        <v>16</v>
      </c>
      <c r="CY54" s="217">
        <f t="shared" si="60"/>
        <v>1.609430894308943</v>
      </c>
      <c r="CZ54" s="217">
        <f t="shared" si="61"/>
        <v>0.80471544715447152</v>
      </c>
      <c r="DA54" s="217">
        <f t="shared" si="62"/>
        <v>1.1776323616894706</v>
      </c>
      <c r="DB54" s="197">
        <f t="shared" si="63"/>
        <v>350</v>
      </c>
      <c r="DC54" s="443">
        <f t="shared" si="116"/>
        <v>350</v>
      </c>
      <c r="DE54" s="217">
        <f t="shared" si="64"/>
        <v>2.3196605374823194</v>
      </c>
      <c r="DF54" s="173">
        <f t="shared" si="65"/>
        <v>1.6973125884016973</v>
      </c>
      <c r="DG54" s="173">
        <f t="shared" si="66"/>
        <v>0.68900808044029282</v>
      </c>
      <c r="DH54" s="173"/>
      <c r="DI54" s="173">
        <f t="shared" si="67"/>
        <v>0.73170731707317083</v>
      </c>
      <c r="DJ54" s="545">
        <f t="shared" si="117"/>
        <v>1339.3333333333333</v>
      </c>
      <c r="DK54" s="528">
        <f t="shared" si="68"/>
        <v>0.12804878048780488</v>
      </c>
      <c r="DM54" s="173">
        <f t="shared" si="69"/>
        <v>1.9561867668161612</v>
      </c>
      <c r="DN54" s="173">
        <f t="shared" si="70"/>
        <v>1.9561867668161612</v>
      </c>
      <c r="DO54" s="173">
        <f t="shared" si="71"/>
        <v>1.9082864939378972</v>
      </c>
      <c r="DQ54" s="545">
        <f t="shared" si="72"/>
        <v>490</v>
      </c>
      <c r="DR54" s="460">
        <f t="shared" si="73"/>
        <v>350</v>
      </c>
      <c r="DT54">
        <f t="shared" si="74"/>
        <v>490</v>
      </c>
      <c r="DU54" s="460">
        <f t="shared" si="75"/>
        <v>350</v>
      </c>
      <c r="DV54" s="460"/>
      <c r="DW54" s="5">
        <f t="shared" si="118"/>
        <v>2.8571428571428572</v>
      </c>
      <c r="DX54" s="5">
        <f t="shared" si="76"/>
        <v>0.97809338340808061</v>
      </c>
      <c r="DY54" s="5">
        <f t="shared" si="119"/>
        <v>1.8790494737347765</v>
      </c>
      <c r="DZ54" s="5">
        <f t="shared" si="77"/>
        <v>1.4313561708410938</v>
      </c>
      <c r="EA54" s="173">
        <f t="shared" si="120"/>
        <v>0.3423326841928282</v>
      </c>
      <c r="EB54" s="173">
        <f t="shared" si="78"/>
        <v>8.0359999999999996</v>
      </c>
      <c r="EC54" s="173">
        <f t="shared" si="79"/>
        <v>0.64326005007474729</v>
      </c>
      <c r="ED54" s="173">
        <f t="shared" si="121"/>
        <v>12.49261476609065</v>
      </c>
      <c r="EE54" s="460">
        <f t="shared" si="80"/>
        <v>2.9954109866872471</v>
      </c>
      <c r="EF54" s="5">
        <f t="shared" si="81"/>
        <v>0.51151902340557798</v>
      </c>
      <c r="EG54" s="5"/>
      <c r="EH54" s="173">
        <f t="shared" si="122"/>
        <v>0.66080583923752323</v>
      </c>
      <c r="EI54" s="173">
        <f t="shared" si="82"/>
        <v>0.91591003836902452</v>
      </c>
      <c r="EJ54" s="173"/>
      <c r="EK54" s="528">
        <f t="shared" si="83"/>
        <v>8.7332871434081492E-3</v>
      </c>
      <c r="EL54" s="528">
        <f t="shared" si="84"/>
        <v>0.52554913677282988</v>
      </c>
      <c r="EM54" s="528">
        <f t="shared" si="85"/>
        <v>4.0250000000000001E-2</v>
      </c>
      <c r="EN54" s="528">
        <f t="shared" si="86"/>
        <v>0.28134357999999998</v>
      </c>
      <c r="EO54">
        <f t="shared" si="87"/>
        <v>1.0800000000000001E-2</v>
      </c>
      <c r="EP54" s="460">
        <f t="shared" si="123"/>
        <v>51.05</v>
      </c>
      <c r="EQ54" s="528">
        <f t="shared" si="88"/>
        <v>0.87084101182088536</v>
      </c>
      <c r="ER54" s="460">
        <f t="shared" si="124"/>
        <v>870.84101182088534</v>
      </c>
      <c r="ES54" s="528">
        <f t="shared" si="125"/>
        <v>0.30441249999999997</v>
      </c>
      <c r="ET54" s="528"/>
      <c r="EV54" s="460">
        <f t="shared" si="126"/>
        <v>304.41249999999997</v>
      </c>
      <c r="EW54" s="528">
        <f t="shared" si="89"/>
        <v>1.3099930715112222E-2</v>
      </c>
      <c r="EX54" s="528">
        <f t="shared" si="90"/>
        <v>2.5166735951554435E-2</v>
      </c>
      <c r="EY54" s="528">
        <f t="shared" si="91"/>
        <v>0.61329003323211972</v>
      </c>
      <c r="EZ54" s="528">
        <f t="shared" si="92"/>
        <v>0.66276965874743188</v>
      </c>
      <c r="FA54" s="528">
        <f t="shared" si="93"/>
        <v>6.6966666666666667E-3</v>
      </c>
      <c r="FB54" s="460">
        <f t="shared" si="127"/>
        <v>669.46632541409861</v>
      </c>
      <c r="FC54" s="173">
        <f t="shared" si="128"/>
        <v>1.8447198372349838</v>
      </c>
      <c r="FD54" s="5">
        <f t="shared" si="129"/>
        <v>7.84</v>
      </c>
      <c r="FE54" s="173">
        <f t="shared" si="130"/>
        <v>0.80952264306680699</v>
      </c>
      <c r="FF54" s="5">
        <f t="shared" si="131"/>
        <v>80.952264306680703</v>
      </c>
      <c r="FI54" s="562">
        <f t="shared" si="94"/>
        <v>-50</v>
      </c>
      <c r="FJ54">
        <f t="shared" si="95"/>
        <v>-50</v>
      </c>
      <c r="FL54">
        <f t="shared" si="181"/>
        <v>0.50097465979438283</v>
      </c>
    </row>
    <row r="55" spans="5:168">
      <c r="E55" s="170">
        <v>50</v>
      </c>
      <c r="F55" s="217">
        <f t="shared" si="182"/>
        <v>0.5</v>
      </c>
      <c r="G55" s="217"/>
      <c r="H55" s="217">
        <f t="shared" si="132"/>
        <v>8</v>
      </c>
      <c r="I55" s="541">
        <f t="shared" si="133"/>
        <v>23.951204996352573</v>
      </c>
      <c r="J55" s="172">
        <f t="shared" si="134"/>
        <v>16.429277002188453</v>
      </c>
      <c r="K55" s="172">
        <f t="shared" si="135"/>
        <v>40.429277002188456</v>
      </c>
      <c r="L55" s="443"/>
      <c r="M55" s="217">
        <f t="shared" si="136"/>
        <v>0.40686717724702376</v>
      </c>
      <c r="N55" s="172">
        <f t="shared" si="137"/>
        <v>24.65474669638288</v>
      </c>
      <c r="O55" s="172">
        <f t="shared" si="98"/>
        <v>8</v>
      </c>
      <c r="P55" s="217">
        <f t="shared" si="138"/>
        <v>1.54092166852393</v>
      </c>
      <c r="Q55" s="217">
        <f t="shared" si="139"/>
        <v>16</v>
      </c>
      <c r="R55" s="217">
        <f t="shared" si="140"/>
        <v>1.522649870082935</v>
      </c>
      <c r="S55" s="172">
        <f t="shared" si="141"/>
        <v>95.904301336353072</v>
      </c>
      <c r="T55" s="172">
        <f t="shared" si="142"/>
        <v>16</v>
      </c>
      <c r="U55" s="217">
        <f t="shared" si="143"/>
        <v>1.68596301138518</v>
      </c>
      <c r="V55" s="217">
        <f t="shared" si="11"/>
        <v>0.84469888423998452</v>
      </c>
      <c r="W55" s="217">
        <f t="shared" si="144"/>
        <v>1.2314331381671406</v>
      </c>
      <c r="X55" s="197">
        <f t="shared" si="145"/>
        <v>350</v>
      </c>
      <c r="Y55" s="443">
        <f t="shared" si="14"/>
        <v>350</v>
      </c>
      <c r="AA55" s="217">
        <f t="shared" si="146"/>
        <v>2.3201979081278377</v>
      </c>
      <c r="AB55" s="173">
        <f t="shared" si="147"/>
        <v>1.6946804715645933</v>
      </c>
      <c r="AC55" s="173">
        <f t="shared" si="148"/>
        <v>0.68809896488712174</v>
      </c>
      <c r="AD55" s="173"/>
      <c r="AE55" s="173">
        <f t="shared" si="149"/>
        <v>0.73040341327263203</v>
      </c>
      <c r="AF55" s="545">
        <f t="shared" si="150"/>
        <v>1369.1064168490375</v>
      </c>
      <c r="AG55" s="528">
        <f t="shared" si="151"/>
        <v>0.12782059732271062</v>
      </c>
      <c r="AI55" s="173">
        <f t="shared" si="152"/>
        <v>1.9778100564939696</v>
      </c>
      <c r="AJ55" s="173">
        <f t="shared" si="153"/>
        <v>1.9778100564939696</v>
      </c>
      <c r="AK55" s="173">
        <f t="shared" si="154"/>
        <v>1.9243037455510885</v>
      </c>
      <c r="AM55" s="545">
        <f t="shared" si="155"/>
        <v>500</v>
      </c>
      <c r="AN55" s="460">
        <f t="shared" si="156"/>
        <v>350</v>
      </c>
      <c r="AP55">
        <f t="shared" si="157"/>
        <v>500</v>
      </c>
      <c r="AQ55" s="460">
        <f t="shared" si="158"/>
        <v>350</v>
      </c>
      <c r="AR55" s="460"/>
      <c r="AS55" s="5">
        <f t="shared" si="101"/>
        <v>2.8571428571428572</v>
      </c>
      <c r="AT55" s="5">
        <f t="shared" si="159"/>
        <v>0.99091969199637109</v>
      </c>
      <c r="AU55" s="5">
        <f t="shared" si="102"/>
        <v>1.866223165146486</v>
      </c>
      <c r="AV55" s="5">
        <f t="shared" si="160"/>
        <v>1.4445992160681325</v>
      </c>
      <c r="AW55" s="173">
        <f t="shared" si="103"/>
        <v>0.34682189219872989</v>
      </c>
      <c r="AX55" s="173">
        <f t="shared" si="161"/>
        <v>8.2146385010942264</v>
      </c>
      <c r="AY55" s="173">
        <f t="shared" si="162"/>
        <v>0.64593111514552715</v>
      </c>
      <c r="AZ55" s="173">
        <f t="shared" si="104"/>
        <v>12.71751477592697</v>
      </c>
      <c r="BA55" s="460">
        <f t="shared" si="163"/>
        <v>3.09662403748866</v>
      </c>
      <c r="BB55" s="5">
        <f t="shared" si="164"/>
        <v>0.51945143342633071</v>
      </c>
      <c r="BC55" s="5"/>
      <c r="BD55" s="173">
        <f t="shared" si="105"/>
        <v>0.67247664368221827</v>
      </c>
      <c r="BE55" s="173">
        <f t="shared" si="165"/>
        <v>0.92286837462958859</v>
      </c>
      <c r="BF55" s="173"/>
      <c r="BG55" s="528">
        <f t="shared" si="166"/>
        <v>9.044496725962024E-3</v>
      </c>
      <c r="BH55" s="528">
        <f t="shared" si="167"/>
        <v>0.51075363816003927</v>
      </c>
      <c r="BI55" s="528">
        <f t="shared" si="168"/>
        <v>0.19280720022063821</v>
      </c>
      <c r="BJ55" s="528">
        <f t="shared" si="169"/>
        <v>0.2817514949087806</v>
      </c>
      <c r="BK55">
        <f t="shared" si="170"/>
        <v>1.0778042248358658E-2</v>
      </c>
      <c r="BL55" s="460">
        <f t="shared" si="106"/>
        <v>203.58524246899688</v>
      </c>
      <c r="BM55" s="528">
        <f t="shared" si="171"/>
        <v>0.8057231206769655</v>
      </c>
      <c r="BN55" s="460">
        <f t="shared" si="107"/>
        <v>805.72312067696555</v>
      </c>
      <c r="BO55" s="528">
        <f t="shared" si="172"/>
        <v>0.31062499999999998</v>
      </c>
      <c r="BP55" s="528"/>
      <c r="BR55" s="460">
        <f t="shared" si="109"/>
        <v>310.625</v>
      </c>
      <c r="BS55" s="528">
        <f t="shared" si="173"/>
        <v>1.3566745088943035E-2</v>
      </c>
      <c r="BT55" s="528">
        <f t="shared" si="174"/>
        <v>2.5550581106743759E-2</v>
      </c>
      <c r="BU55" s="528">
        <f t="shared" si="175"/>
        <v>0.12</v>
      </c>
      <c r="BV55" s="528">
        <f t="shared" si="176"/>
        <v>0.16903445856697769</v>
      </c>
      <c r="BW55" s="528">
        <f t="shared" si="177"/>
        <v>6.8455320842451895E-3</v>
      </c>
      <c r="BX55" s="460">
        <f t="shared" si="110"/>
        <v>175.87999065122287</v>
      </c>
      <c r="BY55" s="173">
        <f t="shared" si="45"/>
        <v>1.4958133537971852</v>
      </c>
      <c r="BZ55" s="5">
        <f t="shared" si="111"/>
        <v>8</v>
      </c>
      <c r="CA55" s="173">
        <f t="shared" si="112"/>
        <v>0.84247654223331592</v>
      </c>
      <c r="CB55" s="5">
        <f t="shared" si="113"/>
        <v>84.247654223331594</v>
      </c>
      <c r="CE55" s="562">
        <f t="shared" si="178"/>
        <v>-50</v>
      </c>
      <c r="CF55">
        <f t="shared" si="179"/>
        <v>-50</v>
      </c>
      <c r="CG55" s="173">
        <f t="shared" si="180"/>
        <v>0.51234753829797997</v>
      </c>
      <c r="CI55" s="170">
        <v>50</v>
      </c>
      <c r="CJ55" s="217">
        <f t="shared" si="114"/>
        <v>0.5</v>
      </c>
      <c r="CK55" s="217"/>
      <c r="CL55" s="217">
        <f t="shared" si="49"/>
        <v>8</v>
      </c>
      <c r="CM55" s="541">
        <f t="shared" si="50"/>
        <v>24</v>
      </c>
      <c r="CN55" s="172">
        <f t="shared" si="51"/>
        <v>16.399999999999999</v>
      </c>
      <c r="CO55" s="443">
        <f t="shared" si="52"/>
        <v>40.4</v>
      </c>
      <c r="CP55" s="443"/>
      <c r="CQ55" s="217">
        <f t="shared" si="53"/>
        <v>0.40594059405940591</v>
      </c>
      <c r="CR55" s="172">
        <f t="shared" si="54"/>
        <v>24.648712871287128</v>
      </c>
      <c r="CS55" s="172">
        <f t="shared" si="115"/>
        <v>8</v>
      </c>
      <c r="CT55" s="217">
        <f t="shared" si="55"/>
        <v>1.5405445544554455</v>
      </c>
      <c r="CU55" s="217">
        <f t="shared" si="56"/>
        <v>16</v>
      </c>
      <c r="CV55" s="217">
        <f t="shared" si="57"/>
        <v>1.5222772277227721</v>
      </c>
      <c r="CW55" s="172">
        <f t="shared" si="58"/>
        <v>96.099482398882913</v>
      </c>
      <c r="CX55" s="172">
        <f t="shared" si="59"/>
        <v>16</v>
      </c>
      <c r="CY55" s="217">
        <f t="shared" si="60"/>
        <v>1.6422764227642277</v>
      </c>
      <c r="CZ55" s="217">
        <f t="shared" si="61"/>
        <v>0.82113821138211385</v>
      </c>
      <c r="DA55" s="217">
        <f t="shared" si="62"/>
        <v>1.2016656751933377</v>
      </c>
      <c r="DB55" s="197">
        <f t="shared" si="63"/>
        <v>350</v>
      </c>
      <c r="DC55" s="443">
        <f t="shared" si="116"/>
        <v>350</v>
      </c>
      <c r="DE55" s="217">
        <f t="shared" si="64"/>
        <v>2.3196605374823194</v>
      </c>
      <c r="DF55" s="173">
        <f t="shared" si="65"/>
        <v>1.6973125884016973</v>
      </c>
      <c r="DG55" s="173">
        <f t="shared" si="66"/>
        <v>0.68900808044029282</v>
      </c>
      <c r="DH55" s="173"/>
      <c r="DI55" s="173">
        <f t="shared" si="67"/>
        <v>0.73170731707317083</v>
      </c>
      <c r="DJ55" s="545">
        <f t="shared" si="117"/>
        <v>1366.6666666666665</v>
      </c>
      <c r="DK55" s="528">
        <f t="shared" si="68"/>
        <v>0.12804878048780488</v>
      </c>
      <c r="DM55" s="173">
        <f t="shared" si="69"/>
        <v>1.9760470401187074</v>
      </c>
      <c r="DN55" s="173">
        <f t="shared" si="70"/>
        <v>1.9760470401187074</v>
      </c>
      <c r="DO55" s="173">
        <f t="shared" si="71"/>
        <v>1.9229978074953387</v>
      </c>
      <c r="DQ55" s="545">
        <f t="shared" si="72"/>
        <v>500</v>
      </c>
      <c r="DR55" s="460">
        <f t="shared" si="73"/>
        <v>350</v>
      </c>
      <c r="DT55">
        <f t="shared" si="74"/>
        <v>500</v>
      </c>
      <c r="DU55" s="460">
        <f t="shared" si="75"/>
        <v>350</v>
      </c>
      <c r="DV55" s="460"/>
      <c r="DW55" s="5">
        <f t="shared" si="118"/>
        <v>2.8571428571428572</v>
      </c>
      <c r="DX55" s="5">
        <f t="shared" si="76"/>
        <v>0.98802352005935379</v>
      </c>
      <c r="DY55" s="5">
        <f t="shared" si="119"/>
        <v>1.8691193370835033</v>
      </c>
      <c r="DZ55" s="5">
        <f t="shared" si="77"/>
        <v>1.4458880781356398</v>
      </c>
      <c r="EA55" s="173">
        <f t="shared" si="120"/>
        <v>0.34580823202077382</v>
      </c>
      <c r="EB55" s="173">
        <f t="shared" si="78"/>
        <v>8.1999999999999993</v>
      </c>
      <c r="EC55" s="173">
        <f t="shared" si="79"/>
        <v>0.646356853392687</v>
      </c>
      <c r="ED55" s="173">
        <f t="shared" si="121"/>
        <v>12.686490375956732</v>
      </c>
      <c r="EE55" s="460">
        <f t="shared" si="80"/>
        <v>3.0875735001854805</v>
      </c>
      <c r="EF55" s="5">
        <f t="shared" si="81"/>
        <v>0.51919981585652852</v>
      </c>
      <c r="EG55" s="5"/>
      <c r="EH55" s="173">
        <f t="shared" si="122"/>
        <v>0.6708946292694512</v>
      </c>
      <c r="EI55" s="173">
        <f t="shared" si="82"/>
        <v>0.92276091053138298</v>
      </c>
      <c r="EJ55" s="173"/>
      <c r="EK55" s="528">
        <f t="shared" si="83"/>
        <v>9.0019920716518879E-3</v>
      </c>
      <c r="EL55" s="528">
        <f t="shared" si="84"/>
        <v>0.5308847977982919</v>
      </c>
      <c r="EM55" s="528">
        <f t="shared" si="85"/>
        <v>4.0250000000000001E-2</v>
      </c>
      <c r="EN55" s="528">
        <f t="shared" si="86"/>
        <v>0.28134357999999998</v>
      </c>
      <c r="EO55">
        <f t="shared" si="87"/>
        <v>1.0800000000000001E-2</v>
      </c>
      <c r="EP55" s="460">
        <f t="shared" si="123"/>
        <v>51.05</v>
      </c>
      <c r="EQ55" s="528">
        <f t="shared" si="88"/>
        <v>0.87658581373566991</v>
      </c>
      <c r="ER55" s="460">
        <f t="shared" si="124"/>
        <v>876.58581373566994</v>
      </c>
      <c r="ES55" s="528">
        <f t="shared" si="125"/>
        <v>0.31062499999999998</v>
      </c>
      <c r="ET55" s="528"/>
      <c r="EV55" s="460">
        <f t="shared" si="126"/>
        <v>310.625</v>
      </c>
      <c r="EW55" s="528">
        <f t="shared" si="89"/>
        <v>1.3502988107477831E-2</v>
      </c>
      <c r="EX55" s="528">
        <f t="shared" si="90"/>
        <v>2.554463094014121E-2</v>
      </c>
      <c r="EY55" s="528">
        <f t="shared" si="91"/>
        <v>0.62897489641787385</v>
      </c>
      <c r="EZ55" s="528">
        <f t="shared" si="92"/>
        <v>0.67951662454024719</v>
      </c>
      <c r="FA55" s="528">
        <f t="shared" si="93"/>
        <v>6.8333333333333319E-3</v>
      </c>
      <c r="FB55" s="460">
        <f t="shared" si="127"/>
        <v>686.34995787358059</v>
      </c>
      <c r="FC55" s="173">
        <f t="shared" si="128"/>
        <v>1.8735607716092502</v>
      </c>
      <c r="FD55" s="5">
        <f t="shared" si="129"/>
        <v>8</v>
      </c>
      <c r="FE55" s="173">
        <f t="shared" si="130"/>
        <v>0.81024467110218767</v>
      </c>
      <c r="FF55" s="5">
        <f t="shared" si="131"/>
        <v>81.024467110218765</v>
      </c>
      <c r="FI55" s="562">
        <f t="shared" si="94"/>
        <v>-50</v>
      </c>
      <c r="FJ55">
        <f t="shared" si="95"/>
        <v>-50</v>
      </c>
      <c r="FL55">
        <f t="shared" si="181"/>
        <v>0.50606082734747393</v>
      </c>
    </row>
    <row r="56" spans="5:168">
      <c r="E56" s="170">
        <v>51</v>
      </c>
      <c r="F56" s="217">
        <f t="shared" si="182"/>
        <v>0.51</v>
      </c>
      <c r="G56" s="217"/>
      <c r="H56" s="217">
        <f t="shared" si="132"/>
        <v>8.16</v>
      </c>
      <c r="I56" s="541">
        <f t="shared" si="133"/>
        <v>23.950719461969541</v>
      </c>
      <c r="J56" s="172">
        <f t="shared" si="134"/>
        <v>16.429568322818273</v>
      </c>
      <c r="K56" s="172">
        <f t="shared" si="135"/>
        <v>40.42956832281827</v>
      </c>
      <c r="L56" s="443"/>
      <c r="M56" s="217">
        <f t="shared" si="136"/>
        <v>0.40687640162426608</v>
      </c>
      <c r="N56" s="172">
        <f t="shared" si="137"/>
        <v>24.654805854026066</v>
      </c>
      <c r="O56" s="172">
        <f t="shared" si="98"/>
        <v>8.16</v>
      </c>
      <c r="P56" s="217">
        <f t="shared" si="138"/>
        <v>1.5409253658766291</v>
      </c>
      <c r="Q56" s="217">
        <f t="shared" si="139"/>
        <v>16</v>
      </c>
      <c r="R56" s="217">
        <f t="shared" si="140"/>
        <v>1.522653523593507</v>
      </c>
      <c r="S56" s="172">
        <f t="shared" si="141"/>
        <v>93.556732985014662</v>
      </c>
      <c r="T56" s="172">
        <f t="shared" si="142"/>
        <v>16</v>
      </c>
      <c r="U56" s="217">
        <f t="shared" si="143"/>
        <v>1.7197090164567137</v>
      </c>
      <c r="V56" s="217">
        <f t="shared" si="11"/>
        <v>0.86162372826622224</v>
      </c>
      <c r="W56" s="217">
        <f t="shared" si="144"/>
        <v>1.2560590632694508</v>
      </c>
      <c r="X56" s="197">
        <f t="shared" si="145"/>
        <v>350</v>
      </c>
      <c r="Y56" s="443">
        <f t="shared" si="14"/>
        <v>350</v>
      </c>
      <c r="AA56" s="217">
        <f t="shared" si="146"/>
        <v>2.3202031731911998</v>
      </c>
      <c r="AB56" s="173">
        <f t="shared" si="147"/>
        <v>1.6946542679167849</v>
      </c>
      <c r="AC56" s="173">
        <f t="shared" si="148"/>
        <v>0.68808988672944338</v>
      </c>
      <c r="AD56" s="173"/>
      <c r="AE56" s="173">
        <f t="shared" si="149"/>
        <v>0.73039046213610803</v>
      </c>
      <c r="AF56" s="545">
        <f t="shared" si="150"/>
        <v>1396.513307439553</v>
      </c>
      <c r="AG56" s="528">
        <f t="shared" si="151"/>
        <v>0.12781833087381891</v>
      </c>
      <c r="AI56" s="173">
        <f t="shared" si="152"/>
        <v>1.9975079527390789</v>
      </c>
      <c r="AJ56" s="173">
        <f t="shared" si="153"/>
        <v>1.9975079527390789</v>
      </c>
      <c r="AK56" s="173">
        <f t="shared" si="154"/>
        <v>1.9388947798067251</v>
      </c>
      <c r="AM56" s="545">
        <f t="shared" si="155"/>
        <v>510</v>
      </c>
      <c r="AN56" s="460">
        <f t="shared" si="156"/>
        <v>350</v>
      </c>
      <c r="AP56">
        <f t="shared" si="157"/>
        <v>510</v>
      </c>
      <c r="AQ56" s="460">
        <f t="shared" si="158"/>
        <v>350</v>
      </c>
      <c r="AR56" s="460"/>
      <c r="AS56" s="5">
        <f t="shared" si="101"/>
        <v>2.8571428571428572</v>
      </c>
      <c r="AT56" s="5">
        <f t="shared" si="159"/>
        <v>1.0008089932717958</v>
      </c>
      <c r="AU56" s="5">
        <f t="shared" si="102"/>
        <v>1.8563338638710614</v>
      </c>
      <c r="AV56" s="5">
        <f t="shared" si="160"/>
        <v>1.4589607567216469</v>
      </c>
      <c r="AW56" s="173">
        <f t="shared" si="103"/>
        <v>0.35028314764512852</v>
      </c>
      <c r="AX56" s="173">
        <f t="shared" si="161"/>
        <v>8.3790798446373191</v>
      </c>
      <c r="AY56" s="173">
        <f t="shared" si="162"/>
        <v>0.64890728980372891</v>
      </c>
      <c r="AZ56" s="173">
        <f t="shared" si="104"/>
        <v>12.912599344001343</v>
      </c>
      <c r="BA56" s="460">
        <f t="shared" si="163"/>
        <v>3.1900786660538492</v>
      </c>
      <c r="BB56" s="5">
        <f t="shared" si="164"/>
        <v>0.52704346916872047</v>
      </c>
      <c r="BC56" s="5"/>
      <c r="BD56" s="173">
        <f t="shared" si="105"/>
        <v>0.68255477858538827</v>
      </c>
      <c r="BE56" s="173">
        <f t="shared" si="165"/>
        <v>0.92958681573170299</v>
      </c>
      <c r="BF56" s="173"/>
      <c r="BG56" s="528">
        <f t="shared" si="166"/>
        <v>9.3176205153949684E-3</v>
      </c>
      <c r="BH56" s="528">
        <f t="shared" si="167"/>
        <v>0.51584417940094662</v>
      </c>
      <c r="BI56" s="528">
        <f t="shared" si="168"/>
        <v>0.19280329166885482</v>
      </c>
      <c r="BJ56" s="528">
        <f t="shared" si="169"/>
        <v>0.28175555534838059</v>
      </c>
      <c r="BK56">
        <f t="shared" si="170"/>
        <v>1.0777823757886293E-2</v>
      </c>
      <c r="BL56" s="460">
        <f t="shared" si="106"/>
        <v>203.58111542674112</v>
      </c>
      <c r="BM56" s="528">
        <f t="shared" si="171"/>
        <v>0.81122906576547948</v>
      </c>
      <c r="BN56" s="460">
        <f t="shared" si="107"/>
        <v>811.2290657654795</v>
      </c>
      <c r="BO56" s="528">
        <f t="shared" si="172"/>
        <v>0.31683749999999999</v>
      </c>
      <c r="BP56" s="528"/>
      <c r="BR56" s="460">
        <f t="shared" si="109"/>
        <v>316.83749999999998</v>
      </c>
      <c r="BS56" s="528">
        <f t="shared" si="173"/>
        <v>1.3976430773092451E-2</v>
      </c>
      <c r="BT56" s="528">
        <f t="shared" si="174"/>
        <v>2.5923949439466212E-2</v>
      </c>
      <c r="BU56" s="528">
        <f t="shared" si="175"/>
        <v>0.12239999999999999</v>
      </c>
      <c r="BV56" s="528">
        <f t="shared" si="176"/>
        <v>0.17242686325579393</v>
      </c>
      <c r="BW56" s="528">
        <f t="shared" si="177"/>
        <v>6.9825665371977663E-3</v>
      </c>
      <c r="BX56" s="460">
        <f t="shared" si="110"/>
        <v>179.40942979299169</v>
      </c>
      <c r="BY56" s="173">
        <f t="shared" si="45"/>
        <v>1.5110571109852124</v>
      </c>
      <c r="BZ56" s="5">
        <f t="shared" si="111"/>
        <v>8.16</v>
      </c>
      <c r="CA56" s="173">
        <f t="shared" si="112"/>
        <v>0.8437547112332916</v>
      </c>
      <c r="CB56" s="5">
        <f t="shared" si="113"/>
        <v>84.375471123329163</v>
      </c>
      <c r="CE56" s="562">
        <f t="shared" si="178"/>
        <v>-50</v>
      </c>
      <c r="CF56">
        <f t="shared" si="179"/>
        <v>-50</v>
      </c>
      <c r="CG56" s="173">
        <f t="shared" si="180"/>
        <v>0.5174456493198103</v>
      </c>
      <c r="CI56" s="170">
        <v>51</v>
      </c>
      <c r="CJ56" s="217">
        <f t="shared" si="114"/>
        <v>0.51</v>
      </c>
      <c r="CK56" s="217"/>
      <c r="CL56" s="217">
        <f t="shared" si="49"/>
        <v>8.16</v>
      </c>
      <c r="CM56" s="541">
        <f t="shared" si="50"/>
        <v>24</v>
      </c>
      <c r="CN56" s="172">
        <f t="shared" si="51"/>
        <v>16.399999999999999</v>
      </c>
      <c r="CO56" s="443">
        <f t="shared" si="52"/>
        <v>40.4</v>
      </c>
      <c r="CP56" s="443"/>
      <c r="CQ56" s="217">
        <f t="shared" si="53"/>
        <v>0.40594059405940591</v>
      </c>
      <c r="CR56" s="172">
        <f t="shared" si="54"/>
        <v>24.648712871287128</v>
      </c>
      <c r="CS56" s="172">
        <f t="shared" si="115"/>
        <v>8.16</v>
      </c>
      <c r="CT56" s="217">
        <f t="shared" si="55"/>
        <v>1.5405445544554455</v>
      </c>
      <c r="CU56" s="217">
        <f t="shared" si="56"/>
        <v>16</v>
      </c>
      <c r="CV56" s="217">
        <f t="shared" si="57"/>
        <v>1.5222772277227721</v>
      </c>
      <c r="CW56" s="172">
        <f t="shared" si="58"/>
        <v>93.749024829204089</v>
      </c>
      <c r="CX56" s="172">
        <f t="shared" si="59"/>
        <v>16</v>
      </c>
      <c r="CY56" s="217">
        <f t="shared" si="60"/>
        <v>1.6751219512195124</v>
      </c>
      <c r="CZ56" s="217">
        <f t="shared" si="61"/>
        <v>0.83756097560975629</v>
      </c>
      <c r="DA56" s="217">
        <f t="shared" si="62"/>
        <v>1.2256989886972043</v>
      </c>
      <c r="DB56" s="197">
        <f t="shared" si="63"/>
        <v>350</v>
      </c>
      <c r="DC56" s="443">
        <f t="shared" si="116"/>
        <v>350</v>
      </c>
      <c r="DE56" s="217">
        <f t="shared" si="64"/>
        <v>2.3196605374823194</v>
      </c>
      <c r="DF56" s="173">
        <f t="shared" si="65"/>
        <v>1.6973125884016973</v>
      </c>
      <c r="DG56" s="173">
        <f t="shared" si="66"/>
        <v>0.68900808044029282</v>
      </c>
      <c r="DH56" s="173"/>
      <c r="DI56" s="173">
        <f t="shared" si="67"/>
        <v>0.73170731707317083</v>
      </c>
      <c r="DJ56" s="545">
        <f t="shared" si="117"/>
        <v>1393.9999999999998</v>
      </c>
      <c r="DK56" s="528">
        <f t="shared" si="68"/>
        <v>0.12804878048780488</v>
      </c>
      <c r="DM56" s="173">
        <f t="shared" si="69"/>
        <v>1.9957096840114652</v>
      </c>
      <c r="DN56" s="173">
        <f t="shared" si="70"/>
        <v>1.9957096840114652</v>
      </c>
      <c r="DO56" s="173">
        <f t="shared" si="71"/>
        <v>1.9375627288973816</v>
      </c>
      <c r="DQ56" s="545">
        <f t="shared" si="72"/>
        <v>510</v>
      </c>
      <c r="DR56" s="460">
        <f t="shared" si="73"/>
        <v>350</v>
      </c>
      <c r="DT56">
        <f t="shared" si="74"/>
        <v>510</v>
      </c>
      <c r="DU56" s="460">
        <f t="shared" si="75"/>
        <v>350</v>
      </c>
      <c r="DV56" s="460"/>
      <c r="DW56" s="5">
        <f t="shared" si="118"/>
        <v>2.8571428571428572</v>
      </c>
      <c r="DX56" s="5">
        <f t="shared" si="76"/>
        <v>0.9978548420057326</v>
      </c>
      <c r="DY56" s="5">
        <f t="shared" si="119"/>
        <v>1.8592880151371247</v>
      </c>
      <c r="DZ56" s="5">
        <f t="shared" si="77"/>
        <v>1.4602753785449747</v>
      </c>
      <c r="EA56" s="173">
        <f t="shared" si="120"/>
        <v>0.34924919470200638</v>
      </c>
      <c r="EB56" s="173">
        <f t="shared" si="78"/>
        <v>8.3640000000000008</v>
      </c>
      <c r="EC56" s="173">
        <f t="shared" si="79"/>
        <v>0.64935484200573257</v>
      </c>
      <c r="ED56" s="173">
        <f t="shared" si="121"/>
        <v>12.880476834769121</v>
      </c>
      <c r="EE56" s="460">
        <f t="shared" si="80"/>
        <v>3.1806623088932726</v>
      </c>
      <c r="EF56" s="5">
        <f t="shared" si="81"/>
        <v>0.52679827095551868</v>
      </c>
      <c r="EG56" s="5"/>
      <c r="EH56" s="173">
        <f t="shared" si="122"/>
        <v>0.68093309748608699</v>
      </c>
      <c r="EI56" s="173">
        <f t="shared" si="82"/>
        <v>0.92948865747089704</v>
      </c>
      <c r="EJ56" s="173"/>
      <c r="EK56" s="528">
        <f t="shared" si="83"/>
        <v>9.2733976650399372E-3</v>
      </c>
      <c r="EL56" s="528">
        <f t="shared" si="84"/>
        <v>0.53616736370652029</v>
      </c>
      <c r="EM56" s="528">
        <f t="shared" si="85"/>
        <v>4.0250000000000001E-2</v>
      </c>
      <c r="EN56" s="528">
        <f t="shared" si="86"/>
        <v>0.28134357999999998</v>
      </c>
      <c r="EO56">
        <f t="shared" si="87"/>
        <v>1.0800000000000001E-2</v>
      </c>
      <c r="EP56" s="460">
        <f t="shared" si="123"/>
        <v>51.05</v>
      </c>
      <c r="EQ56" s="528">
        <f t="shared" si="88"/>
        <v>0.88228214329372545</v>
      </c>
      <c r="ER56" s="460">
        <f t="shared" si="124"/>
        <v>882.28214329372543</v>
      </c>
      <c r="ES56" s="528">
        <f t="shared" si="125"/>
        <v>0.31683749999999999</v>
      </c>
      <c r="ET56" s="528"/>
      <c r="EV56" s="460">
        <f t="shared" si="126"/>
        <v>316.83749999999998</v>
      </c>
      <c r="EW56" s="528">
        <f t="shared" si="89"/>
        <v>1.3910096497559905E-2</v>
      </c>
      <c r="EX56" s="528">
        <f t="shared" si="90"/>
        <v>2.5918474931011518E-2</v>
      </c>
      <c r="EY56" s="528">
        <f t="shared" si="91"/>
        <v>0.64473838490585988</v>
      </c>
      <c r="EZ56" s="528">
        <f t="shared" si="92"/>
        <v>0.69634456622085839</v>
      </c>
      <c r="FA56" s="528">
        <f t="shared" si="93"/>
        <v>6.9699999999999996E-3</v>
      </c>
      <c r="FB56" s="460">
        <f t="shared" si="127"/>
        <v>703.31456622085841</v>
      </c>
      <c r="FC56" s="173">
        <f t="shared" si="128"/>
        <v>1.9024342095145839</v>
      </c>
      <c r="FD56" s="5">
        <f t="shared" si="129"/>
        <v>8.16</v>
      </c>
      <c r="FE56" s="173">
        <f t="shared" si="130"/>
        <v>0.81093697907453366</v>
      </c>
      <c r="FF56" s="5">
        <f t="shared" si="131"/>
        <v>81.093697907453361</v>
      </c>
      <c r="FI56" s="562">
        <f t="shared" si="94"/>
        <v>-50</v>
      </c>
      <c r="FJ56">
        <f t="shared" si="95"/>
        <v>-50</v>
      </c>
      <c r="FL56">
        <f t="shared" si="181"/>
        <v>0.51109638249074119</v>
      </c>
    </row>
    <row r="57" spans="5:168">
      <c r="E57" s="170">
        <v>52</v>
      </c>
      <c r="F57" s="217">
        <f t="shared" si="182"/>
        <v>0.52</v>
      </c>
      <c r="G57" s="217"/>
      <c r="H57" s="217">
        <f t="shared" si="132"/>
        <v>8.32</v>
      </c>
      <c r="I57" s="541">
        <f t="shared" si="133"/>
        <v>23.950238664847188</v>
      </c>
      <c r="J57" s="172">
        <f t="shared" si="134"/>
        <v>16.429856801091685</v>
      </c>
      <c r="K57" s="172">
        <f t="shared" si="135"/>
        <v>40.429856801091688</v>
      </c>
      <c r="L57" s="443"/>
      <c r="M57" s="217">
        <f t="shared" si="136"/>
        <v>0.40688553608693467</v>
      </c>
      <c r="N57" s="172">
        <f t="shared" si="137"/>
        <v>24.654864417347635</v>
      </c>
      <c r="O57" s="172">
        <f t="shared" si="98"/>
        <v>8.32</v>
      </c>
      <c r="P57" s="217">
        <f t="shared" si="138"/>
        <v>1.5409290260842272</v>
      </c>
      <c r="Q57" s="217">
        <f t="shared" si="139"/>
        <v>16</v>
      </c>
      <c r="R57" s="217">
        <f t="shared" si="140"/>
        <v>1.522657140399434</v>
      </c>
      <c r="S57" s="172">
        <f t="shared" si="141"/>
        <v>91.299612115930358</v>
      </c>
      <c r="T57" s="172">
        <f t="shared" si="142"/>
        <v>16</v>
      </c>
      <c r="U57" s="217">
        <f t="shared" si="143"/>
        <v>1.7534558053745866</v>
      </c>
      <c r="V57" s="217">
        <f t="shared" si="11"/>
        <v>0.87854947747884138</v>
      </c>
      <c r="W57" s="217">
        <f t="shared" si="144"/>
        <v>1.2806849091403483</v>
      </c>
      <c r="X57" s="197">
        <f t="shared" si="145"/>
        <v>350</v>
      </c>
      <c r="Y57" s="443">
        <f t="shared" si="14"/>
        <v>350</v>
      </c>
      <c r="AA57" s="217">
        <f t="shared" si="146"/>
        <v>2.3202083852906124</v>
      </c>
      <c r="AB57" s="173">
        <f t="shared" si="147"/>
        <v>1.6946283196842804</v>
      </c>
      <c r="AC57" s="173">
        <f t="shared" si="148"/>
        <v>0.68808089652442139</v>
      </c>
      <c r="AD57" s="173"/>
      <c r="AE57" s="173">
        <f t="shared" si="149"/>
        <v>0.73037763781377929</v>
      </c>
      <c r="AF57" s="545">
        <f t="shared" si="150"/>
        <v>1423.9209227612794</v>
      </c>
      <c r="AG57" s="528">
        <f t="shared" si="151"/>
        <v>0.12781608661741137</v>
      </c>
      <c r="AI57" s="173">
        <f t="shared" si="152"/>
        <v>2.0170140043152043</v>
      </c>
      <c r="AJ57" s="173">
        <f t="shared" si="153"/>
        <v>2.0170140043152043</v>
      </c>
      <c r="AK57" s="173">
        <f t="shared" si="154"/>
        <v>1.9533437069001514</v>
      </c>
      <c r="AM57" s="545">
        <f t="shared" si="155"/>
        <v>520</v>
      </c>
      <c r="AN57" s="460">
        <f t="shared" si="156"/>
        <v>350</v>
      </c>
      <c r="AP57">
        <f t="shared" si="157"/>
        <v>520</v>
      </c>
      <c r="AQ57" s="460">
        <f t="shared" si="158"/>
        <v>350</v>
      </c>
      <c r="AR57" s="460"/>
      <c r="AS57" s="5">
        <f t="shared" si="101"/>
        <v>2.8571428571428572</v>
      </c>
      <c r="AT57" s="5">
        <f t="shared" si="159"/>
        <v>1.0106023739674865</v>
      </c>
      <c r="AU57" s="5">
        <f t="shared" si="102"/>
        <v>1.8465404831753707</v>
      </c>
      <c r="AV57" s="5">
        <f t="shared" si="160"/>
        <v>1.4731819239090509</v>
      </c>
      <c r="AW57" s="173">
        <f t="shared" si="103"/>
        <v>0.35371083088862026</v>
      </c>
      <c r="AX57" s="173">
        <f t="shared" si="161"/>
        <v>8.5435255365676745</v>
      </c>
      <c r="AY57" s="173">
        <f t="shared" si="162"/>
        <v>0.65178715246744512</v>
      </c>
      <c r="AZ57" s="173">
        <f t="shared" si="104"/>
        <v>13.10784587303506</v>
      </c>
      <c r="BA57" s="460">
        <f t="shared" si="163"/>
        <v>3.2844577153943315</v>
      </c>
      <c r="BB57" s="5">
        <f t="shared" si="164"/>
        <v>0.53455336552200161</v>
      </c>
      <c r="BC57" s="5"/>
      <c r="BD57" s="173">
        <f t="shared" si="105"/>
        <v>0.69258401773948997</v>
      </c>
      <c r="BE57" s="173">
        <f t="shared" si="165"/>
        <v>0.93618510077141126</v>
      </c>
      <c r="BF57" s="173"/>
      <c r="BG57" s="528">
        <f t="shared" si="166"/>
        <v>9.5934524325634839E-3</v>
      </c>
      <c r="BH57" s="528">
        <f t="shared" si="167"/>
        <v>0.5208852142636623</v>
      </c>
      <c r="BI57" s="528">
        <f t="shared" si="168"/>
        <v>0.19279942125201985</v>
      </c>
      <c r="BJ57" s="528">
        <f t="shared" si="169"/>
        <v>0.28175957619992487</v>
      </c>
      <c r="BK57">
        <f t="shared" si="170"/>
        <v>1.0777607399181235E-2</v>
      </c>
      <c r="BL57" s="460">
        <f t="shared" si="106"/>
        <v>203.57702865120109</v>
      </c>
      <c r="BM57" s="528">
        <f t="shared" si="171"/>
        <v>0.81669004184443805</v>
      </c>
      <c r="BN57" s="460">
        <f t="shared" si="107"/>
        <v>816.69004184443804</v>
      </c>
      <c r="BO57" s="528">
        <f t="shared" si="172"/>
        <v>0.32304999999999995</v>
      </c>
      <c r="BP57" s="528"/>
      <c r="BR57" s="460">
        <f t="shared" si="109"/>
        <v>323.04999999999995</v>
      </c>
      <c r="BS57" s="528">
        <f t="shared" si="173"/>
        <v>1.4390178648845224E-2</v>
      </c>
      <c r="BT57" s="528">
        <f t="shared" si="174"/>
        <v>2.6293276287191324E-2</v>
      </c>
      <c r="BU57" s="528">
        <f t="shared" si="175"/>
        <v>0.12479999999999999</v>
      </c>
      <c r="BV57" s="528">
        <f t="shared" si="176"/>
        <v>0.17581972041447322</v>
      </c>
      <c r="BW57" s="528">
        <f t="shared" si="177"/>
        <v>7.1196046138063962E-3</v>
      </c>
      <c r="BX57" s="460">
        <f t="shared" si="110"/>
        <v>182.93932502827963</v>
      </c>
      <c r="BY57" s="173">
        <f t="shared" si="45"/>
        <v>1.5262563955239186</v>
      </c>
      <c r="BZ57" s="5">
        <f t="shared" si="111"/>
        <v>8.32</v>
      </c>
      <c r="CA57" s="173">
        <f t="shared" si="112"/>
        <v>0.84499119927267474</v>
      </c>
      <c r="CB57" s="5">
        <f t="shared" si="113"/>
        <v>84.499119927267472</v>
      </c>
      <c r="CE57" s="562">
        <f t="shared" si="178"/>
        <v>-50</v>
      </c>
      <c r="CF57">
        <f t="shared" si="179"/>
        <v>-50</v>
      </c>
      <c r="CG57" s="173">
        <f t="shared" si="180"/>
        <v>0.52249401910452531</v>
      </c>
      <c r="CI57" s="170">
        <v>52</v>
      </c>
      <c r="CJ57" s="217">
        <f t="shared" si="114"/>
        <v>0.52</v>
      </c>
      <c r="CK57" s="217"/>
      <c r="CL57" s="217">
        <f t="shared" si="49"/>
        <v>8.32</v>
      </c>
      <c r="CM57" s="541">
        <f t="shared" si="50"/>
        <v>24</v>
      </c>
      <c r="CN57" s="172">
        <f t="shared" si="51"/>
        <v>16.399999999999999</v>
      </c>
      <c r="CO57" s="443">
        <f t="shared" si="52"/>
        <v>40.4</v>
      </c>
      <c r="CP57" s="443"/>
      <c r="CQ57" s="217">
        <f t="shared" si="53"/>
        <v>0.40594059405940591</v>
      </c>
      <c r="CR57" s="172">
        <f t="shared" si="54"/>
        <v>24.648712871287128</v>
      </c>
      <c r="CS57" s="172">
        <f t="shared" si="115"/>
        <v>8.32</v>
      </c>
      <c r="CT57" s="217">
        <f t="shared" si="55"/>
        <v>1.5405445544554455</v>
      </c>
      <c r="CU57" s="217">
        <f t="shared" si="56"/>
        <v>16</v>
      </c>
      <c r="CV57" s="217">
        <f t="shared" si="57"/>
        <v>1.5222772277227721</v>
      </c>
      <c r="CW57" s="172">
        <f t="shared" si="58"/>
        <v>91.489089159334739</v>
      </c>
      <c r="CX57" s="172">
        <f t="shared" si="59"/>
        <v>16</v>
      </c>
      <c r="CY57" s="217">
        <f t="shared" si="60"/>
        <v>1.7079674796747968</v>
      </c>
      <c r="CZ57" s="217">
        <f t="shared" si="61"/>
        <v>0.8539837398373985</v>
      </c>
      <c r="DA57" s="217">
        <f t="shared" si="62"/>
        <v>1.2497323022010709</v>
      </c>
      <c r="DB57" s="197">
        <f t="shared" si="63"/>
        <v>350</v>
      </c>
      <c r="DC57" s="443">
        <f t="shared" si="116"/>
        <v>350</v>
      </c>
      <c r="DE57" s="217">
        <f t="shared" si="64"/>
        <v>2.3196605374823194</v>
      </c>
      <c r="DF57" s="173">
        <f t="shared" si="65"/>
        <v>1.6973125884016973</v>
      </c>
      <c r="DG57" s="173">
        <f t="shared" si="66"/>
        <v>0.68900808044029282</v>
      </c>
      <c r="DH57" s="173"/>
      <c r="DI57" s="173">
        <f t="shared" si="67"/>
        <v>0.73170731707317083</v>
      </c>
      <c r="DJ57" s="545">
        <f t="shared" si="117"/>
        <v>1421.3333333333333</v>
      </c>
      <c r="DK57" s="528">
        <f t="shared" si="68"/>
        <v>0.12804878048780488</v>
      </c>
      <c r="DM57" s="173">
        <f t="shared" si="69"/>
        <v>2.015180483468511</v>
      </c>
      <c r="DN57" s="173">
        <f t="shared" si="70"/>
        <v>2.015180483468511</v>
      </c>
      <c r="DO57" s="173">
        <f t="shared" si="71"/>
        <v>1.9519855433100082</v>
      </c>
      <c r="DQ57" s="545">
        <f t="shared" si="72"/>
        <v>520</v>
      </c>
      <c r="DR57" s="460">
        <f t="shared" si="73"/>
        <v>350</v>
      </c>
      <c r="DT57">
        <f t="shared" si="74"/>
        <v>520</v>
      </c>
      <c r="DU57" s="460">
        <f t="shared" si="75"/>
        <v>350</v>
      </c>
      <c r="DV57" s="460"/>
      <c r="DW57" s="5">
        <f t="shared" si="118"/>
        <v>2.8571428571428572</v>
      </c>
      <c r="DX57" s="5">
        <f t="shared" si="76"/>
        <v>1.0075902417342555</v>
      </c>
      <c r="DY57" s="5">
        <f t="shared" si="119"/>
        <v>1.8495526154086017</v>
      </c>
      <c r="DZ57" s="5">
        <f t="shared" si="77"/>
        <v>1.4745223049769594</v>
      </c>
      <c r="EA57" s="173">
        <f t="shared" si="120"/>
        <v>0.3526565846069894</v>
      </c>
      <c r="EB57" s="173">
        <f t="shared" si="78"/>
        <v>8.5280000000000022</v>
      </c>
      <c r="EC57" s="173">
        <f t="shared" si="79"/>
        <v>0.65225690840092221</v>
      </c>
      <c r="ED57" s="173">
        <f t="shared" si="121"/>
        <v>13.074602798623182</v>
      </c>
      <c r="EE57" s="460">
        <f t="shared" si="80"/>
        <v>3.2746682856363307</v>
      </c>
      <c r="EF57" s="5">
        <f t="shared" si="81"/>
        <v>0.53431520000692934</v>
      </c>
      <c r="EG57" s="5"/>
      <c r="EH57" s="173">
        <f t="shared" si="122"/>
        <v>0.69092247440608678</v>
      </c>
      <c r="EI57" s="173">
        <f t="shared" si="82"/>
        <v>0.93609664458930975</v>
      </c>
      <c r="EJ57" s="173"/>
      <c r="EK57" s="528">
        <f t="shared" si="83"/>
        <v>9.5474773127885923E-3</v>
      </c>
      <c r="EL57" s="528">
        <f t="shared" si="84"/>
        <v>0.5413983886886502</v>
      </c>
      <c r="EM57" s="528">
        <f t="shared" si="85"/>
        <v>4.0250000000000001E-2</v>
      </c>
      <c r="EN57" s="528">
        <f t="shared" si="86"/>
        <v>0.28134357999999998</v>
      </c>
      <c r="EO57">
        <f t="shared" si="87"/>
        <v>1.0800000000000001E-2</v>
      </c>
      <c r="EP57" s="460">
        <f t="shared" si="123"/>
        <v>51.05</v>
      </c>
      <c r="EQ57" s="528">
        <f t="shared" si="88"/>
        <v>0.8879315203123006</v>
      </c>
      <c r="ER57" s="460">
        <f t="shared" si="124"/>
        <v>887.93152031230056</v>
      </c>
      <c r="ES57" s="528">
        <f t="shared" si="125"/>
        <v>0.32304999999999995</v>
      </c>
      <c r="ET57" s="528"/>
      <c r="EV57" s="460">
        <f t="shared" si="126"/>
        <v>323.04999999999995</v>
      </c>
      <c r="EW57" s="528">
        <f t="shared" si="89"/>
        <v>1.4321215969182888E-2</v>
      </c>
      <c r="EX57" s="528">
        <f t="shared" si="90"/>
        <v>2.6288307840340933E-2</v>
      </c>
      <c r="EY57" s="528">
        <f t="shared" si="91"/>
        <v>0.66057933945263014</v>
      </c>
      <c r="EZ57" s="528">
        <f t="shared" si="92"/>
        <v>0.71325233599409976</v>
      </c>
      <c r="FA57" s="528">
        <f t="shared" si="93"/>
        <v>7.1066666666666682E-3</v>
      </c>
      <c r="FB57" s="460">
        <f t="shared" si="127"/>
        <v>720.35900266076646</v>
      </c>
      <c r="FC57" s="173">
        <f t="shared" si="128"/>
        <v>1.9313405229730671</v>
      </c>
      <c r="FD57" s="5">
        <f t="shared" si="129"/>
        <v>8.32</v>
      </c>
      <c r="FE57" s="173">
        <f t="shared" si="130"/>
        <v>0.81160117365675566</v>
      </c>
      <c r="FF57" s="5">
        <f t="shared" si="131"/>
        <v>81.160117365675561</v>
      </c>
      <c r="FI57" s="562">
        <f t="shared" si="94"/>
        <v>-50</v>
      </c>
      <c r="FJ57">
        <f t="shared" si="95"/>
        <v>-50</v>
      </c>
      <c r="FL57">
        <f t="shared" si="181"/>
        <v>0.51608280674193574</v>
      </c>
    </row>
    <row r="58" spans="5:168">
      <c r="E58" s="170">
        <v>53</v>
      </c>
      <c r="F58" s="217">
        <f t="shared" si="182"/>
        <v>0.53</v>
      </c>
      <c r="G58" s="217"/>
      <c r="H58" s="217">
        <f t="shared" si="132"/>
        <v>8.48</v>
      </c>
      <c r="I58" s="541">
        <f t="shared" si="133"/>
        <v>23.949762468971798</v>
      </c>
      <c r="J58" s="172">
        <f t="shared" si="134"/>
        <v>16.430142518616918</v>
      </c>
      <c r="K58" s="172">
        <f t="shared" si="135"/>
        <v>40.430142518616918</v>
      </c>
      <c r="L58" s="443"/>
      <c r="M58" s="217">
        <f t="shared" si="136"/>
        <v>0.40689458321661004</v>
      </c>
      <c r="N58" s="172">
        <f t="shared" si="137"/>
        <v>24.654922403411192</v>
      </c>
      <c r="O58" s="172">
        <f t="shared" si="98"/>
        <v>8.48</v>
      </c>
      <c r="P58" s="217">
        <f t="shared" si="138"/>
        <v>1.5409326502131995</v>
      </c>
      <c r="Q58" s="217">
        <f t="shared" si="139"/>
        <v>16</v>
      </c>
      <c r="R58" s="217">
        <f t="shared" si="140"/>
        <v>1.5226607215545451</v>
      </c>
      <c r="S58" s="172">
        <f t="shared" si="141"/>
        <v>89.127819998261899</v>
      </c>
      <c r="T58" s="172">
        <f t="shared" si="142"/>
        <v>16</v>
      </c>
      <c r="U58" s="217">
        <f t="shared" si="143"/>
        <v>1.7872033706060826</v>
      </c>
      <c r="V58" s="217">
        <f t="shared" si="11"/>
        <v>0.89547612319988579</v>
      </c>
      <c r="W58" s="217">
        <f t="shared" si="144"/>
        <v>1.3053106765794715</v>
      </c>
      <c r="X58" s="197">
        <f t="shared" si="145"/>
        <v>350</v>
      </c>
      <c r="Y58" s="443">
        <f t="shared" si="14"/>
        <v>350</v>
      </c>
      <c r="AA58" s="217">
        <f t="shared" si="146"/>
        <v>2.3202135459467246</v>
      </c>
      <c r="AB58" s="173">
        <f t="shared" si="147"/>
        <v>1.6946026195337267</v>
      </c>
      <c r="AC58" s="173">
        <f t="shared" si="148"/>
        <v>0.68807199174681744</v>
      </c>
      <c r="AD58" s="173"/>
      <c r="AE58" s="173">
        <f t="shared" si="149"/>
        <v>0.73036493666460012</v>
      </c>
      <c r="AF58" s="545">
        <f t="shared" si="150"/>
        <v>1451.3292558111611</v>
      </c>
      <c r="AG58" s="528">
        <f t="shared" si="151"/>
        <v>0.12781386391630503</v>
      </c>
      <c r="AI58" s="173">
        <f t="shared" si="152"/>
        <v>2.0363337193601931</v>
      </c>
      <c r="AJ58" s="173">
        <f t="shared" si="153"/>
        <v>2.0363337193601931</v>
      </c>
      <c r="AK58" s="173">
        <f t="shared" si="154"/>
        <v>1.9676546069334764</v>
      </c>
      <c r="AM58" s="545">
        <f t="shared" si="155"/>
        <v>530</v>
      </c>
      <c r="AN58" s="460">
        <f t="shared" si="156"/>
        <v>350</v>
      </c>
      <c r="AP58">
        <f t="shared" si="157"/>
        <v>530</v>
      </c>
      <c r="AQ58" s="460">
        <f t="shared" si="158"/>
        <v>350</v>
      </c>
      <c r="AR58" s="460"/>
      <c r="AS58" s="5">
        <f t="shared" si="101"/>
        <v>2.8571428571428572</v>
      </c>
      <c r="AT58" s="5">
        <f t="shared" si="159"/>
        <v>1.0203025881354972</v>
      </c>
      <c r="AU58" s="5">
        <f t="shared" si="102"/>
        <v>1.83684026900736</v>
      </c>
      <c r="AV58" s="5">
        <f t="shared" si="160"/>
        <v>1.4872667479684971</v>
      </c>
      <c r="AW58" s="173">
        <f t="shared" si="103"/>
        <v>0.35710590584742402</v>
      </c>
      <c r="AX58" s="173">
        <f t="shared" si="161"/>
        <v>8.7079755348669678</v>
      </c>
      <c r="AY58" s="173">
        <f t="shared" si="162"/>
        <v>0.65457346095020863</v>
      </c>
      <c r="AZ58" s="173">
        <f t="shared" si="104"/>
        <v>13.303282296575352</v>
      </c>
      <c r="BA58" s="460">
        <f t="shared" si="163"/>
        <v>3.3797523231988347</v>
      </c>
      <c r="BB58" s="5">
        <f t="shared" si="164"/>
        <v>0.54198190557430659</v>
      </c>
      <c r="BC58" s="5"/>
      <c r="BD58" s="173">
        <f t="shared" si="105"/>
        <v>0.7025655357191225</v>
      </c>
      <c r="BE58" s="173">
        <f t="shared" si="165"/>
        <v>0.94266643458196553</v>
      </c>
      <c r="BF58" s="173"/>
      <c r="BG58" s="528">
        <f t="shared" si="166"/>
        <v>9.8719666396059527E-3</v>
      </c>
      <c r="BH58" s="528">
        <f t="shared" si="167"/>
        <v>0.52587816414975141</v>
      </c>
      <c r="BI58" s="528">
        <f t="shared" si="168"/>
        <v>0.19279558787522297</v>
      </c>
      <c r="BJ58" s="528">
        <f t="shared" si="169"/>
        <v>0.28176355860004454</v>
      </c>
      <c r="BK58">
        <f t="shared" si="170"/>
        <v>1.0777393111037309E-2</v>
      </c>
      <c r="BL58" s="460">
        <f t="shared" si="106"/>
        <v>203.57298098626029</v>
      </c>
      <c r="BM58" s="528">
        <f t="shared" si="171"/>
        <v>0.82210743855060786</v>
      </c>
      <c r="BN58" s="460">
        <f t="shared" si="107"/>
        <v>822.10743855060787</v>
      </c>
      <c r="BO58" s="528">
        <f t="shared" si="172"/>
        <v>0.32926249999999996</v>
      </c>
      <c r="BP58" s="528"/>
      <c r="BR58" s="460">
        <f t="shared" si="109"/>
        <v>329.26249999999993</v>
      </c>
      <c r="BS58" s="528">
        <f t="shared" si="173"/>
        <v>1.4807949959408928E-2</v>
      </c>
      <c r="BT58" s="528">
        <f t="shared" si="174"/>
        <v>2.6658600206624253E-2</v>
      </c>
      <c r="BU58" s="528">
        <f t="shared" si="175"/>
        <v>0.12720000000000001</v>
      </c>
      <c r="BV58" s="528">
        <f t="shared" si="176"/>
        <v>0.17921302989343979</v>
      </c>
      <c r="BW58" s="528">
        <f t="shared" si="177"/>
        <v>7.2566462790558065E-3</v>
      </c>
      <c r="BX58" s="460">
        <f t="shared" si="110"/>
        <v>186.46967617249561</v>
      </c>
      <c r="BY58" s="173">
        <f t="shared" si="45"/>
        <v>1.5414125957093636</v>
      </c>
      <c r="BZ58" s="5">
        <f t="shared" si="111"/>
        <v>8.48</v>
      </c>
      <c r="CA58" s="173">
        <f t="shared" si="112"/>
        <v>0.84618809164994213</v>
      </c>
      <c r="CB58" s="5">
        <f t="shared" si="113"/>
        <v>84.618809164994218</v>
      </c>
      <c r="CE58" s="562">
        <f t="shared" si="178"/>
        <v>-50</v>
      </c>
      <c r="CF58">
        <f t="shared" si="179"/>
        <v>-50</v>
      </c>
      <c r="CG58" s="173">
        <f t="shared" si="180"/>
        <v>0.5274940757961174</v>
      </c>
      <c r="CI58" s="170">
        <v>53</v>
      </c>
      <c r="CJ58" s="217">
        <f t="shared" si="114"/>
        <v>0.53</v>
      </c>
      <c r="CK58" s="217"/>
      <c r="CL58" s="217">
        <f t="shared" si="49"/>
        <v>8.48</v>
      </c>
      <c r="CM58" s="541">
        <f t="shared" si="50"/>
        <v>24</v>
      </c>
      <c r="CN58" s="172">
        <f t="shared" si="51"/>
        <v>16.399999999999999</v>
      </c>
      <c r="CO58" s="443">
        <f t="shared" si="52"/>
        <v>40.4</v>
      </c>
      <c r="CP58" s="443"/>
      <c r="CQ58" s="217">
        <f t="shared" si="53"/>
        <v>0.40594059405940591</v>
      </c>
      <c r="CR58" s="172">
        <f t="shared" si="54"/>
        <v>24.648712871287128</v>
      </c>
      <c r="CS58" s="172">
        <f t="shared" si="115"/>
        <v>8.48</v>
      </c>
      <c r="CT58" s="217">
        <f t="shared" si="55"/>
        <v>1.5405445544554455</v>
      </c>
      <c r="CU58" s="217">
        <f t="shared" si="56"/>
        <v>16</v>
      </c>
      <c r="CV58" s="217">
        <f t="shared" si="57"/>
        <v>1.5222772277227721</v>
      </c>
      <c r="CW58" s="172">
        <f t="shared" si="58"/>
        <v>89.3145532201724</v>
      </c>
      <c r="CX58" s="172">
        <f t="shared" si="59"/>
        <v>16</v>
      </c>
      <c r="CY58" s="217">
        <f t="shared" si="60"/>
        <v>1.7408130081300814</v>
      </c>
      <c r="CZ58" s="217">
        <f t="shared" si="61"/>
        <v>0.87040650406504072</v>
      </c>
      <c r="DA58" s="217">
        <f t="shared" si="62"/>
        <v>1.2737656157049377</v>
      </c>
      <c r="DB58" s="197">
        <f t="shared" si="63"/>
        <v>350</v>
      </c>
      <c r="DC58" s="443">
        <f t="shared" si="116"/>
        <v>350</v>
      </c>
      <c r="DE58" s="217">
        <f t="shared" si="64"/>
        <v>2.3196605374823194</v>
      </c>
      <c r="DF58" s="173">
        <f t="shared" si="65"/>
        <v>1.6973125884016973</v>
      </c>
      <c r="DG58" s="173">
        <f t="shared" si="66"/>
        <v>0.68900808044029282</v>
      </c>
      <c r="DH58" s="173"/>
      <c r="DI58" s="173">
        <f t="shared" si="67"/>
        <v>0.73170731707317083</v>
      </c>
      <c r="DJ58" s="545">
        <f t="shared" si="117"/>
        <v>1448.6666666666665</v>
      </c>
      <c r="DK58" s="528">
        <f t="shared" si="68"/>
        <v>0.12804878048780488</v>
      </c>
      <c r="DM58" s="173">
        <f t="shared" si="69"/>
        <v>2.0344649466254312</v>
      </c>
      <c r="DN58" s="173">
        <f t="shared" si="70"/>
        <v>2.0344649466254312</v>
      </c>
      <c r="DO58" s="173">
        <f t="shared" si="71"/>
        <v>1.9662703308336527</v>
      </c>
      <c r="DQ58" s="545">
        <f t="shared" si="72"/>
        <v>530</v>
      </c>
      <c r="DR58" s="460">
        <f t="shared" si="73"/>
        <v>350</v>
      </c>
      <c r="DT58">
        <f t="shared" si="74"/>
        <v>530</v>
      </c>
      <c r="DU58" s="460">
        <f t="shared" si="75"/>
        <v>350</v>
      </c>
      <c r="DV58" s="460"/>
      <c r="DW58" s="5">
        <f t="shared" si="118"/>
        <v>2.8571428571428572</v>
      </c>
      <c r="DX58" s="5">
        <f t="shared" si="76"/>
        <v>1.0172324733127156</v>
      </c>
      <c r="DY58" s="5">
        <f t="shared" si="119"/>
        <v>1.8399103838301416</v>
      </c>
      <c r="DZ58" s="5">
        <f t="shared" si="77"/>
        <v>1.4886328877747061</v>
      </c>
      <c r="EA58" s="173">
        <f t="shared" si="120"/>
        <v>0.35603136565945043</v>
      </c>
      <c r="EB58" s="173">
        <f t="shared" si="78"/>
        <v>8.6919999999999984</v>
      </c>
      <c r="EC58" s="173">
        <f t="shared" si="79"/>
        <v>0.65506580664604896</v>
      </c>
      <c r="ED58" s="173">
        <f t="shared" si="121"/>
        <v>13.268895906051371</v>
      </c>
      <c r="EE58" s="460">
        <f t="shared" si="80"/>
        <v>3.3695825678483708</v>
      </c>
      <c r="EF58" s="5">
        <f t="shared" si="81"/>
        <v>0.54175139079443047</v>
      </c>
      <c r="EG58" s="5"/>
      <c r="EH58" s="173">
        <f t="shared" si="122"/>
        <v>0.70086393742271647</v>
      </c>
      <c r="EI58" s="173">
        <f t="shared" si="82"/>
        <v>0.94258807593925464</v>
      </c>
      <c r="EJ58" s="173"/>
      <c r="EK58" s="528">
        <f t="shared" si="83"/>
        <v>9.8242051755934694E-3</v>
      </c>
      <c r="EL58" s="528">
        <f t="shared" si="84"/>
        <v>0.54657935256038837</v>
      </c>
      <c r="EM58" s="528">
        <f t="shared" si="85"/>
        <v>4.0250000000000001E-2</v>
      </c>
      <c r="EN58" s="528">
        <f t="shared" si="86"/>
        <v>0.28134357999999998</v>
      </c>
      <c r="EO58">
        <f t="shared" si="87"/>
        <v>1.0800000000000001E-2</v>
      </c>
      <c r="EP58" s="460">
        <f t="shared" si="123"/>
        <v>51.05</v>
      </c>
      <c r="EQ58" s="528">
        <f t="shared" si="88"/>
        <v>0.89353539127708925</v>
      </c>
      <c r="ER58" s="460">
        <f t="shared" si="124"/>
        <v>893.53539127708927</v>
      </c>
      <c r="ES58" s="528">
        <f t="shared" si="125"/>
        <v>0.32926249999999996</v>
      </c>
      <c r="ET58" s="528"/>
      <c r="EV58" s="460">
        <f t="shared" si="126"/>
        <v>329.26249999999993</v>
      </c>
      <c r="EW58" s="528">
        <f t="shared" si="89"/>
        <v>1.4736307763390202E-2</v>
      </c>
      <c r="EX58" s="528">
        <f t="shared" si="90"/>
        <v>2.6654168427085984E-2</v>
      </c>
      <c r="EY58" s="528">
        <f t="shared" si="91"/>
        <v>0.67649663992936993</v>
      </c>
      <c r="EZ58" s="528">
        <f t="shared" si="92"/>
        <v>0.73023882502159387</v>
      </c>
      <c r="FA58" s="528">
        <f t="shared" si="93"/>
        <v>7.2433333333333325E-3</v>
      </c>
      <c r="FB58" s="460">
        <f t="shared" si="127"/>
        <v>737.48215835492726</v>
      </c>
      <c r="FC58" s="173">
        <f t="shared" si="128"/>
        <v>1.9602800496320163</v>
      </c>
      <c r="FD58" s="5">
        <f t="shared" si="129"/>
        <v>8.48</v>
      </c>
      <c r="FE58" s="173">
        <f t="shared" si="130"/>
        <v>0.81223874835607401</v>
      </c>
      <c r="FF58" s="5">
        <f t="shared" si="131"/>
        <v>81.223874835607404</v>
      </c>
      <c r="FI58" s="562">
        <f t="shared" si="94"/>
        <v>-50</v>
      </c>
      <c r="FJ58">
        <f t="shared" si="95"/>
        <v>-50</v>
      </c>
      <c r="FL58">
        <f t="shared" si="181"/>
        <v>0.52102151072114711</v>
      </c>
    </row>
    <row r="59" spans="5:168">
      <c r="E59" s="170">
        <v>54</v>
      </c>
      <c r="F59" s="217">
        <f t="shared" si="182"/>
        <v>0.54</v>
      </c>
      <c r="G59" s="217"/>
      <c r="H59" s="217">
        <f t="shared" si="132"/>
        <v>8.64</v>
      </c>
      <c r="I59" s="541">
        <f t="shared" si="133"/>
        <v>23.94929074471629</v>
      </c>
      <c r="J59" s="172">
        <f t="shared" si="134"/>
        <v>16.430425553170224</v>
      </c>
      <c r="K59" s="172">
        <f t="shared" si="135"/>
        <v>40.430425553170224</v>
      </c>
      <c r="L59" s="443"/>
      <c r="M59" s="217">
        <f t="shared" si="136"/>
        <v>0.40690354547365265</v>
      </c>
      <c r="N59" s="172">
        <f t="shared" si="137"/>
        <v>24.654979828479117</v>
      </c>
      <c r="O59" s="172">
        <f t="shared" si="98"/>
        <v>8.64</v>
      </c>
      <c r="P59" s="217">
        <f t="shared" si="138"/>
        <v>1.5409362392799448</v>
      </c>
      <c r="Q59" s="217">
        <f t="shared" si="139"/>
        <v>16</v>
      </c>
      <c r="R59" s="217">
        <f t="shared" si="140"/>
        <v>1.5226642680631866</v>
      </c>
      <c r="S59" s="172">
        <f t="shared" si="141"/>
        <v>87.036617131537696</v>
      </c>
      <c r="T59" s="172">
        <f t="shared" si="142"/>
        <v>16</v>
      </c>
      <c r="U59" s="217">
        <f t="shared" si="143"/>
        <v>1.8209517048327299</v>
      </c>
      <c r="V59" s="217">
        <f t="shared" si="11"/>
        <v>0.91240365699821979</v>
      </c>
      <c r="W59" s="217">
        <f t="shared" si="144"/>
        <v>1.3299363663637163</v>
      </c>
      <c r="X59" s="197">
        <f t="shared" si="145"/>
        <v>350</v>
      </c>
      <c r="Y59" s="443">
        <f t="shared" si="14"/>
        <v>350</v>
      </c>
      <c r="AA59" s="217">
        <f t="shared" si="146"/>
        <v>2.3202186566087848</v>
      </c>
      <c r="AB59" s="173">
        <f t="shared" si="147"/>
        <v>1.6945771604761162</v>
      </c>
      <c r="AC59" s="173">
        <f t="shared" si="148"/>
        <v>0.68806316998996908</v>
      </c>
      <c r="AD59" s="173"/>
      <c r="AE59" s="173">
        <f t="shared" si="149"/>
        <v>0.73035235521849406</v>
      </c>
      <c r="AF59" s="545">
        <f t="shared" si="150"/>
        <v>1478.7382997853201</v>
      </c>
      <c r="AG59" s="528">
        <f t="shared" si="151"/>
        <v>0.12781166216323647</v>
      </c>
      <c r="AI59" s="173">
        <f t="shared" si="152"/>
        <v>2.0554723473730316</v>
      </c>
      <c r="AJ59" s="173">
        <f t="shared" si="153"/>
        <v>2.0554723473730316</v>
      </c>
      <c r="AK59" s="173">
        <f t="shared" si="154"/>
        <v>1.9818313684244679</v>
      </c>
      <c r="AM59" s="545">
        <f t="shared" si="155"/>
        <v>540</v>
      </c>
      <c r="AN59" s="460">
        <f t="shared" si="156"/>
        <v>350</v>
      </c>
      <c r="AP59">
        <f t="shared" si="157"/>
        <v>540</v>
      </c>
      <c r="AQ59" s="460">
        <f t="shared" si="158"/>
        <v>350</v>
      </c>
      <c r="AR59" s="460"/>
      <c r="AS59" s="5">
        <f t="shared" si="101"/>
        <v>2.8571428571428572</v>
      </c>
      <c r="AT59" s="5">
        <f t="shared" si="159"/>
        <v>1.0299122605089313</v>
      </c>
      <c r="AU59" s="5">
        <f t="shared" si="102"/>
        <v>1.827230596633926</v>
      </c>
      <c r="AV59" s="5">
        <f t="shared" si="160"/>
        <v>1.50121906999038</v>
      </c>
      <c r="AW59" s="173">
        <f t="shared" si="103"/>
        <v>0.36046929117812593</v>
      </c>
      <c r="AX59" s="173">
        <f t="shared" si="161"/>
        <v>8.8724297987119218</v>
      </c>
      <c r="AY59" s="173">
        <f t="shared" si="162"/>
        <v>0.65726884363961813</v>
      </c>
      <c r="AZ59" s="173">
        <f t="shared" si="104"/>
        <v>13.498935609941514</v>
      </c>
      <c r="BA59" s="460">
        <f t="shared" si="163"/>
        <v>3.4759538792176436</v>
      </c>
      <c r="BB59" s="5">
        <f t="shared" si="164"/>
        <v>0.54932985014041669</v>
      </c>
      <c r="BC59" s="5"/>
      <c r="BD59" s="173">
        <f t="shared" si="105"/>
        <v>0.71250045731752176</v>
      </c>
      <c r="BE59" s="173">
        <f t="shared" si="165"/>
        <v>0.94903387115216065</v>
      </c>
      <c r="BF59" s="173"/>
      <c r="BG59" s="528">
        <f t="shared" si="166"/>
        <v>1.0153138033553553E-2</v>
      </c>
      <c r="BH59" s="528">
        <f t="shared" si="167"/>
        <v>0.53082438371775531</v>
      </c>
      <c r="BI59" s="528">
        <f t="shared" si="168"/>
        <v>0.19279179049496614</v>
      </c>
      <c r="BJ59" s="528">
        <f t="shared" si="169"/>
        <v>0.28176750363199954</v>
      </c>
      <c r="BK59">
        <f t="shared" si="170"/>
        <v>1.077718083512233E-2</v>
      </c>
      <c r="BL59" s="460">
        <f t="shared" si="106"/>
        <v>203.56897133008846</v>
      </c>
      <c r="BM59" s="528">
        <f t="shared" si="171"/>
        <v>0.82748257970923855</v>
      </c>
      <c r="BN59" s="460">
        <f t="shared" si="107"/>
        <v>827.48257970923851</v>
      </c>
      <c r="BO59" s="528">
        <f t="shared" si="172"/>
        <v>0.33547499999999997</v>
      </c>
      <c r="BP59" s="528"/>
      <c r="BR59" s="460">
        <f t="shared" si="109"/>
        <v>335.47499999999997</v>
      </c>
      <c r="BS59" s="528">
        <f t="shared" si="173"/>
        <v>1.5229707050330329E-2</v>
      </c>
      <c r="BT59" s="528">
        <f t="shared" si="174"/>
        <v>2.7019958657821672E-2</v>
      </c>
      <c r="BU59" s="528">
        <f t="shared" si="175"/>
        <v>0.12959999999999999</v>
      </c>
      <c r="BV59" s="528">
        <f t="shared" si="176"/>
        <v>0.18260679155003065</v>
      </c>
      <c r="BW59" s="528">
        <f t="shared" si="177"/>
        <v>7.3936914989266023E-3</v>
      </c>
      <c r="BX59" s="460">
        <f t="shared" si="110"/>
        <v>190.00048304895725</v>
      </c>
      <c r="BY59" s="173">
        <f t="shared" si="45"/>
        <v>1.556527034088284</v>
      </c>
      <c r="BZ59" s="5">
        <f t="shared" si="111"/>
        <v>8.64</v>
      </c>
      <c r="CA59" s="173">
        <f t="shared" si="112"/>
        <v>0.84734733415754049</v>
      </c>
      <c r="CB59" s="5">
        <f t="shared" si="113"/>
        <v>84.73473341575405</v>
      </c>
      <c r="CE59" s="562">
        <f t="shared" si="178"/>
        <v>-50</v>
      </c>
      <c r="CF59">
        <f t="shared" si="179"/>
        <v>-50</v>
      </c>
      <c r="CG59" s="173">
        <f t="shared" si="180"/>
        <v>0.53244718047896544</v>
      </c>
      <c r="CI59" s="170">
        <v>54</v>
      </c>
      <c r="CJ59" s="217">
        <f t="shared" si="114"/>
        <v>0.54</v>
      </c>
      <c r="CK59" s="217"/>
      <c r="CL59" s="217">
        <f t="shared" si="49"/>
        <v>8.64</v>
      </c>
      <c r="CM59" s="541">
        <f t="shared" si="50"/>
        <v>24</v>
      </c>
      <c r="CN59" s="172">
        <f t="shared" si="51"/>
        <v>16.399999999999999</v>
      </c>
      <c r="CO59" s="443">
        <f t="shared" si="52"/>
        <v>40.4</v>
      </c>
      <c r="CP59" s="443"/>
      <c r="CQ59" s="217">
        <f t="shared" si="53"/>
        <v>0.40594059405940591</v>
      </c>
      <c r="CR59" s="172">
        <f t="shared" si="54"/>
        <v>24.648712871287128</v>
      </c>
      <c r="CS59" s="172">
        <f t="shared" si="115"/>
        <v>8.64</v>
      </c>
      <c r="CT59" s="217">
        <f t="shared" si="55"/>
        <v>1.5405445544554455</v>
      </c>
      <c r="CU59" s="217">
        <f t="shared" si="56"/>
        <v>16</v>
      </c>
      <c r="CV59" s="217">
        <f t="shared" si="57"/>
        <v>1.5222772277227721</v>
      </c>
      <c r="CW59" s="172">
        <f t="shared" si="58"/>
        <v>87.220674294427184</v>
      </c>
      <c r="CX59" s="172">
        <f t="shared" si="59"/>
        <v>16</v>
      </c>
      <c r="CY59" s="217">
        <f t="shared" si="60"/>
        <v>1.7736585365853661</v>
      </c>
      <c r="CZ59" s="217">
        <f t="shared" si="61"/>
        <v>0.88682926829268305</v>
      </c>
      <c r="DA59" s="217">
        <f t="shared" si="62"/>
        <v>1.2977989292088046</v>
      </c>
      <c r="DB59" s="197">
        <f t="shared" si="63"/>
        <v>350</v>
      </c>
      <c r="DC59" s="443">
        <f t="shared" si="116"/>
        <v>350</v>
      </c>
      <c r="DE59" s="217">
        <f t="shared" si="64"/>
        <v>2.3196605374823194</v>
      </c>
      <c r="DF59" s="173">
        <f t="shared" si="65"/>
        <v>1.6973125884016973</v>
      </c>
      <c r="DG59" s="173">
        <f t="shared" si="66"/>
        <v>0.68900808044029282</v>
      </c>
      <c r="DH59" s="173"/>
      <c r="DI59" s="173">
        <f t="shared" si="67"/>
        <v>0.73170731707317083</v>
      </c>
      <c r="DJ59" s="545">
        <f t="shared" si="117"/>
        <v>1476</v>
      </c>
      <c r="DK59" s="528">
        <f t="shared" si="68"/>
        <v>0.12804878048780488</v>
      </c>
      <c r="DM59" s="173">
        <f t="shared" si="69"/>
        <v>2.053568322979018</v>
      </c>
      <c r="DN59" s="173">
        <f t="shared" si="70"/>
        <v>2.053568322979018</v>
      </c>
      <c r="DO59" s="173">
        <f t="shared" si="71"/>
        <v>1.9804209799844577</v>
      </c>
      <c r="DQ59" s="545">
        <f t="shared" si="72"/>
        <v>540</v>
      </c>
      <c r="DR59" s="460">
        <f t="shared" si="73"/>
        <v>350</v>
      </c>
      <c r="DT59">
        <f t="shared" si="74"/>
        <v>540</v>
      </c>
      <c r="DU59" s="460">
        <f t="shared" si="75"/>
        <v>350</v>
      </c>
      <c r="DV59" s="460"/>
      <c r="DW59" s="5">
        <f t="shared" si="118"/>
        <v>2.8571428571428572</v>
      </c>
      <c r="DX59" s="5">
        <f t="shared" si="76"/>
        <v>1.026784161489509</v>
      </c>
      <c r="DY59" s="5">
        <f t="shared" si="119"/>
        <v>1.8303586956533482</v>
      </c>
      <c r="DZ59" s="5">
        <f t="shared" si="77"/>
        <v>1.5026109680334279</v>
      </c>
      <c r="EA59" s="173">
        <f t="shared" si="120"/>
        <v>0.35937445652132816</v>
      </c>
      <c r="EB59" s="173">
        <f t="shared" si="78"/>
        <v>8.8559999999999981</v>
      </c>
      <c r="EC59" s="173">
        <f t="shared" si="79"/>
        <v>0.65778416148950902</v>
      </c>
      <c r="ED59" s="173">
        <f t="shared" si="121"/>
        <v>13.463382851825084</v>
      </c>
      <c r="EE59" s="460">
        <f t="shared" si="80"/>
        <v>3.4653965450270934</v>
      </c>
      <c r="EF59" s="5">
        <f t="shared" si="81"/>
        <v>0.54910760869600439</v>
      </c>
      <c r="EG59" s="5"/>
      <c r="EH59" s="173">
        <f t="shared" si="122"/>
        <v>0.71075861405461593</v>
      </c>
      <c r="EI59" s="173">
        <f t="shared" si="82"/>
        <v>0.94896600479756232</v>
      </c>
      <c r="EJ59" s="173"/>
      <c r="EK59" s="528">
        <f t="shared" si="83"/>
        <v>1.010355614905677E-2</v>
      </c>
      <c r="EL59" s="528">
        <f t="shared" si="84"/>
        <v>0.55171166565154295</v>
      </c>
      <c r="EM59" s="528">
        <f t="shared" si="85"/>
        <v>4.0250000000000001E-2</v>
      </c>
      <c r="EN59" s="528">
        <f t="shared" si="86"/>
        <v>0.28134357999999998</v>
      </c>
      <c r="EO59">
        <f t="shared" si="87"/>
        <v>1.0800000000000001E-2</v>
      </c>
      <c r="EP59" s="460">
        <f t="shared" si="123"/>
        <v>51.05</v>
      </c>
      <c r="EQ59" s="528">
        <f t="shared" si="88"/>
        <v>0.89909513418240672</v>
      </c>
      <c r="ER59" s="460">
        <f t="shared" si="124"/>
        <v>899.0951341824067</v>
      </c>
      <c r="ES59" s="528">
        <f t="shared" si="125"/>
        <v>0.33547499999999997</v>
      </c>
      <c r="ET59" s="528"/>
      <c r="EV59" s="460">
        <f t="shared" si="126"/>
        <v>335.47499999999997</v>
      </c>
      <c r="EW59" s="528">
        <f t="shared" si="89"/>
        <v>1.5155334223585153E-2</v>
      </c>
      <c r="EX59" s="528">
        <f t="shared" si="90"/>
        <v>2.7016094347843411E-2</v>
      </c>
      <c r="EY59" s="528">
        <f t="shared" si="91"/>
        <v>0.69248920328704311</v>
      </c>
      <c r="EZ59" s="528">
        <f t="shared" si="92"/>
        <v>0.74730296139222008</v>
      </c>
      <c r="FA59" s="528">
        <f t="shared" si="93"/>
        <v>7.3799999999999977E-3</v>
      </c>
      <c r="FB59" s="460">
        <f t="shared" si="127"/>
        <v>754.68296139222014</v>
      </c>
      <c r="FC59" s="173">
        <f t="shared" si="128"/>
        <v>1.9892530955746266</v>
      </c>
      <c r="FD59" s="5">
        <f t="shared" si="129"/>
        <v>8.64</v>
      </c>
      <c r="FE59" s="173">
        <f t="shared" si="130"/>
        <v>0.81285109332820094</v>
      </c>
      <c r="FF59" s="5">
        <f t="shared" si="131"/>
        <v>81.285109332820099</v>
      </c>
      <c r="FI59" s="562">
        <f t="shared" si="94"/>
        <v>-50</v>
      </c>
      <c r="FJ59">
        <f t="shared" si="95"/>
        <v>-50</v>
      </c>
      <c r="FL59">
        <f t="shared" si="181"/>
        <v>0.52591383881169984</v>
      </c>
    </row>
    <row r="60" spans="5:168">
      <c r="E60" s="170">
        <v>55</v>
      </c>
      <c r="F60" s="217">
        <f t="shared" si="182"/>
        <v>0.55000000000000004</v>
      </c>
      <c r="G60" s="217"/>
      <c r="H60" s="217">
        <f t="shared" si="132"/>
        <v>8.8000000000000007</v>
      </c>
      <c r="I60" s="541">
        <f t="shared" si="133"/>
        <v>23.948823368428084</v>
      </c>
      <c r="J60" s="172">
        <f t="shared" si="134"/>
        <v>16.430705978943148</v>
      </c>
      <c r="K60" s="172">
        <f t="shared" si="135"/>
        <v>40.430705978943152</v>
      </c>
      <c r="L60" s="443"/>
      <c r="M60" s="217">
        <f t="shared" si="136"/>
        <v>0.40691242520502524</v>
      </c>
      <c r="N60" s="172">
        <f t="shared" si="137"/>
        <v>24.655036708064248</v>
      </c>
      <c r="O60" s="172">
        <f t="shared" si="98"/>
        <v>8.8000000000000007</v>
      </c>
      <c r="P60" s="217">
        <f t="shared" si="138"/>
        <v>1.5409397942540155</v>
      </c>
      <c r="Q60" s="217">
        <f t="shared" si="139"/>
        <v>16</v>
      </c>
      <c r="R60" s="217">
        <f t="shared" si="140"/>
        <v>1.5226677808834146</v>
      </c>
      <c r="S60" s="172">
        <f t="shared" si="141"/>
        <v>85.021608768844601</v>
      </c>
      <c r="T60" s="172">
        <f t="shared" si="142"/>
        <v>16</v>
      </c>
      <c r="U60" s="217">
        <f t="shared" si="143"/>
        <v>1.8547008009403343</v>
      </c>
      <c r="V60" s="217">
        <f t="shared" si="11"/>
        <v>0.92933207067804446</v>
      </c>
      <c r="W60" s="217">
        <f t="shared" si="144"/>
        <v>1.3545619792482941</v>
      </c>
      <c r="X60" s="197">
        <f t="shared" si="145"/>
        <v>350</v>
      </c>
      <c r="Y60" s="443">
        <f t="shared" si="14"/>
        <v>350</v>
      </c>
      <c r="AA60" s="217">
        <f t="shared" si="146"/>
        <v>2.3202237186592445</v>
      </c>
      <c r="AB60" s="173">
        <f t="shared" si="147"/>
        <v>1.694551935844562</v>
      </c>
      <c r="AC60" s="173">
        <f t="shared" si="148"/>
        <v>0.68805442895813584</v>
      </c>
      <c r="AD60" s="173"/>
      <c r="AE60" s="173">
        <f t="shared" si="149"/>
        <v>0.73033989016531964</v>
      </c>
      <c r="AF60" s="545">
        <f t="shared" si="150"/>
        <v>1506.1480480697887</v>
      </c>
      <c r="AG60" s="528">
        <f t="shared" si="151"/>
        <v>0.12780948077893092</v>
      </c>
      <c r="AI60" s="173">
        <f t="shared" si="152"/>
        <v>2.0744348959035213</v>
      </c>
      <c r="AJ60" s="173">
        <f t="shared" si="153"/>
        <v>2.0744348959035213</v>
      </c>
      <c r="AK60" s="173">
        <f t="shared" si="154"/>
        <v>1.9958777006692749</v>
      </c>
      <c r="AM60" s="545">
        <f t="shared" si="155"/>
        <v>550</v>
      </c>
      <c r="AN60" s="460">
        <f t="shared" si="156"/>
        <v>350</v>
      </c>
      <c r="AP60">
        <f t="shared" si="157"/>
        <v>550</v>
      </c>
      <c r="AQ60">
        <f t="shared" si="158"/>
        <v>350</v>
      </c>
      <c r="AS60" s="5">
        <f t="shared" si="101"/>
        <v>2.8571428571428572</v>
      </c>
      <c r="AT60" s="5">
        <f t="shared" si="159"/>
        <v>1.0394338948467579</v>
      </c>
      <c r="AU60" s="5">
        <f t="shared" si="102"/>
        <v>1.8177089622960994</v>
      </c>
      <c r="AV60" s="5">
        <f t="shared" si="160"/>
        <v>1.5150425540292842</v>
      </c>
      <c r="AW60" s="173">
        <f t="shared" si="103"/>
        <v>0.36380186319636526</v>
      </c>
      <c r="AX60" s="173">
        <f t="shared" si="161"/>
        <v>9.0368882884187318</v>
      </c>
      <c r="AY60" s="173">
        <f t="shared" si="162"/>
        <v>0.65987580784713107</v>
      </c>
      <c r="AZ60" s="173">
        <f t="shared" si="104"/>
        <v>13.694831938000441</v>
      </c>
      <c r="BA60" s="460">
        <f t="shared" si="163"/>
        <v>3.5730540135357307</v>
      </c>
      <c r="BB60" s="5">
        <f t="shared" si="164"/>
        <v>0.55659793879801167</v>
      </c>
      <c r="BC60" s="5"/>
      <c r="BD60" s="173">
        <f t="shared" si="105"/>
        <v>0.72238986053723608</v>
      </c>
      <c r="BE60" s="173">
        <f t="shared" si="165"/>
        <v>0.95529032332606101</v>
      </c>
      <c r="BF60" s="173"/>
      <c r="BG60" s="528">
        <f t="shared" si="166"/>
        <v>1.0436942212140149E-2</v>
      </c>
      <c r="BH60" s="528">
        <f t="shared" si="167"/>
        <v>0.53572516519004365</v>
      </c>
      <c r="BI60" s="528">
        <f t="shared" si="168"/>
        <v>0.19278802811584611</v>
      </c>
      <c r="BJ60" s="528">
        <f t="shared" si="169"/>
        <v>0.28177141232912234</v>
      </c>
      <c r="BK60">
        <f t="shared" si="170"/>
        <v>1.0776970515792638E-2</v>
      </c>
      <c r="BL60" s="460">
        <f t="shared" si="106"/>
        <v>203.56499863163873</v>
      </c>
      <c r="BM60" s="528">
        <f t="shared" si="171"/>
        <v>0.8328167275986621</v>
      </c>
      <c r="BN60" s="460">
        <f t="shared" si="107"/>
        <v>832.81672759866206</v>
      </c>
      <c r="BO60" s="528">
        <f t="shared" si="172"/>
        <v>0.34168749999999998</v>
      </c>
      <c r="BP60" s="528"/>
      <c r="BR60" s="460">
        <f t="shared" si="109"/>
        <v>341.6875</v>
      </c>
      <c r="BS60" s="528">
        <f t="shared" si="173"/>
        <v>1.5655413318210222E-2</v>
      </c>
      <c r="BT60" s="528">
        <f t="shared" si="174"/>
        <v>2.7377388055212306E-2</v>
      </c>
      <c r="BU60" s="528">
        <f t="shared" si="175"/>
        <v>0.13200000000000001</v>
      </c>
      <c r="BV60" s="528">
        <f t="shared" si="176"/>
        <v>0.18600100524817206</v>
      </c>
      <c r="BW60" s="528">
        <f t="shared" si="177"/>
        <v>7.530740240348944E-3</v>
      </c>
      <c r="BX60" s="460">
        <f t="shared" si="110"/>
        <v>193.53174548852101</v>
      </c>
      <c r="BY60" s="173">
        <f t="shared" si="45"/>
        <v>1.571600971718822</v>
      </c>
      <c r="BZ60" s="5">
        <f t="shared" si="111"/>
        <v>8.8000000000000007</v>
      </c>
      <c r="CA60" s="173">
        <f t="shared" si="112"/>
        <v>0.84847074468018502</v>
      </c>
      <c r="CB60" s="5">
        <f t="shared" si="113"/>
        <v>84.847074468018505</v>
      </c>
      <c r="CE60" s="562">
        <f t="shared" si="178"/>
        <v>-50</v>
      </c>
      <c r="CF60">
        <f t="shared" si="179"/>
        <v>-50</v>
      </c>
      <c r="CG60" s="173">
        <f t="shared" si="180"/>
        <v>0.53735463150511698</v>
      </c>
      <c r="CI60" s="170">
        <v>55</v>
      </c>
      <c r="CJ60" s="217">
        <f t="shared" si="114"/>
        <v>0.55000000000000004</v>
      </c>
      <c r="CK60" s="217"/>
      <c r="CL60" s="217">
        <f t="shared" si="49"/>
        <v>8.8000000000000007</v>
      </c>
      <c r="CM60" s="541">
        <f t="shared" si="50"/>
        <v>24</v>
      </c>
      <c r="CN60" s="172">
        <f t="shared" si="51"/>
        <v>16.399999999999999</v>
      </c>
      <c r="CO60" s="443">
        <f t="shared" si="52"/>
        <v>40.4</v>
      </c>
      <c r="CP60" s="443"/>
      <c r="CQ60" s="217">
        <f t="shared" si="53"/>
        <v>0.40594059405940591</v>
      </c>
      <c r="CR60" s="172">
        <f t="shared" si="54"/>
        <v>24.648712871287128</v>
      </c>
      <c r="CS60" s="172">
        <f t="shared" si="115"/>
        <v>8.8000000000000007</v>
      </c>
      <c r="CT60" s="217">
        <f t="shared" si="55"/>
        <v>1.5405445544554455</v>
      </c>
      <c r="CU60" s="217">
        <f t="shared" si="56"/>
        <v>16</v>
      </c>
      <c r="CV60" s="217">
        <f t="shared" si="57"/>
        <v>1.5222772277227721</v>
      </c>
      <c r="CW60" s="172">
        <f t="shared" si="58"/>
        <v>85.203054621724803</v>
      </c>
      <c r="CX60" s="172">
        <f t="shared" si="59"/>
        <v>16</v>
      </c>
      <c r="CY60" s="217">
        <f t="shared" si="60"/>
        <v>1.8065040650406505</v>
      </c>
      <c r="CZ60" s="217">
        <f t="shared" si="61"/>
        <v>0.90325203252032515</v>
      </c>
      <c r="DA60" s="217">
        <f t="shared" si="62"/>
        <v>1.3218322427126712</v>
      </c>
      <c r="DB60" s="197">
        <f t="shared" si="63"/>
        <v>350</v>
      </c>
      <c r="DC60" s="443">
        <f t="shared" si="116"/>
        <v>350</v>
      </c>
      <c r="DE60" s="217">
        <f t="shared" si="64"/>
        <v>2.3196605374823194</v>
      </c>
      <c r="DF60" s="173">
        <f t="shared" si="65"/>
        <v>1.6973125884016973</v>
      </c>
      <c r="DG60" s="173">
        <f t="shared" si="66"/>
        <v>0.68900808044029282</v>
      </c>
      <c r="DH60" s="173"/>
      <c r="DI60" s="173">
        <f t="shared" si="67"/>
        <v>0.73170731707317083</v>
      </c>
      <c r="DJ60" s="545">
        <f t="shared" si="117"/>
        <v>1503.3333333333333</v>
      </c>
      <c r="DK60" s="528">
        <f t="shared" si="68"/>
        <v>0.12804878048780488</v>
      </c>
      <c r="DM60" s="173">
        <f t="shared" si="69"/>
        <v>2.0724956200769387</v>
      </c>
      <c r="DN60" s="173">
        <f t="shared" si="70"/>
        <v>2.0724956200769387</v>
      </c>
      <c r="DO60" s="173">
        <f t="shared" si="71"/>
        <v>1.9944412000569915</v>
      </c>
      <c r="DQ60" s="545">
        <f t="shared" si="72"/>
        <v>550</v>
      </c>
      <c r="DR60" s="460">
        <f t="shared" si="73"/>
        <v>350</v>
      </c>
      <c r="DT60">
        <f t="shared" si="74"/>
        <v>550</v>
      </c>
      <c r="DU60">
        <f t="shared" si="75"/>
        <v>350</v>
      </c>
      <c r="DW60" s="5">
        <f t="shared" si="118"/>
        <v>2.8571428571428572</v>
      </c>
      <c r="DX60" s="5">
        <f t="shared" si="76"/>
        <v>1.0362478100384693</v>
      </c>
      <c r="DY60" s="5">
        <f t="shared" si="119"/>
        <v>1.8208950471043879</v>
      </c>
      <c r="DZ60" s="5">
        <f t="shared" si="77"/>
        <v>1.5164602098123943</v>
      </c>
      <c r="EA60" s="173">
        <f t="shared" si="120"/>
        <v>0.36268673351346425</v>
      </c>
      <c r="EB60" s="173">
        <f t="shared" si="78"/>
        <v>9.0199999999999978</v>
      </c>
      <c r="EC60" s="173">
        <f t="shared" si="79"/>
        <v>0.66041447670513609</v>
      </c>
      <c r="ED60" s="173">
        <f t="shared" si="121"/>
        <v>13.65808945467329</v>
      </c>
      <c r="EE60" s="460">
        <f t="shared" si="80"/>
        <v>3.5621018470072388</v>
      </c>
      <c r="EF60" s="5">
        <f t="shared" si="81"/>
        <v>0.55638459772634075</v>
      </c>
      <c r="EG60" s="5"/>
      <c r="EH60" s="173">
        <f t="shared" si="122"/>
        <v>0.72060758494123056</v>
      </c>
      <c r="EI60" s="173">
        <f t="shared" si="82"/>
        <v>0.95523334336234234</v>
      </c>
      <c r="EJ60" s="173"/>
      <c r="EK60" s="528">
        <f t="shared" si="83"/>
        <v>1.0385505829496657E-2</v>
      </c>
      <c r="EL60" s="528">
        <f t="shared" si="84"/>
        <v>0.55679667328987037</v>
      </c>
      <c r="EM60" s="528">
        <f t="shared" si="85"/>
        <v>4.0250000000000001E-2</v>
      </c>
      <c r="EN60" s="528">
        <f t="shared" si="86"/>
        <v>0.28134357999999998</v>
      </c>
      <c r="EO60">
        <f t="shared" si="87"/>
        <v>1.0800000000000001E-2</v>
      </c>
      <c r="EP60" s="460">
        <f t="shared" si="123"/>
        <v>51.05</v>
      </c>
      <c r="EQ60" s="528">
        <f t="shared" si="88"/>
        <v>0.90461206296889818</v>
      </c>
      <c r="ER60" s="460">
        <f t="shared" si="124"/>
        <v>904.61206296889816</v>
      </c>
      <c r="ES60" s="528">
        <f t="shared" si="125"/>
        <v>0.34168749999999998</v>
      </c>
      <c r="ET60" s="528"/>
      <c r="EV60" s="460">
        <f t="shared" si="126"/>
        <v>341.6875</v>
      </c>
      <c r="EW60" s="528">
        <f t="shared" si="89"/>
        <v>1.5578258744244986E-2</v>
      </c>
      <c r="EX60" s="528">
        <f t="shared" si="90"/>
        <v>2.7374122208135957E-2</v>
      </c>
      <c r="EY60" s="528">
        <f t="shared" si="91"/>
        <v>0.70855598166321732</v>
      </c>
      <c r="EZ60" s="528">
        <f t="shared" si="92"/>
        <v>0.76444370823398711</v>
      </c>
      <c r="FA60" s="528">
        <f t="shared" si="93"/>
        <v>7.5166666666666654E-3</v>
      </c>
      <c r="FB60" s="460">
        <f t="shared" si="127"/>
        <v>771.96037490065373</v>
      </c>
      <c r="FC60" s="173">
        <f t="shared" si="128"/>
        <v>2.0182599378695518</v>
      </c>
      <c r="FD60" s="5">
        <f t="shared" si="129"/>
        <v>8.8000000000000007</v>
      </c>
      <c r="FE60" s="173">
        <f t="shared" si="130"/>
        <v>0.81343950418453259</v>
      </c>
      <c r="FF60" s="5">
        <f t="shared" si="131"/>
        <v>81.343950418453261</v>
      </c>
      <c r="FI60" s="562">
        <f t="shared" si="94"/>
        <v>-50</v>
      </c>
      <c r="FJ60">
        <f t="shared" si="95"/>
        <v>-50</v>
      </c>
      <c r="FL60">
        <f t="shared" si="181"/>
        <v>0.53076107343433809</v>
      </c>
    </row>
    <row r="61" spans="5:168">
      <c r="E61" s="170">
        <v>56</v>
      </c>
      <c r="F61" s="217">
        <f t="shared" si="182"/>
        <v>0.56000000000000005</v>
      </c>
      <c r="G61" s="217"/>
      <c r="H61" s="217">
        <f t="shared" si="132"/>
        <v>8.9600000000000009</v>
      </c>
      <c r="I61" s="541">
        <f t="shared" si="133"/>
        <v>23.948360222050567</v>
      </c>
      <c r="J61" s="172">
        <f t="shared" si="134"/>
        <v>16.430983866769658</v>
      </c>
      <c r="K61" s="172">
        <f t="shared" si="135"/>
        <v>40.430983866769658</v>
      </c>
      <c r="L61" s="443"/>
      <c r="M61" s="217">
        <f t="shared" si="136"/>
        <v>0.4069212246514774</v>
      </c>
      <c r="N61" s="172">
        <f t="shared" si="137"/>
        <v>24.655093056977403</v>
      </c>
      <c r="O61" s="172">
        <f t="shared" si="98"/>
        <v>8.9600000000000009</v>
      </c>
      <c r="P61" s="217">
        <f t="shared" si="138"/>
        <v>1.5409433160610877</v>
      </c>
      <c r="Q61" s="217">
        <f t="shared" si="139"/>
        <v>16</v>
      </c>
      <c r="R61" s="217">
        <f t="shared" si="140"/>
        <v>1.5226712609299289</v>
      </c>
      <c r="S61" s="172">
        <f t="shared" si="141"/>
        <v>83.078714134143098</v>
      </c>
      <c r="T61" s="172">
        <f t="shared" si="142"/>
        <v>16</v>
      </c>
      <c r="U61" s="217">
        <f t="shared" si="143"/>
        <v>1.8884506520096471</v>
      </c>
      <c r="V61" s="217">
        <f t="shared" si="11"/>
        <v>0.94626135626814922</v>
      </c>
      <c r="W61" s="217">
        <f t="shared" si="144"/>
        <v>1.3791875159677223</v>
      </c>
      <c r="X61" s="197">
        <f t="shared" si="145"/>
        <v>350</v>
      </c>
      <c r="Y61" s="443">
        <f t="shared" si="14"/>
        <v>350</v>
      </c>
      <c r="AA61" s="217">
        <f t="shared" si="146"/>
        <v>2.3202287334179923</v>
      </c>
      <c r="AB61" s="173">
        <f t="shared" si="147"/>
        <v>1.6945269392738933</v>
      </c>
      <c r="AC61" s="173">
        <f t="shared" si="148"/>
        <v>0.68804576645947313</v>
      </c>
      <c r="AD61" s="173"/>
      <c r="AE61" s="173">
        <f t="shared" si="149"/>
        <v>0.73032753834473862</v>
      </c>
      <c r="AF61" s="545">
        <f t="shared" si="150"/>
        <v>1533.5584942318351</v>
      </c>
      <c r="AG61" s="528">
        <f t="shared" si="151"/>
        <v>0.12780731921032928</v>
      </c>
      <c r="AI61" s="173">
        <f t="shared" si="152"/>
        <v>2.0932261458822938</v>
      </c>
      <c r="AJ61" s="173">
        <f t="shared" si="153"/>
        <v>2.0932261458822938</v>
      </c>
      <c r="AK61" s="173">
        <f t="shared" si="154"/>
        <v>2.0097971450979952</v>
      </c>
      <c r="AM61" s="545">
        <f t="shared" si="155"/>
        <v>560</v>
      </c>
      <c r="AN61" s="460">
        <f t="shared" si="156"/>
        <v>350</v>
      </c>
      <c r="AP61">
        <f t="shared" si="157"/>
        <v>560</v>
      </c>
      <c r="AQ61">
        <f t="shared" si="158"/>
        <v>350</v>
      </c>
      <c r="AS61" s="5">
        <f t="shared" si="101"/>
        <v>2.8571428571428572</v>
      </c>
      <c r="AT61" s="5">
        <f t="shared" si="159"/>
        <v>1.0488698815987973</v>
      </c>
      <c r="AU61" s="5">
        <f t="shared" si="102"/>
        <v>1.8082729755440599</v>
      </c>
      <c r="AV61" s="5">
        <f t="shared" si="160"/>
        <v>1.5287406983210605</v>
      </c>
      <c r="AW61" s="173">
        <f t="shared" si="103"/>
        <v>0.36710445855957907</v>
      </c>
      <c r="AX61" s="173">
        <f t="shared" si="161"/>
        <v>9.2013509653910095</v>
      </c>
      <c r="AY61" s="173">
        <f t="shared" si="162"/>
        <v>0.66239674747770994</v>
      </c>
      <c r="AZ61" s="173">
        <f t="shared" si="104"/>
        <v>13.890996597474448</v>
      </c>
      <c r="BA61" s="460">
        <f t="shared" si="163"/>
        <v>3.6710445855957912</v>
      </c>
      <c r="BB61" s="5">
        <f t="shared" si="164"/>
        <v>0.56378689085765288</v>
      </c>
      <c r="BC61" s="5"/>
      <c r="BD61" s="173">
        <f t="shared" si="105"/>
        <v>0.73223477935012404</v>
      </c>
      <c r="BE61" s="173">
        <f t="shared" si="165"/>
        <v>0.96143857171349711</v>
      </c>
      <c r="BF61" s="173"/>
      <c r="BG61" s="528">
        <f t="shared" si="166"/>
        <v>1.0723355441798497E-2</v>
      </c>
      <c r="BH61" s="528">
        <f t="shared" si="167"/>
        <v>0.54058174230880096</v>
      </c>
      <c r="BI61" s="528">
        <f t="shared" si="168"/>
        <v>0.19278429978750708</v>
      </c>
      <c r="BJ61" s="528">
        <f t="shared" si="169"/>
        <v>0.2817752856779811</v>
      </c>
      <c r="BK61">
        <f t="shared" si="170"/>
        <v>1.0776762099922755E-2</v>
      </c>
      <c r="BL61" s="460">
        <f t="shared" si="106"/>
        <v>203.56106188742984</v>
      </c>
      <c r="BM61" s="528">
        <f t="shared" si="171"/>
        <v>0.83811108686666813</v>
      </c>
      <c r="BN61" s="460">
        <f t="shared" si="107"/>
        <v>838.11108686666807</v>
      </c>
      <c r="BO61" s="528">
        <f t="shared" si="172"/>
        <v>0.34789999999999999</v>
      </c>
      <c r="BP61" s="528"/>
      <c r="BR61" s="460">
        <f t="shared" si="109"/>
        <v>347.9</v>
      </c>
      <c r="BS61" s="528">
        <f t="shared" si="173"/>
        <v>1.6085033162697743E-2</v>
      </c>
      <c r="BT61" s="528">
        <f t="shared" si="174"/>
        <v>2.7730923815354681E-2</v>
      </c>
      <c r="BU61" s="528">
        <f t="shared" si="175"/>
        <v>0.13440000000000002</v>
      </c>
      <c r="BV61" s="528">
        <f t="shared" si="176"/>
        <v>0.18939567085807676</v>
      </c>
      <c r="BW61" s="528">
        <f t="shared" si="177"/>
        <v>7.667792471159173E-3</v>
      </c>
      <c r="BX61" s="460">
        <f t="shared" si="110"/>
        <v>197.06346332923593</v>
      </c>
      <c r="BY61" s="173">
        <f t="shared" si="45"/>
        <v>1.5866356120833343</v>
      </c>
      <c r="BZ61" s="5">
        <f t="shared" si="111"/>
        <v>8.9600000000000009</v>
      </c>
      <c r="CA61" s="173">
        <f t="shared" si="112"/>
        <v>0.84956002364720762</v>
      </c>
      <c r="CB61" s="5">
        <f t="shared" si="113"/>
        <v>84.95600236472076</v>
      </c>
      <c r="CE61" s="562">
        <f t="shared" si="178"/>
        <v>-50</v>
      </c>
      <c r="CF61">
        <f t="shared" si="179"/>
        <v>-50</v>
      </c>
      <c r="CG61" s="173">
        <f t="shared" si="180"/>
        <v>0.54221766846903841</v>
      </c>
      <c r="CI61" s="170">
        <v>56</v>
      </c>
      <c r="CJ61" s="217">
        <f t="shared" si="114"/>
        <v>0.56000000000000005</v>
      </c>
      <c r="CK61" s="217"/>
      <c r="CL61" s="217">
        <f t="shared" si="49"/>
        <v>8.9600000000000009</v>
      </c>
      <c r="CM61" s="541">
        <f t="shared" si="50"/>
        <v>24</v>
      </c>
      <c r="CN61" s="172">
        <f t="shared" si="51"/>
        <v>16.399999999999999</v>
      </c>
      <c r="CO61" s="443">
        <f t="shared" si="52"/>
        <v>40.4</v>
      </c>
      <c r="CP61" s="443"/>
      <c r="CQ61" s="217">
        <f t="shared" si="53"/>
        <v>0.40594059405940591</v>
      </c>
      <c r="CR61" s="172">
        <f t="shared" si="54"/>
        <v>24.648712871287128</v>
      </c>
      <c r="CS61" s="172">
        <f t="shared" si="115"/>
        <v>8.9600000000000009</v>
      </c>
      <c r="CT61" s="217">
        <f t="shared" si="55"/>
        <v>1.5405445544554455</v>
      </c>
      <c r="CU61" s="217">
        <f t="shared" si="56"/>
        <v>16</v>
      </c>
      <c r="CV61" s="217">
        <f t="shared" si="57"/>
        <v>1.5222772277227721</v>
      </c>
      <c r="CW61" s="172">
        <f t="shared" si="58"/>
        <v>83.257610599610132</v>
      </c>
      <c r="CX61" s="172">
        <f t="shared" si="59"/>
        <v>16</v>
      </c>
      <c r="CY61" s="217">
        <f t="shared" si="60"/>
        <v>1.8393495934959352</v>
      </c>
      <c r="CZ61" s="217">
        <f t="shared" si="61"/>
        <v>0.91967479674796759</v>
      </c>
      <c r="DA61" s="217">
        <f t="shared" si="62"/>
        <v>1.345865556216538</v>
      </c>
      <c r="DB61" s="197">
        <f t="shared" si="63"/>
        <v>350</v>
      </c>
      <c r="DC61" s="443">
        <f t="shared" si="116"/>
        <v>350</v>
      </c>
      <c r="DE61" s="217">
        <f t="shared" si="64"/>
        <v>2.3196605374823194</v>
      </c>
      <c r="DF61" s="173">
        <f t="shared" si="65"/>
        <v>1.6973125884016973</v>
      </c>
      <c r="DG61" s="173">
        <f t="shared" si="66"/>
        <v>0.68900808044029282</v>
      </c>
      <c r="DH61" s="173"/>
      <c r="DI61" s="173">
        <f t="shared" si="67"/>
        <v>0.73170731707317083</v>
      </c>
      <c r="DJ61" s="545">
        <f t="shared" si="117"/>
        <v>1530.6666666666665</v>
      </c>
      <c r="DK61" s="528">
        <f t="shared" si="68"/>
        <v>0.12804878048780488</v>
      </c>
      <c r="DM61" s="173">
        <f t="shared" si="69"/>
        <v>2.0912516188477497</v>
      </c>
      <c r="DN61" s="173">
        <f t="shared" si="70"/>
        <v>2.0912516188477497</v>
      </c>
      <c r="DO61" s="173">
        <f t="shared" si="71"/>
        <v>2.0083345324798145</v>
      </c>
      <c r="DQ61" s="545">
        <f t="shared" si="72"/>
        <v>560</v>
      </c>
      <c r="DR61" s="460">
        <f t="shared" si="73"/>
        <v>350</v>
      </c>
      <c r="DT61">
        <f t="shared" si="74"/>
        <v>560</v>
      </c>
      <c r="DU61">
        <f t="shared" si="75"/>
        <v>350</v>
      </c>
      <c r="DW61" s="5">
        <f t="shared" si="118"/>
        <v>2.8571428571428572</v>
      </c>
      <c r="DX61" s="5">
        <f t="shared" si="76"/>
        <v>1.0456258094238748</v>
      </c>
      <c r="DY61" s="5">
        <f t="shared" si="119"/>
        <v>1.8115170477189824</v>
      </c>
      <c r="DZ61" s="5">
        <f t="shared" si="77"/>
        <v>1.530184111352012</v>
      </c>
      <c r="EA61" s="173">
        <f t="shared" si="120"/>
        <v>0.36596903329835617</v>
      </c>
      <c r="EB61" s="173">
        <f t="shared" si="78"/>
        <v>9.1840000000000011</v>
      </c>
      <c r="EC61" s="173">
        <f t="shared" si="79"/>
        <v>0.66295914275720813</v>
      </c>
      <c r="ED61" s="173">
        <f t="shared" si="121"/>
        <v>13.85304071952954</v>
      </c>
      <c r="EE61" s="460">
        <f t="shared" si="80"/>
        <v>3.6596903329835624</v>
      </c>
      <c r="EF61" s="5">
        <f t="shared" si="81"/>
        <v>0.5635830815125723</v>
      </c>
      <c r="EG61" s="5"/>
      <c r="EH61" s="173">
        <f t="shared" si="122"/>
        <v>0.7304118866072481</v>
      </c>
      <c r="EI61" s="173">
        <f t="shared" si="82"/>
        <v>0.96139287166101794</v>
      </c>
      <c r="EJ61" s="173"/>
      <c r="EK61" s="528">
        <f t="shared" si="83"/>
        <v>1.0670030481943189E-2</v>
      </c>
      <c r="EL61" s="528">
        <f t="shared" si="84"/>
        <v>0.56183565991963647</v>
      </c>
      <c r="EM61" s="528">
        <f t="shared" si="85"/>
        <v>4.0250000000000001E-2</v>
      </c>
      <c r="EN61" s="528">
        <f t="shared" si="86"/>
        <v>0.28134357999999998</v>
      </c>
      <c r="EO61">
        <f t="shared" si="87"/>
        <v>1.0800000000000001E-2</v>
      </c>
      <c r="EP61" s="460">
        <f t="shared" si="123"/>
        <v>51.05</v>
      </c>
      <c r="EQ61" s="528">
        <f t="shared" si="88"/>
        <v>0.91008743159891137</v>
      </c>
      <c r="ER61" s="460">
        <f t="shared" si="124"/>
        <v>910.08743159891139</v>
      </c>
      <c r="ES61" s="528">
        <f t="shared" si="125"/>
        <v>0.34789999999999999</v>
      </c>
      <c r="ET61" s="528"/>
      <c r="EV61" s="460">
        <f t="shared" si="126"/>
        <v>347.9</v>
      </c>
      <c r="EW61" s="528">
        <f t="shared" si="89"/>
        <v>1.6005045722914783E-2</v>
      </c>
      <c r="EX61" s="528">
        <f t="shared" si="90"/>
        <v>2.7728287610418553E-2</v>
      </c>
      <c r="EY61" s="528">
        <f t="shared" si="91"/>
        <v>0.72469596061830166</v>
      </c>
      <c r="EZ61" s="528">
        <f t="shared" si="92"/>
        <v>0.78166006195506177</v>
      </c>
      <c r="FA61" s="528">
        <f t="shared" si="93"/>
        <v>7.6533333333333349E-3</v>
      </c>
      <c r="FB61" s="460">
        <f t="shared" si="127"/>
        <v>789.3133952883951</v>
      </c>
      <c r="FC61" s="173">
        <f t="shared" si="128"/>
        <v>2.0473008268873065</v>
      </c>
      <c r="FD61" s="5">
        <f t="shared" si="129"/>
        <v>8.9600000000000009</v>
      </c>
      <c r="FE61" s="173">
        <f t="shared" si="130"/>
        <v>0.81400518991118997</v>
      </c>
      <c r="FF61" s="5">
        <f t="shared" si="131"/>
        <v>81.400518991119</v>
      </c>
      <c r="FI61" s="562">
        <f t="shared" si="94"/>
        <v>-50</v>
      </c>
      <c r="FJ61">
        <f t="shared" si="95"/>
        <v>-50</v>
      </c>
      <c r="FL61">
        <f t="shared" si="181"/>
        <v>0.53556443897320427</v>
      </c>
    </row>
    <row r="62" spans="5:168">
      <c r="E62" s="170">
        <v>57</v>
      </c>
      <c r="F62" s="217">
        <f t="shared" si="182"/>
        <v>0.56999999999999995</v>
      </c>
      <c r="G62" s="217"/>
      <c r="H62" s="217">
        <f t="shared" si="132"/>
        <v>9.1199999999999992</v>
      </c>
      <c r="I62" s="541">
        <f t="shared" si="133"/>
        <v>23.947901192774829</v>
      </c>
      <c r="J62" s="172">
        <f t="shared" si="134"/>
        <v>16.431259284335102</v>
      </c>
      <c r="K62" s="172">
        <f t="shared" si="135"/>
        <v>40.431259284335098</v>
      </c>
      <c r="L62" s="443"/>
      <c r="M62" s="217">
        <f t="shared" si="136"/>
        <v>0.40692994595415588</v>
      </c>
      <c r="N62" s="172">
        <f t="shared" si="137"/>
        <v>24.655148889371056</v>
      </c>
      <c r="O62" s="172">
        <f t="shared" si="98"/>
        <v>9.1199999999999992</v>
      </c>
      <c r="P62" s="217">
        <f t="shared" si="138"/>
        <v>1.540946805585691</v>
      </c>
      <c r="Q62" s="217">
        <f t="shared" si="139"/>
        <v>16</v>
      </c>
      <c r="R62" s="217">
        <f t="shared" si="140"/>
        <v>1.5226747090767696</v>
      </c>
      <c r="S62" s="172">
        <f t="shared" si="141"/>
        <v>81.20413888002652</v>
      </c>
      <c r="T62" s="172">
        <f t="shared" si="142"/>
        <v>16</v>
      </c>
      <c r="U62" s="217">
        <f t="shared" si="143"/>
        <v>1.9222012513076208</v>
      </c>
      <c r="V62" s="217">
        <f t="shared" si="11"/>
        <v>0.96319150601183667</v>
      </c>
      <c r="W62" s="217">
        <f t="shared" si="144"/>
        <v>1.4038129772367498</v>
      </c>
      <c r="X62" s="197">
        <f t="shared" si="145"/>
        <v>350</v>
      </c>
      <c r="Y62" s="443">
        <f t="shared" si="14"/>
        <v>350</v>
      </c>
      <c r="AA62" s="217">
        <f t="shared" si="146"/>
        <v>2.320233702146246</v>
      </c>
      <c r="AB62" s="173">
        <f t="shared" si="147"/>
        <v>1.694502164681873</v>
      </c>
      <c r="AC62" s="173">
        <f t="shared" si="148"/>
        <v>0.68803718039956363</v>
      </c>
      <c r="AD62" s="173"/>
      <c r="AE62" s="173">
        <f t="shared" si="149"/>
        <v>0.73031529673689188</v>
      </c>
      <c r="AF62" s="545">
        <f t="shared" si="150"/>
        <v>1560.9696320118346</v>
      </c>
      <c r="AG62" s="528">
        <f t="shared" si="151"/>
        <v>0.1278051769289561</v>
      </c>
      <c r="AI62" s="173">
        <f t="shared" si="152"/>
        <v>2.1118506657241483</v>
      </c>
      <c r="AJ62" s="173">
        <f t="shared" si="153"/>
        <v>2.1118506657241483</v>
      </c>
      <c r="AK62" s="173">
        <f t="shared" si="154"/>
        <v>2.0235930857215911</v>
      </c>
      <c r="AM62" s="545">
        <f t="shared" si="155"/>
        <v>570</v>
      </c>
      <c r="AN62" s="460">
        <f t="shared" si="156"/>
        <v>350</v>
      </c>
      <c r="AP62">
        <f t="shared" si="157"/>
        <v>570</v>
      </c>
      <c r="AQ62">
        <f t="shared" si="158"/>
        <v>350</v>
      </c>
      <c r="AS62" s="5">
        <f t="shared" si="101"/>
        <v>2.8571428571428572</v>
      </c>
      <c r="AT62" s="5">
        <f t="shared" si="159"/>
        <v>1.0582225049573704</v>
      </c>
      <c r="AU62" s="5">
        <f t="shared" si="102"/>
        <v>1.7989203521854868</v>
      </c>
      <c r="AV62" s="5">
        <f t="shared" si="160"/>
        <v>1.5423168456023342</v>
      </c>
      <c r="AW62" s="173">
        <f t="shared" si="103"/>
        <v>0.3703778767350796</v>
      </c>
      <c r="AX62" s="173">
        <f t="shared" si="161"/>
        <v>9.3658177920710095</v>
      </c>
      <c r="AY62" s="173">
        <f t="shared" si="162"/>
        <v>0.6648339500858369</v>
      </c>
      <c r="AZ62" s="173">
        <f t="shared" si="104"/>
        <v>14.087454154321971</v>
      </c>
      <c r="BA62" s="460">
        <f t="shared" si="163"/>
        <v>3.7699176739106321</v>
      </c>
      <c r="BB62" s="5">
        <f t="shared" si="164"/>
        <v>0.57089740627185015</v>
      </c>
      <c r="BC62" s="5"/>
      <c r="BD62" s="173">
        <f t="shared" si="105"/>
        <v>0.74203620624826394</v>
      </c>
      <c r="BE62" s="173">
        <f t="shared" si="165"/>
        <v>0.96748127288845231</v>
      </c>
      <c r="BF62" s="173"/>
      <c r="BG62" s="528">
        <f t="shared" si="166"/>
        <v>1.1012354627666324E-2</v>
      </c>
      <c r="BH62" s="528">
        <f t="shared" si="167"/>
        <v>0.54539529397546183</v>
      </c>
      <c r="BI62" s="528">
        <f t="shared" si="168"/>
        <v>0.19278060460183738</v>
      </c>
      <c r="BJ62" s="528">
        <f t="shared" si="169"/>
        <v>0.28177912462129084</v>
      </c>
      <c r="BK62">
        <f t="shared" si="170"/>
        <v>1.0776555536748673E-2</v>
      </c>
      <c r="BL62" s="460">
        <f t="shared" si="106"/>
        <v>203.55716013858606</v>
      </c>
      <c r="BM62" s="528">
        <f t="shared" si="171"/>
        <v>0.84336680813276188</v>
      </c>
      <c r="BN62" s="460">
        <f t="shared" si="107"/>
        <v>843.36680813276189</v>
      </c>
      <c r="BO62" s="528">
        <f t="shared" si="172"/>
        <v>0.35411249999999994</v>
      </c>
      <c r="BP62" s="528"/>
      <c r="BR62" s="460">
        <f t="shared" si="109"/>
        <v>354.11249999999995</v>
      </c>
      <c r="BS62" s="528">
        <f t="shared" si="173"/>
        <v>1.6518531941499486E-2</v>
      </c>
      <c r="BT62" s="528">
        <f t="shared" si="174"/>
        <v>2.8080600401695799E-2</v>
      </c>
      <c r="BU62" s="528">
        <f t="shared" si="175"/>
        <v>0.13679999999999998</v>
      </c>
      <c r="BV62" s="528">
        <f t="shared" si="176"/>
        <v>0.19279078825596024</v>
      </c>
      <c r="BW62" s="528">
        <f t="shared" si="177"/>
        <v>7.8048481600591756E-3</v>
      </c>
      <c r="BX62" s="460">
        <f t="shared" si="110"/>
        <v>200.5956364160194</v>
      </c>
      <c r="BY62" s="173">
        <f t="shared" si="45"/>
        <v>1.6016321046873676</v>
      </c>
      <c r="BZ62" s="5">
        <f t="shared" si="111"/>
        <v>9.1199999999999992</v>
      </c>
      <c r="CA62" s="173">
        <f t="shared" si="112"/>
        <v>0.85061676346951387</v>
      </c>
      <c r="CB62" s="5">
        <f t="shared" si="113"/>
        <v>85.061676346951387</v>
      </c>
      <c r="CE62" s="562">
        <f t="shared" si="178"/>
        <v>-50</v>
      </c>
      <c r="CF62">
        <f t="shared" si="179"/>
        <v>-50</v>
      </c>
      <c r="CG62" s="173">
        <f t="shared" si="180"/>
        <v>0.54703747586431406</v>
      </c>
      <c r="CI62" s="170">
        <v>57</v>
      </c>
      <c r="CJ62" s="217">
        <f t="shared" si="114"/>
        <v>0.56999999999999995</v>
      </c>
      <c r="CK62" s="217"/>
      <c r="CL62" s="217">
        <f t="shared" si="49"/>
        <v>9.1199999999999992</v>
      </c>
      <c r="CM62" s="541">
        <f t="shared" si="50"/>
        <v>24</v>
      </c>
      <c r="CN62" s="172">
        <f t="shared" si="51"/>
        <v>16.399999999999999</v>
      </c>
      <c r="CO62" s="443">
        <f t="shared" si="52"/>
        <v>40.4</v>
      </c>
      <c r="CP62" s="443"/>
      <c r="CQ62" s="217">
        <f t="shared" si="53"/>
        <v>0.40594059405940591</v>
      </c>
      <c r="CR62" s="172">
        <f t="shared" si="54"/>
        <v>24.648712871287128</v>
      </c>
      <c r="CS62" s="172">
        <f t="shared" si="115"/>
        <v>9.1199999999999992</v>
      </c>
      <c r="CT62" s="217">
        <f t="shared" si="55"/>
        <v>1.5405445544554455</v>
      </c>
      <c r="CU62" s="217">
        <f t="shared" si="56"/>
        <v>16</v>
      </c>
      <c r="CV62" s="217">
        <f t="shared" si="57"/>
        <v>1.5222772277227721</v>
      </c>
      <c r="CW62" s="172">
        <f t="shared" si="58"/>
        <v>81.380545226569907</v>
      </c>
      <c r="CX62" s="172">
        <f t="shared" si="59"/>
        <v>16</v>
      </c>
      <c r="CY62" s="217">
        <f t="shared" si="60"/>
        <v>1.8721951219512194</v>
      </c>
      <c r="CZ62" s="217">
        <f t="shared" si="61"/>
        <v>0.93609756097560981</v>
      </c>
      <c r="DA62" s="217">
        <f t="shared" si="62"/>
        <v>1.3698988697204044</v>
      </c>
      <c r="DB62" s="197">
        <f t="shared" si="63"/>
        <v>350</v>
      </c>
      <c r="DC62" s="443">
        <f t="shared" si="116"/>
        <v>350</v>
      </c>
      <c r="DE62" s="217">
        <f t="shared" si="64"/>
        <v>2.3196605374823194</v>
      </c>
      <c r="DF62" s="173">
        <f t="shared" si="65"/>
        <v>1.6973125884016973</v>
      </c>
      <c r="DG62" s="173">
        <f t="shared" si="66"/>
        <v>0.68900808044029282</v>
      </c>
      <c r="DH62" s="173"/>
      <c r="DI62" s="173">
        <f t="shared" si="67"/>
        <v>0.73170731707317083</v>
      </c>
      <c r="DJ62" s="545">
        <f t="shared" si="117"/>
        <v>1557.9999999999998</v>
      </c>
      <c r="DK62" s="528">
        <f t="shared" si="68"/>
        <v>0.12804878048780488</v>
      </c>
      <c r="DM62" s="173">
        <f t="shared" si="69"/>
        <v>2.1098408877042294</v>
      </c>
      <c r="DN62" s="173">
        <f t="shared" si="70"/>
        <v>2.1098408877042294</v>
      </c>
      <c r="DO62" s="173">
        <f t="shared" si="71"/>
        <v>2.0221043612623921</v>
      </c>
      <c r="DQ62" s="545">
        <f t="shared" si="72"/>
        <v>570</v>
      </c>
      <c r="DR62" s="460">
        <f t="shared" si="73"/>
        <v>350</v>
      </c>
      <c r="DT62">
        <f t="shared" si="74"/>
        <v>570</v>
      </c>
      <c r="DU62">
        <f t="shared" si="75"/>
        <v>350</v>
      </c>
      <c r="DW62" s="5">
        <f t="shared" si="118"/>
        <v>2.8571428571428572</v>
      </c>
      <c r="DX62" s="5">
        <f t="shared" si="76"/>
        <v>1.0549204438521147</v>
      </c>
      <c r="DY62" s="5">
        <f t="shared" si="119"/>
        <v>1.8022224132907425</v>
      </c>
      <c r="DZ62" s="5">
        <f t="shared" si="77"/>
        <v>1.5437860153933387</v>
      </c>
      <c r="EA62" s="173">
        <f t="shared" si="120"/>
        <v>0.36922215534824016</v>
      </c>
      <c r="EB62" s="173">
        <f t="shared" si="78"/>
        <v>9.3480000000000008</v>
      </c>
      <c r="EC62" s="173">
        <f t="shared" si="79"/>
        <v>0.66542044385211474</v>
      </c>
      <c r="ED62" s="173">
        <f t="shared" si="121"/>
        <v>14.048260894847907</v>
      </c>
      <c r="EE62" s="460">
        <f t="shared" si="80"/>
        <v>3.7581540812231586</v>
      </c>
      <c r="EF62" s="5">
        <f t="shared" si="81"/>
        <v>0.57070376420873503</v>
      </c>
      <c r="EG62" s="5"/>
      <c r="EH62" s="173">
        <f t="shared" si="122"/>
        <v>0.74017251401764317</v>
      </c>
      <c r="EI62" s="173">
        <f t="shared" si="82"/>
        <v>0.96744724574641561</v>
      </c>
      <c r="EJ62" s="173"/>
      <c r="EK62" s="528">
        <f t="shared" si="83"/>
        <v>1.0957107010143963E-2</v>
      </c>
      <c r="EL62" s="528">
        <f t="shared" si="84"/>
        <v>0.56682985289061827</v>
      </c>
      <c r="EM62" s="528">
        <f t="shared" si="85"/>
        <v>4.0250000000000001E-2</v>
      </c>
      <c r="EN62" s="528">
        <f t="shared" si="86"/>
        <v>0.28134357999999998</v>
      </c>
      <c r="EO62">
        <f t="shared" si="87"/>
        <v>1.0800000000000001E-2</v>
      </c>
      <c r="EP62" s="460">
        <f t="shared" si="123"/>
        <v>51.05</v>
      </c>
      <c r="EQ62" s="528">
        <f t="shared" si="88"/>
        <v>0.9155224378050224</v>
      </c>
      <c r="ER62" s="460">
        <f t="shared" si="124"/>
        <v>915.52243780502238</v>
      </c>
      <c r="ES62" s="528">
        <f t="shared" si="125"/>
        <v>0.35411249999999994</v>
      </c>
      <c r="ET62" s="528"/>
      <c r="EV62" s="460">
        <f t="shared" si="126"/>
        <v>354.11249999999995</v>
      </c>
      <c r="EW62" s="528">
        <f t="shared" si="89"/>
        <v>1.6435660515215944E-2</v>
      </c>
      <c r="EX62" s="528">
        <f t="shared" si="90"/>
        <v>2.8078625199069764E-2</v>
      </c>
      <c r="EY62" s="528">
        <f t="shared" si="91"/>
        <v>0.74090815749019623</v>
      </c>
      <c r="EZ62" s="528">
        <f t="shared" si="92"/>
        <v>0.798951050602972</v>
      </c>
      <c r="FA62" s="528">
        <f t="shared" si="93"/>
        <v>7.79E-3</v>
      </c>
      <c r="FB62" s="460">
        <f t="shared" si="127"/>
        <v>806.741050602972</v>
      </c>
      <c r="FC62" s="173">
        <f t="shared" si="128"/>
        <v>2.0763759884079942</v>
      </c>
      <c r="FD62" s="5">
        <f t="shared" si="129"/>
        <v>9.1199999999999992</v>
      </c>
      <c r="FE62" s="173">
        <f t="shared" si="130"/>
        <v>0.81454928000294557</v>
      </c>
      <c r="FF62" s="5">
        <f t="shared" si="131"/>
        <v>81.454928000294558</v>
      </c>
      <c r="FI62" s="562">
        <f t="shared" si="94"/>
        <v>-50</v>
      </c>
      <c r="FJ62">
        <f t="shared" si="95"/>
        <v>-50</v>
      </c>
      <c r="FL62">
        <f t="shared" si="181"/>
        <v>0.54032510538766854</v>
      </c>
    </row>
    <row r="63" spans="5:168">
      <c r="E63" s="170">
        <v>58</v>
      </c>
      <c r="F63" s="217">
        <f t="shared" si="182"/>
        <v>0.57999999999999996</v>
      </c>
      <c r="G63" s="217"/>
      <c r="H63" s="217">
        <f t="shared" si="132"/>
        <v>9.2799999999999994</v>
      </c>
      <c r="I63" s="541">
        <f t="shared" si="133"/>
        <v>23.947446172718777</v>
      </c>
      <c r="J63" s="172">
        <f t="shared" si="134"/>
        <v>16.431532296368733</v>
      </c>
      <c r="K63" s="172">
        <f t="shared" si="135"/>
        <v>40.431532296368729</v>
      </c>
      <c r="L63" s="443"/>
      <c r="M63" s="217">
        <f t="shared" si="136"/>
        <v>0.40693859116069447</v>
      </c>
      <c r="N63" s="172">
        <f t="shared" si="137"/>
        <v>24.655204218779541</v>
      </c>
      <c r="O63" s="172">
        <f t="shared" si="98"/>
        <v>9.2799999999999994</v>
      </c>
      <c r="P63" s="217">
        <f t="shared" si="138"/>
        <v>1.5409502636737213</v>
      </c>
      <c r="Q63" s="217">
        <f t="shared" si="139"/>
        <v>16</v>
      </c>
      <c r="R63" s="217">
        <f t="shared" si="140"/>
        <v>1.5226781261598037</v>
      </c>
      <c r="S63" s="172">
        <f t="shared" si="141"/>
        <v>79.394350394823761</v>
      </c>
      <c r="T63" s="172">
        <f t="shared" si="142"/>
        <v>16</v>
      </c>
      <c r="U63" s="217">
        <f t="shared" si="143"/>
        <v>1.9559525922792098</v>
      </c>
      <c r="V63" s="217">
        <f t="shared" si="11"/>
        <v>0.98012251235747472</v>
      </c>
      <c r="W63" s="217">
        <f t="shared" si="144"/>
        <v>1.4284383637512346</v>
      </c>
      <c r="X63" s="197">
        <f t="shared" si="145"/>
        <v>350</v>
      </c>
      <c r="Y63" s="443">
        <f t="shared" si="14"/>
        <v>350</v>
      </c>
      <c r="AA63" s="217">
        <f t="shared" si="146"/>
        <v>2.3202386260501426</v>
      </c>
      <c r="AB63" s="173">
        <f t="shared" si="147"/>
        <v>1.6944776062519022</v>
      </c>
      <c r="AC63" s="173">
        <f t="shared" si="148"/>
        <v>0.68802866877546343</v>
      </c>
      <c r="AD63" s="173"/>
      <c r="AE63" s="173">
        <f t="shared" si="149"/>
        <v>0.73030316245381</v>
      </c>
      <c r="AF63" s="545">
        <f t="shared" si="150"/>
        <v>1588.381455315644</v>
      </c>
      <c r="AG63" s="528">
        <f t="shared" si="151"/>
        <v>0.12780305342941675</v>
      </c>
      <c r="AI63" s="173">
        <f t="shared" si="152"/>
        <v>2.1303128243225848</v>
      </c>
      <c r="AJ63" s="173">
        <f t="shared" si="153"/>
        <v>2.1303128243225848</v>
      </c>
      <c r="AK63" s="173">
        <f t="shared" si="154"/>
        <v>2.0372687587574703</v>
      </c>
      <c r="AM63" s="545">
        <f t="shared" si="155"/>
        <v>580</v>
      </c>
      <c r="AN63" s="460">
        <f t="shared" si="156"/>
        <v>350</v>
      </c>
      <c r="AP63">
        <f t="shared" si="157"/>
        <v>580</v>
      </c>
      <c r="AQ63">
        <f t="shared" si="158"/>
        <v>350</v>
      </c>
      <c r="AS63" s="5">
        <f t="shared" si="101"/>
        <v>2.8571428571428572</v>
      </c>
      <c r="AT63" s="5">
        <f t="shared" si="159"/>
        <v>1.0674939493545479</v>
      </c>
      <c r="AU63" s="5">
        <f t="shared" si="102"/>
        <v>1.7896489077883093</v>
      </c>
      <c r="AV63" s="5">
        <f t="shared" si="160"/>
        <v>1.5557741926186914</v>
      </c>
      <c r="AW63" s="173">
        <f t="shared" si="103"/>
        <v>0.37362288227409174</v>
      </c>
      <c r="AX63" s="173">
        <f t="shared" si="161"/>
        <v>9.5302887318938652</v>
      </c>
      <c r="AY63" s="173">
        <f t="shared" si="162"/>
        <v>0.66718960337685995</v>
      </c>
      <c r="AZ63" s="173">
        <f t="shared" si="104"/>
        <v>14.28422847666994</v>
      </c>
      <c r="BA63" s="460">
        <f t="shared" si="163"/>
        <v>3.869665566410236</v>
      </c>
      <c r="BB63" s="5">
        <f t="shared" si="164"/>
        <v>0.57793016648804763</v>
      </c>
      <c r="BC63" s="5"/>
      <c r="BD63" s="173">
        <f t="shared" si="105"/>
        <v>0.7517950946049996</v>
      </c>
      <c r="BE63" s="173">
        <f t="shared" si="165"/>
        <v>0.97342096694370417</v>
      </c>
      <c r="BF63" s="173"/>
      <c r="BG63" s="528">
        <f t="shared" si="166"/>
        <v>1.1303917285442807E-2</v>
      </c>
      <c r="BH63" s="528">
        <f t="shared" si="167"/>
        <v>0.55016694760401463</v>
      </c>
      <c r="BI63" s="528">
        <f t="shared" si="168"/>
        <v>0.19277694169038617</v>
      </c>
      <c r="BJ63" s="528">
        <f t="shared" si="169"/>
        <v>0.28178293006059402</v>
      </c>
      <c r="BK63">
        <f t="shared" si="170"/>
        <v>1.0776350777723449E-2</v>
      </c>
      <c r="BL63" s="460">
        <f t="shared" si="106"/>
        <v>203.55329246810962</v>
      </c>
      <c r="BM63" s="528">
        <f t="shared" si="171"/>
        <v>0.84858499130653298</v>
      </c>
      <c r="BN63" s="460">
        <f t="shared" si="107"/>
        <v>848.58499130653297</v>
      </c>
      <c r="BO63" s="528">
        <f t="shared" si="172"/>
        <v>0.36032499999999995</v>
      </c>
      <c r="BP63" s="528"/>
      <c r="BR63" s="460">
        <f t="shared" si="109"/>
        <v>360.32499999999993</v>
      </c>
      <c r="BS63" s="528">
        <f t="shared" si="173"/>
        <v>1.6955875928164207E-2</v>
      </c>
      <c r="BT63" s="528">
        <f t="shared" si="174"/>
        <v>2.8426451366568479E-2</v>
      </c>
      <c r="BU63" s="528">
        <f t="shared" si="175"/>
        <v>0.13919999999999999</v>
      </c>
      <c r="BV63" s="528">
        <f t="shared" si="176"/>
        <v>0.19618635732377482</v>
      </c>
      <c r="BW63" s="528">
        <f t="shared" si="177"/>
        <v>7.9419072765782184E-3</v>
      </c>
      <c r="BX63" s="460">
        <f t="shared" si="110"/>
        <v>204.12826460035305</v>
      </c>
      <c r="BY63" s="173">
        <f t="shared" si="45"/>
        <v>1.6165915483749955</v>
      </c>
      <c r="BZ63" s="5">
        <f t="shared" si="111"/>
        <v>9.2799999999999994</v>
      </c>
      <c r="CA63" s="173">
        <f t="shared" si="112"/>
        <v>0.85164245707493036</v>
      </c>
      <c r="CB63" s="5">
        <f t="shared" si="113"/>
        <v>85.164245707493038</v>
      </c>
      <c r="CE63" s="562">
        <f t="shared" si="178"/>
        <v>-50</v>
      </c>
      <c r="CF63">
        <f t="shared" si="179"/>
        <v>-50</v>
      </c>
      <c r="CG63" s="173">
        <f t="shared" si="180"/>
        <v>0.55181518645285577</v>
      </c>
      <c r="CI63" s="170">
        <v>58</v>
      </c>
      <c r="CJ63" s="217">
        <f t="shared" si="114"/>
        <v>0.57999999999999996</v>
      </c>
      <c r="CK63" s="217"/>
      <c r="CL63" s="217">
        <f t="shared" si="49"/>
        <v>9.2799999999999994</v>
      </c>
      <c r="CM63" s="541">
        <f t="shared" si="50"/>
        <v>24</v>
      </c>
      <c r="CN63" s="172">
        <f t="shared" si="51"/>
        <v>16.399999999999999</v>
      </c>
      <c r="CO63" s="443">
        <f t="shared" si="52"/>
        <v>40.4</v>
      </c>
      <c r="CP63" s="443"/>
      <c r="CQ63" s="217">
        <f t="shared" si="53"/>
        <v>0.40594059405940591</v>
      </c>
      <c r="CR63" s="172">
        <f t="shared" si="54"/>
        <v>24.648712871287128</v>
      </c>
      <c r="CS63" s="172">
        <f t="shared" si="115"/>
        <v>9.2799999999999994</v>
      </c>
      <c r="CT63" s="217">
        <f t="shared" si="55"/>
        <v>1.5405445544554455</v>
      </c>
      <c r="CU63" s="217">
        <f t="shared" si="56"/>
        <v>16</v>
      </c>
      <c r="CV63" s="217">
        <f t="shared" si="57"/>
        <v>1.5222772277227721</v>
      </c>
      <c r="CW63" s="172">
        <f t="shared" si="58"/>
        <v>79.568323395796625</v>
      </c>
      <c r="CX63" s="172">
        <f t="shared" si="59"/>
        <v>16</v>
      </c>
      <c r="CY63" s="217">
        <f t="shared" si="60"/>
        <v>1.9050406504065041</v>
      </c>
      <c r="CZ63" s="217">
        <f t="shared" si="61"/>
        <v>0.95252032520325203</v>
      </c>
      <c r="DA63" s="217">
        <f t="shared" si="62"/>
        <v>1.3939321832242713</v>
      </c>
      <c r="DB63" s="197">
        <f t="shared" si="63"/>
        <v>350</v>
      </c>
      <c r="DC63" s="443">
        <f t="shared" si="116"/>
        <v>350</v>
      </c>
      <c r="DE63" s="217">
        <f t="shared" si="64"/>
        <v>2.3196605374823194</v>
      </c>
      <c r="DF63" s="173">
        <f t="shared" si="65"/>
        <v>1.6973125884016973</v>
      </c>
      <c r="DG63" s="173">
        <f t="shared" si="66"/>
        <v>0.68900808044029282</v>
      </c>
      <c r="DH63" s="173"/>
      <c r="DI63" s="173">
        <f t="shared" si="67"/>
        <v>0.73170731707317083</v>
      </c>
      <c r="DJ63" s="545">
        <f t="shared" si="117"/>
        <v>1585.333333333333</v>
      </c>
      <c r="DK63" s="528">
        <f t="shared" si="68"/>
        <v>0.12804878048780488</v>
      </c>
      <c r="DM63" s="173">
        <f t="shared" si="69"/>
        <v>2.1282677955379135</v>
      </c>
      <c r="DN63" s="173">
        <f t="shared" si="70"/>
        <v>2.1282677955379135</v>
      </c>
      <c r="DO63" s="173">
        <f t="shared" si="71"/>
        <v>2.0357539226206764</v>
      </c>
      <c r="DQ63" s="545">
        <f t="shared" si="72"/>
        <v>580</v>
      </c>
      <c r="DR63" s="460">
        <f t="shared" si="73"/>
        <v>350</v>
      </c>
      <c r="DT63">
        <f t="shared" si="74"/>
        <v>580</v>
      </c>
      <c r="DU63">
        <f t="shared" si="75"/>
        <v>350</v>
      </c>
      <c r="DW63" s="5">
        <f t="shared" si="118"/>
        <v>2.8571428571428572</v>
      </c>
      <c r="DX63" s="5">
        <f t="shared" si="76"/>
        <v>1.0641338977689567</v>
      </c>
      <c r="DY63" s="5">
        <f t="shared" si="119"/>
        <v>1.7930089593739005</v>
      </c>
      <c r="DZ63" s="5">
        <f t="shared" si="77"/>
        <v>1.5572691186862784</v>
      </c>
      <c r="EA63" s="173">
        <f t="shared" si="120"/>
        <v>0.37244686421913487</v>
      </c>
      <c r="EB63" s="173">
        <f t="shared" si="78"/>
        <v>9.5120000000000022</v>
      </c>
      <c r="EC63" s="173">
        <f t="shared" si="79"/>
        <v>0.66780056443562341</v>
      </c>
      <c r="ED63" s="173">
        <f t="shared" si="121"/>
        <v>14.243773525466926</v>
      </c>
      <c r="EE63" s="460">
        <f t="shared" si="80"/>
        <v>3.8574853794124682</v>
      </c>
      <c r="EF63" s="5">
        <f t="shared" si="81"/>
        <v>0.57774733135381229</v>
      </c>
      <c r="EG63" s="5"/>
      <c r="EH63" s="173">
        <f t="shared" si="122"/>
        <v>0.74989042294259078</v>
      </c>
      <c r="EI63" s="173">
        <f t="shared" si="82"/>
        <v>0.97339900524926182</v>
      </c>
      <c r="EJ63" s="173"/>
      <c r="EK63" s="528">
        <f t="shared" si="83"/>
        <v>1.1246712928420353E-2</v>
      </c>
      <c r="EL63" s="528">
        <f t="shared" si="84"/>
        <v>0.57178042594921585</v>
      </c>
      <c r="EM63" s="528">
        <f t="shared" si="85"/>
        <v>4.0250000000000001E-2</v>
      </c>
      <c r="EN63" s="528">
        <f t="shared" si="86"/>
        <v>0.28134357999999998</v>
      </c>
      <c r="EO63">
        <f t="shared" si="87"/>
        <v>1.0800000000000001E-2</v>
      </c>
      <c r="EP63" s="460">
        <f t="shared" si="123"/>
        <v>51.05</v>
      </c>
      <c r="EQ63" s="528">
        <f t="shared" si="88"/>
        <v>0.92091822654316646</v>
      </c>
      <c r="ER63" s="460">
        <f t="shared" si="124"/>
        <v>920.9182265431665</v>
      </c>
      <c r="ES63" s="528">
        <f t="shared" si="125"/>
        <v>0.36032499999999995</v>
      </c>
      <c r="ET63" s="528"/>
      <c r="EV63" s="460">
        <f t="shared" si="126"/>
        <v>360.32499999999993</v>
      </c>
      <c r="EW63" s="528">
        <f t="shared" si="89"/>
        <v>1.6870069392630527E-2</v>
      </c>
      <c r="EX63" s="528">
        <f t="shared" si="90"/>
        <v>2.8425168702607573E-2</v>
      </c>
      <c r="EY63" s="528">
        <f t="shared" si="91"/>
        <v>0.75719161985745664</v>
      </c>
      <c r="EZ63" s="528">
        <f t="shared" si="92"/>
        <v>0.81631573233210164</v>
      </c>
      <c r="FA63" s="528">
        <f t="shared" si="93"/>
        <v>7.9266666666666687E-3</v>
      </c>
      <c r="FB63" s="460">
        <f t="shared" si="127"/>
        <v>824.24239899876829</v>
      </c>
      <c r="FC63" s="173">
        <f t="shared" si="128"/>
        <v>2.1054856255419345</v>
      </c>
      <c r="FD63" s="5">
        <f t="shared" si="129"/>
        <v>9.2799999999999994</v>
      </c>
      <c r="FE63" s="173">
        <f t="shared" si="130"/>
        <v>0.81507283090160543</v>
      </c>
      <c r="FF63" s="5">
        <f t="shared" si="131"/>
        <v>81.507283090160541</v>
      </c>
      <c r="FI63" s="562">
        <f t="shared" si="94"/>
        <v>-50</v>
      </c>
      <c r="FJ63">
        <f t="shared" si="95"/>
        <v>-50</v>
      </c>
      <c r="FL63">
        <f t="shared" si="181"/>
        <v>0.54504419154019734</v>
      </c>
    </row>
    <row r="64" spans="5:168">
      <c r="E64" s="170">
        <v>59</v>
      </c>
      <c r="F64" s="217">
        <f t="shared" si="182"/>
        <v>0.59</v>
      </c>
      <c r="G64" s="217"/>
      <c r="H64" s="217">
        <f t="shared" si="132"/>
        <v>9.44</v>
      </c>
      <c r="I64" s="541">
        <f t="shared" si="133"/>
        <v>23.946995058631067</v>
      </c>
      <c r="J64" s="172">
        <f t="shared" si="134"/>
        <v>16.431802964821358</v>
      </c>
      <c r="K64" s="172">
        <f t="shared" si="135"/>
        <v>40.431802964821358</v>
      </c>
      <c r="L64" s="443"/>
      <c r="M64" s="217">
        <f t="shared" si="136"/>
        <v>0.40694716223083455</v>
      </c>
      <c r="N64" s="172">
        <f t="shared" si="137"/>
        <v>24.655259058156293</v>
      </c>
      <c r="O64" s="172">
        <f t="shared" si="98"/>
        <v>9.44</v>
      </c>
      <c r="P64" s="217">
        <f t="shared" si="138"/>
        <v>1.5409536911347683</v>
      </c>
      <c r="Q64" s="217">
        <f t="shared" si="139"/>
        <v>16</v>
      </c>
      <c r="R64" s="217">
        <f t="shared" si="140"/>
        <v>1.5226815129790203</v>
      </c>
      <c r="S64" s="172">
        <f t="shared" si="141"/>
        <v>77.646055620976782</v>
      </c>
      <c r="T64" s="172">
        <f t="shared" si="142"/>
        <v>16</v>
      </c>
      <c r="U64" s="217">
        <f t="shared" si="143"/>
        <v>1.9897046685396562</v>
      </c>
      <c r="V64" s="217">
        <f t="shared" si="11"/>
        <v>0.99705436794961166</v>
      </c>
      <c r="W64" s="217">
        <f t="shared" si="144"/>
        <v>1.4530636761889539</v>
      </c>
      <c r="X64" s="197">
        <f t="shared" si="145"/>
        <v>350</v>
      </c>
      <c r="Y64" s="443">
        <f t="shared" si="14"/>
        <v>350</v>
      </c>
      <c r="AA64" s="217">
        <f t="shared" si="146"/>
        <v>2.3202435062840459</v>
      </c>
      <c r="AB64" s="173">
        <f t="shared" si="147"/>
        <v>1.6944532584170535</v>
      </c>
      <c r="AC64" s="173">
        <f t="shared" si="148"/>
        <v>0.68802022967020182</v>
      </c>
      <c r="AD64" s="173"/>
      <c r="AE64" s="173">
        <f t="shared" si="149"/>
        <v>0.73029113273148716</v>
      </c>
      <c r="AF64" s="545">
        <f t="shared" si="150"/>
        <v>1615.7939582074339</v>
      </c>
      <c r="AG64" s="528">
        <f t="shared" si="151"/>
        <v>0.12780094822801025</v>
      </c>
      <c r="AI64" s="173">
        <f t="shared" si="152"/>
        <v>2.148616803040261</v>
      </c>
      <c r="AJ64" s="173">
        <f t="shared" si="153"/>
        <v>2.148616803040261</v>
      </c>
      <c r="AK64" s="173">
        <f t="shared" si="154"/>
        <v>2.0508272615113046</v>
      </c>
      <c r="AM64" s="545">
        <f t="shared" si="155"/>
        <v>590</v>
      </c>
      <c r="AN64" s="460">
        <f t="shared" si="156"/>
        <v>350</v>
      </c>
      <c r="AP64">
        <f t="shared" si="157"/>
        <v>590</v>
      </c>
      <c r="AQ64">
        <f t="shared" si="158"/>
        <v>350</v>
      </c>
      <c r="AS64" s="5">
        <f t="shared" si="101"/>
        <v>2.8571428571428572</v>
      </c>
      <c r="AT64" s="5">
        <f t="shared" si="159"/>
        <v>1.0766863054573597</v>
      </c>
      <c r="AU64" s="5">
        <f t="shared" si="102"/>
        <v>1.7804565516854975</v>
      </c>
      <c r="AV64" s="5">
        <f t="shared" si="160"/>
        <v>1.569115798898179</v>
      </c>
      <c r="AW64" s="173">
        <f t="shared" si="103"/>
        <v>0.37684020691007586</v>
      </c>
      <c r="AX64" s="173">
        <f t="shared" si="161"/>
        <v>9.6947637492445988</v>
      </c>
      <c r="AY64" s="173">
        <f t="shared" si="162"/>
        <v>0.6694658012060517</v>
      </c>
      <c r="AZ64" s="173">
        <f t="shared" si="104"/>
        <v>14.481342783723008</v>
      </c>
      <c r="BA64" s="460">
        <f t="shared" si="163"/>
        <v>3.970280751374013</v>
      </c>
      <c r="BB64" s="5">
        <f t="shared" si="164"/>
        <v>0.58488583524989657</v>
      </c>
      <c r="BC64" s="5"/>
      <c r="BD64" s="173">
        <f t="shared" si="105"/>
        <v>0.76151236086327689</v>
      </c>
      <c r="BE64" s="173">
        <f t="shared" si="165"/>
        <v>0.97926008446245916</v>
      </c>
      <c r="BF64" s="173"/>
      <c r="BG64" s="528">
        <f t="shared" si="166"/>
        <v>1.1598021514951233E-2</v>
      </c>
      <c r="BH64" s="528">
        <f t="shared" si="167"/>
        <v>0.5548977822151977</v>
      </c>
      <c r="BI64" s="528">
        <f t="shared" si="168"/>
        <v>0.1927733102219801</v>
      </c>
      <c r="BJ64" s="528">
        <f t="shared" si="169"/>
        <v>0.28178670285873542</v>
      </c>
      <c r="BK64">
        <f t="shared" si="170"/>
        <v>1.0776147776383979E-2</v>
      </c>
      <c r="BL64" s="460">
        <f t="shared" si="106"/>
        <v>203.54945799836406</v>
      </c>
      <c r="BM64" s="528">
        <f t="shared" si="171"/>
        <v>0.85376668864899219</v>
      </c>
      <c r="BN64" s="460">
        <f t="shared" si="107"/>
        <v>853.76668864899216</v>
      </c>
      <c r="BO64" s="528">
        <f t="shared" si="172"/>
        <v>0.36653749999999996</v>
      </c>
      <c r="BP64" s="528"/>
      <c r="BR64" s="460">
        <f t="shared" si="109"/>
        <v>366.53749999999997</v>
      </c>
      <c r="BS64" s="528">
        <f t="shared" si="173"/>
        <v>1.7397032272426848E-2</v>
      </c>
      <c r="BT64" s="528">
        <f t="shared" si="174"/>
        <v>2.8768509390642679E-2</v>
      </c>
      <c r="BU64" s="528">
        <f t="shared" si="175"/>
        <v>0.14159999999999998</v>
      </c>
      <c r="BV64" s="528">
        <f t="shared" si="176"/>
        <v>0.19958237794895956</v>
      </c>
      <c r="BW64" s="528">
        <f t="shared" si="177"/>
        <v>8.0789697910371664E-3</v>
      </c>
      <c r="BX64" s="460">
        <f t="shared" si="110"/>
        <v>207.66134773999673</v>
      </c>
      <c r="BY64" s="173">
        <f t="shared" si="45"/>
        <v>1.6315149943873528</v>
      </c>
      <c r="BZ64" s="5">
        <f t="shared" si="111"/>
        <v>9.44</v>
      </c>
      <c r="CA64" s="173">
        <f t="shared" si="112"/>
        <v>0.85263850564132904</v>
      </c>
      <c r="CB64" s="5">
        <f t="shared" si="113"/>
        <v>85.263850564132909</v>
      </c>
      <c r="CE64" s="562">
        <f t="shared" si="178"/>
        <v>-50</v>
      </c>
      <c r="CF64">
        <f t="shared" si="179"/>
        <v>-50</v>
      </c>
      <c r="CG64" s="173">
        <f t="shared" si="180"/>
        <v>0.55655188437377512</v>
      </c>
      <c r="CI64" s="170">
        <v>59</v>
      </c>
      <c r="CJ64" s="217">
        <f t="shared" si="114"/>
        <v>0.59</v>
      </c>
      <c r="CK64" s="217"/>
      <c r="CL64" s="217">
        <f t="shared" si="49"/>
        <v>9.44</v>
      </c>
      <c r="CM64" s="541">
        <f t="shared" si="50"/>
        <v>24</v>
      </c>
      <c r="CN64" s="172">
        <f t="shared" si="51"/>
        <v>16.399999999999999</v>
      </c>
      <c r="CO64" s="443">
        <f t="shared" si="52"/>
        <v>40.4</v>
      </c>
      <c r="CP64" s="443"/>
      <c r="CQ64" s="217">
        <f t="shared" si="53"/>
        <v>0.40594059405940591</v>
      </c>
      <c r="CR64" s="172">
        <f t="shared" si="54"/>
        <v>24.648712871287128</v>
      </c>
      <c r="CS64" s="172">
        <f t="shared" si="115"/>
        <v>9.44</v>
      </c>
      <c r="CT64" s="217">
        <f t="shared" si="55"/>
        <v>1.5405445544554455</v>
      </c>
      <c r="CU64" s="217">
        <f t="shared" si="56"/>
        <v>16</v>
      </c>
      <c r="CV64" s="217">
        <f t="shared" si="57"/>
        <v>1.5222772277227721</v>
      </c>
      <c r="CW64" s="172">
        <f t="shared" si="58"/>
        <v>77.817649701470614</v>
      </c>
      <c r="CX64" s="172">
        <f t="shared" si="59"/>
        <v>16</v>
      </c>
      <c r="CY64" s="217">
        <f t="shared" si="60"/>
        <v>1.9378861788617885</v>
      </c>
      <c r="CZ64" s="217">
        <f t="shared" si="61"/>
        <v>0.96894308943089424</v>
      </c>
      <c r="DA64" s="217">
        <f t="shared" si="62"/>
        <v>1.4179654967281379</v>
      </c>
      <c r="DB64" s="197">
        <f t="shared" si="63"/>
        <v>350</v>
      </c>
      <c r="DC64" s="443">
        <f t="shared" si="116"/>
        <v>350</v>
      </c>
      <c r="DE64" s="217">
        <f t="shared" si="64"/>
        <v>2.3196605374823194</v>
      </c>
      <c r="DF64" s="173">
        <f t="shared" si="65"/>
        <v>1.6973125884016973</v>
      </c>
      <c r="DG64" s="173">
        <f t="shared" si="66"/>
        <v>0.68900808044029282</v>
      </c>
      <c r="DH64" s="173"/>
      <c r="DI64" s="173">
        <f t="shared" si="67"/>
        <v>0.73170731707317083</v>
      </c>
      <c r="DJ64" s="545">
        <f t="shared" si="117"/>
        <v>1612.6666666666663</v>
      </c>
      <c r="DK64" s="528">
        <f t="shared" si="68"/>
        <v>0.12804878048780488</v>
      </c>
      <c r="DM64" s="173">
        <f t="shared" si="69"/>
        <v>2.1465365237095426</v>
      </c>
      <c r="DN64" s="173">
        <f t="shared" si="70"/>
        <v>2.1465365237095426</v>
      </c>
      <c r="DO64" s="173">
        <f t="shared" si="71"/>
        <v>2.0492863138589206</v>
      </c>
      <c r="DQ64" s="545">
        <f t="shared" si="72"/>
        <v>590</v>
      </c>
      <c r="DR64" s="460">
        <f t="shared" si="73"/>
        <v>350</v>
      </c>
      <c r="DT64">
        <f t="shared" si="74"/>
        <v>590</v>
      </c>
      <c r="DU64">
        <f t="shared" si="75"/>
        <v>350</v>
      </c>
      <c r="DW64" s="5">
        <f t="shared" si="118"/>
        <v>2.8571428571428572</v>
      </c>
      <c r="DX64" s="5">
        <f t="shared" si="76"/>
        <v>1.0732682618547713</v>
      </c>
      <c r="DY64" s="5">
        <f t="shared" si="119"/>
        <v>1.7838745952880859</v>
      </c>
      <c r="DZ64" s="5">
        <f t="shared" si="77"/>
        <v>1.5706364807630802</v>
      </c>
      <c r="EA64" s="173">
        <f t="shared" si="120"/>
        <v>0.37564389164916995</v>
      </c>
      <c r="EB64" s="173">
        <f t="shared" si="78"/>
        <v>9.6760000000000002</v>
      </c>
      <c r="EC64" s="173">
        <f t="shared" si="79"/>
        <v>0.67010159518810453</v>
      </c>
      <c r="ED64" s="173">
        <f t="shared" si="121"/>
        <v>14.439601501446726</v>
      </c>
      <c r="EE64" s="460">
        <f t="shared" si="80"/>
        <v>3.9576767155894692</v>
      </c>
      <c r="EF64" s="5">
        <f t="shared" si="81"/>
        <v>0.5847144506777614</v>
      </c>
      <c r="EG64" s="5"/>
      <c r="EH64" s="173">
        <f t="shared" si="122"/>
        <v>0.75956653214941428</v>
      </c>
      <c r="EI64" s="173">
        <f t="shared" si="82"/>
        <v>0.9792505803478132</v>
      </c>
      <c r="EJ64" s="173"/>
      <c r="EK64" s="528">
        <f t="shared" si="83"/>
        <v>1.1538826335229744E-2</v>
      </c>
      <c r="EL64" s="528">
        <f t="shared" si="84"/>
        <v>0.57668850245980574</v>
      </c>
      <c r="EM64" s="528">
        <f t="shared" si="85"/>
        <v>4.0250000000000001E-2</v>
      </c>
      <c r="EN64" s="528">
        <f t="shared" si="86"/>
        <v>0.28134357999999998</v>
      </c>
      <c r="EO64">
        <f t="shared" si="87"/>
        <v>1.0800000000000001E-2</v>
      </c>
      <c r="EP64" s="460">
        <f t="shared" si="123"/>
        <v>51.05</v>
      </c>
      <c r="EQ64" s="528">
        <f t="shared" si="88"/>
        <v>0.92627589317831438</v>
      </c>
      <c r="ER64" s="460">
        <f t="shared" si="124"/>
        <v>926.27589317831439</v>
      </c>
      <c r="ES64" s="528">
        <f t="shared" si="125"/>
        <v>0.36653749999999996</v>
      </c>
      <c r="ET64" s="528"/>
      <c r="EV64" s="460">
        <f t="shared" si="126"/>
        <v>366.53749999999997</v>
      </c>
      <c r="EW64" s="528">
        <f t="shared" si="89"/>
        <v>1.7308239502844616E-2</v>
      </c>
      <c r="EX64" s="528">
        <f t="shared" si="90"/>
        <v>2.876795097334587E-2</v>
      </c>
      <c r="EY64" s="528">
        <f t="shared" si="91"/>
        <v>0.77354542410206073</v>
      </c>
      <c r="EZ64" s="528">
        <f t="shared" si="92"/>
        <v>0.83375319397057857</v>
      </c>
      <c r="FA64" s="528">
        <f t="shared" si="93"/>
        <v>8.0633333333333321E-3</v>
      </c>
      <c r="FB64" s="460">
        <f t="shared" si="127"/>
        <v>841.81652730391193</v>
      </c>
      <c r="FC64" s="173">
        <f t="shared" si="128"/>
        <v>2.1346299204822263</v>
      </c>
      <c r="FD64" s="5">
        <f t="shared" si="129"/>
        <v>9.44</v>
      </c>
      <c r="FE64" s="173">
        <f t="shared" si="130"/>
        <v>0.81557683181690077</v>
      </c>
      <c r="FF64" s="5">
        <f t="shared" si="131"/>
        <v>81.557683181690081</v>
      </c>
      <c r="FI64" s="562">
        <f t="shared" si="94"/>
        <v>-50</v>
      </c>
      <c r="FJ64">
        <f t="shared" si="95"/>
        <v>-50</v>
      </c>
      <c r="FL64">
        <f t="shared" si="181"/>
        <v>0.549722768267078</v>
      </c>
    </row>
    <row r="65" spans="5:168">
      <c r="E65" s="170">
        <v>60</v>
      </c>
      <c r="F65" s="217">
        <f t="shared" si="182"/>
        <v>0.6</v>
      </c>
      <c r="G65" s="217"/>
      <c r="H65" s="217">
        <f t="shared" si="132"/>
        <v>9.6</v>
      </c>
      <c r="I65" s="541">
        <f t="shared" si="133"/>
        <v>23.946547751617516</v>
      </c>
      <c r="J65" s="172">
        <f t="shared" si="134"/>
        <v>16.432071349029489</v>
      </c>
      <c r="K65" s="172">
        <f t="shared" si="135"/>
        <v>40.432071349029485</v>
      </c>
      <c r="L65" s="443"/>
      <c r="M65" s="217">
        <f t="shared" si="136"/>
        <v>0.4069556610416169</v>
      </c>
      <c r="N65" s="172">
        <f t="shared" si="137"/>
        <v>24.655313419908097</v>
      </c>
      <c r="O65" s="172">
        <f t="shared" si="98"/>
        <v>9.6</v>
      </c>
      <c r="P65" s="217">
        <f t="shared" si="138"/>
        <v>1.5409570887442561</v>
      </c>
      <c r="Q65" s="217">
        <f t="shared" si="139"/>
        <v>16</v>
      </c>
      <c r="R65" s="217">
        <f t="shared" si="140"/>
        <v>1.5226848703006486</v>
      </c>
      <c r="S65" s="172">
        <f t="shared" si="141"/>
        <v>75.95618109170104</v>
      </c>
      <c r="T65" s="172">
        <f t="shared" si="142"/>
        <v>16</v>
      </c>
      <c r="U65" s="217">
        <f t="shared" si="143"/>
        <v>2.0234574738672451</v>
      </c>
      <c r="V65" s="217">
        <f t="shared" si="11"/>
        <v>1.01398706562063</v>
      </c>
      <c r="W65" s="217">
        <f t="shared" si="144"/>
        <v>1.4776889152103794</v>
      </c>
      <c r="X65" s="197">
        <f t="shared" si="145"/>
        <v>350</v>
      </c>
      <c r="Y65" s="443">
        <f t="shared" si="14"/>
        <v>350</v>
      </c>
      <c r="AA65" s="217">
        <f t="shared" si="146"/>
        <v>2.3202483439536068</v>
      </c>
      <c r="AB65" s="173">
        <f t="shared" si="147"/>
        <v>1.694429115845322</v>
      </c>
      <c r="AC65" s="173">
        <f t="shared" si="148"/>
        <v>0.68801186124770441</v>
      </c>
      <c r="AD65" s="173"/>
      <c r="AE65" s="173">
        <f t="shared" si="149"/>
        <v>0.73027920492255793</v>
      </c>
      <c r="AF65" s="545">
        <f t="shared" si="150"/>
        <v>1643.2071349029488</v>
      </c>
      <c r="AG65" s="528">
        <f t="shared" si="151"/>
        <v>0.12779886086144765</v>
      </c>
      <c r="AI65" s="173">
        <f t="shared" si="152"/>
        <v>2.1667666067885896</v>
      </c>
      <c r="AJ65" s="173">
        <f t="shared" si="153"/>
        <v>2.1667666067885896</v>
      </c>
      <c r="AK65" s="173">
        <f t="shared" si="154"/>
        <v>2.0642715605841402</v>
      </c>
      <c r="AM65" s="545">
        <f t="shared" si="155"/>
        <v>600</v>
      </c>
      <c r="AN65" s="460">
        <f t="shared" si="156"/>
        <v>350</v>
      </c>
      <c r="AP65">
        <f t="shared" si="157"/>
        <v>600</v>
      </c>
      <c r="AQ65">
        <f t="shared" si="158"/>
        <v>350</v>
      </c>
      <c r="AS65" s="5">
        <f t="shared" si="101"/>
        <v>2.8571428571428572</v>
      </c>
      <c r="AT65" s="5">
        <f t="shared" si="159"/>
        <v>1.085801575707579</v>
      </c>
      <c r="AU65" s="5">
        <f t="shared" si="102"/>
        <v>1.7713412814352782</v>
      </c>
      <c r="AV65" s="5">
        <f t="shared" si="160"/>
        <v>1.5823445948583201</v>
      </c>
      <c r="AW65" s="173">
        <f t="shared" si="103"/>
        <v>0.38003055149765264</v>
      </c>
      <c r="AX65" s="173">
        <f t="shared" si="161"/>
        <v>9.8592428094176903</v>
      </c>
      <c r="AY65" s="173">
        <f t="shared" si="162"/>
        <v>0.67166454912201223</v>
      </c>
      <c r="AZ65" s="173">
        <f t="shared" si="104"/>
        <v>14.67881969102808</v>
      </c>
      <c r="BA65" s="460">
        <f t="shared" si="163"/>
        <v>4.0717559089034214</v>
      </c>
      <c r="BB65" s="5">
        <f t="shared" si="164"/>
        <v>0.59176505935077983</v>
      </c>
      <c r="BC65" s="5"/>
      <c r="BD65" s="173">
        <f t="shared" si="105"/>
        <v>0.77118888656661322</v>
      </c>
      <c r="BE65" s="173">
        <f t="shared" si="165"/>
        <v>0.98500095296105861</v>
      </c>
      <c r="BF65" s="173"/>
      <c r="BG65" s="528">
        <f t="shared" si="166"/>
        <v>1.1894645975277052E-2</v>
      </c>
      <c r="BH65" s="528">
        <f t="shared" si="167"/>
        <v>0.5595888312956433</v>
      </c>
      <c r="BI65" s="528">
        <f t="shared" si="168"/>
        <v>0.19276970940052102</v>
      </c>
      <c r="BJ65" s="528">
        <f t="shared" si="169"/>
        <v>0.28179044384214774</v>
      </c>
      <c r="BK65">
        <f t="shared" si="170"/>
        <v>1.0775946488227882E-2</v>
      </c>
      <c r="BL65" s="460">
        <f t="shared" si="106"/>
        <v>203.54565588874891</v>
      </c>
      <c r="BM65" s="528">
        <f t="shared" si="171"/>
        <v>0.85891290760077188</v>
      </c>
      <c r="BN65" s="460">
        <f t="shared" si="107"/>
        <v>858.91290760077186</v>
      </c>
      <c r="BO65" s="528">
        <f t="shared" si="172"/>
        <v>0.37274999999999997</v>
      </c>
      <c r="BP65" s="528"/>
      <c r="BR65" s="460">
        <f t="shared" si="109"/>
        <v>372.74999999999994</v>
      </c>
      <c r="BS65" s="528">
        <f t="shared" si="173"/>
        <v>1.7841968962915577E-2</v>
      </c>
      <c r="BT65" s="528">
        <f t="shared" si="174"/>
        <v>2.9106806320025807E-2</v>
      </c>
      <c r="BU65" s="528">
        <f t="shared" si="175"/>
        <v>0.14399999999999999</v>
      </c>
      <c r="BV65" s="528">
        <f t="shared" si="176"/>
        <v>0.2029788500242054</v>
      </c>
      <c r="BW65" s="528">
        <f t="shared" si="177"/>
        <v>8.2160356745147409E-3</v>
      </c>
      <c r="BX65" s="460">
        <f t="shared" si="110"/>
        <v>211.19488569872013</v>
      </c>
      <c r="BY65" s="173">
        <f t="shared" si="45"/>
        <v>1.6464034491882407</v>
      </c>
      <c r="BZ65" s="5">
        <f t="shared" si="111"/>
        <v>9.6</v>
      </c>
      <c r="CA65" s="173">
        <f t="shared" si="112"/>
        <v>0.85360622561454735</v>
      </c>
      <c r="CB65" s="5">
        <f t="shared" si="113"/>
        <v>85.360622561454733</v>
      </c>
      <c r="CE65" s="562">
        <f t="shared" si="178"/>
        <v>-50</v>
      </c>
      <c r="CF65">
        <f t="shared" si="179"/>
        <v>-50</v>
      </c>
      <c r="CG65" s="173">
        <f t="shared" si="180"/>
        <v>0.56124860801609122</v>
      </c>
      <c r="CI65" s="170">
        <v>60</v>
      </c>
      <c r="CJ65" s="217">
        <f t="shared" si="114"/>
        <v>0.6</v>
      </c>
      <c r="CK65" s="217"/>
      <c r="CL65" s="217">
        <f t="shared" si="49"/>
        <v>9.6</v>
      </c>
      <c r="CM65" s="541">
        <f t="shared" si="50"/>
        <v>24</v>
      </c>
      <c r="CN65" s="172">
        <f t="shared" si="51"/>
        <v>16.399999999999999</v>
      </c>
      <c r="CO65" s="443">
        <f t="shared" si="52"/>
        <v>40.4</v>
      </c>
      <c r="CP65" s="443"/>
      <c r="CQ65" s="217">
        <f t="shared" si="53"/>
        <v>0.40594059405940591</v>
      </c>
      <c r="CR65" s="172">
        <f t="shared" si="54"/>
        <v>24.648712871287128</v>
      </c>
      <c r="CS65" s="172">
        <f t="shared" si="115"/>
        <v>9.6</v>
      </c>
      <c r="CT65" s="217">
        <f t="shared" si="55"/>
        <v>1.5405445544554455</v>
      </c>
      <c r="CU65" s="217">
        <f t="shared" si="56"/>
        <v>16</v>
      </c>
      <c r="CV65" s="217">
        <f t="shared" si="57"/>
        <v>1.5222772277227721</v>
      </c>
      <c r="CW65" s="172">
        <f t="shared" si="58"/>
        <v>76.125448464434186</v>
      </c>
      <c r="CX65" s="172">
        <f t="shared" si="59"/>
        <v>16</v>
      </c>
      <c r="CY65" s="217">
        <f t="shared" si="60"/>
        <v>1.9707317073170731</v>
      </c>
      <c r="CZ65" s="217">
        <f t="shared" si="61"/>
        <v>0.98536585365853657</v>
      </c>
      <c r="DA65" s="217">
        <f t="shared" si="62"/>
        <v>1.4419988102320047</v>
      </c>
      <c r="DB65" s="197">
        <f t="shared" si="63"/>
        <v>350</v>
      </c>
      <c r="DC65" s="443">
        <f t="shared" si="116"/>
        <v>350</v>
      </c>
      <c r="DE65" s="217">
        <f t="shared" si="64"/>
        <v>2.3196605374823194</v>
      </c>
      <c r="DF65" s="173">
        <f t="shared" si="65"/>
        <v>1.6973125884016973</v>
      </c>
      <c r="DG65" s="173">
        <f t="shared" si="66"/>
        <v>0.68900808044029282</v>
      </c>
      <c r="DH65" s="173"/>
      <c r="DI65" s="173">
        <f t="shared" si="67"/>
        <v>0.73170731707317083</v>
      </c>
      <c r="DJ65" s="545">
        <f t="shared" si="117"/>
        <v>1639.9999999999998</v>
      </c>
      <c r="DK65" s="528">
        <f t="shared" si="68"/>
        <v>0.12804878048780488</v>
      </c>
      <c r="DM65" s="173">
        <f t="shared" si="69"/>
        <v>2.164651077128664</v>
      </c>
      <c r="DN65" s="173">
        <f t="shared" si="70"/>
        <v>2.164651077128664</v>
      </c>
      <c r="DO65" s="173">
        <f t="shared" si="71"/>
        <v>2.0627045015767882</v>
      </c>
      <c r="DQ65" s="545">
        <f t="shared" si="72"/>
        <v>600</v>
      </c>
      <c r="DR65" s="460">
        <f t="shared" si="73"/>
        <v>350</v>
      </c>
      <c r="DT65">
        <f t="shared" si="74"/>
        <v>600</v>
      </c>
      <c r="DU65">
        <f t="shared" si="75"/>
        <v>350</v>
      </c>
      <c r="DW65" s="5">
        <f t="shared" si="118"/>
        <v>2.8571428571428572</v>
      </c>
      <c r="DX65" s="5">
        <f t="shared" si="76"/>
        <v>1.082325538564332</v>
      </c>
      <c r="DY65" s="5">
        <f t="shared" si="119"/>
        <v>1.7748173185785252</v>
      </c>
      <c r="DZ65" s="5">
        <f t="shared" si="77"/>
        <v>1.5838910320453641</v>
      </c>
      <c r="EA65" s="173">
        <f t="shared" si="120"/>
        <v>0.37881393849751621</v>
      </c>
      <c r="EB65" s="173">
        <f t="shared" si="78"/>
        <v>9.84</v>
      </c>
      <c r="EC65" s="173">
        <f t="shared" si="79"/>
        <v>0.67232553856433208</v>
      </c>
      <c r="ED65" s="173">
        <f t="shared" si="121"/>
        <v>14.635767103257896</v>
      </c>
      <c r="EE65" s="460">
        <f t="shared" si="80"/>
        <v>4.0587207696162446</v>
      </c>
      <c r="EF65" s="5">
        <f t="shared" si="81"/>
        <v>0.59160577285950833</v>
      </c>
      <c r="EG65" s="5"/>
      <c r="EH65" s="173">
        <f t="shared" si="122"/>
        <v>0.76920172543694154</v>
      </c>
      <c r="EI65" s="173">
        <f t="shared" si="82"/>
        <v>0.98500429820868973</v>
      </c>
      <c r="EJ65" s="173"/>
      <c r="EK65" s="528">
        <f t="shared" si="83"/>
        <v>1.183342588830336E-2</v>
      </c>
      <c r="EL65" s="528">
        <f t="shared" si="84"/>
        <v>0.58155515838138694</v>
      </c>
      <c r="EM65" s="528">
        <f t="shared" si="85"/>
        <v>4.0250000000000001E-2</v>
      </c>
      <c r="EN65" s="528">
        <f t="shared" si="86"/>
        <v>0.28134357999999998</v>
      </c>
      <c r="EO65">
        <f t="shared" si="87"/>
        <v>1.0800000000000001E-2</v>
      </c>
      <c r="EP65" s="460">
        <f t="shared" si="123"/>
        <v>51.05</v>
      </c>
      <c r="EQ65" s="528">
        <f t="shared" si="88"/>
        <v>0.93159648642756709</v>
      </c>
      <c r="ER65" s="460">
        <f t="shared" si="124"/>
        <v>931.59648642756713</v>
      </c>
      <c r="ES65" s="528">
        <f t="shared" si="125"/>
        <v>0.37274999999999997</v>
      </c>
      <c r="ET65" s="528"/>
      <c r="EV65" s="460">
        <f t="shared" si="126"/>
        <v>372.74999999999994</v>
      </c>
      <c r="EW65" s="528">
        <f t="shared" si="89"/>
        <v>1.7750138832455038E-2</v>
      </c>
      <c r="EX65" s="528">
        <f t="shared" si="90"/>
        <v>2.9107004024687799E-2</v>
      </c>
      <c r="EY65" s="528">
        <f t="shared" si="91"/>
        <v>0.78996867406374804</v>
      </c>
      <c r="EZ65" s="528">
        <f t="shared" si="92"/>
        <v>0.85126254967854298</v>
      </c>
      <c r="FA65" s="528">
        <f t="shared" si="93"/>
        <v>8.199999999999999E-3</v>
      </c>
      <c r="FB65" s="460">
        <f t="shared" si="127"/>
        <v>859.46254967854293</v>
      </c>
      <c r="FC65" s="173">
        <f t="shared" si="128"/>
        <v>2.1638090361061102</v>
      </c>
      <c r="FD65" s="5">
        <f t="shared" si="129"/>
        <v>9.6</v>
      </c>
      <c r="FE65" s="173">
        <f t="shared" si="130"/>
        <v>0.81606220999806844</v>
      </c>
      <c r="FF65" s="5">
        <f t="shared" si="131"/>
        <v>81.606220999806851</v>
      </c>
      <c r="FI65" s="562">
        <f t="shared" si="94"/>
        <v>-50</v>
      </c>
      <c r="FJ65">
        <f t="shared" si="95"/>
        <v>-50</v>
      </c>
      <c r="FL65">
        <f t="shared" si="181"/>
        <v>0.55436186121587738</v>
      </c>
    </row>
    <row r="66" spans="5:168">
      <c r="E66" s="170">
        <v>61</v>
      </c>
      <c r="F66" s="217">
        <f t="shared" si="182"/>
        <v>0.61</v>
      </c>
      <c r="G66" s="217"/>
      <c r="H66" s="217">
        <f t="shared" si="132"/>
        <v>9.76</v>
      </c>
      <c r="I66" s="541">
        <f t="shared" si="133"/>
        <v>23.94610415688792</v>
      </c>
      <c r="J66" s="172">
        <f t="shared" si="134"/>
        <v>16.432337505867245</v>
      </c>
      <c r="K66" s="172">
        <f t="shared" si="135"/>
        <v>40.432337505867245</v>
      </c>
      <c r="L66" s="443"/>
      <c r="M66" s="217">
        <f t="shared" si="136"/>
        <v>0.4069640893921877</v>
      </c>
      <c r="N66" s="172">
        <f t="shared" si="137"/>
        <v>24.655367315926881</v>
      </c>
      <c r="O66" s="172">
        <f t="shared" si="98"/>
        <v>9.76</v>
      </c>
      <c r="P66" s="217">
        <f t="shared" si="138"/>
        <v>1.5409604572454301</v>
      </c>
      <c r="Q66" s="217">
        <f t="shared" si="139"/>
        <v>16</v>
      </c>
      <c r="R66" s="217">
        <f t="shared" si="140"/>
        <v>1.5226881988591208</v>
      </c>
      <c r="S66" s="172">
        <f t="shared" si="141"/>
        <v>74.321854931363575</v>
      </c>
      <c r="T66" s="172">
        <f t="shared" si="142"/>
        <v>16</v>
      </c>
      <c r="U66" s="217">
        <f t="shared" si="143"/>
        <v>2.0572110021964809</v>
      </c>
      <c r="V66" s="217">
        <f t="shared" si="11"/>
        <v>1.0309205983828844</v>
      </c>
      <c r="W66" s="217">
        <f t="shared" si="144"/>
        <v>1.5023140814593983</v>
      </c>
      <c r="X66" s="197">
        <f t="shared" si="145"/>
        <v>350</v>
      </c>
      <c r="Y66" s="443">
        <f t="shared" si="14"/>
        <v>350</v>
      </c>
      <c r="AA66" s="217">
        <f t="shared" si="146"/>
        <v>2.3202531401185924</v>
      </c>
      <c r="AB66" s="173">
        <f t="shared" si="147"/>
        <v>1.6944051734259729</v>
      </c>
      <c r="AC66" s="173">
        <f t="shared" si="148"/>
        <v>0.6880035617480903</v>
      </c>
      <c r="AD66" s="173"/>
      <c r="AE66" s="173">
        <f t="shared" si="149"/>
        <v>0.730267376489519</v>
      </c>
      <c r="AF66" s="545">
        <f t="shared" si="150"/>
        <v>1670.62097976317</v>
      </c>
      <c r="AG66" s="528">
        <f t="shared" si="151"/>
        <v>0.12779679088566584</v>
      </c>
      <c r="AI66" s="173">
        <f t="shared" si="152"/>
        <v>2.1847660742796569</v>
      </c>
      <c r="AJ66" s="173">
        <f t="shared" si="153"/>
        <v>2.1847660742796569</v>
      </c>
      <c r="AK66" s="173">
        <f t="shared" si="154"/>
        <v>2.0776044994664122</v>
      </c>
      <c r="AM66" s="545">
        <f t="shared" si="155"/>
        <v>610</v>
      </c>
      <c r="AN66" s="460">
        <f t="shared" si="156"/>
        <v>350</v>
      </c>
      <c r="AP66">
        <f t="shared" si="157"/>
        <v>610</v>
      </c>
      <c r="AQ66">
        <f t="shared" si="158"/>
        <v>350</v>
      </c>
      <c r="AS66" s="5">
        <f t="shared" si="101"/>
        <v>2.8571428571428572</v>
      </c>
      <c r="AT66" s="5">
        <f t="shared" si="159"/>
        <v>1.094841679447665</v>
      </c>
      <c r="AU66" s="5">
        <f t="shared" si="102"/>
        <v>1.7623011776951922</v>
      </c>
      <c r="AV66" s="5">
        <f t="shared" si="160"/>
        <v>1.5954633893075107</v>
      </c>
      <c r="AW66" s="173">
        <f t="shared" si="103"/>
        <v>0.38319458780668275</v>
      </c>
      <c r="AX66" s="173">
        <f t="shared" si="161"/>
        <v>10.023725878579022</v>
      </c>
      <c r="AY66" s="173">
        <f t="shared" si="162"/>
        <v>0.67378776949601971</v>
      </c>
      <c r="AZ66" s="173">
        <f t="shared" si="104"/>
        <v>14.876681252431423</v>
      </c>
      <c r="BA66" s="460">
        <f t="shared" si="163"/>
        <v>4.174083902894222</v>
      </c>
      <c r="BB66" s="5">
        <f t="shared" si="164"/>
        <v>0.59856846934318564</v>
      </c>
      <c r="BC66" s="5"/>
      <c r="BD66" s="173">
        <f t="shared" si="105"/>
        <v>0.78082552024644891</v>
      </c>
      <c r="BE66" s="173">
        <f t="shared" si="165"/>
        <v>0.9906458028510039</v>
      </c>
      <c r="BF66" s="173"/>
      <c r="BG66" s="528">
        <f t="shared" si="166"/>
        <v>1.2193769861362752E-2</v>
      </c>
      <c r="BH66" s="528">
        <f t="shared" si="167"/>
        <v>0.56424108544343676</v>
      </c>
      <c r="BI66" s="528">
        <f t="shared" si="168"/>
        <v>0.19276613846294777</v>
      </c>
      <c r="BJ66" s="528">
        <f t="shared" si="169"/>
        <v>0.28179415380296841</v>
      </c>
      <c r="BK66">
        <f t="shared" si="170"/>
        <v>1.0775746870599564E-2</v>
      </c>
      <c r="BL66" s="460">
        <f t="shared" si="106"/>
        <v>203.54188533354733</v>
      </c>
      <c r="BM66" s="528">
        <f t="shared" si="171"/>
        <v>0.86402461339851933</v>
      </c>
      <c r="BN66" s="460">
        <f t="shared" si="107"/>
        <v>864.02461339851936</v>
      </c>
      <c r="BO66" s="528">
        <f t="shared" si="172"/>
        <v>0.37896249999999998</v>
      </c>
      <c r="BP66" s="528"/>
      <c r="BR66" s="460">
        <f t="shared" si="109"/>
        <v>378.96249999999998</v>
      </c>
      <c r="BS66" s="528">
        <f t="shared" si="173"/>
        <v>1.8290654792044125E-2</v>
      </c>
      <c r="BT66" s="528">
        <f t="shared" si="174"/>
        <v>2.9441373201189301E-2</v>
      </c>
      <c r="BU66" s="528">
        <f t="shared" si="175"/>
        <v>0.1464</v>
      </c>
      <c r="BV66" s="528">
        <f t="shared" si="176"/>
        <v>0.20637577344723412</v>
      </c>
      <c r="BW66" s="528">
        <f t="shared" si="177"/>
        <v>8.3531048988158517E-3</v>
      </c>
      <c r="BX66" s="460">
        <f t="shared" si="110"/>
        <v>214.72887834604998</v>
      </c>
      <c r="BY66" s="173">
        <f t="shared" si="45"/>
        <v>1.6612578770781168</v>
      </c>
      <c r="BZ66" s="5">
        <f t="shared" si="111"/>
        <v>9.76</v>
      </c>
      <c r="CA66" s="173">
        <f t="shared" si="112"/>
        <v>0.85454685508746142</v>
      </c>
      <c r="CB66" s="5">
        <f t="shared" si="113"/>
        <v>85.454685508746138</v>
      </c>
      <c r="CE66" s="562">
        <f t="shared" si="178"/>
        <v>-50</v>
      </c>
      <c r="CF66">
        <f t="shared" si="179"/>
        <v>-50</v>
      </c>
      <c r="CG66" s="173">
        <f t="shared" si="180"/>
        <v>0.56590635267683642</v>
      </c>
      <c r="CI66" s="170">
        <v>61</v>
      </c>
      <c r="CJ66" s="217">
        <f t="shared" si="114"/>
        <v>0.61</v>
      </c>
      <c r="CK66" s="217"/>
      <c r="CL66" s="217">
        <f t="shared" si="49"/>
        <v>9.76</v>
      </c>
      <c r="CM66" s="541">
        <f t="shared" si="50"/>
        <v>24</v>
      </c>
      <c r="CN66" s="172">
        <f t="shared" si="51"/>
        <v>16.399999999999999</v>
      </c>
      <c r="CO66" s="443">
        <f t="shared" si="52"/>
        <v>40.4</v>
      </c>
      <c r="CP66" s="443"/>
      <c r="CQ66" s="217">
        <f t="shared" si="53"/>
        <v>0.40594059405940591</v>
      </c>
      <c r="CR66" s="172">
        <f t="shared" si="54"/>
        <v>24.648712871287128</v>
      </c>
      <c r="CS66" s="172">
        <f t="shared" si="115"/>
        <v>9.76</v>
      </c>
      <c r="CT66" s="217">
        <f t="shared" si="55"/>
        <v>1.5405445544554455</v>
      </c>
      <c r="CU66" s="217">
        <f t="shared" si="56"/>
        <v>16</v>
      </c>
      <c r="CV66" s="217">
        <f t="shared" si="57"/>
        <v>1.5222772277227721</v>
      </c>
      <c r="CW66" s="172">
        <f t="shared" si="58"/>
        <v>74.488845722573473</v>
      </c>
      <c r="CX66" s="172">
        <f t="shared" si="59"/>
        <v>16</v>
      </c>
      <c r="CY66" s="217">
        <f t="shared" si="60"/>
        <v>2.0035772357723576</v>
      </c>
      <c r="CZ66" s="217">
        <f t="shared" si="61"/>
        <v>1.0017886178861788</v>
      </c>
      <c r="DA66" s="217">
        <f t="shared" si="62"/>
        <v>1.4660321237358718</v>
      </c>
      <c r="DB66" s="197">
        <f t="shared" si="63"/>
        <v>350</v>
      </c>
      <c r="DC66" s="443">
        <f t="shared" si="116"/>
        <v>350</v>
      </c>
      <c r="DE66" s="217">
        <f t="shared" si="64"/>
        <v>2.3196605374823194</v>
      </c>
      <c r="DF66" s="173">
        <f t="shared" si="65"/>
        <v>1.6973125884016973</v>
      </c>
      <c r="DG66" s="173">
        <f t="shared" si="66"/>
        <v>0.68900808044029282</v>
      </c>
      <c r="DH66" s="173"/>
      <c r="DI66" s="173">
        <f t="shared" si="67"/>
        <v>0.73170731707317083</v>
      </c>
      <c r="DJ66" s="545">
        <f t="shared" si="117"/>
        <v>1667.333333333333</v>
      </c>
      <c r="DK66" s="528">
        <f t="shared" si="68"/>
        <v>0.12804878048780488</v>
      </c>
      <c r="DM66" s="173">
        <f t="shared" si="69"/>
        <v>2.1826152945055441</v>
      </c>
      <c r="DN66" s="173">
        <f t="shared" si="70"/>
        <v>2.1826152945055441</v>
      </c>
      <c r="DO66" s="173">
        <f t="shared" si="71"/>
        <v>2.0760113292633662</v>
      </c>
      <c r="DQ66" s="545">
        <f t="shared" si="72"/>
        <v>610</v>
      </c>
      <c r="DR66" s="460">
        <f t="shared" si="73"/>
        <v>350</v>
      </c>
      <c r="DT66">
        <f t="shared" si="74"/>
        <v>610</v>
      </c>
      <c r="DU66">
        <f t="shared" si="75"/>
        <v>350</v>
      </c>
      <c r="DW66" s="5">
        <f t="shared" si="118"/>
        <v>2.8571428571428572</v>
      </c>
      <c r="DX66" s="5">
        <f t="shared" si="76"/>
        <v>1.0913076472527721</v>
      </c>
      <c r="DY66" s="5">
        <f t="shared" si="119"/>
        <v>1.7658352098900851</v>
      </c>
      <c r="DZ66" s="5">
        <f t="shared" si="77"/>
        <v>1.5970355813455204</v>
      </c>
      <c r="EA66" s="173">
        <f t="shared" si="120"/>
        <v>0.38195767653847024</v>
      </c>
      <c r="EB66" s="173">
        <f t="shared" si="78"/>
        <v>10.003999999999998</v>
      </c>
      <c r="EC66" s="173">
        <f t="shared" si="79"/>
        <v>0.67447431391943879</v>
      </c>
      <c r="ED66" s="173">
        <f t="shared" si="121"/>
        <v>14.832292043659509</v>
      </c>
      <c r="EE66" s="460">
        <f t="shared" si="80"/>
        <v>4.1606104051511936</v>
      </c>
      <c r="EF66" s="5">
        <f t="shared" si="81"/>
        <v>0.59842193224052875</v>
      </c>
      <c r="EG66" s="5"/>
      <c r="EH66" s="173">
        <f t="shared" si="122"/>
        <v>0.77879685352602745</v>
      </c>
      <c r="EI66" s="173">
        <f t="shared" si="82"/>
        <v>0.99066238894714631</v>
      </c>
      <c r="EJ66" s="173"/>
      <c r="EK66" s="528">
        <f t="shared" si="83"/>
        <v>1.2130490781240812E-2</v>
      </c>
      <c r="EL66" s="528">
        <f t="shared" si="84"/>
        <v>0.58638142502185953</v>
      </c>
      <c r="EM66" s="528">
        <f t="shared" si="85"/>
        <v>4.0250000000000001E-2</v>
      </c>
      <c r="EN66" s="528">
        <f t="shared" si="86"/>
        <v>0.28134357999999998</v>
      </c>
      <c r="EO66">
        <f t="shared" si="87"/>
        <v>1.0800000000000001E-2</v>
      </c>
      <c r="EP66" s="460">
        <f t="shared" si="123"/>
        <v>51.05</v>
      </c>
      <c r="EQ66" s="528">
        <f t="shared" si="88"/>
        <v>0.93688101108284649</v>
      </c>
      <c r="ER66" s="460">
        <f t="shared" si="124"/>
        <v>936.8810110828465</v>
      </c>
      <c r="ES66" s="528">
        <f t="shared" si="125"/>
        <v>0.37896249999999998</v>
      </c>
      <c r="ET66" s="528"/>
      <c r="EV66" s="460">
        <f t="shared" si="126"/>
        <v>378.96249999999998</v>
      </c>
      <c r="EW66" s="528">
        <f t="shared" si="89"/>
        <v>1.8195736171861217E-2</v>
      </c>
      <c r="EX66" s="528">
        <f t="shared" si="90"/>
        <v>2.9442359066234009E-2</v>
      </c>
      <c r="EY66" s="528">
        <f t="shared" si="91"/>
        <v>0.80646049977865975</v>
      </c>
      <c r="EZ66" s="528">
        <f t="shared" si="92"/>
        <v>0.86884293969053172</v>
      </c>
      <c r="FA66" s="528">
        <f t="shared" si="93"/>
        <v>8.3366666666666658E-3</v>
      </c>
      <c r="FB66" s="460">
        <f t="shared" si="127"/>
        <v>877.1796063571984</v>
      </c>
      <c r="FC66" s="173">
        <f t="shared" si="128"/>
        <v>2.1930231174400445</v>
      </c>
      <c r="FD66" s="5">
        <f t="shared" si="129"/>
        <v>9.76</v>
      </c>
      <c r="FE66" s="173">
        <f t="shared" si="130"/>
        <v>0.8165298355158106</v>
      </c>
      <c r="FF66" s="5">
        <f t="shared" si="131"/>
        <v>81.652983551581059</v>
      </c>
      <c r="FI66" s="562">
        <f t="shared" si="94"/>
        <v>-50</v>
      </c>
      <c r="FJ66">
        <f t="shared" si="95"/>
        <v>-50</v>
      </c>
      <c r="FL66">
        <f t="shared" si="181"/>
        <v>0.5589624534709321</v>
      </c>
    </row>
    <row r="67" spans="5:168">
      <c r="E67" s="170">
        <v>62</v>
      </c>
      <c r="F67" s="217">
        <f t="shared" si="182"/>
        <v>0.62</v>
      </c>
      <c r="G67" s="217"/>
      <c r="H67" s="217">
        <f t="shared" si="132"/>
        <v>9.92</v>
      </c>
      <c r="I67" s="541">
        <f t="shared" si="133"/>
        <v>23.94566418352154</v>
      </c>
      <c r="J67" s="172">
        <f t="shared" si="134"/>
        <v>16.432601489887077</v>
      </c>
      <c r="K67" s="172">
        <f t="shared" si="135"/>
        <v>40.432601489887077</v>
      </c>
      <c r="L67" s="443"/>
      <c r="M67" s="217">
        <f t="shared" si="136"/>
        <v>0.40697244900824964</v>
      </c>
      <c r="N67" s="172">
        <f t="shared" si="137"/>
        <v>24.655420757619126</v>
      </c>
      <c r="O67" s="172">
        <f t="shared" si="98"/>
        <v>9.92</v>
      </c>
      <c r="P67" s="217">
        <f t="shared" si="138"/>
        <v>1.5409637973511954</v>
      </c>
      <c r="Q67" s="217">
        <f t="shared" si="139"/>
        <v>16</v>
      </c>
      <c r="R67" s="217">
        <f t="shared" si="140"/>
        <v>1.5226914993588891</v>
      </c>
      <c r="S67" s="172">
        <f t="shared" si="141"/>
        <v>72.74039059786142</v>
      </c>
      <c r="T67" s="172">
        <f t="shared" si="142"/>
        <v>16</v>
      </c>
      <c r="U67" s="217">
        <f t="shared" si="143"/>
        <v>2.0909652476116576</v>
      </c>
      <c r="V67" s="217">
        <f t="shared" si="11"/>
        <v>1.0478549594212938</v>
      </c>
      <c r="W67" s="217">
        <f t="shared" si="144"/>
        <v>1.5269391755639976</v>
      </c>
      <c r="X67" s="197">
        <f t="shared" si="145"/>
        <v>350</v>
      </c>
      <c r="Y67" s="443">
        <f t="shared" si="14"/>
        <v>350</v>
      </c>
      <c r="AA67" s="217">
        <f t="shared" si="146"/>
        <v>2.32025789579551</v>
      </c>
      <c r="AB67" s="173">
        <f t="shared" si="147"/>
        <v>1.6943814262568997</v>
      </c>
      <c r="AC67" s="173">
        <f t="shared" si="148"/>
        <v>0.68799532948332009</v>
      </c>
      <c r="AD67" s="173"/>
      <c r="AE67" s="173">
        <f t="shared" si="149"/>
        <v>0.73025564499845141</v>
      </c>
      <c r="AF67" s="545">
        <f t="shared" si="150"/>
        <v>1698.0354872883311</v>
      </c>
      <c r="AG67" s="528">
        <f t="shared" si="151"/>
        <v>0.12779473787472898</v>
      </c>
      <c r="AI67" s="173">
        <f t="shared" si="152"/>
        <v>2.2026188875247907</v>
      </c>
      <c r="AJ67" s="173">
        <f t="shared" si="153"/>
        <v>2.2026188875247907</v>
      </c>
      <c r="AK67" s="173">
        <f t="shared" si="154"/>
        <v>2.0908288055739188</v>
      </c>
      <c r="AM67" s="545">
        <f t="shared" si="155"/>
        <v>620</v>
      </c>
      <c r="AN67" s="460">
        <f t="shared" si="156"/>
        <v>350</v>
      </c>
      <c r="AP67">
        <f t="shared" si="157"/>
        <v>620</v>
      </c>
      <c r="AQ67">
        <f t="shared" si="158"/>
        <v>350</v>
      </c>
      <c r="AS67" s="5">
        <f t="shared" si="101"/>
        <v>2.8571428571428572</v>
      </c>
      <c r="AT67" s="5">
        <f t="shared" si="159"/>
        <v>1.1038084576700342</v>
      </c>
      <c r="AU67" s="5">
        <f t="shared" si="102"/>
        <v>1.753334399472823</v>
      </c>
      <c r="AV67" s="5">
        <f t="shared" si="160"/>
        <v>1.6084748763951875</v>
      </c>
      <c r="AW67" s="173">
        <f t="shared" si="103"/>
        <v>0.38633296018451196</v>
      </c>
      <c r="AX67" s="173">
        <f t="shared" si="161"/>
        <v>10.188212923729989</v>
      </c>
      <c r="AY67" s="173">
        <f t="shared" si="162"/>
        <v>0.67583730627451077</v>
      </c>
      <c r="AZ67" s="173">
        <f t="shared" si="104"/>
        <v>15.074948999029882</v>
      </c>
      <c r="BA67" s="460">
        <f t="shared" si="163"/>
        <v>4.2772577734713817</v>
      </c>
      <c r="BB67" s="5">
        <f t="shared" si="164"/>
        <v>0.60529668020719829</v>
      </c>
      <c r="BC67" s="5"/>
      <c r="BD67" s="173">
        <f t="shared" si="105"/>
        <v>0.79042307917821619</v>
      </c>
      <c r="BE67" s="173">
        <f t="shared" si="165"/>
        <v>0.99619677296342557</v>
      </c>
      <c r="BF67" s="173"/>
      <c r="BG67" s="528">
        <f t="shared" si="166"/>
        <v>1.2495372881951452E-2</v>
      </c>
      <c r="BH67" s="528">
        <f t="shared" si="167"/>
        <v>0.56885549481926767</v>
      </c>
      <c r="BI67" s="528">
        <f t="shared" si="168"/>
        <v>0.19276259667734841</v>
      </c>
      <c r="BJ67" s="528">
        <f t="shared" si="169"/>
        <v>0.28179783350099824</v>
      </c>
      <c r="BK67">
        <f t="shared" si="170"/>
        <v>1.0775548882584692E-2</v>
      </c>
      <c r="BL67" s="460">
        <f t="shared" si="106"/>
        <v>203.5381455599331</v>
      </c>
      <c r="BM67" s="528">
        <f t="shared" si="171"/>
        <v>0.86910273149852879</v>
      </c>
      <c r="BN67" s="460">
        <f t="shared" si="107"/>
        <v>869.10273149852878</v>
      </c>
      <c r="BO67" s="528">
        <f t="shared" si="172"/>
        <v>0.38517499999999999</v>
      </c>
      <c r="BP67" s="528"/>
      <c r="BR67" s="460">
        <f t="shared" si="109"/>
        <v>385.17500000000001</v>
      </c>
      <c r="BS67" s="528">
        <f t="shared" si="173"/>
        <v>1.8743059322927177E-2</v>
      </c>
      <c r="BT67" s="528">
        <f t="shared" si="174"/>
        <v>2.9772240313882283E-2</v>
      </c>
      <c r="BU67" s="528">
        <f t="shared" si="175"/>
        <v>0.14879999999999999</v>
      </c>
      <c r="BV67" s="528">
        <f t="shared" si="176"/>
        <v>0.20977314812058989</v>
      </c>
      <c r="BW67" s="528">
        <f t="shared" si="177"/>
        <v>8.4901774364416569E-3</v>
      </c>
      <c r="BX67" s="460">
        <f t="shared" si="110"/>
        <v>218.26332555703155</v>
      </c>
      <c r="BY67" s="173">
        <f t="shared" si="45"/>
        <v>1.6760792026154934</v>
      </c>
      <c r="BZ67" s="5">
        <f t="shared" si="111"/>
        <v>9.92</v>
      </c>
      <c r="CA67" s="173">
        <f t="shared" si="112"/>
        <v>0.85546155960736669</v>
      </c>
      <c r="CB67" s="5">
        <f t="shared" si="113"/>
        <v>85.546155960736669</v>
      </c>
      <c r="CE67" s="562">
        <f t="shared" si="178"/>
        <v>-50</v>
      </c>
      <c r="CF67">
        <f t="shared" si="179"/>
        <v>-50</v>
      </c>
      <c r="CG67" s="173">
        <f t="shared" si="180"/>
        <v>0.57052607302383651</v>
      </c>
      <c r="CI67" s="170">
        <v>62</v>
      </c>
      <c r="CJ67" s="217">
        <f t="shared" si="114"/>
        <v>0.62</v>
      </c>
      <c r="CK67" s="217"/>
      <c r="CL67" s="217">
        <f t="shared" si="49"/>
        <v>9.92</v>
      </c>
      <c r="CM67" s="541">
        <f t="shared" si="50"/>
        <v>24</v>
      </c>
      <c r="CN67" s="172">
        <f t="shared" si="51"/>
        <v>16.399999999999999</v>
      </c>
      <c r="CO67" s="443">
        <f t="shared" si="52"/>
        <v>40.4</v>
      </c>
      <c r="CP67" s="443"/>
      <c r="CQ67" s="217">
        <f t="shared" si="53"/>
        <v>0.40594059405940591</v>
      </c>
      <c r="CR67" s="172">
        <f t="shared" si="54"/>
        <v>24.648712871287128</v>
      </c>
      <c r="CS67" s="172">
        <f t="shared" si="115"/>
        <v>9.92</v>
      </c>
      <c r="CT67" s="217">
        <f t="shared" si="55"/>
        <v>1.5405445544554455</v>
      </c>
      <c r="CU67" s="217">
        <f t="shared" si="56"/>
        <v>16</v>
      </c>
      <c r="CV67" s="217">
        <f t="shared" si="57"/>
        <v>1.5222772277227721</v>
      </c>
      <c r="CW67" s="172">
        <f t="shared" si="58"/>
        <v>72.905152964087435</v>
      </c>
      <c r="CX67" s="172">
        <f t="shared" si="59"/>
        <v>16</v>
      </c>
      <c r="CY67" s="217">
        <f t="shared" si="60"/>
        <v>2.0364227642276425</v>
      </c>
      <c r="CZ67" s="217">
        <f t="shared" si="61"/>
        <v>1.0182113821138215</v>
      </c>
      <c r="DA67" s="217">
        <f t="shared" si="62"/>
        <v>1.4900654372397386</v>
      </c>
      <c r="DB67" s="197">
        <f t="shared" si="63"/>
        <v>350</v>
      </c>
      <c r="DC67" s="443">
        <f t="shared" si="116"/>
        <v>350</v>
      </c>
      <c r="DE67" s="217">
        <f t="shared" si="64"/>
        <v>2.3196605374823194</v>
      </c>
      <c r="DF67" s="173">
        <f t="shared" si="65"/>
        <v>1.6973125884016973</v>
      </c>
      <c r="DG67" s="173">
        <f t="shared" si="66"/>
        <v>0.68900808044029282</v>
      </c>
      <c r="DH67" s="173"/>
      <c r="DI67" s="173">
        <f t="shared" si="67"/>
        <v>0.73170731707317083</v>
      </c>
      <c r="DJ67" s="545">
        <f t="shared" si="117"/>
        <v>1694.6666666666665</v>
      </c>
      <c r="DK67" s="528">
        <f t="shared" si="68"/>
        <v>0.12804878048780488</v>
      </c>
      <c r="DM67" s="173">
        <f t="shared" si="69"/>
        <v>2.2004328578497372</v>
      </c>
      <c r="DN67" s="173">
        <f t="shared" si="70"/>
        <v>2.2004328578497372</v>
      </c>
      <c r="DO67" s="173">
        <f t="shared" si="71"/>
        <v>2.0892095243331386</v>
      </c>
      <c r="DQ67" s="545">
        <f t="shared" si="72"/>
        <v>620</v>
      </c>
      <c r="DR67" s="460">
        <f t="shared" si="73"/>
        <v>350</v>
      </c>
      <c r="DT67">
        <f t="shared" si="74"/>
        <v>620</v>
      </c>
      <c r="DU67">
        <f t="shared" si="75"/>
        <v>350</v>
      </c>
      <c r="DW67" s="5">
        <f t="shared" si="118"/>
        <v>2.8571428571428572</v>
      </c>
      <c r="DX67" s="5">
        <f t="shared" si="76"/>
        <v>1.1002164289248686</v>
      </c>
      <c r="DY67" s="5">
        <f t="shared" si="119"/>
        <v>1.7569264282179886</v>
      </c>
      <c r="DZ67" s="5">
        <f t="shared" si="77"/>
        <v>1.610072822816881</v>
      </c>
      <c r="EA67" s="173">
        <f t="shared" si="120"/>
        <v>0.38507575012370399</v>
      </c>
      <c r="EB67" s="173">
        <f t="shared" si="78"/>
        <v>10.167999999999999</v>
      </c>
      <c r="EC67" s="173">
        <f t="shared" si="79"/>
        <v>0.67654976225820196</v>
      </c>
      <c r="ED67" s="173">
        <f t="shared" si="121"/>
        <v>15.029197506567789</v>
      </c>
      <c r="EE67" s="460">
        <f t="shared" si="80"/>
        <v>4.263338662083866</v>
      </c>
      <c r="EF67" s="5">
        <f t="shared" si="81"/>
        <v>0.60516354749730705</v>
      </c>
      <c r="EG67" s="5"/>
      <c r="EH67" s="173">
        <f t="shared" si="122"/>
        <v>0.78835273581859922</v>
      </c>
      <c r="EI67" s="173">
        <f t="shared" si="82"/>
        <v>0.99622699114990043</v>
      </c>
      <c r="EJ67" s="173"/>
      <c r="EK67" s="528">
        <f t="shared" si="83"/>
        <v>1.2430000721453402E-2</v>
      </c>
      <c r="EL67" s="528">
        <f t="shared" si="84"/>
        <v>0.59116829158991036</v>
      </c>
      <c r="EM67" s="528">
        <f t="shared" si="85"/>
        <v>4.0250000000000001E-2</v>
      </c>
      <c r="EN67" s="528">
        <f t="shared" si="86"/>
        <v>0.28134357999999998</v>
      </c>
      <c r="EO67">
        <f t="shared" si="87"/>
        <v>1.0800000000000001E-2</v>
      </c>
      <c r="EP67" s="460">
        <f t="shared" si="123"/>
        <v>51.05</v>
      </c>
      <c r="EQ67" s="528">
        <f t="shared" si="88"/>
        <v>0.94213043053301615</v>
      </c>
      <c r="ER67" s="460">
        <f t="shared" si="124"/>
        <v>942.13043053301612</v>
      </c>
      <c r="ES67" s="528">
        <f t="shared" si="125"/>
        <v>0.38517499999999999</v>
      </c>
      <c r="ET67" s="528"/>
      <c r="EV67" s="460">
        <f t="shared" si="126"/>
        <v>385.17500000000001</v>
      </c>
      <c r="EW67" s="528">
        <f t="shared" si="89"/>
        <v>1.8645001082180104E-2</v>
      </c>
      <c r="EX67" s="528">
        <f t="shared" si="90"/>
        <v>2.9774046536867514E-2</v>
      </c>
      <c r="EY67" s="528">
        <f t="shared" si="91"/>
        <v>0.82302005629569563</v>
      </c>
      <c r="EZ67" s="528">
        <f t="shared" si="92"/>
        <v>0.88649352913540935</v>
      </c>
      <c r="FA67" s="528">
        <f t="shared" si="93"/>
        <v>8.4733333333333345E-3</v>
      </c>
      <c r="FB67" s="460">
        <f t="shared" si="127"/>
        <v>894.96686246874265</v>
      </c>
      <c r="FC67" s="173">
        <f t="shared" si="128"/>
        <v>2.2222722930017587</v>
      </c>
      <c r="FD67" s="5">
        <f t="shared" si="129"/>
        <v>9.92</v>
      </c>
      <c r="FE67" s="173">
        <f t="shared" si="130"/>
        <v>0.81698052560700907</v>
      </c>
      <c r="FF67" s="5">
        <f t="shared" si="131"/>
        <v>81.698052560700901</v>
      </c>
      <c r="FI67" s="562">
        <f t="shared" si="94"/>
        <v>-50</v>
      </c>
      <c r="FJ67">
        <f t="shared" si="95"/>
        <v>-50</v>
      </c>
      <c r="FL67">
        <f t="shared" si="181"/>
        <v>0.5635254879859084</v>
      </c>
    </row>
    <row r="68" spans="5:168">
      <c r="E68" s="170">
        <v>63</v>
      </c>
      <c r="F68" s="217">
        <f t="shared" si="182"/>
        <v>0.63</v>
      </c>
      <c r="G68" s="217"/>
      <c r="H68" s="217">
        <f t="shared" si="132"/>
        <v>10.08</v>
      </c>
      <c r="I68" s="541">
        <f t="shared" si="133"/>
        <v>23.945227744249483</v>
      </c>
      <c r="J68" s="172">
        <f t="shared" si="134"/>
        <v>16.432863353450308</v>
      </c>
      <c r="K68" s="172">
        <f t="shared" si="135"/>
        <v>40.432863353450308</v>
      </c>
      <c r="L68" s="443"/>
      <c r="M68" s="217">
        <f t="shared" si="136"/>
        <v>0.40698074154619207</v>
      </c>
      <c r="N68" s="172">
        <f t="shared" si="137"/>
        <v>24.655473755933176</v>
      </c>
      <c r="O68" s="172">
        <f t="shared" si="98"/>
        <v>10.08</v>
      </c>
      <c r="P68" s="217">
        <f t="shared" si="138"/>
        <v>1.5409671097458235</v>
      </c>
      <c r="Q68" s="217">
        <f t="shared" si="139"/>
        <v>16</v>
      </c>
      <c r="R68" s="217">
        <f t="shared" si="140"/>
        <v>1.5226947724761104</v>
      </c>
      <c r="S68" s="172">
        <f t="shared" si="141"/>
        <v>71.209272173438421</v>
      </c>
      <c r="T68" s="172">
        <f t="shared" si="142"/>
        <v>16</v>
      </c>
      <c r="U68" s="217">
        <f t="shared" si="143"/>
        <v>2.1247202043407927</v>
      </c>
      <c r="V68" s="217">
        <f t="shared" si="11"/>
        <v>1.0647901420863539</v>
      </c>
      <c r="W68" s="217">
        <f t="shared" si="144"/>
        <v>1.5515641981369082</v>
      </c>
      <c r="X68" s="197">
        <f t="shared" si="145"/>
        <v>350</v>
      </c>
      <c r="Y68" s="443">
        <f t="shared" si="14"/>
        <v>350</v>
      </c>
      <c r="AA68" s="217">
        <f t="shared" si="146"/>
        <v>2.3202626119600374</v>
      </c>
      <c r="AB68" s="173">
        <f t="shared" si="147"/>
        <v>1.6943578696328898</v>
      </c>
      <c r="AC68" s="173">
        <f t="shared" si="148"/>
        <v>0.68798716283315431</v>
      </c>
      <c r="AD68" s="173"/>
      <c r="AE68" s="173">
        <f t="shared" si="149"/>
        <v>0.73024400811319556</v>
      </c>
      <c r="AF68" s="545">
        <f t="shared" si="150"/>
        <v>1725.4506521122823</v>
      </c>
      <c r="AG68" s="528">
        <f t="shared" si="151"/>
        <v>0.12779270141980922</v>
      </c>
      <c r="AI68" s="173">
        <f t="shared" si="152"/>
        <v>2.2203285806463628</v>
      </c>
      <c r="AJ68" s="173">
        <f t="shared" si="153"/>
        <v>2.2203285806463628</v>
      </c>
      <c r="AK68" s="173">
        <f t="shared" si="154"/>
        <v>2.1039470967750837</v>
      </c>
      <c r="AM68" s="545">
        <f t="shared" si="155"/>
        <v>630</v>
      </c>
      <c r="AN68" s="460">
        <f t="shared" si="156"/>
        <v>350</v>
      </c>
      <c r="AP68">
        <f t="shared" si="157"/>
        <v>630</v>
      </c>
      <c r="AQ68">
        <f t="shared" si="158"/>
        <v>350</v>
      </c>
      <c r="AS68" s="5">
        <f t="shared" si="101"/>
        <v>2.8571428571428572</v>
      </c>
      <c r="AT68" s="5">
        <f t="shared" si="159"/>
        <v>1.112703677422946</v>
      </c>
      <c r="AU68" s="5">
        <f t="shared" si="102"/>
        <v>1.7444391797199112</v>
      </c>
      <c r="AV68" s="5">
        <f t="shared" si="160"/>
        <v>1.6213816420594824</v>
      </c>
      <c r="AW68" s="173">
        <f t="shared" si="103"/>
        <v>0.38944628709803109</v>
      </c>
      <c r="AX68" s="173">
        <f t="shared" si="161"/>
        <v>10.352703912673693</v>
      </c>
      <c r="AY68" s="173">
        <f t="shared" si="162"/>
        <v>0.67781492938799781</v>
      </c>
      <c r="AZ68" s="173">
        <f t="shared" si="104"/>
        <v>15.273643975386019</v>
      </c>
      <c r="BA68" s="460">
        <f t="shared" si="163"/>
        <v>4.3812707298528499</v>
      </c>
      <c r="BB68" s="5">
        <f t="shared" si="164"/>
        <v>0.61195029198109352</v>
      </c>
      <c r="BC68" s="5"/>
      <c r="BD68" s="173">
        <f t="shared" si="105"/>
        <v>0.79998235101722859</v>
      </c>
      <c r="BE68" s="173">
        <f t="shared" si="165"/>
        <v>1.0016559156746285</v>
      </c>
      <c r="BF68" s="173"/>
      <c r="BG68" s="528">
        <f t="shared" si="166"/>
        <v>1.2799435238781048E-2</v>
      </c>
      <c r="BH68" s="528">
        <f t="shared" si="167"/>
        <v>0.57343297142035898</v>
      </c>
      <c r="BI68" s="528">
        <f t="shared" si="168"/>
        <v>0.19275908334120834</v>
      </c>
      <c r="BJ68" s="528">
        <f t="shared" si="169"/>
        <v>0.28180148366552055</v>
      </c>
      <c r="BK68">
        <f t="shared" si="170"/>
        <v>1.0775352484912267E-2</v>
      </c>
      <c r="BL68" s="460">
        <f t="shared" si="106"/>
        <v>203.53443582612061</v>
      </c>
      <c r="BM68" s="528">
        <f t="shared" si="171"/>
        <v>0.87414814982468025</v>
      </c>
      <c r="BN68" s="460">
        <f t="shared" si="107"/>
        <v>874.14814982468022</v>
      </c>
      <c r="BO68" s="528">
        <f t="shared" si="172"/>
        <v>0.39138749999999994</v>
      </c>
      <c r="BP68" s="528"/>
      <c r="BR68" s="460">
        <f t="shared" si="109"/>
        <v>391.38749999999993</v>
      </c>
      <c r="BS68" s="528">
        <f t="shared" si="173"/>
        <v>1.9199152858171569E-2</v>
      </c>
      <c r="BT68" s="528">
        <f t="shared" si="174"/>
        <v>3.0099437202179353E-2</v>
      </c>
      <c r="BU68" s="528">
        <f t="shared" si="175"/>
        <v>0.1512</v>
      </c>
      <c r="BV68" s="528">
        <f t="shared" si="176"/>
        <v>0.21317097395144299</v>
      </c>
      <c r="BW68" s="528">
        <f t="shared" si="177"/>
        <v>8.6272532605614124E-3</v>
      </c>
      <c r="BX68" s="460">
        <f t="shared" si="110"/>
        <v>221.79822721200441</v>
      </c>
      <c r="BY68" s="173">
        <f t="shared" si="45"/>
        <v>1.690868312862805</v>
      </c>
      <c r="BZ68" s="5">
        <f t="shared" si="111"/>
        <v>10.08</v>
      </c>
      <c r="CA68" s="173">
        <f t="shared" si="112"/>
        <v>0.85635143747083786</v>
      </c>
      <c r="CB68" s="5">
        <f t="shared" si="113"/>
        <v>85.635143747083788</v>
      </c>
      <c r="CE68" s="562">
        <f t="shared" si="178"/>
        <v>-50</v>
      </c>
      <c r="CF68">
        <f t="shared" si="179"/>
        <v>-50</v>
      </c>
      <c r="CG68" s="173">
        <f t="shared" si="180"/>
        <v>0.57510868538042448</v>
      </c>
      <c r="CI68" s="170">
        <v>63</v>
      </c>
      <c r="CJ68" s="217">
        <f t="shared" si="114"/>
        <v>0.63</v>
      </c>
      <c r="CK68" s="217"/>
      <c r="CL68" s="217">
        <f t="shared" si="49"/>
        <v>10.08</v>
      </c>
      <c r="CM68" s="541">
        <f t="shared" si="50"/>
        <v>24</v>
      </c>
      <c r="CN68" s="172">
        <f t="shared" si="51"/>
        <v>16.399999999999999</v>
      </c>
      <c r="CO68" s="443">
        <f t="shared" si="52"/>
        <v>40.4</v>
      </c>
      <c r="CP68" s="443"/>
      <c r="CQ68" s="217">
        <f t="shared" si="53"/>
        <v>0.40594059405940591</v>
      </c>
      <c r="CR68" s="172">
        <f t="shared" si="54"/>
        <v>24.648712871287128</v>
      </c>
      <c r="CS68" s="172">
        <f t="shared" si="115"/>
        <v>10.08</v>
      </c>
      <c r="CT68" s="217">
        <f t="shared" si="55"/>
        <v>1.5405445544554455</v>
      </c>
      <c r="CU68" s="217">
        <f t="shared" si="56"/>
        <v>16</v>
      </c>
      <c r="CV68" s="217">
        <f t="shared" si="57"/>
        <v>1.5222772277227721</v>
      </c>
      <c r="CW68" s="172">
        <f t="shared" si="58"/>
        <v>71.371852409989884</v>
      </c>
      <c r="CX68" s="172">
        <f t="shared" si="59"/>
        <v>16</v>
      </c>
      <c r="CY68" s="217">
        <f t="shared" si="60"/>
        <v>2.0692682926829269</v>
      </c>
      <c r="CZ68" s="217">
        <f t="shared" si="61"/>
        <v>1.0346341463414634</v>
      </c>
      <c r="DA68" s="217">
        <f t="shared" si="62"/>
        <v>1.5140987507436052</v>
      </c>
      <c r="DB68" s="197">
        <f t="shared" si="63"/>
        <v>350</v>
      </c>
      <c r="DC68" s="443">
        <f t="shared" si="116"/>
        <v>350</v>
      </c>
      <c r="DE68" s="217">
        <f t="shared" si="64"/>
        <v>2.3196605374823194</v>
      </c>
      <c r="DF68" s="173">
        <f t="shared" si="65"/>
        <v>1.6973125884016973</v>
      </c>
      <c r="DG68" s="173">
        <f t="shared" si="66"/>
        <v>0.68900808044029282</v>
      </c>
      <c r="DH68" s="173"/>
      <c r="DI68" s="173">
        <f t="shared" si="67"/>
        <v>0.73170731707317083</v>
      </c>
      <c r="DJ68" s="545">
        <f t="shared" si="117"/>
        <v>1721.9999999999998</v>
      </c>
      <c r="DK68" s="528">
        <f t="shared" si="68"/>
        <v>0.12804878048780488</v>
      </c>
      <c r="DM68" s="173">
        <f t="shared" si="69"/>
        <v>2.2181073012818833</v>
      </c>
      <c r="DN68" s="173">
        <f t="shared" si="70"/>
        <v>2.2181073012818833</v>
      </c>
      <c r="DO68" s="173">
        <f t="shared" si="71"/>
        <v>2.1023017046532466</v>
      </c>
      <c r="DQ68" s="545">
        <f t="shared" si="72"/>
        <v>630</v>
      </c>
      <c r="DR68" s="460">
        <f t="shared" si="73"/>
        <v>350</v>
      </c>
      <c r="DT68">
        <f t="shared" si="74"/>
        <v>630</v>
      </c>
      <c r="DU68">
        <f t="shared" si="75"/>
        <v>350</v>
      </c>
      <c r="DW68" s="5">
        <f t="shared" si="118"/>
        <v>2.8571428571428572</v>
      </c>
      <c r="DX68" s="5">
        <f t="shared" si="76"/>
        <v>1.1090536506409416</v>
      </c>
      <c r="DY68" s="5">
        <f t="shared" si="119"/>
        <v>1.7480892065019156</v>
      </c>
      <c r="DZ68" s="5">
        <f t="shared" si="77"/>
        <v>1.6230053424013782</v>
      </c>
      <c r="EA68" s="173">
        <f t="shared" si="120"/>
        <v>0.38816877772432956</v>
      </c>
      <c r="EB68" s="173">
        <f t="shared" si="78"/>
        <v>10.331999999999999</v>
      </c>
      <c r="EC68" s="173">
        <f t="shared" si="79"/>
        <v>0.67855365064094175</v>
      </c>
      <c r="ED68" s="173">
        <f t="shared" si="121"/>
        <v>15.226504183185362</v>
      </c>
      <c r="EE68" s="460">
        <f t="shared" si="80"/>
        <v>4.3668987493987084</v>
      </c>
      <c r="EF68" s="5">
        <f t="shared" si="81"/>
        <v>0.61183122227567033</v>
      </c>
      <c r="EG68" s="5"/>
      <c r="EH68" s="173">
        <f t="shared" si="122"/>
        <v>0.7978701620363432</v>
      </c>
      <c r="EI68" s="173">
        <f t="shared" si="82"/>
        <v>1.0017001569991388</v>
      </c>
      <c r="EJ68" s="173"/>
      <c r="EK68" s="528">
        <f t="shared" si="83"/>
        <v>1.2731935909358012E-2</v>
      </c>
      <c r="EL68" s="528">
        <f t="shared" si="84"/>
        <v>0.59591670756239068</v>
      </c>
      <c r="EM68" s="528">
        <f t="shared" si="85"/>
        <v>4.0250000000000001E-2</v>
      </c>
      <c r="EN68" s="528">
        <f t="shared" si="86"/>
        <v>0.28134357999999998</v>
      </c>
      <c r="EO68">
        <f t="shared" si="87"/>
        <v>1.0800000000000001E-2</v>
      </c>
      <c r="EP68" s="460">
        <f t="shared" si="123"/>
        <v>51.05</v>
      </c>
      <c r="EQ68" s="528">
        <f t="shared" si="88"/>
        <v>0.94734566910317908</v>
      </c>
      <c r="ER68" s="460">
        <f t="shared" si="124"/>
        <v>947.34566910317903</v>
      </c>
      <c r="ES68" s="528">
        <f t="shared" si="125"/>
        <v>0.39138749999999994</v>
      </c>
      <c r="ET68" s="528"/>
      <c r="EV68" s="460">
        <f t="shared" si="126"/>
        <v>391.38749999999993</v>
      </c>
      <c r="EW68" s="528">
        <f t="shared" si="89"/>
        <v>1.9097903864037018E-2</v>
      </c>
      <c r="EX68" s="528">
        <f t="shared" si="90"/>
        <v>3.0102096135962979E-2</v>
      </c>
      <c r="EY68" s="528">
        <f t="shared" si="91"/>
        <v>0.83964652256462846</v>
      </c>
      <c r="EZ68" s="528">
        <f t="shared" si="92"/>
        <v>0.9042135069278967</v>
      </c>
      <c r="FA68" s="528">
        <f t="shared" si="93"/>
        <v>8.6099999999999996E-3</v>
      </c>
      <c r="FB68" s="460">
        <f t="shared" si="127"/>
        <v>912.82350692789669</v>
      </c>
      <c r="FC68" s="173">
        <f t="shared" si="128"/>
        <v>2.2515566760310755</v>
      </c>
      <c r="FD68" s="5">
        <f t="shared" si="129"/>
        <v>10.08</v>
      </c>
      <c r="FE68" s="173">
        <f t="shared" si="130"/>
        <v>0.81741504862825309</v>
      </c>
      <c r="FF68" s="5">
        <f t="shared" si="131"/>
        <v>81.741504862825309</v>
      </c>
      <c r="FI68" s="562">
        <f t="shared" si="94"/>
        <v>-50</v>
      </c>
      <c r="FJ68">
        <f t="shared" si="95"/>
        <v>-50</v>
      </c>
      <c r="FL68">
        <f t="shared" si="181"/>
        <v>0.56805186984048239</v>
      </c>
    </row>
    <row r="69" spans="5:168">
      <c r="E69" s="170">
        <v>64</v>
      </c>
      <c r="F69" s="217">
        <f t="shared" si="182"/>
        <v>0.64</v>
      </c>
      <c r="G69" s="217"/>
      <c r="H69" s="217">
        <f t="shared" ref="H69:H100" si="183">F69*Vout</f>
        <v>10.24</v>
      </c>
      <c r="I69" s="541">
        <f t="shared" ref="I69:I105" si="184">Vin-F69*(Rdcr_pri+RON/1000)/CG69/Nps</f>
        <v>23.944794755252612</v>
      </c>
      <c r="J69" s="172">
        <f t="shared" ref="J69:J105" si="185">(T69+Vfwd1+F69/CG69*Rdcr_sec)*Nps</f>
        <v>16.43312314684843</v>
      </c>
      <c r="K69" s="172">
        <f t="shared" ref="K69:K105" si="186">(Vout+Vfwd1+F69/CG69*Rdcr_sec)*Nps+VIN_nom</f>
        <v>40.43312314684843</v>
      </c>
      <c r="L69" s="443"/>
      <c r="M69" s="217">
        <f t="shared" ref="M69:M105" si="187">(Vout+Vfwd1+F69/FL69*Rdcr_sec)*Nps/((Vout+Vfwd1+F69/FL69*Rdcr_sec)*Nps+I69)</f>
        <v>0.40698896859692701</v>
      </c>
      <c r="N69" s="172">
        <f t="shared" ref="N69:N100" si="188">M69*I69*(Isw_max+VIN_nom/Lmag*ILIM_delay)*0.5*Efficiency</f>
        <v>24.655526321384581</v>
      </c>
      <c r="O69" s="172">
        <f t="shared" si="98"/>
        <v>10.24</v>
      </c>
      <c r="P69" s="217">
        <f t="shared" ref="P69:P100" si="189">N69/Vout</f>
        <v>1.5409703950865363</v>
      </c>
      <c r="Q69" s="217">
        <f t="shared" ref="Q69:Q105" si="190">MIN(Vout,N69/F69)</f>
        <v>16</v>
      </c>
      <c r="R69" s="217">
        <f t="shared" ref="R69:R100" si="191">Isw_max/2*I69*Nps*(Q69+Vfwd1+F69/FL69*Rdcr_sec)/Q69/(I69+Nps*(Q69+Vfwd1+F69/FL69*Rdcr_sec))</f>
        <v>1.5226980188602137</v>
      </c>
      <c r="S69" s="172">
        <f t="shared" ref="S69:S105" si="192">(SQRT(Isw_max^2*Nps^2*I69^2+4*Isw_max*F69/Efficiency*(Nps^2*Vfwd1*I69-Nps*I69^2)+4*(F69/Efficiency)^2*Nps^2*Vfwd1^2+8*(F69/Efficiency)^2*Nps*Vfwd1*I69+4*(F69/Efficiency)^2*I69^2)-2*F69/Efficiency*I69-2*F69/Efficiency*Nps*Vfwd1+Isw_max*Nps*I69)/(4*F69/Efficiency*Nps)</f>
        <v>69.726141034574354</v>
      </c>
      <c r="T69" s="172">
        <f t="shared" ref="T69:T100" si="193">MIN(Vout, S69)</f>
        <v>16</v>
      </c>
      <c r="U69" s="217">
        <f t="shared" ref="U69:U105" si="194">MIN(2*(Vout+Vfwd1+F69/FL69*Rdcr_sec)*F69/(I69*M69), Isw_max)</f>
        <v>2.1584758667498996</v>
      </c>
      <c r="V69" s="217">
        <f t="shared" ref="V69:V104" si="195">L*U69/I69*1000000</f>
        <v>1.0817261398875389</v>
      </c>
      <c r="W69" s="217">
        <f t="shared" ref="W69:W105" si="196">L*U69/J69*1000000</f>
        <v>1.5761891497762106</v>
      </c>
      <c r="X69" s="197">
        <f t="shared" ref="X69:X105" si="197">IF(1/((350000*L)*(1/I69+1/J69))&gt;Isw_min, 350, 0.001/((Isw_min*L)*(1/I69+1/J69)))</f>
        <v>350</v>
      </c>
      <c r="Y69" s="443">
        <f t="shared" ref="Y69:Y104" si="198">MIN(1/(V69+W69+0.2)*1000, 350)</f>
        <v>349.90540259073106</v>
      </c>
      <c r="AA69" s="217">
        <f t="shared" ref="AA69:AA105" si="199">1/((X69*1000*L)*(1/I69+1/J69))</f>
        <v>2.3202672895492857</v>
      </c>
      <c r="AB69" s="173">
        <f t="shared" ref="AB69:AB100" si="200">L*AA69/J69*1000000</f>
        <v>1.694334499034728</v>
      </c>
      <c r="AC69" s="173">
        <f t="shared" ref="AC69:AC100" si="201">0.5*AB69*AA69*Nps*X69/1000</f>
        <v>0.68797906024140221</v>
      </c>
      <c r="AD69" s="173"/>
      <c r="AE69" s="173">
        <f t="shared" ref="AE69:AE105" si="202">L*Isw_min/J69*1000000</f>
        <v>0.73023246358994021</v>
      </c>
      <c r="AF69" s="545">
        <f t="shared" ref="AF69:AF100" si="203">MAX(12, F69/(0.5*AE69/1000000*Isw_min*Nps)/1000)</f>
        <v>1752.8664689971661</v>
      </c>
      <c r="AG69" s="528">
        <f t="shared" ref="AG69:AG105" si="204">0.5*AE69/1000000*Isw_min*Nps*X69*1000</f>
        <v>0.12779068112823952</v>
      </c>
      <c r="AI69" s="173">
        <f t="shared" ref="AI69:AI105" si="205">SQRT(F69/Efficiency/(0.5*L/J69*Fsw_DCM*Nps))</f>
        <v>2.2378985480625513</v>
      </c>
      <c r="AJ69" s="173">
        <f t="shared" ref="AJ69:AJ100" si="206">MAX(IF(F69&gt;AC69,U69,AI69),Isw_min)</f>
        <v>2.2378985480625513</v>
      </c>
      <c r="AK69" s="173">
        <f t="shared" ref="AK69:AK100" si="207">IF(F69&gt;AG69, (AJ69-Isw_min)/1.08*0.8+1.2, AF69*0.2/350+1)</f>
        <v>2.1169618874537415</v>
      </c>
      <c r="AM69" s="545">
        <f t="shared" ref="AM69:AM105" si="208">F69*1000</f>
        <v>640</v>
      </c>
      <c r="AN69" s="460">
        <f t="shared" ref="AN69:AN105" si="209">IF(F69&gt;AG69, Y69, AF69)</f>
        <v>349.90540259073106</v>
      </c>
      <c r="AP69">
        <f t="shared" ref="AP69:AP105" si="210">IF(H69&gt;N69, "",AM69)</f>
        <v>640</v>
      </c>
      <c r="AQ69">
        <f t="shared" ref="AQ69:AQ105" si="211">IF(H69&gt;N69, "",AN69)</f>
        <v>349.90540259073106</v>
      </c>
      <c r="AS69" s="5">
        <f t="shared" si="101"/>
        <v>2.8579152896637496</v>
      </c>
      <c r="AT69" s="5">
        <f t="shared" ref="AT69:AT105" si="212">L*AJ69/I69*1000000</f>
        <v>1.1215290359028722</v>
      </c>
      <c r="AU69" s="5">
        <f t="shared" si="102"/>
        <v>1.7363862537608774</v>
      </c>
      <c r="AV69" s="5">
        <f t="shared" ref="AV69:AV105" si="213">L*AJ69/J69*1000000</f>
        <v>1.6341861700160669</v>
      </c>
      <c r="AW69" s="173">
        <f t="shared" si="103"/>
        <v>0.39242906882478895</v>
      </c>
      <c r="AX69" s="173">
        <f t="shared" ref="AX69:AX132" si="214">0.5*L*AJ69^2*AN69*1000</f>
        <v>10.514356243238515</v>
      </c>
      <c r="AY69" s="173">
        <f t="shared" ref="AY69:AY132" si="215">AJ69*Nps/2*(1-AW69)</f>
        <v>0.67984105236100856</v>
      </c>
      <c r="AZ69" s="173">
        <f t="shared" si="104"/>
        <v>15.465903694287634</v>
      </c>
      <c r="BA69" s="460">
        <f t="shared" ref="BA69:BA105" si="216">F69*AT69/Vout_ripple*1000</f>
        <v>4.4861161436114889</v>
      </c>
      <c r="BB69" s="5">
        <f t="shared" ref="BB69:BB105" si="217">H69/Efficiency/I69*AU69/Vinripple1</f>
        <v>0.61880516622549631</v>
      </c>
      <c r="BC69" s="5"/>
      <c r="BD69" s="173">
        <f t="shared" si="105"/>
        <v>0.80939469223126637</v>
      </c>
      <c r="BE69" s="173">
        <f t="shared" ref="BE69:BE132" si="218">AJ69*Nps*SQRT((1-AW69)/3)</f>
        <v>1.0071131363099244</v>
      </c>
      <c r="BF69" s="173"/>
      <c r="BG69" s="528">
        <f t="shared" ref="BG69:BG105" si="219">Rdson*BD69^2</f>
        <v>1.3102395356242929E-2</v>
      </c>
      <c r="BH69" s="528">
        <f t="shared" ref="BH69:BH105" si="220">0.5*K69*AJ69*AN69*1000*Tfall</f>
        <v>0.57781817724964102</v>
      </c>
      <c r="BI69" s="528">
        <f t="shared" ref="BI69:BI105" si="221">Qg*Vdd*AN69*1000*0+Qg*I69*AN69*1000</f>
        <v>0.1927035001221491</v>
      </c>
      <c r="BJ69" s="528">
        <f t="shared" ref="BJ69:BJ105" si="222">0.5*(Coss+Csw)*K69^2*AN69*1000</f>
        <v>0.28172893918884317</v>
      </c>
      <c r="BK69">
        <f t="shared" ref="BK69:BK105" si="223">I69*IQ</f>
        <v>1.0775157639863675E-2</v>
      </c>
      <c r="BL69" s="460">
        <f t="shared" si="106"/>
        <v>203.47865776201277</v>
      </c>
      <c r="BM69" s="528">
        <f t="shared" ref="BM69:BM105" si="224">(BH69+BI69*0+BJ69+BK69*0+BG69*(1+RdsonTC*(Ta-25)))/(1-BG69*RdsonTC*ThetaJA)</f>
        <v>0.87892336046324737</v>
      </c>
      <c r="BN69" s="460">
        <f t="shared" si="107"/>
        <v>878.92336046324738</v>
      </c>
      <c r="BO69" s="528">
        <f t="shared" ref="BO69:BO105" si="225">Vfwd2*F69*(1+Diode_TC/1000*(Ta-25))</f>
        <v>0.39759999999999995</v>
      </c>
      <c r="BP69" s="528"/>
      <c r="BR69" s="460">
        <f t="shared" si="109"/>
        <v>397.59999999999997</v>
      </c>
      <c r="BS69" s="528">
        <f t="shared" ref="BS69:BS105" si="226">Rdcr_pri*BD69^2</f>
        <v>1.9653593034364394E-2</v>
      </c>
      <c r="BT69" s="528">
        <f t="shared" ref="BT69:BT105" si="227">Rdcr_sec*BE69^2</f>
        <v>3.0428306079840373E-2</v>
      </c>
      <c r="BU69" s="528">
        <f t="shared" ref="BU69:BU105" si="228">AJ69^2.5*AN69^2.5*k_core*0+BZ69*0.015</f>
        <v>0.15359999999999999</v>
      </c>
      <c r="BV69" s="528">
        <f t="shared" ref="BV69:BV100" si="229">(BU69+(BS69+BT69)*(1+Ltc*(Ta-25)))/(1-(BS69+BT69)*Ltc*ThetaCa)</f>
        <v>0.21656925085140422</v>
      </c>
      <c r="BW69" s="528">
        <f t="shared" ref="BW69:BW105" si="230">0.5*Lleak*0.000000001*AJ69^2*AN69*1000</f>
        <v>8.7619635360320948E-3</v>
      </c>
      <c r="BX69" s="460">
        <f t="shared" si="110"/>
        <v>225.33121438743632</v>
      </c>
      <c r="BY69" s="173">
        <f t="shared" ref="BY69:BY104" si="231">SUM(BM69,BO69:BQ69,BV69, BW69)+BK69+BI69</f>
        <v>1.7053332326126964</v>
      </c>
      <c r="BZ69" s="5">
        <f t="shared" si="111"/>
        <v>10.24</v>
      </c>
      <c r="CA69" s="173">
        <f t="shared" si="112"/>
        <v>0.85723853831412078</v>
      </c>
      <c r="CB69" s="5">
        <f t="shared" si="113"/>
        <v>85.723853831412072</v>
      </c>
      <c r="CE69" s="562">
        <f t="shared" ref="CE69:CE105" si="232">IF(ABS(F69-Ioutmax_Vinnom)&lt;Iout/200, AN69, -50)</f>
        <v>-50</v>
      </c>
      <c r="CF69">
        <f t="shared" ref="CF69:CF105" si="233">IF(ABS(F69-Ioutmax_Vinnom)&lt;Iout/200, N69*CA69, -50)</f>
        <v>-50</v>
      </c>
      <c r="CG69" s="173">
        <f t="shared" ref="CG69:CG105" si="234">MIN(SQRT(2*DU69*1000*Ls1_*CL69)/CU69,1-EA69-0.00000005*DU69*1000)</f>
        <v>0.57965506984757753</v>
      </c>
      <c r="CI69" s="170">
        <v>64</v>
      </c>
      <c r="CJ69" s="217">
        <f t="shared" si="114"/>
        <v>0.64</v>
      </c>
      <c r="CK69" s="217"/>
      <c r="CL69" s="217">
        <f t="shared" ref="CL69:CL105" si="235">CJ69*Vout</f>
        <v>10.24</v>
      </c>
      <c r="CM69" s="541">
        <f t="shared" ref="CM69:CM105" si="236">Vin</f>
        <v>24</v>
      </c>
      <c r="CN69" s="172">
        <f t="shared" ref="CN69:CN105" si="237">(CX69+Vfwd1)*Nps</f>
        <v>16.399999999999999</v>
      </c>
      <c r="CO69" s="443">
        <f t="shared" ref="CO69:CO105" si="238">(Vout+Vfwd1)*Nps+CM69</f>
        <v>40.4</v>
      </c>
      <c r="CP69" s="443"/>
      <c r="CQ69" s="217">
        <f t="shared" ref="CQ69:CQ105" si="239">(Vout+Vfwd1)*Nps/((Vout+Vfwd1)*Nps+CM69)</f>
        <v>0.40594059405940591</v>
      </c>
      <c r="CR69" s="172">
        <f t="shared" ref="CR69:CR105" si="240">CQ69*CM69*(Isw_max+VIN_nom/Lmag*ILIM_delay)*0.5*Efficiency</f>
        <v>24.648712871287128</v>
      </c>
      <c r="CS69" s="172">
        <f t="shared" si="115"/>
        <v>10.24</v>
      </c>
      <c r="CT69" s="217">
        <f t="shared" ref="CT69:CT105" si="241">CR69/Vout</f>
        <v>1.5405445544554455</v>
      </c>
      <c r="CU69" s="217">
        <f t="shared" ref="CU69:CU105" si="242">MIN(Vout,CR69/CJ69)</f>
        <v>16</v>
      </c>
      <c r="CV69" s="217">
        <f t="shared" ref="CV69:CV105" si="243">Isw_max/2*CM69*Nps*(CU69+Vfwd1)/CU69/(CM69+Nps*(CU69+Vfwd1))</f>
        <v>1.5222772277227721</v>
      </c>
      <c r="CW69" s="172">
        <f t="shared" ref="CW69:CW105" si="244">(SQRT(Isw_max^2*Nps^2*CM69^2+4*Isw_max*CJ69/Efficiency*(Nps^2*Vfwd1*CM69-Nps*CM69^2)+4*(CJ69/Efficiency)^2*Nps^2*Vfwd1^2+8*(CJ69/Efficiency)^2*Nps*Vfwd1*CM69+4*(CJ69/Efficiency)^2*CM69^2)-2*CJ69/Efficiency*CM69-2*CJ69/Efficiency*Nps*Vfwd1+Isw_max*Nps*CM69)/(4*CJ69/Efficiency*Nps)</f>
        <v>69.886583676398303</v>
      </c>
      <c r="CX69" s="172">
        <f t="shared" ref="CX69:CX105" si="245">MIN(Vout, CW69)</f>
        <v>16</v>
      </c>
      <c r="CY69" s="217">
        <f t="shared" ref="CY69:CY105" si="246">MIN(2*Vout*CJ69/(CM69*CQ69), Isw_max)</f>
        <v>2.1021138211382113</v>
      </c>
      <c r="CZ69" s="217">
        <f t="shared" ref="CZ69:CZ105" si="247">L*CY69/CM69*1000000</f>
        <v>1.0510569105691057</v>
      </c>
      <c r="DA69" s="217">
        <f t="shared" ref="DA69:DA105" si="248">L*CY69/CN69*1000000</f>
        <v>1.5381320642474718</v>
      </c>
      <c r="DB69" s="197">
        <f t="shared" ref="DB69:DB105" si="249">IF(1/((350000*L)*(1/CM69+1/CN69))&gt;Isw_min, 350, 0.001/((Isw_min*L)*(1/CM69+1/CN69)))</f>
        <v>350</v>
      </c>
      <c r="DC69" s="443">
        <f t="shared" si="116"/>
        <v>350</v>
      </c>
      <c r="DE69" s="217">
        <f t="shared" ref="DE69:DE105" si="250">1/((DB69*1000*L)*(1/CM69+1/CN69))</f>
        <v>2.3196605374823194</v>
      </c>
      <c r="DF69" s="173">
        <f t="shared" ref="DF69:DF105" si="251">L*DE69/CN69*1000000</f>
        <v>1.6973125884016973</v>
      </c>
      <c r="DG69" s="173">
        <f t="shared" ref="DG69:DG105" si="252">0.5*DF69*DE69*Nps*DB69/1000</f>
        <v>0.68900808044029282</v>
      </c>
      <c r="DH69" s="173"/>
      <c r="DI69" s="173">
        <f t="shared" ref="DI69:DI105" si="253">L*Isw_min/CN69*1000000</f>
        <v>0.73170731707317083</v>
      </c>
      <c r="DJ69" s="545">
        <f t="shared" si="117"/>
        <v>1749.3333333333333</v>
      </c>
      <c r="DK69" s="528">
        <f t="shared" ref="DK69:DK105" si="254">0.5*DI69/1000000*Isw_min*Nps*DB69*1000</f>
        <v>0.12804878048780488</v>
      </c>
      <c r="DM69" s="173">
        <f t="shared" ref="DM69:DM105" si="255">SQRT(CJ69/Efficiency/(0.5*L/CN69*Fsw_DCM*Nps))</f>
        <v>2.2356420192184698</v>
      </c>
      <c r="DN69" s="173">
        <f t="shared" ref="DN69:DN105" si="256">MAX(IF(CJ69&gt;DG69,CY69,DM69),Isw_min)</f>
        <v>2.2356420192184698</v>
      </c>
      <c r="DO69" s="173">
        <f t="shared" ref="DO69:DO105" si="257">IF(CJ69&gt;DK69, (DN69-Isw_min)/1.08*0.8+1.2, DJ69*0.2/350+1)</f>
        <v>2.1152903846062738</v>
      </c>
      <c r="DQ69" s="545">
        <f t="shared" ref="DQ69:DQ105" si="258">CJ69*1000</f>
        <v>640</v>
      </c>
      <c r="DR69" s="460">
        <f t="shared" ref="DR69:DR105" si="259">IF(CJ69&gt;DK69, DC69, DJ69)</f>
        <v>350</v>
      </c>
      <c r="DT69">
        <f t="shared" ref="DT69:DT105" si="260">IF(CL69&gt;CR69, "",DQ69)</f>
        <v>640</v>
      </c>
      <c r="DU69">
        <f t="shared" ref="DU69:DU105" si="261">IF(CL69&gt;CR69, "",DR69)</f>
        <v>350</v>
      </c>
      <c r="DW69" s="5">
        <f t="shared" si="118"/>
        <v>2.8571428571428572</v>
      </c>
      <c r="DX69" s="5">
        <f t="shared" ref="DX69:DX105" si="262">L*DN69/CM69*1000000</f>
        <v>1.1178210096092349</v>
      </c>
      <c r="DY69" s="5">
        <f t="shared" si="119"/>
        <v>1.7393218475336223</v>
      </c>
      <c r="DZ69" s="5">
        <f t="shared" ref="DZ69:DZ105" si="263">L*DN69/CN69*1000000</f>
        <v>1.6358356238183926</v>
      </c>
      <c r="EA69" s="173">
        <f t="shared" si="120"/>
        <v>0.39123735336323223</v>
      </c>
      <c r="EB69" s="173">
        <f t="shared" ref="EB69:EB105" si="264">0.5*L*DN69^2*DR69*1000</f>
        <v>10.495999999999999</v>
      </c>
      <c r="EC69" s="173">
        <f t="shared" ref="EC69:EC105" si="265">DN69*Nps/2*(1-EA69)</f>
        <v>0.68048767627590157</v>
      </c>
      <c r="ED69" s="173">
        <f t="shared" si="121"/>
        <v>15.424232305633158</v>
      </c>
      <c r="EE69" s="460">
        <f t="shared" ref="EE69:EE105" si="266">CJ69*DX69/Vout_ripple*1000</f>
        <v>4.4712840384369397</v>
      </c>
      <c r="EF69" s="5">
        <f t="shared" ref="EF69:EF105" si="267">CL69/Efficiency/CM69*DY69/Vinripple1</f>
        <v>0.6184255457897323</v>
      </c>
      <c r="EG69" s="5"/>
      <c r="EH69" s="173">
        <f t="shared" si="122"/>
        <v>0.8073498937490392</v>
      </c>
      <c r="EI69" s="173">
        <f t="shared" ref="EI69:EI105" si="268">DN69*Nps*SQRT((1-EA69)/3)</f>
        <v>1.007083857032353</v>
      </c>
      <c r="EJ69" s="173"/>
      <c r="EK69" s="528">
        <f t="shared" ref="EK69:EK105" si="269">Rdson*EH69^2</f>
        <v>1.3036277018731697E-2</v>
      </c>
      <c r="EL69" s="528">
        <f t="shared" ref="EL69:EL105" si="270">0.5*CO69*DN69*DR69*1000*Trise</f>
        <v>0.6006275848832342</v>
      </c>
      <c r="EM69" s="528">
        <f t="shared" ref="EM69:EM105" si="271">Qg*Vdd*DR69*1000</f>
        <v>4.0250000000000001E-2</v>
      </c>
      <c r="EN69" s="528">
        <f t="shared" ref="EN69:EN105" si="272">0.5*(Coss+Csw)*CO69^2*DR69*1000</f>
        <v>0.28134357999999998</v>
      </c>
      <c r="EO69">
        <f t="shared" ref="EO69:EO105" si="273">CM69*IQ</f>
        <v>1.0800000000000001E-2</v>
      </c>
      <c r="EP69" s="460">
        <f t="shared" si="123"/>
        <v>51.05</v>
      </c>
      <c r="EQ69" s="528">
        <f t="shared" ref="EQ69:EQ105" si="274">(EL69+EM69+EN69+EO69+EK69*(1+RdsonTC*(Ta-25)))/(1-EK69*RdsonTC*ThetaJA)</f>
        <v>0.95252761422708399</v>
      </c>
      <c r="ER69" s="460">
        <f t="shared" si="124"/>
        <v>952.52761422708397</v>
      </c>
      <c r="ES69" s="528">
        <f t="shared" si="125"/>
        <v>0.39759999999999995</v>
      </c>
      <c r="ET69" s="528"/>
      <c r="EV69" s="460">
        <f t="shared" si="126"/>
        <v>397.59999999999997</v>
      </c>
      <c r="EW69" s="528">
        <f t="shared" ref="EW69:EW105" si="275">Rdcr_pri*EH69^2</f>
        <v>1.9554415528097543E-2</v>
      </c>
      <c r="EX69" s="528">
        <f t="shared" ref="EX69:EX105" si="276">Rdcr_sec*EI69^2</f>
        <v>3.0426536852854822E-2</v>
      </c>
      <c r="EY69" s="528">
        <f t="shared" ref="EY69:EY105" si="277">DN69^2.5*DR69^2.5*k_core</f>
        <v>0.85633910039054761</v>
      </c>
      <c r="EZ69" s="528">
        <f t="shared" ref="EZ69:EZ105" si="278">(EY69+(EW69+EX69)*(1+Ltc*(Ta-25)))/(1-(EW69+EX69)*Ltc*ThetaCa)</f>
        <v>0.92200208472627598</v>
      </c>
      <c r="FA69" s="528">
        <f t="shared" ref="FA69:FA105" si="279">0.5*Lleak*0.000000001*DN69^2*DR69*1000</f>
        <v>8.7466666666666647E-3</v>
      </c>
      <c r="FB69" s="460">
        <f t="shared" si="127"/>
        <v>930.74875139294261</v>
      </c>
      <c r="FC69" s="173">
        <f t="shared" si="128"/>
        <v>2.2808763656200264</v>
      </c>
      <c r="FD69" s="5">
        <f t="shared" si="129"/>
        <v>10.24</v>
      </c>
      <c r="FE69" s="173">
        <f t="shared" si="130"/>
        <v>0.81783412765875685</v>
      </c>
      <c r="FF69" s="5">
        <f t="shared" si="131"/>
        <v>81.783412765875681</v>
      </c>
      <c r="FI69" s="562">
        <f t="shared" ref="FI69:FI105" si="280">IF(ABS(CJ69-Ioutmax_Vinnom)&lt;Iout/200, DR69, -50)</f>
        <v>-50</v>
      </c>
      <c r="FJ69">
        <f t="shared" ref="FJ69:FJ105" si="281">IF(ABS(CJ69-Ioutmax_Vinnom)&lt;Iout/200, CR69*FE69, -50)</f>
        <v>-50</v>
      </c>
      <c r="FL69">
        <f t="shared" ref="FL69:FL105" si="282">MIN(SQRT(2*L*DR69*1000*CJ69*(CX69+Vfwd1))/(Nps*(CX69+Vfwd1)), 1-EA69)</f>
        <v>0.57254246833643752</v>
      </c>
    </row>
    <row r="70" spans="5:168">
      <c r="E70" s="170">
        <v>65</v>
      </c>
      <c r="F70" s="217">
        <f t="shared" ref="F70:F101" si="283">IF(PLOT_TYPE=1, E70/100*Iout_max, min_I*EXP(N70*rr/100))</f>
        <v>0.65</v>
      </c>
      <c r="G70" s="217"/>
      <c r="H70" s="217">
        <f t="shared" si="183"/>
        <v>10.4</v>
      </c>
      <c r="I70" s="541">
        <f t="shared" si="184"/>
        <v>23.94436513597358</v>
      </c>
      <c r="J70" s="172">
        <f t="shared" si="185"/>
        <v>16.43338091841585</v>
      </c>
      <c r="K70" s="172">
        <f t="shared" si="186"/>
        <v>40.43338091841585</v>
      </c>
      <c r="L70" s="443"/>
      <c r="M70" s="217">
        <f t="shared" si="187"/>
        <v>0.40699713168945673</v>
      </c>
      <c r="N70" s="172">
        <f t="shared" si="188"/>
        <v>24.655578464079674</v>
      </c>
      <c r="O70" s="172">
        <f t="shared" ref="O70:O133" si="284">T70*F70</f>
        <v>10.4</v>
      </c>
      <c r="P70" s="217">
        <f t="shared" si="189"/>
        <v>1.5409736540049797</v>
      </c>
      <c r="Q70" s="217">
        <f t="shared" si="190"/>
        <v>16</v>
      </c>
      <c r="R70" s="217">
        <f t="shared" si="191"/>
        <v>1.5227012391353556</v>
      </c>
      <c r="S70" s="172">
        <f t="shared" si="192"/>
        <v>68.288783752426312</v>
      </c>
      <c r="T70" s="172">
        <f t="shared" si="193"/>
        <v>16</v>
      </c>
      <c r="U70" s="217">
        <f t="shared" si="194"/>
        <v>2.1922322293375776</v>
      </c>
      <c r="V70" s="217">
        <f t="shared" si="195"/>
        <v>1.0986629464870667</v>
      </c>
      <c r="W70" s="217">
        <f t="shared" si="196"/>
        <v>1.6008140310659129</v>
      </c>
      <c r="X70" s="197">
        <f t="shared" si="197"/>
        <v>350</v>
      </c>
      <c r="Y70" s="443">
        <f t="shared" si="198"/>
        <v>344.88978796581176</v>
      </c>
      <c r="AA70" s="217">
        <f t="shared" si="199"/>
        <v>2.3202719294638969</v>
      </c>
      <c r="AB70" s="173">
        <f t="shared" si="200"/>
        <v>1.6943113101190628</v>
      </c>
      <c r="AC70" s="173">
        <f t="shared" si="201"/>
        <v>0.68797102021243062</v>
      </c>
      <c r="AD70" s="173"/>
      <c r="AE70" s="173">
        <f t="shared" si="202"/>
        <v>0.7302210092721918</v>
      </c>
      <c r="AF70" s="545">
        <f t="shared" si="203"/>
        <v>1780.2829328283838</v>
      </c>
      <c r="AG70" s="528">
        <f t="shared" si="204"/>
        <v>0.12778867662263357</v>
      </c>
      <c r="AI70" s="173">
        <f t="shared" si="205"/>
        <v>2.255332052098749</v>
      </c>
      <c r="AJ70" s="173">
        <f t="shared" si="153"/>
        <v>2.255332052098749</v>
      </c>
      <c r="AK70" s="173">
        <f t="shared" si="207"/>
        <v>2.1298755941472214</v>
      </c>
      <c r="AM70" s="545">
        <f t="shared" si="208"/>
        <v>650</v>
      </c>
      <c r="AN70" s="460">
        <f t="shared" si="209"/>
        <v>344.88978796581176</v>
      </c>
      <c r="AP70">
        <f t="shared" si="210"/>
        <v>650</v>
      </c>
      <c r="AQ70">
        <f t="shared" si="211"/>
        <v>344.88978796581176</v>
      </c>
      <c r="AS70" s="5">
        <f t="shared" ref="AS70:AS133" si="285">1/AN70*1000</f>
        <v>2.8994769775529798</v>
      </c>
      <c r="AT70" s="5">
        <f t="shared" si="212"/>
        <v>1.1302861642601894</v>
      </c>
      <c r="AU70" s="5">
        <f t="shared" ref="AU70:AU105" si="286">AS70-AT70</f>
        <v>1.7691908132927905</v>
      </c>
      <c r="AV70" s="5">
        <f t="shared" si="213"/>
        <v>1.6468908473274722</v>
      </c>
      <c r="AW70" s="173">
        <f t="shared" ref="AW70:AW105" si="287">AT70/AS70</f>
        <v>0.38982415553238742</v>
      </c>
      <c r="AX70" s="173">
        <f t="shared" si="214"/>
        <v>10.525738340954311</v>
      </c>
      <c r="AY70" s="173">
        <f t="shared" si="215"/>
        <v>0.688074569722114</v>
      </c>
      <c r="AZ70" s="173">
        <f t="shared" ref="AZ70:AZ133" si="288">AX70/AY70</f>
        <v>15.297380260987175</v>
      </c>
      <c r="BA70" s="460">
        <f t="shared" si="216"/>
        <v>4.5917875423070198</v>
      </c>
      <c r="BB70" s="5">
        <f t="shared" si="217"/>
        <v>0.64035888867654767</v>
      </c>
      <c r="BC70" s="5"/>
      <c r="BD70" s="173">
        <f t="shared" ref="BD70:BD133" si="289">AJ70*SQRT(AW70/3)</f>
        <v>0.81298819232247077</v>
      </c>
      <c r="BE70" s="173">
        <f t="shared" si="218"/>
        <v>1.0171321223021583</v>
      </c>
      <c r="BF70" s="173"/>
      <c r="BG70" s="528">
        <f t="shared" si="219"/>
        <v>1.3218996017115174E-2</v>
      </c>
      <c r="BH70" s="528">
        <f t="shared" si="220"/>
        <v>0.57397602641939871</v>
      </c>
      <c r="BI70" s="528">
        <f t="shared" si="221"/>
        <v>0.18993784133860378</v>
      </c>
      <c r="BJ70" s="528">
        <f t="shared" si="222"/>
        <v>0.27769412045226088</v>
      </c>
      <c r="BK70">
        <f t="shared" si="223"/>
        <v>1.0774964311188111E-2</v>
      </c>
      <c r="BL70" s="460">
        <f t="shared" ref="BL70:BL105" si="290">(BK70+BI70)*1000</f>
        <v>200.71280564979187</v>
      </c>
      <c r="BM70" s="528">
        <f t="shared" si="224"/>
        <v>0.87119454879690927</v>
      </c>
      <c r="BN70" s="460">
        <f t="shared" ref="BN70:BN105" si="291">BM70*1000</f>
        <v>871.19454879690932</v>
      </c>
      <c r="BO70" s="528">
        <f t="shared" si="225"/>
        <v>0.40381249999999996</v>
      </c>
      <c r="BP70" s="528"/>
      <c r="BR70" s="460">
        <f t="shared" ref="BR70:BR105" si="292">SUM(BO70:BQ70)*1000</f>
        <v>403.81249999999994</v>
      </c>
      <c r="BS70" s="528">
        <f t="shared" si="226"/>
        <v>1.9828494025672761E-2</v>
      </c>
      <c r="BT70" s="528">
        <f t="shared" si="227"/>
        <v>3.1036732626566785E-2</v>
      </c>
      <c r="BU70" s="528">
        <f t="shared" si="228"/>
        <v>0.156</v>
      </c>
      <c r="BV70" s="528">
        <f t="shared" si="229"/>
        <v>0.2199679787363498</v>
      </c>
      <c r="BW70" s="528">
        <f t="shared" si="230"/>
        <v>8.7714486174619282E-3</v>
      </c>
      <c r="BX70" s="460">
        <f t="shared" ref="BX70:BX105" si="293">1000*(BV70+BW70)</f>
        <v>228.73942735381172</v>
      </c>
      <c r="BY70" s="173">
        <f t="shared" si="231"/>
        <v>1.7044592818005126</v>
      </c>
      <c r="BZ70" s="5">
        <f t="shared" ref="BZ70:BZ105" si="294">MIN(H70,O70)</f>
        <v>10.4</v>
      </c>
      <c r="CA70" s="173">
        <f t="shared" ref="CA70:CA104" si="295">BZ70/(BZ70+BY70)</f>
        <v>0.85918749098002034</v>
      </c>
      <c r="CB70" s="5">
        <f t="shared" ref="CB70:CB104" si="296">CA70*100</f>
        <v>85.918749098002039</v>
      </c>
      <c r="CE70" s="562">
        <f t="shared" si="232"/>
        <v>-50</v>
      </c>
      <c r="CF70">
        <f t="shared" si="233"/>
        <v>-50</v>
      </c>
      <c r="CG70" s="173">
        <f t="shared" si="234"/>
        <v>0.58416607227739614</v>
      </c>
      <c r="CI70" s="170">
        <v>65</v>
      </c>
      <c r="CJ70" s="217">
        <f t="shared" ref="CJ70:CJ105" si="297">IF(PLOT_TYPE=1, CI70/100*Iout_max, min_I*EXP(CR70*rr/100))</f>
        <v>0.65</v>
      </c>
      <c r="CK70" s="217"/>
      <c r="CL70" s="217">
        <f t="shared" si="235"/>
        <v>10.4</v>
      </c>
      <c r="CM70" s="541">
        <f t="shared" si="236"/>
        <v>24</v>
      </c>
      <c r="CN70" s="172">
        <f t="shared" si="237"/>
        <v>16.399999999999999</v>
      </c>
      <c r="CO70" s="443">
        <f t="shared" si="238"/>
        <v>40.4</v>
      </c>
      <c r="CP70" s="443"/>
      <c r="CQ70" s="217">
        <f t="shared" si="239"/>
        <v>0.40594059405940591</v>
      </c>
      <c r="CR70" s="172">
        <f t="shared" si="240"/>
        <v>24.648712871287128</v>
      </c>
      <c r="CS70" s="172">
        <f t="shared" ref="CS70:CS105" si="298">CX70*CJ70</f>
        <v>10.4</v>
      </c>
      <c r="CT70" s="217">
        <f t="shared" si="241"/>
        <v>1.5405445544554455</v>
      </c>
      <c r="CU70" s="217">
        <f t="shared" si="242"/>
        <v>16</v>
      </c>
      <c r="CV70" s="217">
        <f t="shared" si="243"/>
        <v>1.5222772277227721</v>
      </c>
      <c r="CW70" s="172">
        <f t="shared" si="244"/>
        <v>68.447131668017306</v>
      </c>
      <c r="CX70" s="172">
        <f t="shared" si="245"/>
        <v>16</v>
      </c>
      <c r="CY70" s="217">
        <f t="shared" si="246"/>
        <v>2.1349593495934962</v>
      </c>
      <c r="CZ70" s="217">
        <f t="shared" si="247"/>
        <v>1.0674796747967481</v>
      </c>
      <c r="DA70" s="217">
        <f t="shared" si="248"/>
        <v>1.5621653777513389</v>
      </c>
      <c r="DB70" s="197">
        <f t="shared" si="249"/>
        <v>350</v>
      </c>
      <c r="DC70" s="443">
        <f t="shared" ref="DC70:DC105" si="299">MIN(1/(CZ70+DA70)*1000, 350)</f>
        <v>350</v>
      </c>
      <c r="DE70" s="217">
        <f t="shared" si="250"/>
        <v>2.3196605374823194</v>
      </c>
      <c r="DF70" s="173">
        <f t="shared" si="251"/>
        <v>1.6973125884016973</v>
      </c>
      <c r="DG70" s="173">
        <f t="shared" si="252"/>
        <v>0.68900808044029282</v>
      </c>
      <c r="DH70" s="173"/>
      <c r="DI70" s="173">
        <f t="shared" si="253"/>
        <v>0.73170731707317083</v>
      </c>
      <c r="DJ70" s="545">
        <f t="shared" ref="DJ70:DJ105" si="300">MAX(12, CJ70/(0.5*DI70/1000000*Isw_min*Nps)/1000)</f>
        <v>1776.6666666666665</v>
      </c>
      <c r="DK70" s="528">
        <f t="shared" si="254"/>
        <v>0.12804878048780488</v>
      </c>
      <c r="DM70" s="173">
        <f t="shared" si="255"/>
        <v>2.2530402739832405</v>
      </c>
      <c r="DN70" s="173">
        <f t="shared" si="256"/>
        <v>2.2530402739832405</v>
      </c>
      <c r="DO70" s="173">
        <f t="shared" si="257"/>
        <v>2.1281779807283261</v>
      </c>
      <c r="DQ70" s="545">
        <f t="shared" si="258"/>
        <v>650</v>
      </c>
      <c r="DR70" s="460">
        <f t="shared" si="259"/>
        <v>350</v>
      </c>
      <c r="DT70">
        <f t="shared" si="260"/>
        <v>650</v>
      </c>
      <c r="DU70">
        <f t="shared" si="261"/>
        <v>350</v>
      </c>
      <c r="DW70" s="5">
        <f t="shared" ref="DW70:DW105" si="301">1/DR70*1000</f>
        <v>2.8571428571428572</v>
      </c>
      <c r="DX70" s="5">
        <f t="shared" si="262"/>
        <v>1.1265201369916202</v>
      </c>
      <c r="DY70" s="5">
        <f t="shared" ref="DY70:DY105" si="302">DW70-DX70</f>
        <v>1.730622720151237</v>
      </c>
      <c r="DZ70" s="5">
        <f t="shared" si="263"/>
        <v>1.6485660541340785</v>
      </c>
      <c r="EA70" s="173">
        <f t="shared" ref="EA70:EA105" si="303">DX70/DW70</f>
        <v>0.39428204794706706</v>
      </c>
      <c r="EB70" s="173">
        <f t="shared" si="264"/>
        <v>10.659999999999998</v>
      </c>
      <c r="EC70" s="173">
        <f t="shared" si="265"/>
        <v>0.68235347032495375</v>
      </c>
      <c r="ED70" s="173">
        <f t="shared" ref="ED70:ED105" si="304">EB70/EC70</f>
        <v>15.622401678302362</v>
      </c>
      <c r="EE70" s="460">
        <f t="shared" si="266"/>
        <v>4.5764880565284569</v>
      </c>
      <c r="EF70" s="5">
        <f t="shared" si="267"/>
        <v>0.62494709338794663</v>
      </c>
      <c r="EG70" s="5"/>
      <c r="EH70" s="173">
        <f t="shared" ref="EH70:EH105" si="305">DN70*SQRT(EA70/3)</f>
        <v>0.81679266580158483</v>
      </c>
      <c r="EI70" s="173">
        <f t="shared" si="268"/>
        <v>1.0123799845691501</v>
      </c>
      <c r="EJ70" s="173"/>
      <c r="EK70" s="528">
        <f t="shared" si="269"/>
        <v>1.3343005178145189E-2</v>
      </c>
      <c r="EL70" s="528">
        <f t="shared" si="270"/>
        <v>0.60530180000833733</v>
      </c>
      <c r="EM70" s="528">
        <f t="shared" si="271"/>
        <v>4.0250000000000001E-2</v>
      </c>
      <c r="EN70" s="528">
        <f t="shared" si="272"/>
        <v>0.28134357999999998</v>
      </c>
      <c r="EO70">
        <f t="shared" si="273"/>
        <v>1.0800000000000001E-2</v>
      </c>
      <c r="EP70" s="460">
        <f t="shared" ref="EP70:EP105" si="306">(EO70+EM70)*1000</f>
        <v>51.05</v>
      </c>
      <c r="EQ70" s="528">
        <f t="shared" si="274"/>
        <v>0.95767711846694703</v>
      </c>
      <c r="ER70" s="460">
        <f t="shared" ref="ER70:ER105" si="307">EQ70*1000</f>
        <v>957.67711846694704</v>
      </c>
      <c r="ES70" s="528">
        <f t="shared" ref="ES70:ES105" si="308">Vfwd2*CJ70*(1+Diode_TC/1000*(Ta-25))</f>
        <v>0.40381249999999996</v>
      </c>
      <c r="ET70" s="528"/>
      <c r="EV70" s="460">
        <f t="shared" ref="EV70:EV105" si="309">SUM(ES70:EU70)*1000</f>
        <v>403.81249999999994</v>
      </c>
      <c r="EW70" s="528">
        <f t="shared" si="275"/>
        <v>2.0014507767217783E-2</v>
      </c>
      <c r="EX70" s="528">
        <f t="shared" si="276"/>
        <v>3.0747396994686982E-2</v>
      </c>
      <c r="EY70" s="528">
        <f t="shared" si="277"/>
        <v>0.87309701344970037</v>
      </c>
      <c r="EZ70" s="528">
        <f t="shared" si="278"/>
        <v>0.93985849595135429</v>
      </c>
      <c r="FA70" s="528">
        <f t="shared" si="279"/>
        <v>8.8833333333333316E-3</v>
      </c>
      <c r="FB70" s="460">
        <f t="shared" ref="FB70:FB105" si="310">1000*(EZ70+FA70)</f>
        <v>948.7418292846877</v>
      </c>
      <c r="FC70" s="173">
        <f t="shared" ref="FC70:FC105" si="311">SUM(EQ70,ES70:EU70,EZ70, FA70)</f>
        <v>2.3102314477516348</v>
      </c>
      <c r="FD70" s="5">
        <f t="shared" ref="FD70:FD105" si="312">MIN(CL70,CS70)</f>
        <v>10.4</v>
      </c>
      <c r="FE70" s="173">
        <f t="shared" ref="FE70:FE105" si="313">FD70/(FD70+FC70)</f>
        <v>0.81823844378850386</v>
      </c>
      <c r="FF70" s="5">
        <f t="shared" ref="FF70:FF105" si="314">FE70*100</f>
        <v>81.823844378850382</v>
      </c>
      <c r="FI70" s="562">
        <f t="shared" si="280"/>
        <v>-50</v>
      </c>
      <c r="FJ70">
        <f t="shared" si="281"/>
        <v>-50</v>
      </c>
      <c r="FL70">
        <f t="shared" si="282"/>
        <v>0.57699811894692754</v>
      </c>
    </row>
    <row r="71" spans="5:168">
      <c r="E71" s="170">
        <v>66</v>
      </c>
      <c r="F71" s="217">
        <f t="shared" si="283"/>
        <v>0.66</v>
      </c>
      <c r="G71" s="217"/>
      <c r="H71" s="217">
        <f t="shared" si="183"/>
        <v>10.56</v>
      </c>
      <c r="I71" s="541">
        <f t="shared" si="184"/>
        <v>23.943608693911639</v>
      </c>
      <c r="J71" s="172">
        <f t="shared" si="185"/>
        <v>16.433834783653015</v>
      </c>
      <c r="K71" s="172">
        <f t="shared" si="186"/>
        <v>40.433834783653012</v>
      </c>
      <c r="L71" s="443"/>
      <c r="M71" s="217">
        <f t="shared" si="187"/>
        <v>0.4070085598405081</v>
      </c>
      <c r="N71" s="172">
        <f t="shared" si="188"/>
        <v>24.655491840490917</v>
      </c>
      <c r="O71" s="172">
        <f t="shared" si="284"/>
        <v>10.56</v>
      </c>
      <c r="P71" s="217">
        <f t="shared" si="189"/>
        <v>1.5409682400306823</v>
      </c>
      <c r="Q71" s="217">
        <f t="shared" si="190"/>
        <v>16</v>
      </c>
      <c r="R71" s="217">
        <f t="shared" si="191"/>
        <v>1.5226958893583822</v>
      </c>
      <c r="S71" s="172">
        <f t="shared" si="192"/>
        <v>66.894200756834692</v>
      </c>
      <c r="T71" s="172">
        <f t="shared" si="193"/>
        <v>16</v>
      </c>
      <c r="U71" s="217">
        <f t="shared" si="194"/>
        <v>2.226001777774349</v>
      </c>
      <c r="V71" s="217">
        <f t="shared" si="195"/>
        <v>1.1156221969199029</v>
      </c>
      <c r="W71" s="217">
        <f t="shared" si="196"/>
        <v>1.6254283729238317</v>
      </c>
      <c r="X71" s="197">
        <f t="shared" si="197"/>
        <v>350</v>
      </c>
      <c r="Y71" s="443">
        <f t="shared" si="198"/>
        <v>340.01455474909852</v>
      </c>
      <c r="AA71" s="217">
        <f t="shared" si="199"/>
        <v>2.3202800960063508</v>
      </c>
      <c r="AB71" s="173">
        <f t="shared" si="200"/>
        <v>1.694270480300339</v>
      </c>
      <c r="AC71" s="173">
        <f t="shared" si="201"/>
        <v>0.68795686272109935</v>
      </c>
      <c r="AD71" s="173"/>
      <c r="AE71" s="173">
        <f t="shared" si="202"/>
        <v>0.73020084222439563</v>
      </c>
      <c r="AF71" s="545">
        <f t="shared" si="203"/>
        <v>1807.7218262018316</v>
      </c>
      <c r="AG71" s="528">
        <f t="shared" si="204"/>
        <v>0.12778514738926924</v>
      </c>
      <c r="AI71" s="173">
        <f t="shared" si="205"/>
        <v>2.2726459256632574</v>
      </c>
      <c r="AJ71" s="173">
        <f t="shared" si="153"/>
        <v>2.2726459256632574</v>
      </c>
      <c r="AK71" s="173">
        <f t="shared" si="207"/>
        <v>2.1427006856764867</v>
      </c>
      <c r="AM71" s="545">
        <f t="shared" si="208"/>
        <v>660</v>
      </c>
      <c r="AN71" s="460">
        <f t="shared" si="209"/>
        <v>340.01455474909852</v>
      </c>
      <c r="AP71">
        <f t="shared" si="210"/>
        <v>660</v>
      </c>
      <c r="AQ71">
        <f t="shared" si="211"/>
        <v>340.01455474909852</v>
      </c>
      <c r="AS71" s="5">
        <f t="shared" si="285"/>
        <v>2.941050569843735</v>
      </c>
      <c r="AT71" s="5">
        <f t="shared" si="212"/>
        <v>1.138999198349484</v>
      </c>
      <c r="AU71" s="5">
        <f t="shared" si="286"/>
        <v>1.802051371494251</v>
      </c>
      <c r="AV71" s="5">
        <f t="shared" si="213"/>
        <v>1.6594879689971518</v>
      </c>
      <c r="AW71" s="173">
        <f t="shared" si="287"/>
        <v>0.38727630528637996</v>
      </c>
      <c r="AX71" s="173">
        <f t="shared" si="214"/>
        <v>10.536886831649882</v>
      </c>
      <c r="AY71" s="173">
        <f t="shared" si="215"/>
        <v>0.69625200417412314</v>
      </c>
      <c r="AZ71" s="173">
        <f t="shared" si="288"/>
        <v>15.133725674726747</v>
      </c>
      <c r="BA71" s="460">
        <f t="shared" si="216"/>
        <v>4.6983716931916222</v>
      </c>
      <c r="BB71" s="5">
        <f t="shared" si="217"/>
        <v>0.66230835426164392</v>
      </c>
      <c r="BC71" s="5"/>
      <c r="BD71" s="173">
        <f t="shared" si="289"/>
        <v>0.81654780272221006</v>
      </c>
      <c r="BE71" s="173">
        <f t="shared" si="218"/>
        <v>1.0270781471472681</v>
      </c>
      <c r="BF71" s="173"/>
      <c r="BG71" s="528">
        <f t="shared" si="219"/>
        <v>1.3335006282609385E-2</v>
      </c>
      <c r="BH71" s="528">
        <f t="shared" si="220"/>
        <v>0.57021296488597695</v>
      </c>
      <c r="BI71" s="528">
        <f t="shared" si="221"/>
        <v>0.18724703533038123</v>
      </c>
      <c r="BJ71" s="528">
        <f t="shared" si="222"/>
        <v>0.27377488624203339</v>
      </c>
      <c r="BK71">
        <f t="shared" si="223"/>
        <v>1.0774623912260237E-2</v>
      </c>
      <c r="BL71" s="460">
        <f t="shared" si="290"/>
        <v>198.02165924264148</v>
      </c>
      <c r="BM71" s="528">
        <f t="shared" si="224"/>
        <v>0.8636597264186967</v>
      </c>
      <c r="BN71" s="460">
        <f t="shared" si="291"/>
        <v>863.65972641869666</v>
      </c>
      <c r="BO71" s="528">
        <f t="shared" si="225"/>
        <v>0.41002499999999997</v>
      </c>
      <c r="BP71" s="528"/>
      <c r="BR71" s="460">
        <f t="shared" si="292"/>
        <v>410.02499999999998</v>
      </c>
      <c r="BS71" s="528">
        <f t="shared" si="226"/>
        <v>2.0002509423914076E-2</v>
      </c>
      <c r="BT71" s="528">
        <f t="shared" si="227"/>
        <v>3.1646685610423955E-2</v>
      </c>
      <c r="BU71" s="528">
        <f t="shared" si="228"/>
        <v>0.15840000000000001</v>
      </c>
      <c r="BV71" s="528">
        <f t="shared" si="229"/>
        <v>0.22336794380208738</v>
      </c>
      <c r="BW71" s="528">
        <f t="shared" si="230"/>
        <v>8.7807390263748997E-3</v>
      </c>
      <c r="BX71" s="460">
        <f t="shared" si="293"/>
        <v>232.14868282846228</v>
      </c>
      <c r="BY71" s="173">
        <f t="shared" si="231"/>
        <v>1.7038550684898004</v>
      </c>
      <c r="BZ71" s="5">
        <f t="shared" si="294"/>
        <v>10.56</v>
      </c>
      <c r="CA71" s="173">
        <f t="shared" si="295"/>
        <v>0.86106692724479361</v>
      </c>
      <c r="CB71" s="5">
        <f t="shared" si="296"/>
        <v>86.106692724479359</v>
      </c>
      <c r="CE71" s="562">
        <f t="shared" si="232"/>
        <v>-50</v>
      </c>
      <c r="CF71">
        <f t="shared" si="233"/>
        <v>-50</v>
      </c>
      <c r="CG71" s="173">
        <f t="shared" si="234"/>
        <v>0.58519658949362141</v>
      </c>
      <c r="CI71" s="170">
        <v>66</v>
      </c>
      <c r="CJ71" s="217">
        <f t="shared" si="297"/>
        <v>0.66</v>
      </c>
      <c r="CK71" s="217"/>
      <c r="CL71" s="217">
        <f t="shared" si="235"/>
        <v>10.56</v>
      </c>
      <c r="CM71" s="541">
        <f t="shared" si="236"/>
        <v>24</v>
      </c>
      <c r="CN71" s="172">
        <f t="shared" si="237"/>
        <v>16.399999999999999</v>
      </c>
      <c r="CO71" s="443">
        <f t="shared" si="238"/>
        <v>40.4</v>
      </c>
      <c r="CP71" s="443"/>
      <c r="CQ71" s="217">
        <f t="shared" si="239"/>
        <v>0.40594059405940591</v>
      </c>
      <c r="CR71" s="172">
        <f t="shared" si="240"/>
        <v>24.648712871287128</v>
      </c>
      <c r="CS71" s="172">
        <f t="shared" si="298"/>
        <v>10.56</v>
      </c>
      <c r="CT71" s="217">
        <f t="shared" si="241"/>
        <v>1.5405445544554455</v>
      </c>
      <c r="CU71" s="217">
        <f t="shared" si="242"/>
        <v>16</v>
      </c>
      <c r="CV71" s="217">
        <f t="shared" si="243"/>
        <v>1.5222772277227721</v>
      </c>
      <c r="CW71" s="172">
        <f t="shared" si="244"/>
        <v>67.051415572236323</v>
      </c>
      <c r="CX71" s="172">
        <f t="shared" si="245"/>
        <v>16</v>
      </c>
      <c r="CY71" s="217">
        <f t="shared" si="246"/>
        <v>2.1678048780487806</v>
      </c>
      <c r="CZ71" s="217">
        <f t="shared" si="247"/>
        <v>1.0839024390243903</v>
      </c>
      <c r="DA71" s="217">
        <f t="shared" si="248"/>
        <v>1.5861986912552055</v>
      </c>
      <c r="DB71" s="197">
        <f t="shared" si="249"/>
        <v>350</v>
      </c>
      <c r="DC71" s="443">
        <f t="shared" si="299"/>
        <v>350</v>
      </c>
      <c r="DE71" s="217">
        <f t="shared" si="250"/>
        <v>2.3196605374823194</v>
      </c>
      <c r="DF71" s="173">
        <f t="shared" si="251"/>
        <v>1.6973125884016973</v>
      </c>
      <c r="DG71" s="173">
        <f t="shared" si="252"/>
        <v>0.68900808044029282</v>
      </c>
      <c r="DH71" s="173"/>
      <c r="DI71" s="173">
        <f t="shared" si="253"/>
        <v>0.73170731707317083</v>
      </c>
      <c r="DJ71" s="545">
        <f t="shared" si="300"/>
        <v>1803.9999999999998</v>
      </c>
      <c r="DK71" s="528">
        <f t="shared" si="254"/>
        <v>0.12804878048780488</v>
      </c>
      <c r="DM71" s="173">
        <f t="shared" si="255"/>
        <v>2.2703052028935922</v>
      </c>
      <c r="DN71" s="173">
        <f t="shared" si="256"/>
        <v>2.2703052028935922</v>
      </c>
      <c r="DO71" s="173">
        <f t="shared" si="257"/>
        <v>2.1409668169582163</v>
      </c>
      <c r="DQ71" s="545">
        <f t="shared" si="258"/>
        <v>660</v>
      </c>
      <c r="DR71" s="460">
        <f t="shared" si="259"/>
        <v>350</v>
      </c>
      <c r="DT71">
        <f t="shared" si="260"/>
        <v>660</v>
      </c>
      <c r="DU71">
        <f t="shared" si="261"/>
        <v>350</v>
      </c>
      <c r="DW71" s="5">
        <f t="shared" si="301"/>
        <v>2.8571428571428572</v>
      </c>
      <c r="DX71" s="5">
        <f t="shared" si="262"/>
        <v>1.1351526014467961</v>
      </c>
      <c r="DY71" s="5">
        <f t="shared" si="302"/>
        <v>1.7219902556960611</v>
      </c>
      <c r="DZ71" s="5">
        <f t="shared" si="263"/>
        <v>1.661198928946531</v>
      </c>
      <c r="EA71" s="173">
        <f t="shared" si="303"/>
        <v>0.39730341050637863</v>
      </c>
      <c r="EB71" s="173">
        <f t="shared" si="264"/>
        <v>10.824</v>
      </c>
      <c r="EC71" s="173">
        <f t="shared" si="265"/>
        <v>0.68415260144679602</v>
      </c>
      <c r="ED71" s="173">
        <f t="shared" si="304"/>
        <v>15.82103170712235</v>
      </c>
      <c r="EE71" s="460">
        <f t="shared" si="266"/>
        <v>4.6825044809680341</v>
      </c>
      <c r="EF71" s="5">
        <f t="shared" si="267"/>
        <v>0.63139642708855559</v>
      </c>
      <c r="EG71" s="5"/>
      <c r="EH71" s="173">
        <f t="shared" si="305"/>
        <v>0.82619918764787381</v>
      </c>
      <c r="EI71" s="173">
        <f t="shared" si="268"/>
        <v>1.0175903598330869</v>
      </c>
      <c r="EJ71" s="173"/>
      <c r="EK71" s="528">
        <f t="shared" si="269"/>
        <v>1.3652101953400133E-2</v>
      </c>
      <c r="EL71" s="528">
        <f t="shared" si="270"/>
        <v>0.6099401958093924</v>
      </c>
      <c r="EM71" s="528">
        <f t="shared" si="271"/>
        <v>4.0250000000000001E-2</v>
      </c>
      <c r="EN71" s="528">
        <f t="shared" si="272"/>
        <v>0.28134357999999998</v>
      </c>
      <c r="EO71">
        <f t="shared" si="273"/>
        <v>1.0800000000000001E-2</v>
      </c>
      <c r="EP71" s="460">
        <f t="shared" si="306"/>
        <v>51.05</v>
      </c>
      <c r="EQ71" s="528">
        <f t="shared" si="274"/>
        <v>0.96279500139358432</v>
      </c>
      <c r="ER71" s="460">
        <f t="shared" si="307"/>
        <v>962.79500139358436</v>
      </c>
      <c r="ES71" s="528">
        <f t="shared" si="308"/>
        <v>0.41002499999999997</v>
      </c>
      <c r="ET71" s="528"/>
      <c r="EV71" s="460">
        <f t="shared" si="309"/>
        <v>410.02499999999998</v>
      </c>
      <c r="EW71" s="528">
        <f t="shared" si="275"/>
        <v>2.0478152930100198E-2</v>
      </c>
      <c r="EX71" s="528">
        <f t="shared" si="276"/>
        <v>3.1064704212756936E-2</v>
      </c>
      <c r="EY71" s="528">
        <f t="shared" si="277"/>
        <v>0.88991950636223005</v>
      </c>
      <c r="EZ71" s="528">
        <f t="shared" si="278"/>
        <v>0.95778199486218751</v>
      </c>
      <c r="FA71" s="528">
        <f t="shared" si="279"/>
        <v>9.0200000000000002E-3</v>
      </c>
      <c r="FB71" s="460">
        <f t="shared" si="310"/>
        <v>966.80199486218748</v>
      </c>
      <c r="FC71" s="173">
        <f t="shared" si="311"/>
        <v>2.3396219962557718</v>
      </c>
      <c r="FD71" s="5">
        <f t="shared" si="312"/>
        <v>10.56</v>
      </c>
      <c r="FE71" s="173">
        <f t="shared" si="313"/>
        <v>0.81862863912331174</v>
      </c>
      <c r="FF71" s="5">
        <f t="shared" si="314"/>
        <v>81.862863912331179</v>
      </c>
      <c r="FI71" s="562">
        <f t="shared" si="280"/>
        <v>-50</v>
      </c>
      <c r="FJ71">
        <f t="shared" si="281"/>
        <v>-50</v>
      </c>
      <c r="FL71">
        <f t="shared" si="282"/>
        <v>0.58141962513128587</v>
      </c>
    </row>
    <row r="72" spans="5:168">
      <c r="E72" s="170">
        <v>67</v>
      </c>
      <c r="F72" s="217">
        <f t="shared" si="283"/>
        <v>0.67</v>
      </c>
      <c r="G72" s="217"/>
      <c r="H72" s="217">
        <f t="shared" si="183"/>
        <v>10.72</v>
      </c>
      <c r="I72" s="541">
        <f t="shared" si="184"/>
        <v>23.942459441227097</v>
      </c>
      <c r="J72" s="172">
        <f t="shared" si="185"/>
        <v>16.434524335263742</v>
      </c>
      <c r="K72" s="172">
        <f t="shared" si="186"/>
        <v>40.434524335263745</v>
      </c>
      <c r="L72" s="443"/>
      <c r="M72" s="217">
        <f t="shared" si="187"/>
        <v>0.40702391931394971</v>
      </c>
      <c r="N72" s="172">
        <f t="shared" si="188"/>
        <v>24.655238809852332</v>
      </c>
      <c r="O72" s="172">
        <f t="shared" si="284"/>
        <v>10.72</v>
      </c>
      <c r="P72" s="217">
        <f t="shared" si="189"/>
        <v>1.5409524256157707</v>
      </c>
      <c r="Q72" s="217">
        <f t="shared" si="190"/>
        <v>16</v>
      </c>
      <c r="R72" s="217">
        <f t="shared" si="191"/>
        <v>1.5226802624661768</v>
      </c>
      <c r="S72" s="172">
        <f t="shared" si="192"/>
        <v>65.540312947149346</v>
      </c>
      <c r="T72" s="172">
        <f t="shared" si="193"/>
        <v>16</v>
      </c>
      <c r="U72" s="217">
        <f t="shared" si="194"/>
        <v>2.2597876097290004</v>
      </c>
      <c r="V72" s="217">
        <f t="shared" si="195"/>
        <v>1.1326092619396408</v>
      </c>
      <c r="W72" s="217">
        <f t="shared" si="196"/>
        <v>1.6500295818456874</v>
      </c>
      <c r="X72" s="197">
        <f t="shared" si="197"/>
        <v>350</v>
      </c>
      <c r="Y72" s="443">
        <f t="shared" si="198"/>
        <v>335.27357899318423</v>
      </c>
      <c r="AA72" s="217">
        <f t="shared" si="199"/>
        <v>2.3202924958145394</v>
      </c>
      <c r="AB72" s="173">
        <f t="shared" si="200"/>
        <v>1.6942084469113805</v>
      </c>
      <c r="AC72" s="173">
        <f t="shared" si="201"/>
        <v>0.68793535049996424</v>
      </c>
      <c r="AD72" s="173"/>
      <c r="AE72" s="173">
        <f t="shared" si="202"/>
        <v>0.730170204820073</v>
      </c>
      <c r="AF72" s="545">
        <f t="shared" si="203"/>
        <v>1835.1885507711179</v>
      </c>
      <c r="AG72" s="528">
        <f t="shared" si="204"/>
        <v>0.12777978584351277</v>
      </c>
      <c r="AI72" s="173">
        <f t="shared" si="205"/>
        <v>2.2898462523379277</v>
      </c>
      <c r="AJ72" s="173">
        <f t="shared" si="206"/>
        <v>2.2898462523379277</v>
      </c>
      <c r="AK72" s="173">
        <f t="shared" si="207"/>
        <v>2.1554416683984647</v>
      </c>
      <c r="AM72" s="545">
        <f t="shared" si="208"/>
        <v>670</v>
      </c>
      <c r="AN72" s="460">
        <f t="shared" si="209"/>
        <v>335.27357899318423</v>
      </c>
      <c r="AP72">
        <f t="shared" si="210"/>
        <v>670</v>
      </c>
      <c r="AQ72">
        <f t="shared" si="211"/>
        <v>335.27357899318423</v>
      </c>
      <c r="AS72" s="5">
        <f t="shared" si="285"/>
        <v>2.9826388437853288</v>
      </c>
      <c r="AT72" s="5">
        <f t="shared" si="212"/>
        <v>1.1476747029897789</v>
      </c>
      <c r="AU72" s="5">
        <f t="shared" si="286"/>
        <v>1.8349641407955499</v>
      </c>
      <c r="AV72" s="5">
        <f t="shared" si="213"/>
        <v>1.6719775070760614</v>
      </c>
      <c r="AW72" s="173">
        <f t="shared" si="287"/>
        <v>0.38478500519132286</v>
      </c>
      <c r="AX72" s="173">
        <f t="shared" si="214"/>
        <v>10.547832575045964</v>
      </c>
      <c r="AY72" s="173">
        <f t="shared" si="215"/>
        <v>0.70437387512237348</v>
      </c>
      <c r="AZ72" s="173">
        <f t="shared" si="288"/>
        <v>14.974764038790408</v>
      </c>
      <c r="BA72" s="460">
        <f t="shared" si="216"/>
        <v>4.8058878187696994</v>
      </c>
      <c r="BB72" s="5">
        <f t="shared" si="217"/>
        <v>0.68465590866633641</v>
      </c>
      <c r="BC72" s="5"/>
      <c r="BD72" s="173">
        <f t="shared" si="289"/>
        <v>0.82007725305986301</v>
      </c>
      <c r="BE72" s="173">
        <f t="shared" si="218"/>
        <v>1.036953190262611</v>
      </c>
      <c r="BF72" s="173"/>
      <c r="BG72" s="528">
        <f t="shared" si="219"/>
        <v>1.3450534019724212E-2</v>
      </c>
      <c r="BH72" s="528">
        <f t="shared" si="220"/>
        <v>0.56652732421137453</v>
      </c>
      <c r="BI72" s="528">
        <f t="shared" si="221"/>
        <v>0.18462730353546536</v>
      </c>
      <c r="BJ72" s="528">
        <f t="shared" si="222"/>
        <v>0.26996672765146534</v>
      </c>
      <c r="BK72">
        <f t="shared" si="223"/>
        <v>1.0774106748552193E-2</v>
      </c>
      <c r="BL72" s="460">
        <f t="shared" si="290"/>
        <v>195.40141028401754</v>
      </c>
      <c r="BM72" s="528">
        <f t="shared" si="224"/>
        <v>0.8563128749000859</v>
      </c>
      <c r="BN72" s="460">
        <f t="shared" si="291"/>
        <v>856.31287490008594</v>
      </c>
      <c r="BO72" s="528">
        <f t="shared" si="225"/>
        <v>0.41623749999999993</v>
      </c>
      <c r="BP72" s="528"/>
      <c r="BR72" s="460">
        <f t="shared" si="292"/>
        <v>416.23749999999995</v>
      </c>
      <c r="BS72" s="528">
        <f t="shared" si="226"/>
        <v>2.0175801029586316E-2</v>
      </c>
      <c r="BT72" s="528">
        <f t="shared" si="227"/>
        <v>3.2258157563874207E-2</v>
      </c>
      <c r="BU72" s="528">
        <f t="shared" si="228"/>
        <v>0.1608</v>
      </c>
      <c r="BV72" s="528">
        <f t="shared" si="229"/>
        <v>0.22676934179813982</v>
      </c>
      <c r="BW72" s="528">
        <f t="shared" si="230"/>
        <v>8.7898604792049709E-3</v>
      </c>
      <c r="BX72" s="460">
        <f t="shared" si="293"/>
        <v>235.55920227734478</v>
      </c>
      <c r="BY72" s="173">
        <f t="shared" si="231"/>
        <v>1.7035109874614482</v>
      </c>
      <c r="BZ72" s="5">
        <f t="shared" si="294"/>
        <v>10.72</v>
      </c>
      <c r="CA72" s="173">
        <f t="shared" si="295"/>
        <v>0.86288006754445401</v>
      </c>
      <c r="CB72" s="5">
        <f t="shared" si="296"/>
        <v>86.288006754445405</v>
      </c>
      <c r="CE72" s="562">
        <f t="shared" si="232"/>
        <v>-50</v>
      </c>
      <c r="CF72">
        <f t="shared" si="233"/>
        <v>-50</v>
      </c>
      <c r="CG72" s="173">
        <f t="shared" si="234"/>
        <v>0.58219803064852826</v>
      </c>
      <c r="CI72" s="170">
        <v>67</v>
      </c>
      <c r="CJ72" s="217">
        <f t="shared" si="297"/>
        <v>0.67</v>
      </c>
      <c r="CK72" s="217"/>
      <c r="CL72" s="217">
        <f t="shared" si="235"/>
        <v>10.72</v>
      </c>
      <c r="CM72" s="541">
        <f t="shared" si="236"/>
        <v>24</v>
      </c>
      <c r="CN72" s="172">
        <f t="shared" si="237"/>
        <v>16.399999999999999</v>
      </c>
      <c r="CO72" s="443">
        <f t="shared" si="238"/>
        <v>40.4</v>
      </c>
      <c r="CP72" s="443"/>
      <c r="CQ72" s="217">
        <f t="shared" si="239"/>
        <v>0.40594059405940591</v>
      </c>
      <c r="CR72" s="172">
        <f t="shared" si="240"/>
        <v>24.648712871287128</v>
      </c>
      <c r="CS72" s="172">
        <f t="shared" si="298"/>
        <v>10.72</v>
      </c>
      <c r="CT72" s="217">
        <f t="shared" si="241"/>
        <v>1.5405445544554455</v>
      </c>
      <c r="CU72" s="217">
        <f t="shared" si="242"/>
        <v>16</v>
      </c>
      <c r="CV72" s="217">
        <f t="shared" si="243"/>
        <v>1.5222772277227721</v>
      </c>
      <c r="CW72" s="172">
        <f t="shared" si="244"/>
        <v>65.697478838852561</v>
      </c>
      <c r="CX72" s="172">
        <f t="shared" si="245"/>
        <v>16</v>
      </c>
      <c r="CY72" s="217">
        <f t="shared" si="246"/>
        <v>2.2006504065040651</v>
      </c>
      <c r="CZ72" s="217">
        <f t="shared" si="247"/>
        <v>1.1003252032520328</v>
      </c>
      <c r="DA72" s="217">
        <f t="shared" si="248"/>
        <v>1.6102320047590724</v>
      </c>
      <c r="DB72" s="197">
        <f t="shared" si="249"/>
        <v>350</v>
      </c>
      <c r="DC72" s="443">
        <f t="shared" si="299"/>
        <v>350</v>
      </c>
      <c r="DE72" s="217">
        <f t="shared" si="250"/>
        <v>2.3196605374823194</v>
      </c>
      <c r="DF72" s="173">
        <f t="shared" si="251"/>
        <v>1.6973125884016973</v>
      </c>
      <c r="DG72" s="173">
        <f t="shared" si="252"/>
        <v>0.68900808044029282</v>
      </c>
      <c r="DH72" s="173"/>
      <c r="DI72" s="173">
        <f t="shared" si="253"/>
        <v>0.73170731707317083</v>
      </c>
      <c r="DJ72" s="545">
        <f t="shared" si="300"/>
        <v>1831.3333333333333</v>
      </c>
      <c r="DK72" s="528">
        <f t="shared" si="254"/>
        <v>0.12804878048780488</v>
      </c>
      <c r="DM72" s="173">
        <f t="shared" si="255"/>
        <v>2.2874398248655532</v>
      </c>
      <c r="DN72" s="173">
        <f t="shared" si="256"/>
        <v>2.2874398248655532</v>
      </c>
      <c r="DO72" s="173">
        <f t="shared" si="257"/>
        <v>2.1536591295300394</v>
      </c>
      <c r="DQ72" s="545">
        <f t="shared" si="258"/>
        <v>670</v>
      </c>
      <c r="DR72" s="460">
        <f t="shared" si="259"/>
        <v>350</v>
      </c>
      <c r="DT72">
        <f t="shared" si="260"/>
        <v>670</v>
      </c>
      <c r="DU72">
        <f t="shared" si="261"/>
        <v>350</v>
      </c>
      <c r="DW72" s="5">
        <f t="shared" si="301"/>
        <v>2.8571428571428572</v>
      </c>
      <c r="DX72" s="5">
        <f t="shared" si="262"/>
        <v>1.1437199124327766</v>
      </c>
      <c r="DY72" s="5">
        <f t="shared" si="302"/>
        <v>1.7134229447100806</v>
      </c>
      <c r="DZ72" s="5">
        <f t="shared" si="263"/>
        <v>1.6737364572186977</v>
      </c>
      <c r="EA72" s="173">
        <f t="shared" si="303"/>
        <v>0.40030196935147178</v>
      </c>
      <c r="EB72" s="173">
        <f t="shared" si="264"/>
        <v>10.988000000000001</v>
      </c>
      <c r="EC72" s="173">
        <f t="shared" si="265"/>
        <v>0.68588657909944328</v>
      </c>
      <c r="ED72" s="173">
        <f t="shared" si="304"/>
        <v>16.02014142692083</v>
      </c>
      <c r="EE72" s="460">
        <f t="shared" si="266"/>
        <v>4.789327133312252</v>
      </c>
      <c r="EF72" s="5">
        <f t="shared" si="267"/>
        <v>0.63777409608652991</v>
      </c>
      <c r="EG72" s="5"/>
      <c r="EH72" s="173">
        <f t="shared" si="305"/>
        <v>0.83557014459892887</v>
      </c>
      <c r="EI72" s="173">
        <f t="shared" si="268"/>
        <v>1.022716733793825</v>
      </c>
      <c r="EJ72" s="173"/>
      <c r="EK72" s="528">
        <f t="shared" si="269"/>
        <v>1.3963549330901498E-2</v>
      </c>
      <c r="EL72" s="528">
        <f t="shared" si="270"/>
        <v>0.61454358334837955</v>
      </c>
      <c r="EM72" s="528">
        <f t="shared" si="271"/>
        <v>4.0250000000000001E-2</v>
      </c>
      <c r="EN72" s="528">
        <f t="shared" si="272"/>
        <v>0.28134357999999998</v>
      </c>
      <c r="EO72">
        <f t="shared" si="273"/>
        <v>1.0800000000000001E-2</v>
      </c>
      <c r="EP72" s="460">
        <f t="shared" si="306"/>
        <v>51.05</v>
      </c>
      <c r="EQ72" s="528">
        <f t="shared" si="274"/>
        <v>0.96788205133846172</v>
      </c>
      <c r="ER72" s="460">
        <f t="shared" si="307"/>
        <v>967.88205133846168</v>
      </c>
      <c r="ES72" s="528">
        <f t="shared" si="308"/>
        <v>0.41623749999999993</v>
      </c>
      <c r="ET72" s="528"/>
      <c r="EV72" s="460">
        <f t="shared" si="309"/>
        <v>416.23749999999995</v>
      </c>
      <c r="EW72" s="528">
        <f t="shared" si="275"/>
        <v>2.0945323996352246E-2</v>
      </c>
      <c r="EX72" s="528">
        <f t="shared" si="276"/>
        <v>3.1378485527457284E-2</v>
      </c>
      <c r="EY72" s="528">
        <f t="shared" si="277"/>
        <v>0.90680584381771401</v>
      </c>
      <c r="EZ72" s="528">
        <f t="shared" si="278"/>
        <v>0.9757718556844801</v>
      </c>
      <c r="FA72" s="528">
        <f t="shared" si="279"/>
        <v>9.1566666666666689E-3</v>
      </c>
      <c r="FB72" s="460">
        <f t="shared" si="310"/>
        <v>984.92852235114685</v>
      </c>
      <c r="FC72" s="173">
        <f t="shared" si="311"/>
        <v>2.3690480736896085</v>
      </c>
      <c r="FD72" s="5">
        <f t="shared" si="312"/>
        <v>10.72</v>
      </c>
      <c r="FE72" s="173">
        <f t="shared" si="313"/>
        <v>0.8190053195349134</v>
      </c>
      <c r="FF72" s="5">
        <f t="shared" si="314"/>
        <v>81.900531953491338</v>
      </c>
      <c r="FI72" s="562">
        <f t="shared" si="280"/>
        <v>-50</v>
      </c>
      <c r="FJ72">
        <f t="shared" si="281"/>
        <v>-50</v>
      </c>
      <c r="FL72">
        <f t="shared" si="282"/>
        <v>0.58580776002654422</v>
      </c>
    </row>
    <row r="73" spans="5:168">
      <c r="E73" s="170">
        <v>68</v>
      </c>
      <c r="F73" s="217">
        <f t="shared" si="283"/>
        <v>0.68</v>
      </c>
      <c r="G73" s="217"/>
      <c r="H73" s="217">
        <f t="shared" si="183"/>
        <v>10.88</v>
      </c>
      <c r="I73" s="541">
        <f t="shared" si="184"/>
        <v>23.941300548518822</v>
      </c>
      <c r="J73" s="172">
        <f t="shared" si="185"/>
        <v>16.435219670888706</v>
      </c>
      <c r="K73" s="172">
        <f t="shared" si="186"/>
        <v>40.435219670888706</v>
      </c>
      <c r="L73" s="443"/>
      <c r="M73" s="217">
        <f t="shared" si="187"/>
        <v>0.40703934858469137</v>
      </c>
      <c r="N73" s="172">
        <f t="shared" si="188"/>
        <v>24.654979990234718</v>
      </c>
      <c r="O73" s="172">
        <f t="shared" si="284"/>
        <v>10.88</v>
      </c>
      <c r="P73" s="217">
        <f t="shared" si="189"/>
        <v>1.5409362493896699</v>
      </c>
      <c r="Q73" s="217">
        <f t="shared" si="190"/>
        <v>16</v>
      </c>
      <c r="R73" s="217">
        <f t="shared" si="191"/>
        <v>1.5226642780530337</v>
      </c>
      <c r="S73" s="172">
        <f t="shared" si="192"/>
        <v>64.226369621245254</v>
      </c>
      <c r="T73" s="172">
        <f t="shared" si="193"/>
        <v>16</v>
      </c>
      <c r="U73" s="217">
        <f t="shared" si="194"/>
        <v>2.2935754619701707</v>
      </c>
      <c r="V73" s="217">
        <f t="shared" si="195"/>
        <v>1.1495994333250543</v>
      </c>
      <c r="W73" s="217">
        <f t="shared" si="196"/>
        <v>1.6746296121853901</v>
      </c>
      <c r="X73" s="197">
        <f t="shared" si="197"/>
        <v>350</v>
      </c>
      <c r="Y73" s="443">
        <f t="shared" si="198"/>
        <v>330.66278544098003</v>
      </c>
      <c r="AA73" s="217">
        <f t="shared" si="199"/>
        <v>2.3203049904551261</v>
      </c>
      <c r="AB73" s="173">
        <f t="shared" si="200"/>
        <v>1.6941458917510115</v>
      </c>
      <c r="AC73" s="173">
        <f t="shared" si="201"/>
        <v>0.68791365425806139</v>
      </c>
      <c r="AD73" s="173"/>
      <c r="AE73" s="173">
        <f t="shared" si="202"/>
        <v>0.73013931303001078</v>
      </c>
      <c r="AF73" s="545">
        <f t="shared" si="203"/>
        <v>1862.6582293673869</v>
      </c>
      <c r="AG73" s="528">
        <f t="shared" si="204"/>
        <v>0.12777437978025188</v>
      </c>
      <c r="AI73" s="173">
        <f t="shared" si="205"/>
        <v>2.3069201666584371</v>
      </c>
      <c r="AJ73" s="173">
        <f t="shared" si="206"/>
        <v>2.3069201666584371</v>
      </c>
      <c r="AK73" s="173">
        <f t="shared" si="207"/>
        <v>2.1680890123395828</v>
      </c>
      <c r="AM73" s="545">
        <f t="shared" si="208"/>
        <v>680</v>
      </c>
      <c r="AN73" s="460">
        <f t="shared" si="209"/>
        <v>330.66278544098003</v>
      </c>
      <c r="AP73">
        <f t="shared" si="210"/>
        <v>680</v>
      </c>
      <c r="AQ73">
        <f t="shared" si="211"/>
        <v>330.66278544098003</v>
      </c>
      <c r="AS73" s="5">
        <f t="shared" si="285"/>
        <v>3.0242290455104448</v>
      </c>
      <c r="AT73" s="5">
        <f t="shared" si="212"/>
        <v>1.1562881449902651</v>
      </c>
      <c r="AU73" s="5">
        <f t="shared" si="286"/>
        <v>1.8679409005201797</v>
      </c>
      <c r="AV73" s="5">
        <f t="shared" si="213"/>
        <v>1.6843731056990694</v>
      </c>
      <c r="AW73" s="173">
        <f t="shared" si="287"/>
        <v>0.38234145879486481</v>
      </c>
      <c r="AX73" s="173">
        <f t="shared" si="214"/>
        <v>10.558487287666013</v>
      </c>
      <c r="AY73" s="173">
        <f t="shared" si="215"/>
        <v>0.71244447240747877</v>
      </c>
      <c r="AZ73" s="173">
        <f t="shared" si="288"/>
        <v>14.82008450705916</v>
      </c>
      <c r="BA73" s="460">
        <f t="shared" si="216"/>
        <v>4.9142246162086263</v>
      </c>
      <c r="BB73" s="5">
        <f t="shared" si="217"/>
        <v>0.70739672073067095</v>
      </c>
      <c r="BC73" s="5"/>
      <c r="BD73" s="173">
        <f t="shared" si="289"/>
        <v>0.82356453163329479</v>
      </c>
      <c r="BE73" s="173">
        <f t="shared" si="218"/>
        <v>1.0467576991265755</v>
      </c>
      <c r="BF73" s="173"/>
      <c r="BG73" s="528">
        <f t="shared" si="219"/>
        <v>1.3565170755287364E-2</v>
      </c>
      <c r="BH73" s="528">
        <f t="shared" si="220"/>
        <v>0.56291207013218858</v>
      </c>
      <c r="BI73" s="528">
        <f t="shared" si="221"/>
        <v>0.18207943390841663</v>
      </c>
      <c r="BJ73" s="528">
        <f t="shared" si="222"/>
        <v>0.26626321299577765</v>
      </c>
      <c r="BK73">
        <f t="shared" si="223"/>
        <v>1.0773585246833469E-2</v>
      </c>
      <c r="BL73" s="460">
        <f t="shared" si="290"/>
        <v>192.85301915525011</v>
      </c>
      <c r="BM73" s="528">
        <f t="shared" si="224"/>
        <v>0.84913989969690207</v>
      </c>
      <c r="BN73" s="460">
        <f t="shared" si="291"/>
        <v>849.13989969690203</v>
      </c>
      <c r="BO73" s="528">
        <f t="shared" si="225"/>
        <v>0.42244999999999994</v>
      </c>
      <c r="BP73" s="528"/>
      <c r="BR73" s="460">
        <f t="shared" si="292"/>
        <v>422.44999999999993</v>
      </c>
      <c r="BS73" s="528">
        <f t="shared" si="226"/>
        <v>2.0347756132931046E-2</v>
      </c>
      <c r="BT73" s="528">
        <f t="shared" si="227"/>
        <v>3.2871050420422869E-2</v>
      </c>
      <c r="BU73" s="528">
        <f t="shared" si="228"/>
        <v>0.16320000000000001</v>
      </c>
      <c r="BV73" s="528">
        <f t="shared" si="229"/>
        <v>0.23017127537241353</v>
      </c>
      <c r="BW73" s="528">
        <f t="shared" si="230"/>
        <v>8.798739406388343E-3</v>
      </c>
      <c r="BX73" s="460">
        <f t="shared" si="293"/>
        <v>238.97001477880187</v>
      </c>
      <c r="BY73" s="173">
        <f t="shared" si="231"/>
        <v>1.7034129336309538</v>
      </c>
      <c r="BZ73" s="5">
        <f t="shared" si="294"/>
        <v>10.88</v>
      </c>
      <c r="CA73" s="173">
        <f t="shared" si="295"/>
        <v>0.86463029206660291</v>
      </c>
      <c r="CB73" s="5">
        <f t="shared" si="296"/>
        <v>86.463029206660295</v>
      </c>
      <c r="CE73" s="562">
        <f t="shared" si="232"/>
        <v>-50</v>
      </c>
      <c r="CF73">
        <f t="shared" si="233"/>
        <v>-50</v>
      </c>
      <c r="CG73" s="173">
        <f t="shared" si="234"/>
        <v>0.57922176684907323</v>
      </c>
      <c r="CI73" s="170">
        <v>68</v>
      </c>
      <c r="CJ73" s="217">
        <f t="shared" si="297"/>
        <v>0.68</v>
      </c>
      <c r="CK73" s="217"/>
      <c r="CL73" s="217">
        <f t="shared" si="235"/>
        <v>10.88</v>
      </c>
      <c r="CM73" s="541">
        <f t="shared" si="236"/>
        <v>24</v>
      </c>
      <c r="CN73" s="172">
        <f t="shared" si="237"/>
        <v>16.399999999999999</v>
      </c>
      <c r="CO73" s="443">
        <f t="shared" si="238"/>
        <v>40.4</v>
      </c>
      <c r="CP73" s="443"/>
      <c r="CQ73" s="217">
        <f t="shared" si="239"/>
        <v>0.40594059405940591</v>
      </c>
      <c r="CR73" s="172">
        <f t="shared" si="240"/>
        <v>24.648712871287128</v>
      </c>
      <c r="CS73" s="172">
        <f t="shared" si="298"/>
        <v>10.88</v>
      </c>
      <c r="CT73" s="217">
        <f t="shared" si="241"/>
        <v>1.5405445544554455</v>
      </c>
      <c r="CU73" s="217">
        <f t="shared" si="242"/>
        <v>16</v>
      </c>
      <c r="CV73" s="217">
        <f t="shared" si="243"/>
        <v>1.5222772277227721</v>
      </c>
      <c r="CW73" s="172">
        <f t="shared" si="244"/>
        <v>64.383480043958599</v>
      </c>
      <c r="CX73" s="172">
        <f t="shared" si="245"/>
        <v>16</v>
      </c>
      <c r="CY73" s="217">
        <f t="shared" si="246"/>
        <v>2.2334959349593499</v>
      </c>
      <c r="CZ73" s="217">
        <f t="shared" si="247"/>
        <v>1.116747967479675</v>
      </c>
      <c r="DA73" s="217">
        <f t="shared" si="248"/>
        <v>1.6342653182629392</v>
      </c>
      <c r="DB73" s="197">
        <f t="shared" si="249"/>
        <v>350</v>
      </c>
      <c r="DC73" s="443">
        <f t="shared" si="299"/>
        <v>350</v>
      </c>
      <c r="DE73" s="217">
        <f t="shared" si="250"/>
        <v>2.3196605374823194</v>
      </c>
      <c r="DF73" s="173">
        <f t="shared" si="251"/>
        <v>1.6973125884016973</v>
      </c>
      <c r="DG73" s="173">
        <f t="shared" si="252"/>
        <v>0.68900808044029282</v>
      </c>
      <c r="DH73" s="173"/>
      <c r="DI73" s="173">
        <f t="shared" si="253"/>
        <v>0.73170731707317083</v>
      </c>
      <c r="DJ73" s="545">
        <f t="shared" si="300"/>
        <v>1858.6666666666665</v>
      </c>
      <c r="DK73" s="528">
        <f t="shared" si="254"/>
        <v>0.12804878048780488</v>
      </c>
      <c r="DM73" s="173">
        <f t="shared" si="255"/>
        <v>2.3044470465767248</v>
      </c>
      <c r="DN73" s="173">
        <f t="shared" si="256"/>
        <v>2.3044470465767248</v>
      </c>
      <c r="DO73" s="173">
        <f t="shared" si="257"/>
        <v>2.1662570715383147</v>
      </c>
      <c r="DQ73" s="545">
        <f t="shared" si="258"/>
        <v>680</v>
      </c>
      <c r="DR73" s="460">
        <f t="shared" si="259"/>
        <v>350</v>
      </c>
      <c r="DT73">
        <f t="shared" si="260"/>
        <v>680</v>
      </c>
      <c r="DU73">
        <f t="shared" si="261"/>
        <v>350</v>
      </c>
      <c r="DW73" s="5">
        <f t="shared" si="301"/>
        <v>2.8571428571428572</v>
      </c>
      <c r="DX73" s="5">
        <f t="shared" si="262"/>
        <v>1.1522235232883624</v>
      </c>
      <c r="DY73" s="5">
        <f t="shared" si="302"/>
        <v>1.7049193338544948</v>
      </c>
      <c r="DZ73" s="5">
        <f t="shared" si="263"/>
        <v>1.6861807657878476</v>
      </c>
      <c r="EA73" s="173">
        <f t="shared" si="303"/>
        <v>0.40327823315092681</v>
      </c>
      <c r="EB73" s="173">
        <f t="shared" si="264"/>
        <v>11.151999999999999</v>
      </c>
      <c r="EC73" s="173">
        <f t="shared" si="265"/>
        <v>0.68755685662169586</v>
      </c>
      <c r="ED73" s="173">
        <f t="shared" si="304"/>
        <v>16.219749527035837</v>
      </c>
      <c r="EE73" s="460">
        <f t="shared" si="266"/>
        <v>4.8969499739755413</v>
      </c>
      <c r="EF73" s="5">
        <f t="shared" si="267"/>
        <v>0.64408063723392017</v>
      </c>
      <c r="EG73" s="5"/>
      <c r="EH73" s="173">
        <f t="shared" si="305"/>
        <v>0.84490619899199515</v>
      </c>
      <c r="EI73" s="173">
        <f t="shared" si="268"/>
        <v>1.0277607917524529</v>
      </c>
      <c r="EJ73" s="173"/>
      <c r="EK73" s="528">
        <f t="shared" si="269"/>
        <v>1.4277329701902017E-2</v>
      </c>
      <c r="EL73" s="528">
        <f t="shared" si="270"/>
        <v>0.61911274353330292</v>
      </c>
      <c r="EM73" s="528">
        <f t="shared" si="271"/>
        <v>4.0250000000000001E-2</v>
      </c>
      <c r="EN73" s="528">
        <f t="shared" si="272"/>
        <v>0.28134357999999998</v>
      </c>
      <c r="EO73">
        <f t="shared" si="273"/>
        <v>1.0800000000000001E-2</v>
      </c>
      <c r="EP73" s="460">
        <f t="shared" si="306"/>
        <v>51.05</v>
      </c>
      <c r="EQ73" s="528">
        <f t="shared" si="274"/>
        <v>0.97293902702816848</v>
      </c>
      <c r="ER73" s="460">
        <f t="shared" si="307"/>
        <v>972.93902702816843</v>
      </c>
      <c r="ES73" s="528">
        <f t="shared" si="308"/>
        <v>0.42244999999999994</v>
      </c>
      <c r="ET73" s="528"/>
      <c r="EV73" s="460">
        <f t="shared" si="309"/>
        <v>422.44999999999993</v>
      </c>
      <c r="EW73" s="528">
        <f t="shared" si="275"/>
        <v>2.1415994552853024E-2</v>
      </c>
      <c r="EX73" s="528">
        <f t="shared" si="276"/>
        <v>3.168876735190887E-2</v>
      </c>
      <c r="EY73" s="528">
        <f t="shared" si="277"/>
        <v>0.92375530974974718</v>
      </c>
      <c r="EZ73" s="528">
        <f t="shared" si="278"/>
        <v>0.99382737178791059</v>
      </c>
      <c r="FA73" s="528">
        <f t="shared" si="279"/>
        <v>9.2933333333333323E-3</v>
      </c>
      <c r="FB73" s="460">
        <f t="shared" si="310"/>
        <v>1003.1207051212439</v>
      </c>
      <c r="FC73" s="173">
        <f t="shared" si="311"/>
        <v>2.3985097321494124</v>
      </c>
      <c r="FD73" s="5">
        <f t="shared" si="312"/>
        <v>10.88</v>
      </c>
      <c r="FE73" s="173">
        <f t="shared" si="313"/>
        <v>0.81936905718100028</v>
      </c>
      <c r="FF73" s="5">
        <f t="shared" si="314"/>
        <v>81.936905718100022</v>
      </c>
      <c r="FI73" s="562">
        <f t="shared" si="280"/>
        <v>-50</v>
      </c>
      <c r="FJ73">
        <f t="shared" si="281"/>
        <v>-50</v>
      </c>
      <c r="FL73">
        <f t="shared" si="282"/>
        <v>0.5901632680257467</v>
      </c>
    </row>
    <row r="74" spans="5:168">
      <c r="E74" s="170">
        <v>69</v>
      </c>
      <c r="F74" s="217">
        <f t="shared" si="283"/>
        <v>0.69</v>
      </c>
      <c r="G74" s="217"/>
      <c r="H74" s="217">
        <f t="shared" si="183"/>
        <v>11.04</v>
      </c>
      <c r="I74" s="541">
        <f t="shared" si="184"/>
        <v>23.941115250921051</v>
      </c>
      <c r="J74" s="172">
        <f t="shared" si="185"/>
        <v>16.435330849447368</v>
      </c>
      <c r="K74" s="172">
        <f t="shared" si="186"/>
        <v>40.435330849447368</v>
      </c>
      <c r="L74" s="443"/>
      <c r="M74" s="217">
        <f t="shared" si="187"/>
        <v>0.40704493568421807</v>
      </c>
      <c r="N74" s="172">
        <f t="shared" si="188"/>
        <v>24.655127585324614</v>
      </c>
      <c r="O74" s="172">
        <f t="shared" si="284"/>
        <v>11.04</v>
      </c>
      <c r="P74" s="217">
        <f t="shared" si="189"/>
        <v>1.5409454740827884</v>
      </c>
      <c r="Q74" s="217">
        <f t="shared" si="190"/>
        <v>16</v>
      </c>
      <c r="R74" s="217">
        <f t="shared" si="191"/>
        <v>1.5226733933624395</v>
      </c>
      <c r="S74" s="172">
        <f t="shared" si="192"/>
        <v>62.953215538295858</v>
      </c>
      <c r="T74" s="172">
        <f t="shared" si="193"/>
        <v>16</v>
      </c>
      <c r="U74" s="217">
        <f t="shared" si="194"/>
        <v>2.3273264418314712</v>
      </c>
      <c r="V74" s="217">
        <f t="shared" si="195"/>
        <v>1.1665253272152067</v>
      </c>
      <c r="W74" s="217">
        <f t="shared" si="196"/>
        <v>1.6992610345240917</v>
      </c>
      <c r="X74" s="197">
        <f t="shared" si="197"/>
        <v>350</v>
      </c>
      <c r="Y74" s="443">
        <f t="shared" si="198"/>
        <v>326.18058860196459</v>
      </c>
      <c r="AA74" s="217">
        <f t="shared" si="199"/>
        <v>2.3203069873927316</v>
      </c>
      <c r="AB74" s="173">
        <f t="shared" si="200"/>
        <v>1.6941358895521723</v>
      </c>
      <c r="AC74" s="173">
        <f t="shared" si="201"/>
        <v>0.68791018487112354</v>
      </c>
      <c r="AD74" s="173"/>
      <c r="AE74" s="173">
        <f t="shared" si="202"/>
        <v>0.73013437392430069</v>
      </c>
      <c r="AF74" s="545">
        <f t="shared" si="203"/>
        <v>1890.0630476864471</v>
      </c>
      <c r="AG74" s="528">
        <f t="shared" si="204"/>
        <v>0.12777351543675264</v>
      </c>
      <c r="AI74" s="173">
        <f t="shared" si="205"/>
        <v>2.3238287665503652</v>
      </c>
      <c r="AJ74" s="173">
        <f t="shared" si="206"/>
        <v>2.3273264418314712</v>
      </c>
      <c r="AK74" s="173">
        <f t="shared" si="207"/>
        <v>2.1832047717270155</v>
      </c>
      <c r="AM74" s="545">
        <f t="shared" si="208"/>
        <v>690</v>
      </c>
      <c r="AN74" s="460">
        <f t="shared" si="209"/>
        <v>326.18058860196459</v>
      </c>
      <c r="AP74">
        <f t="shared" si="210"/>
        <v>690</v>
      </c>
      <c r="AQ74">
        <f t="shared" si="211"/>
        <v>326.18058860196459</v>
      </c>
      <c r="AS74" s="5">
        <f t="shared" si="285"/>
        <v>3.0657863617392986</v>
      </c>
      <c r="AT74" s="5">
        <f t="shared" si="212"/>
        <v>1.1665253272152067</v>
      </c>
      <c r="AU74" s="5">
        <f t="shared" si="286"/>
        <v>1.8992610345240919</v>
      </c>
      <c r="AV74" s="5">
        <f t="shared" si="213"/>
        <v>1.6992610345240917</v>
      </c>
      <c r="AW74" s="173">
        <f t="shared" si="287"/>
        <v>0.38049791785015546</v>
      </c>
      <c r="AX74" s="173">
        <f t="shared" si="214"/>
        <v>10.600441898583657</v>
      </c>
      <c r="AY74" s="173">
        <f t="shared" si="215"/>
        <v>0.72089178827849265</v>
      </c>
      <c r="AZ74" s="173">
        <f t="shared" si="288"/>
        <v>14.704622900335394</v>
      </c>
      <c r="BA74" s="460">
        <f t="shared" si="216"/>
        <v>5.0306404736155788</v>
      </c>
      <c r="BB74" s="5">
        <f t="shared" si="217"/>
        <v>0.72984075029459716</v>
      </c>
      <c r="BC74" s="5"/>
      <c r="BD74" s="173">
        <f t="shared" si="289"/>
        <v>0.82884403955720454</v>
      </c>
      <c r="BE74" s="173">
        <f t="shared" si="218"/>
        <v>1.0575917676683226</v>
      </c>
      <c r="BF74" s="173"/>
      <c r="BG74" s="528">
        <f t="shared" si="219"/>
        <v>1.3739648838190097E-2</v>
      </c>
      <c r="BH74" s="528">
        <f t="shared" si="220"/>
        <v>0.56019507398271284</v>
      </c>
      <c r="BI74" s="528">
        <f t="shared" si="221"/>
        <v>0.17960992247965668</v>
      </c>
      <c r="BJ74" s="528">
        <f t="shared" si="222"/>
        <v>0.26265540894979933</v>
      </c>
      <c r="BK74">
        <f t="shared" si="223"/>
        <v>1.0773501862914472E-2</v>
      </c>
      <c r="BL74" s="460">
        <f t="shared" si="290"/>
        <v>190.38342434257117</v>
      </c>
      <c r="BM74" s="528">
        <f t="shared" si="224"/>
        <v>0.84305201445572742</v>
      </c>
      <c r="BN74" s="460">
        <f t="shared" si="291"/>
        <v>843.05201445572743</v>
      </c>
      <c r="BO74" s="528">
        <f t="shared" si="225"/>
        <v>0.42866249999999989</v>
      </c>
      <c r="BP74" s="528"/>
      <c r="BR74" s="460">
        <f t="shared" si="292"/>
        <v>428.66249999999991</v>
      </c>
      <c r="BS74" s="528">
        <f t="shared" si="226"/>
        <v>2.0609473257285144E-2</v>
      </c>
      <c r="BT74" s="528">
        <f t="shared" si="227"/>
        <v>3.3555010411194221E-2</v>
      </c>
      <c r="BU74" s="528">
        <f t="shared" si="228"/>
        <v>0.16559999999999997</v>
      </c>
      <c r="BV74" s="528">
        <f t="shared" si="229"/>
        <v>0.23377695238246535</v>
      </c>
      <c r="BW74" s="528">
        <f t="shared" si="230"/>
        <v>8.8337015821530491E-3</v>
      </c>
      <c r="BX74" s="460">
        <f t="shared" si="293"/>
        <v>242.61065396461839</v>
      </c>
      <c r="BY74" s="173">
        <f t="shared" si="231"/>
        <v>1.7047085927629171</v>
      </c>
      <c r="BZ74" s="5">
        <f t="shared" si="294"/>
        <v>11.04</v>
      </c>
      <c r="CA74" s="173">
        <f t="shared" si="295"/>
        <v>0.86624185399335574</v>
      </c>
      <c r="CB74" s="5">
        <f t="shared" si="296"/>
        <v>86.624185399335573</v>
      </c>
      <c r="CE74" s="562">
        <f t="shared" si="232"/>
        <v>-50</v>
      </c>
      <c r="CF74">
        <f t="shared" si="233"/>
        <v>-50</v>
      </c>
      <c r="CG74" s="173">
        <f t="shared" si="234"/>
        <v>0.58589024390243905</v>
      </c>
      <c r="CI74" s="170">
        <v>69</v>
      </c>
      <c r="CJ74" s="217">
        <f t="shared" si="297"/>
        <v>0.69</v>
      </c>
      <c r="CK74" s="217"/>
      <c r="CL74" s="217">
        <f t="shared" si="235"/>
        <v>11.04</v>
      </c>
      <c r="CM74" s="541">
        <f t="shared" si="236"/>
        <v>24</v>
      </c>
      <c r="CN74" s="172">
        <f t="shared" si="237"/>
        <v>16.399999999999999</v>
      </c>
      <c r="CO74" s="443">
        <f t="shared" si="238"/>
        <v>40.4</v>
      </c>
      <c r="CP74" s="443"/>
      <c r="CQ74" s="217">
        <f t="shared" si="239"/>
        <v>0.40594059405940591</v>
      </c>
      <c r="CR74" s="172">
        <f t="shared" si="240"/>
        <v>24.648712871287128</v>
      </c>
      <c r="CS74" s="172">
        <f t="shared" si="298"/>
        <v>11.04</v>
      </c>
      <c r="CT74" s="217">
        <f t="shared" si="241"/>
        <v>1.5405445544554455</v>
      </c>
      <c r="CU74" s="217">
        <f t="shared" si="242"/>
        <v>16</v>
      </c>
      <c r="CV74" s="217">
        <f t="shared" si="243"/>
        <v>1.5222772277227721</v>
      </c>
      <c r="CW74" s="172">
        <f t="shared" si="244"/>
        <v>63.107684548297243</v>
      </c>
      <c r="CX74" s="172">
        <f t="shared" si="245"/>
        <v>16</v>
      </c>
      <c r="CY74" s="217">
        <f t="shared" si="246"/>
        <v>2.2663414634146339</v>
      </c>
      <c r="CZ74" s="217">
        <f t="shared" si="247"/>
        <v>1.133170731707317</v>
      </c>
      <c r="DA74" s="217">
        <f t="shared" si="248"/>
        <v>1.6582986317668054</v>
      </c>
      <c r="DB74" s="197">
        <f t="shared" si="249"/>
        <v>350</v>
      </c>
      <c r="DC74" s="443">
        <f t="shared" si="299"/>
        <v>350</v>
      </c>
      <c r="DE74" s="217">
        <f t="shared" si="250"/>
        <v>2.3196605374823194</v>
      </c>
      <c r="DF74" s="173">
        <f t="shared" si="251"/>
        <v>1.6973125884016973</v>
      </c>
      <c r="DG74" s="173">
        <f t="shared" si="252"/>
        <v>0.68900808044029282</v>
      </c>
      <c r="DH74" s="173"/>
      <c r="DI74" s="173">
        <f t="shared" si="253"/>
        <v>0.73170731707317083</v>
      </c>
      <c r="DJ74" s="545">
        <f t="shared" si="300"/>
        <v>1885.9999999999995</v>
      </c>
      <c r="DK74" s="528">
        <f t="shared" si="254"/>
        <v>0.12804878048780488</v>
      </c>
      <c r="DM74" s="173">
        <f t="shared" si="255"/>
        <v>2.3213296682228113</v>
      </c>
      <c r="DN74" s="173">
        <f t="shared" si="256"/>
        <v>2.2663414634146339</v>
      </c>
      <c r="DO74" s="173">
        <f t="shared" si="257"/>
        <v>2.1380307136404695</v>
      </c>
      <c r="DQ74" s="545">
        <f t="shared" si="258"/>
        <v>690</v>
      </c>
      <c r="DR74" s="460">
        <f t="shared" si="259"/>
        <v>350</v>
      </c>
      <c r="DT74">
        <f t="shared" si="260"/>
        <v>690</v>
      </c>
      <c r="DU74">
        <f t="shared" si="261"/>
        <v>350</v>
      </c>
      <c r="DW74" s="5">
        <f t="shared" si="301"/>
        <v>2.8571428571428572</v>
      </c>
      <c r="DX74" s="5">
        <f t="shared" si="262"/>
        <v>1.133170731707317</v>
      </c>
      <c r="DY74" s="5">
        <f t="shared" si="302"/>
        <v>1.7239721254355402</v>
      </c>
      <c r="DZ74" s="5">
        <f t="shared" si="263"/>
        <v>1.6582986317668054</v>
      </c>
      <c r="EA74" s="173">
        <f t="shared" si="303"/>
        <v>0.39660975609756094</v>
      </c>
      <c r="EB74" s="173">
        <f t="shared" si="264"/>
        <v>10.786237620464005</v>
      </c>
      <c r="EC74" s="173">
        <f t="shared" si="265"/>
        <v>0.68374416418798323</v>
      </c>
      <c r="ED74" s="173">
        <f t="shared" si="304"/>
        <v>15.775253648086014</v>
      </c>
      <c r="EE74" s="460">
        <f t="shared" si="266"/>
        <v>4.8867987804878039</v>
      </c>
      <c r="EF74" s="5">
        <f t="shared" si="267"/>
        <v>0.66085598141695701</v>
      </c>
      <c r="EG74" s="5"/>
      <c r="EH74" s="173">
        <f t="shared" si="305"/>
        <v>0.82403643314648911</v>
      </c>
      <c r="EI74" s="173">
        <f t="shared" si="268"/>
        <v>1.0163981338258512</v>
      </c>
      <c r="EJ74" s="173"/>
      <c r="EK74" s="528">
        <f t="shared" si="269"/>
        <v>1.3580720863055765E-2</v>
      </c>
      <c r="EL74" s="528">
        <f t="shared" si="270"/>
        <v>0.60887529756097558</v>
      </c>
      <c r="EM74" s="528">
        <f t="shared" si="271"/>
        <v>4.0250000000000001E-2</v>
      </c>
      <c r="EN74" s="528">
        <f t="shared" si="272"/>
        <v>0.28134357999999998</v>
      </c>
      <c r="EO74">
        <f t="shared" si="273"/>
        <v>1.0800000000000001E-2</v>
      </c>
      <c r="EP74" s="460">
        <f t="shared" si="306"/>
        <v>51.05</v>
      </c>
      <c r="EQ74" s="528">
        <f t="shared" si="274"/>
        <v>0.96161932637181535</v>
      </c>
      <c r="ER74" s="460">
        <f t="shared" si="307"/>
        <v>961.6193263718153</v>
      </c>
      <c r="ES74" s="528">
        <f t="shared" si="308"/>
        <v>0.42866249999999989</v>
      </c>
      <c r="ET74" s="528"/>
      <c r="EV74" s="460">
        <f t="shared" si="309"/>
        <v>428.66249999999991</v>
      </c>
      <c r="EW74" s="528">
        <f t="shared" si="275"/>
        <v>2.0371081294583645E-2</v>
      </c>
      <c r="EX74" s="528">
        <f t="shared" si="276"/>
        <v>3.0991954993340183E-2</v>
      </c>
      <c r="EY74" s="528">
        <f t="shared" si="277"/>
        <v>0.88604030156767255</v>
      </c>
      <c r="EZ74" s="528">
        <f t="shared" si="278"/>
        <v>0.95364905143146761</v>
      </c>
      <c r="FA74" s="528">
        <f t="shared" si="279"/>
        <v>8.9885313503866738E-3</v>
      </c>
      <c r="FB74" s="460">
        <f t="shared" si="310"/>
        <v>962.63758278185435</v>
      </c>
      <c r="FC74" s="173">
        <f t="shared" si="311"/>
        <v>2.3529194091536696</v>
      </c>
      <c r="FD74" s="5">
        <f t="shared" si="312"/>
        <v>11.04</v>
      </c>
      <c r="FE74" s="173">
        <f t="shared" si="313"/>
        <v>0.82431616757541915</v>
      </c>
      <c r="FF74" s="5">
        <f t="shared" si="314"/>
        <v>82.431616757541917</v>
      </c>
      <c r="FI74" s="562">
        <f t="shared" si="280"/>
        <v>-50</v>
      </c>
      <c r="FJ74">
        <f t="shared" si="281"/>
        <v>-50</v>
      </c>
      <c r="FL74">
        <f t="shared" si="282"/>
        <v>0.5944868662521835</v>
      </c>
    </row>
    <row r="75" spans="5:168">
      <c r="E75" s="170">
        <v>70</v>
      </c>
      <c r="F75" s="217">
        <f t="shared" si="283"/>
        <v>0.7</v>
      </c>
      <c r="G75" s="217"/>
      <c r="H75" s="217">
        <f t="shared" si="183"/>
        <v>11.2</v>
      </c>
      <c r="I75" s="541">
        <f t="shared" si="184"/>
        <v>23.939669971621765</v>
      </c>
      <c r="J75" s="172">
        <f t="shared" si="185"/>
        <v>16.436198017026939</v>
      </c>
      <c r="K75" s="172">
        <f t="shared" si="186"/>
        <v>40.436198017026939</v>
      </c>
      <c r="L75" s="443"/>
      <c r="M75" s="217">
        <f t="shared" si="187"/>
        <v>0.40706417865523975</v>
      </c>
      <c r="N75" s="172">
        <f t="shared" si="188"/>
        <v>24.65480469851757</v>
      </c>
      <c r="O75" s="172">
        <f t="shared" si="284"/>
        <v>11.2</v>
      </c>
      <c r="P75" s="217">
        <f t="shared" si="189"/>
        <v>1.5409252936573481</v>
      </c>
      <c r="Q75" s="217">
        <f t="shared" si="190"/>
        <v>16</v>
      </c>
      <c r="R75" s="217">
        <f t="shared" si="191"/>
        <v>1.5226534522305812</v>
      </c>
      <c r="S75" s="172">
        <f t="shared" si="192"/>
        <v>61.713319062833442</v>
      </c>
      <c r="T75" s="172">
        <f t="shared" si="193"/>
        <v>16</v>
      </c>
      <c r="U75" s="217">
        <f t="shared" si="194"/>
        <v>2.3611324355894752</v>
      </c>
      <c r="V75" s="217">
        <f t="shared" si="195"/>
        <v>1.1835413462533326</v>
      </c>
      <c r="W75" s="217">
        <f t="shared" si="196"/>
        <v>1.7238529979817574</v>
      </c>
      <c r="X75" s="197">
        <f t="shared" si="197"/>
        <v>350</v>
      </c>
      <c r="Y75" s="443">
        <f t="shared" si="198"/>
        <v>321.81303343594709</v>
      </c>
      <c r="AA75" s="217">
        <f t="shared" si="199"/>
        <v>2.3203225549672122</v>
      </c>
      <c r="AB75" s="173">
        <f t="shared" si="200"/>
        <v>1.69405787340612</v>
      </c>
      <c r="AC75" s="173">
        <f t="shared" si="201"/>
        <v>0.68788312128970186</v>
      </c>
      <c r="AD75" s="173"/>
      <c r="AE75" s="173">
        <f t="shared" si="202"/>
        <v>0.7300958523113863</v>
      </c>
      <c r="AF75" s="545">
        <f t="shared" si="203"/>
        <v>1917.5564353198095</v>
      </c>
      <c r="AG75" s="528">
        <f t="shared" si="204"/>
        <v>0.12776677415449259</v>
      </c>
      <c r="AI75" s="173">
        <f t="shared" si="205"/>
        <v>2.3406692787197239</v>
      </c>
      <c r="AJ75" s="173">
        <f t="shared" si="206"/>
        <v>2.3611324355894752</v>
      </c>
      <c r="AK75" s="173">
        <f t="shared" si="207"/>
        <v>2.2082462485847962</v>
      </c>
      <c r="AM75" s="545">
        <f t="shared" si="208"/>
        <v>700</v>
      </c>
      <c r="AN75" s="460">
        <f t="shared" si="209"/>
        <v>321.81303343594709</v>
      </c>
      <c r="AP75">
        <f t="shared" si="210"/>
        <v>700</v>
      </c>
      <c r="AQ75">
        <f t="shared" si="211"/>
        <v>321.81303343594709</v>
      </c>
      <c r="AS75" s="5">
        <f t="shared" si="285"/>
        <v>3.1073943442350904</v>
      </c>
      <c r="AT75" s="5">
        <f t="shared" si="212"/>
        <v>1.1835413462533326</v>
      </c>
      <c r="AU75" s="5">
        <f t="shared" si="286"/>
        <v>1.9238529979817578</v>
      </c>
      <c r="AV75" s="5">
        <f t="shared" si="213"/>
        <v>1.7238529979817574</v>
      </c>
      <c r="AW75" s="173">
        <f t="shared" si="287"/>
        <v>0.38087903083464952</v>
      </c>
      <c r="AX75" s="173">
        <f t="shared" si="214"/>
        <v>10.764542431639788</v>
      </c>
      <c r="AY75" s="173">
        <f t="shared" si="215"/>
        <v>0.73091330092495022</v>
      </c>
      <c r="AZ75" s="173">
        <f t="shared" si="288"/>
        <v>14.727522974363119</v>
      </c>
      <c r="BA75" s="460">
        <f t="shared" si="216"/>
        <v>5.1779933898583304</v>
      </c>
      <c r="BB75" s="5">
        <f t="shared" si="217"/>
        <v>0.75005049508959443</v>
      </c>
      <c r="BC75" s="5"/>
      <c r="BD75" s="173">
        <f t="shared" si="289"/>
        <v>0.84130457694332195</v>
      </c>
      <c r="BE75" s="173">
        <f t="shared" si="218"/>
        <v>1.0726239174465797</v>
      </c>
      <c r="BF75" s="173"/>
      <c r="BG75" s="528">
        <f t="shared" si="219"/>
        <v>1.4155867823715638E-2</v>
      </c>
      <c r="BH75" s="528">
        <f t="shared" si="220"/>
        <v>0.56073434795575383</v>
      </c>
      <c r="BI75" s="528">
        <f t="shared" si="221"/>
        <v>0.17719424969953024</v>
      </c>
      <c r="BJ75" s="528">
        <f t="shared" si="222"/>
        <v>0.25914957034807601</v>
      </c>
      <c r="BK75">
        <f t="shared" si="223"/>
        <v>1.0772851487229795E-2</v>
      </c>
      <c r="BL75" s="460">
        <f t="shared" si="290"/>
        <v>187.96710118676003</v>
      </c>
      <c r="BM75" s="528">
        <f t="shared" si="224"/>
        <v>0.840689474164659</v>
      </c>
      <c r="BN75" s="460">
        <f t="shared" si="291"/>
        <v>840.68947416465903</v>
      </c>
      <c r="BO75" s="528">
        <f t="shared" si="225"/>
        <v>0.4348749999999999</v>
      </c>
      <c r="BP75" s="528"/>
      <c r="BR75" s="460">
        <f t="shared" si="292"/>
        <v>434.87499999999989</v>
      </c>
      <c r="BS75" s="528">
        <f t="shared" si="226"/>
        <v>2.1233801735573456E-2</v>
      </c>
      <c r="BT75" s="528">
        <f t="shared" si="227"/>
        <v>3.4515662048353407E-2</v>
      </c>
      <c r="BU75" s="528">
        <f t="shared" si="228"/>
        <v>0.16799999999999998</v>
      </c>
      <c r="BV75" s="528">
        <f t="shared" si="229"/>
        <v>0.23819165967645056</v>
      </c>
      <c r="BW75" s="528">
        <f t="shared" si="230"/>
        <v>8.9704520263664891E-3</v>
      </c>
      <c r="BX75" s="460">
        <f t="shared" si="293"/>
        <v>247.16211170281704</v>
      </c>
      <c r="BY75" s="173">
        <f t="shared" si="231"/>
        <v>1.710693687054236</v>
      </c>
      <c r="BZ75" s="5">
        <f t="shared" si="294"/>
        <v>11.2</v>
      </c>
      <c r="CA75" s="173">
        <f t="shared" si="295"/>
        <v>0.86749792625243849</v>
      </c>
      <c r="CB75" s="5">
        <f t="shared" si="296"/>
        <v>86.749792625243856</v>
      </c>
      <c r="CE75" s="562">
        <f t="shared" si="232"/>
        <v>-50</v>
      </c>
      <c r="CF75">
        <f t="shared" si="233"/>
        <v>-50</v>
      </c>
      <c r="CG75" s="173">
        <f t="shared" si="234"/>
        <v>0.58014227642276428</v>
      </c>
      <c r="CI75" s="170">
        <v>70</v>
      </c>
      <c r="CJ75" s="217">
        <f t="shared" si="297"/>
        <v>0.7</v>
      </c>
      <c r="CK75" s="217"/>
      <c r="CL75" s="217">
        <f t="shared" si="235"/>
        <v>11.2</v>
      </c>
      <c r="CM75" s="541">
        <f t="shared" si="236"/>
        <v>24</v>
      </c>
      <c r="CN75" s="172">
        <f t="shared" si="237"/>
        <v>16.399999999999999</v>
      </c>
      <c r="CO75" s="443">
        <f t="shared" si="238"/>
        <v>40.4</v>
      </c>
      <c r="CP75" s="443"/>
      <c r="CQ75" s="217">
        <f t="shared" si="239"/>
        <v>0.40594059405940591</v>
      </c>
      <c r="CR75" s="172">
        <f t="shared" si="240"/>
        <v>24.648712871287128</v>
      </c>
      <c r="CS75" s="172">
        <f t="shared" si="298"/>
        <v>11.2</v>
      </c>
      <c r="CT75" s="217">
        <f t="shared" si="241"/>
        <v>1.5405445544554455</v>
      </c>
      <c r="CU75" s="217">
        <f t="shared" si="242"/>
        <v>16</v>
      </c>
      <c r="CV75" s="217">
        <f t="shared" si="243"/>
        <v>1.5222772277227721</v>
      </c>
      <c r="CW75" s="172">
        <f t="shared" si="244"/>
        <v>61.868456870637701</v>
      </c>
      <c r="CX75" s="172">
        <f t="shared" si="245"/>
        <v>16</v>
      </c>
      <c r="CY75" s="217">
        <f t="shared" si="246"/>
        <v>2.2991869918699188</v>
      </c>
      <c r="CZ75" s="217">
        <f t="shared" si="247"/>
        <v>1.1495934959349594</v>
      </c>
      <c r="DA75" s="217">
        <f t="shared" si="248"/>
        <v>1.6823319452706724</v>
      </c>
      <c r="DB75" s="197">
        <f t="shared" si="249"/>
        <v>350</v>
      </c>
      <c r="DC75" s="443">
        <f t="shared" si="299"/>
        <v>350</v>
      </c>
      <c r="DE75" s="217">
        <f t="shared" si="250"/>
        <v>2.3196605374823194</v>
      </c>
      <c r="DF75" s="173">
        <f t="shared" si="251"/>
        <v>1.6973125884016973</v>
      </c>
      <c r="DG75" s="173">
        <f t="shared" si="252"/>
        <v>0.68900808044029282</v>
      </c>
      <c r="DH75" s="173"/>
      <c r="DI75" s="173">
        <f t="shared" si="253"/>
        <v>0.73170731707317083</v>
      </c>
      <c r="DJ75" s="545">
        <f t="shared" si="300"/>
        <v>1913.333333333333</v>
      </c>
      <c r="DK75" s="528">
        <f t="shared" si="254"/>
        <v>0.12804878048780488</v>
      </c>
      <c r="DM75" s="173">
        <f t="shared" si="255"/>
        <v>2.338090388900024</v>
      </c>
      <c r="DN75" s="173">
        <f t="shared" si="256"/>
        <v>2.2991869918699188</v>
      </c>
      <c r="DO75" s="173">
        <f t="shared" si="257"/>
        <v>2.1623607347184581</v>
      </c>
      <c r="DQ75" s="545">
        <f t="shared" si="258"/>
        <v>700</v>
      </c>
      <c r="DR75" s="460">
        <f t="shared" si="259"/>
        <v>350</v>
      </c>
      <c r="DT75">
        <f t="shared" si="260"/>
        <v>700</v>
      </c>
      <c r="DU75">
        <f t="shared" si="261"/>
        <v>350</v>
      </c>
      <c r="DW75" s="5">
        <f t="shared" si="301"/>
        <v>2.8571428571428572</v>
      </c>
      <c r="DX75" s="5">
        <f t="shared" si="262"/>
        <v>1.1495934959349594</v>
      </c>
      <c r="DY75" s="5">
        <f t="shared" si="302"/>
        <v>1.7075493612078978</v>
      </c>
      <c r="DZ75" s="5">
        <f t="shared" si="263"/>
        <v>1.6823319452706724</v>
      </c>
      <c r="EA75" s="173">
        <f t="shared" si="303"/>
        <v>0.40235772357723576</v>
      </c>
      <c r="EB75" s="173">
        <f t="shared" si="264"/>
        <v>11.101147729526078</v>
      </c>
      <c r="EC75" s="173">
        <f t="shared" si="265"/>
        <v>0.68704567387137294</v>
      </c>
      <c r="ED75" s="173">
        <f t="shared" si="304"/>
        <v>16.157801659638146</v>
      </c>
      <c r="EE75" s="460">
        <f t="shared" si="266"/>
        <v>5.029471544715447</v>
      </c>
      <c r="EF75" s="5">
        <f t="shared" si="267"/>
        <v>0.66404697380307121</v>
      </c>
      <c r="EG75" s="5"/>
      <c r="EH75" s="173">
        <f t="shared" si="305"/>
        <v>0.84201501792084443</v>
      </c>
      <c r="EI75" s="173">
        <f t="shared" si="268"/>
        <v>1.0262054622688264</v>
      </c>
      <c r="EJ75" s="173"/>
      <c r="EK75" s="528">
        <f t="shared" si="269"/>
        <v>1.4179785808084799E-2</v>
      </c>
      <c r="EL75" s="528">
        <f t="shared" si="270"/>
        <v>0.6176995772357724</v>
      </c>
      <c r="EM75" s="528">
        <f t="shared" si="271"/>
        <v>4.0250000000000001E-2</v>
      </c>
      <c r="EN75" s="528">
        <f t="shared" si="272"/>
        <v>0.28134357999999998</v>
      </c>
      <c r="EO75">
        <f t="shared" si="273"/>
        <v>1.0800000000000001E-2</v>
      </c>
      <c r="EP75" s="460">
        <f t="shared" si="306"/>
        <v>51.05</v>
      </c>
      <c r="EQ75" s="528">
        <f t="shared" si="274"/>
        <v>0.97137415850773856</v>
      </c>
      <c r="ER75" s="460">
        <f t="shared" si="307"/>
        <v>971.37415850773857</v>
      </c>
      <c r="ES75" s="528">
        <f t="shared" si="308"/>
        <v>0.4348749999999999</v>
      </c>
      <c r="ET75" s="528"/>
      <c r="EV75" s="460">
        <f t="shared" si="309"/>
        <v>434.87499999999989</v>
      </c>
      <c r="EW75" s="528">
        <f t="shared" si="275"/>
        <v>2.1269678712127198E-2</v>
      </c>
      <c r="EX75" s="528">
        <f t="shared" si="276"/>
        <v>3.1592929523711268E-2</v>
      </c>
      <c r="EY75" s="528">
        <f t="shared" si="277"/>
        <v>0.91849299705418508</v>
      </c>
      <c r="EZ75" s="528">
        <f t="shared" si="278"/>
        <v>0.98822182994233243</v>
      </c>
      <c r="FA75" s="528">
        <f t="shared" si="279"/>
        <v>9.2509564412717304E-3</v>
      </c>
      <c r="FB75" s="460">
        <f t="shared" si="310"/>
        <v>997.4727863836041</v>
      </c>
      <c r="FC75" s="173">
        <f t="shared" si="311"/>
        <v>2.4037219448913425</v>
      </c>
      <c r="FD75" s="5">
        <f t="shared" si="312"/>
        <v>11.2</v>
      </c>
      <c r="FE75" s="173">
        <f t="shared" si="313"/>
        <v>0.82330409614156941</v>
      </c>
      <c r="FF75" s="5">
        <f t="shared" si="314"/>
        <v>82.330409614156935</v>
      </c>
      <c r="FI75" s="562">
        <f t="shared" si="280"/>
        <v>-50</v>
      </c>
      <c r="FJ75">
        <f t="shared" si="281"/>
        <v>-50</v>
      </c>
      <c r="FL75">
        <f t="shared" si="282"/>
        <v>0.59764227642276424</v>
      </c>
    </row>
    <row r="76" spans="5:168">
      <c r="E76" s="170">
        <v>71</v>
      </c>
      <c r="F76" s="217">
        <f t="shared" si="283"/>
        <v>0.71</v>
      </c>
      <c r="G76" s="217"/>
      <c r="H76" s="217">
        <f t="shared" si="183"/>
        <v>11.36</v>
      </c>
      <c r="I76" s="541">
        <f t="shared" si="184"/>
        <v>23.938437767043176</v>
      </c>
      <c r="J76" s="172">
        <f t="shared" si="185"/>
        <v>16.436937339774094</v>
      </c>
      <c r="K76" s="172">
        <f t="shared" si="186"/>
        <v>40.43693733977409</v>
      </c>
      <c r="L76" s="443"/>
      <c r="M76" s="217">
        <f t="shared" si="187"/>
        <v>0.40708713078477254</v>
      </c>
      <c r="N76" s="172">
        <f t="shared" si="188"/>
        <v>24.654925763520271</v>
      </c>
      <c r="O76" s="172">
        <f t="shared" si="284"/>
        <v>11.36</v>
      </c>
      <c r="P76" s="217">
        <f t="shared" si="189"/>
        <v>1.540932860220017</v>
      </c>
      <c r="Q76" s="217">
        <f t="shared" si="190"/>
        <v>16</v>
      </c>
      <c r="R76" s="217">
        <f t="shared" si="191"/>
        <v>1.5226609290711632</v>
      </c>
      <c r="S76" s="172">
        <f t="shared" si="192"/>
        <v>60.509043833085357</v>
      </c>
      <c r="T76" s="172">
        <f t="shared" si="193"/>
        <v>16</v>
      </c>
      <c r="U76" s="217">
        <f t="shared" si="194"/>
        <v>2.3949556060058117</v>
      </c>
      <c r="V76" s="217">
        <f t="shared" si="195"/>
        <v>1.200557344290708</v>
      </c>
      <c r="W76" s="217">
        <f t="shared" si="196"/>
        <v>1.7484685059014</v>
      </c>
      <c r="X76" s="197">
        <f t="shared" si="197"/>
        <v>350</v>
      </c>
      <c r="Y76" s="443">
        <f t="shared" si="198"/>
        <v>317.55852367454986</v>
      </c>
      <c r="AA76" s="217">
        <f t="shared" si="199"/>
        <v>2.320335816123142</v>
      </c>
      <c r="AB76" s="173">
        <f t="shared" si="200"/>
        <v>1.693991357264637</v>
      </c>
      <c r="AC76" s="173">
        <f t="shared" si="201"/>
        <v>0.6878600432312334</v>
      </c>
      <c r="AD76" s="173"/>
      <c r="AE76" s="173">
        <f t="shared" si="202"/>
        <v>0.73006301307497268</v>
      </c>
      <c r="AF76" s="545">
        <f t="shared" si="203"/>
        <v>1945.0375852066009</v>
      </c>
      <c r="AG76" s="528">
        <f t="shared" si="204"/>
        <v>0.12776102728812022</v>
      </c>
      <c r="AI76" s="173">
        <f t="shared" si="205"/>
        <v>2.3573820741338114</v>
      </c>
      <c r="AJ76" s="173">
        <f t="shared" si="206"/>
        <v>2.3949556060058117</v>
      </c>
      <c r="AK76" s="173">
        <f t="shared" si="207"/>
        <v>2.2333004488931936</v>
      </c>
      <c r="AM76" s="545">
        <f t="shared" si="208"/>
        <v>710</v>
      </c>
      <c r="AN76" s="460">
        <f t="shared" si="209"/>
        <v>317.55852367454986</v>
      </c>
      <c r="AP76">
        <f t="shared" si="210"/>
        <v>710</v>
      </c>
      <c r="AQ76">
        <f t="shared" si="211"/>
        <v>317.55852367454986</v>
      </c>
      <c r="AS76" s="5">
        <f t="shared" si="285"/>
        <v>3.1490258501921078</v>
      </c>
      <c r="AT76" s="5">
        <f t="shared" si="212"/>
        <v>1.200557344290708</v>
      </c>
      <c r="AU76" s="5">
        <f t="shared" si="286"/>
        <v>1.9484685059013997</v>
      </c>
      <c r="AV76" s="5">
        <f t="shared" si="213"/>
        <v>1.7484685059014</v>
      </c>
      <c r="AW76" s="173">
        <f t="shared" si="287"/>
        <v>0.38124721783959553</v>
      </c>
      <c r="AX76" s="173">
        <f t="shared" si="214"/>
        <v>10.928736620670323</v>
      </c>
      <c r="AY76" s="173">
        <f t="shared" si="215"/>
        <v>0.74094272218337665</v>
      </c>
      <c r="AZ76" s="173">
        <f t="shared" si="288"/>
        <v>14.749772544449879</v>
      </c>
      <c r="BA76" s="460">
        <f t="shared" si="216"/>
        <v>5.3274732152900164</v>
      </c>
      <c r="BB76" s="5">
        <f t="shared" si="217"/>
        <v>0.7705390817633514</v>
      </c>
      <c r="BC76" s="5"/>
      <c r="BD76" s="173">
        <f t="shared" si="289"/>
        <v>0.85376860688246892</v>
      </c>
      <c r="BE76" s="173">
        <f t="shared" si="218"/>
        <v>1.0876656735787533</v>
      </c>
      <c r="BF76" s="173"/>
      <c r="BG76" s="528">
        <f t="shared" si="219"/>
        <v>1.4578416681960636E-2</v>
      </c>
      <c r="BH76" s="528">
        <f t="shared" si="220"/>
        <v>0.56125776904112612</v>
      </c>
      <c r="BI76" s="528">
        <f t="shared" si="221"/>
        <v>0.17484266399667833</v>
      </c>
      <c r="BJ76" s="528">
        <f t="shared" si="222"/>
        <v>0.2557328503354851</v>
      </c>
      <c r="BK76">
        <f t="shared" si="223"/>
        <v>1.0772296995169428E-2</v>
      </c>
      <c r="BL76" s="460">
        <f t="shared" si="290"/>
        <v>185.61496099184777</v>
      </c>
      <c r="BM76" s="528">
        <f t="shared" si="224"/>
        <v>0.83840931742084657</v>
      </c>
      <c r="BN76" s="460">
        <f t="shared" si="291"/>
        <v>838.40931742084661</v>
      </c>
      <c r="BO76" s="528">
        <f t="shared" si="225"/>
        <v>0.44108749999999991</v>
      </c>
      <c r="BP76" s="528"/>
      <c r="BR76" s="460">
        <f t="shared" si="292"/>
        <v>441.08749999999992</v>
      </c>
      <c r="BS76" s="528">
        <f t="shared" si="226"/>
        <v>2.1867625022940953E-2</v>
      </c>
      <c r="BT76" s="528">
        <f t="shared" si="227"/>
        <v>3.5490498524445691E-2</v>
      </c>
      <c r="BU76" s="528">
        <f t="shared" si="228"/>
        <v>0.1704</v>
      </c>
      <c r="BV76" s="528">
        <f t="shared" si="229"/>
        <v>0.24263745151244534</v>
      </c>
      <c r="BW76" s="528">
        <f t="shared" si="230"/>
        <v>9.1072805172252684E-3</v>
      </c>
      <c r="BX76" s="460">
        <f t="shared" si="293"/>
        <v>251.74473202967062</v>
      </c>
      <c r="BY76" s="173">
        <f t="shared" si="231"/>
        <v>1.7168565104423648</v>
      </c>
      <c r="BZ76" s="5">
        <f t="shared" si="294"/>
        <v>11.36</v>
      </c>
      <c r="CA76" s="173">
        <f t="shared" si="295"/>
        <v>0.86871030441670816</v>
      </c>
      <c r="CB76" s="5">
        <f t="shared" si="296"/>
        <v>86.871030441670811</v>
      </c>
      <c r="CE76" s="562">
        <f t="shared" si="232"/>
        <v>-50</v>
      </c>
      <c r="CF76">
        <f t="shared" si="233"/>
        <v>-50</v>
      </c>
      <c r="CG76" s="173">
        <f t="shared" si="234"/>
        <v>0.57665224757031552</v>
      </c>
      <c r="CI76" s="170">
        <v>71</v>
      </c>
      <c r="CJ76" s="217">
        <f t="shared" si="297"/>
        <v>0.71</v>
      </c>
      <c r="CK76" s="217"/>
      <c r="CL76" s="217">
        <f t="shared" si="235"/>
        <v>11.36</v>
      </c>
      <c r="CM76" s="541">
        <f t="shared" si="236"/>
        <v>24</v>
      </c>
      <c r="CN76" s="172">
        <f t="shared" si="237"/>
        <v>16.399999999999999</v>
      </c>
      <c r="CO76" s="443">
        <f t="shared" si="238"/>
        <v>40.4</v>
      </c>
      <c r="CP76" s="443"/>
      <c r="CQ76" s="217">
        <f t="shared" si="239"/>
        <v>0.40594059405940591</v>
      </c>
      <c r="CR76" s="172">
        <f t="shared" si="240"/>
        <v>24.648712871287128</v>
      </c>
      <c r="CS76" s="172">
        <f t="shared" si="298"/>
        <v>11.36</v>
      </c>
      <c r="CT76" s="217">
        <f t="shared" si="241"/>
        <v>1.5405445544554455</v>
      </c>
      <c r="CU76" s="217">
        <f t="shared" si="242"/>
        <v>16</v>
      </c>
      <c r="CV76" s="217">
        <f t="shared" si="243"/>
        <v>1.5222772277227721</v>
      </c>
      <c r="CW76" s="172">
        <f t="shared" si="244"/>
        <v>60.664253705678902</v>
      </c>
      <c r="CX76" s="172">
        <f t="shared" si="245"/>
        <v>16</v>
      </c>
      <c r="CY76" s="217">
        <f t="shared" si="246"/>
        <v>2.3320325203252033</v>
      </c>
      <c r="CZ76" s="217">
        <f t="shared" si="247"/>
        <v>1.1660162601626018</v>
      </c>
      <c r="DA76" s="217">
        <f t="shared" si="248"/>
        <v>1.7063652587745393</v>
      </c>
      <c r="DB76" s="197">
        <f t="shared" si="249"/>
        <v>350</v>
      </c>
      <c r="DC76" s="443">
        <f t="shared" si="299"/>
        <v>348.14316740557052</v>
      </c>
      <c r="DE76" s="217">
        <f t="shared" si="250"/>
        <v>2.3196605374823194</v>
      </c>
      <c r="DF76" s="173">
        <f t="shared" si="251"/>
        <v>1.6973125884016973</v>
      </c>
      <c r="DG76" s="173">
        <f t="shared" si="252"/>
        <v>0.68900808044029282</v>
      </c>
      <c r="DH76" s="173"/>
      <c r="DI76" s="173">
        <f t="shared" si="253"/>
        <v>0.73170731707317083</v>
      </c>
      <c r="DJ76" s="545">
        <f t="shared" si="300"/>
        <v>1940.6666666666663</v>
      </c>
      <c r="DK76" s="528">
        <f t="shared" si="254"/>
        <v>0.12804878048780488</v>
      </c>
      <c r="DM76" s="173">
        <f t="shared" si="255"/>
        <v>2.3547318116426559</v>
      </c>
      <c r="DN76" s="173">
        <f t="shared" si="256"/>
        <v>2.3320325203252033</v>
      </c>
      <c r="DO76" s="173">
        <f t="shared" si="257"/>
        <v>2.1866907557964468</v>
      </c>
      <c r="DQ76" s="545">
        <f t="shared" si="258"/>
        <v>710</v>
      </c>
      <c r="DR76" s="460">
        <f t="shared" si="259"/>
        <v>348.14316740557052</v>
      </c>
      <c r="DT76">
        <f t="shared" si="260"/>
        <v>710</v>
      </c>
      <c r="DU76">
        <f t="shared" si="261"/>
        <v>348.14316740557052</v>
      </c>
      <c r="DW76" s="5">
        <f t="shared" si="301"/>
        <v>2.8723815189371411</v>
      </c>
      <c r="DX76" s="5">
        <f t="shared" si="262"/>
        <v>1.1660162601626018</v>
      </c>
      <c r="DY76" s="5">
        <f t="shared" si="302"/>
        <v>1.7063652587745393</v>
      </c>
      <c r="DZ76" s="5">
        <f t="shared" si="263"/>
        <v>1.7063652587745393</v>
      </c>
      <c r="EA76" s="173">
        <f t="shared" si="303"/>
        <v>0.40594059405940597</v>
      </c>
      <c r="EB76" s="173">
        <f t="shared" si="264"/>
        <v>11.36</v>
      </c>
      <c r="EC76" s="173">
        <f t="shared" si="265"/>
        <v>0.69268292682926824</v>
      </c>
      <c r="ED76" s="173">
        <f t="shared" si="304"/>
        <v>16.400000000000002</v>
      </c>
      <c r="EE76" s="460">
        <f t="shared" si="266"/>
        <v>5.1741971544715453</v>
      </c>
      <c r="EF76" s="5">
        <f t="shared" si="267"/>
        <v>0.67306629651662364</v>
      </c>
      <c r="EG76" s="5"/>
      <c r="EH76" s="173">
        <f t="shared" si="305"/>
        <v>0.85783787368292497</v>
      </c>
      <c r="EI76" s="173">
        <f t="shared" si="268"/>
        <v>1.0377408512854247</v>
      </c>
      <c r="EJ76" s="173"/>
      <c r="EK76" s="528">
        <f t="shared" si="269"/>
        <v>1.4717716350496839E-2</v>
      </c>
      <c r="EL76" s="528">
        <f t="shared" si="270"/>
        <v>0.62319999999999987</v>
      </c>
      <c r="EM76" s="528">
        <f t="shared" si="271"/>
        <v>4.0036464251640612E-2</v>
      </c>
      <c r="EN76" s="528">
        <f t="shared" si="272"/>
        <v>0.2798509859154929</v>
      </c>
      <c r="EO76">
        <f t="shared" si="273"/>
        <v>1.0800000000000001E-2</v>
      </c>
      <c r="EP76" s="460">
        <f t="shared" si="306"/>
        <v>50.836464251640606</v>
      </c>
      <c r="EQ76" s="528">
        <f t="shared" si="274"/>
        <v>0.97599192479299646</v>
      </c>
      <c r="ER76" s="460">
        <f t="shared" si="307"/>
        <v>975.99192479299643</v>
      </c>
      <c r="ES76" s="528">
        <f t="shared" si="308"/>
        <v>0.44108749999999991</v>
      </c>
      <c r="ET76" s="528"/>
      <c r="EV76" s="460">
        <f t="shared" si="309"/>
        <v>441.08749999999992</v>
      </c>
      <c r="EW76" s="528">
        <f t="shared" si="275"/>
        <v>2.2076574525745258E-2</v>
      </c>
      <c r="EX76" s="528">
        <f t="shared" si="276"/>
        <v>3.2307182232797937E-2</v>
      </c>
      <c r="EY76" s="528">
        <f t="shared" si="277"/>
        <v>0.93907699342693274</v>
      </c>
      <c r="EZ76" s="528">
        <f t="shared" si="278"/>
        <v>1.0109110229416214</v>
      </c>
      <c r="FA76" s="528">
        <f t="shared" si="279"/>
        <v>9.4666666666666649E-3</v>
      </c>
      <c r="FB76" s="460">
        <f t="shared" si="310"/>
        <v>1020.3776896082882</v>
      </c>
      <c r="FC76" s="173">
        <f t="shared" si="311"/>
        <v>2.4374571144012842</v>
      </c>
      <c r="FD76" s="5">
        <f t="shared" si="312"/>
        <v>11.36</v>
      </c>
      <c r="FE76" s="173">
        <f t="shared" si="313"/>
        <v>0.82334012027062908</v>
      </c>
      <c r="FF76" s="5">
        <f t="shared" si="314"/>
        <v>82.334012027062911</v>
      </c>
      <c r="FI76" s="562">
        <f t="shared" si="280"/>
        <v>-50</v>
      </c>
      <c r="FJ76">
        <f t="shared" si="281"/>
        <v>-50</v>
      </c>
      <c r="FL76">
        <f t="shared" si="282"/>
        <v>0.59405940594059403</v>
      </c>
    </row>
    <row r="77" spans="5:168">
      <c r="E77" s="170">
        <v>72</v>
      </c>
      <c r="F77" s="217">
        <f t="shared" si="283"/>
        <v>0.72</v>
      </c>
      <c r="G77" s="217"/>
      <c r="H77" s="217">
        <f t="shared" si="183"/>
        <v>11.52</v>
      </c>
      <c r="I77" s="541">
        <f t="shared" si="184"/>
        <v>23.937596856358969</v>
      </c>
      <c r="J77" s="172">
        <f t="shared" si="185"/>
        <v>16.437441886184615</v>
      </c>
      <c r="K77" s="172">
        <f t="shared" si="186"/>
        <v>40.437441886184615</v>
      </c>
      <c r="L77" s="443"/>
      <c r="M77" s="217">
        <f t="shared" si="187"/>
        <v>0.40710302580638053</v>
      </c>
      <c r="N77" s="172">
        <f t="shared" si="188"/>
        <v>24.655022320215306</v>
      </c>
      <c r="O77" s="172">
        <f t="shared" si="284"/>
        <v>11.52</v>
      </c>
      <c r="P77" s="217">
        <f t="shared" si="189"/>
        <v>1.5409388950134566</v>
      </c>
      <c r="Q77" s="217">
        <f t="shared" si="190"/>
        <v>16</v>
      </c>
      <c r="R77" s="217">
        <f t="shared" si="191"/>
        <v>1.5226668923057871</v>
      </c>
      <c r="S77" s="172">
        <f t="shared" si="192"/>
        <v>59.339339187117545</v>
      </c>
      <c r="T77" s="172">
        <f t="shared" si="193"/>
        <v>16</v>
      </c>
      <c r="U77" s="217">
        <f t="shared" si="194"/>
        <v>2.4287524859753225</v>
      </c>
      <c r="V77" s="217">
        <f t="shared" si="195"/>
        <v>1.2175420116978684</v>
      </c>
      <c r="W77" s="217">
        <f t="shared" si="196"/>
        <v>1.7730879314134496</v>
      </c>
      <c r="X77" s="197">
        <f t="shared" si="197"/>
        <v>350</v>
      </c>
      <c r="Y77" s="443">
        <f t="shared" si="198"/>
        <v>313.41773186797639</v>
      </c>
      <c r="AA77" s="217">
        <f t="shared" si="199"/>
        <v>2.3203448601377339</v>
      </c>
      <c r="AB77" s="173">
        <f t="shared" si="200"/>
        <v>1.6939459627872706</v>
      </c>
      <c r="AC77" s="173">
        <f t="shared" si="201"/>
        <v>0.68784429141828896</v>
      </c>
      <c r="AD77" s="173"/>
      <c r="AE77" s="173">
        <f t="shared" si="202"/>
        <v>0.73004060382934599</v>
      </c>
      <c r="AF77" s="545">
        <f t="shared" si="203"/>
        <v>1972.4930263421538</v>
      </c>
      <c r="AG77" s="528">
        <f t="shared" si="204"/>
        <v>0.12775710567013557</v>
      </c>
      <c r="AI77" s="173">
        <f t="shared" si="205"/>
        <v>2.3739617437898155</v>
      </c>
      <c r="AJ77" s="173">
        <f t="shared" si="206"/>
        <v>2.4287524859753225</v>
      </c>
      <c r="AK77" s="173">
        <f t="shared" si="207"/>
        <v>2.2583351747965352</v>
      </c>
      <c r="AM77" s="545">
        <f t="shared" si="208"/>
        <v>720</v>
      </c>
      <c r="AN77" s="460">
        <f t="shared" si="209"/>
        <v>313.41773186797639</v>
      </c>
      <c r="AP77">
        <f t="shared" si="210"/>
        <v>720</v>
      </c>
      <c r="AQ77">
        <f t="shared" si="211"/>
        <v>313.41773186797639</v>
      </c>
      <c r="AS77" s="5">
        <f t="shared" si="285"/>
        <v>3.1906299431113188</v>
      </c>
      <c r="AT77" s="5">
        <f t="shared" si="212"/>
        <v>1.2175420116978684</v>
      </c>
      <c r="AU77" s="5">
        <f t="shared" si="286"/>
        <v>1.9730879314134504</v>
      </c>
      <c r="AV77" s="5">
        <f t="shared" si="213"/>
        <v>1.7730879314134496</v>
      </c>
      <c r="AW77" s="173">
        <f t="shared" si="287"/>
        <v>0.38159925576031906</v>
      </c>
      <c r="AX77" s="173">
        <f t="shared" si="214"/>
        <v>11.092803759709785</v>
      </c>
      <c r="AY77" s="173">
        <f t="shared" si="215"/>
        <v>0.75097117245055733</v>
      </c>
      <c r="AZ77" s="173">
        <f t="shared" si="288"/>
        <v>14.771277735617895</v>
      </c>
      <c r="BA77" s="460">
        <f t="shared" si="216"/>
        <v>5.4789390526404071</v>
      </c>
      <c r="BB77" s="5">
        <f t="shared" si="217"/>
        <v>0.79129263706926012</v>
      </c>
      <c r="BC77" s="5"/>
      <c r="BD77" s="173">
        <f t="shared" si="289"/>
        <v>0.86621637677143959</v>
      </c>
      <c r="BE77" s="173">
        <f t="shared" si="218"/>
        <v>1.1027006550540945</v>
      </c>
      <c r="BF77" s="173"/>
      <c r="BG77" s="528">
        <f t="shared" si="219"/>
        <v>1.5006616227740813E-2</v>
      </c>
      <c r="BH77" s="528">
        <f t="shared" si="220"/>
        <v>0.56176330112574169</v>
      </c>
      <c r="BI77" s="528">
        <f t="shared" si="221"/>
        <v>0.17255674820107073</v>
      </c>
      <c r="BJ77" s="528">
        <f t="shared" si="222"/>
        <v>0.25240453051936473</v>
      </c>
      <c r="BK77">
        <f t="shared" si="223"/>
        <v>1.0771918585361535E-2</v>
      </c>
      <c r="BL77" s="460">
        <f t="shared" si="290"/>
        <v>183.32866678643225</v>
      </c>
      <c r="BM77" s="528">
        <f t="shared" si="224"/>
        <v>0.83620779336166728</v>
      </c>
      <c r="BN77" s="460">
        <f t="shared" si="291"/>
        <v>836.20779336166731</v>
      </c>
      <c r="BO77" s="528">
        <f t="shared" si="225"/>
        <v>0.44729999999999998</v>
      </c>
      <c r="BP77" s="528"/>
      <c r="BR77" s="460">
        <f t="shared" si="292"/>
        <v>447.29999999999995</v>
      </c>
      <c r="BS77" s="528">
        <f t="shared" si="226"/>
        <v>2.2509924341611219E-2</v>
      </c>
      <c r="BT77" s="528">
        <f t="shared" si="227"/>
        <v>3.6478462039701877E-2</v>
      </c>
      <c r="BU77" s="528">
        <f t="shared" si="228"/>
        <v>0.17279999999999998</v>
      </c>
      <c r="BV77" s="528">
        <f t="shared" si="229"/>
        <v>0.24711173692218205</v>
      </c>
      <c r="BW77" s="528">
        <f t="shared" si="230"/>
        <v>9.2440031330914881E-3</v>
      </c>
      <c r="BX77" s="460">
        <f t="shared" si="293"/>
        <v>256.35574005527354</v>
      </c>
      <c r="BY77" s="173">
        <f t="shared" si="231"/>
        <v>1.7231922002033733</v>
      </c>
      <c r="BZ77" s="5">
        <f t="shared" si="294"/>
        <v>11.52</v>
      </c>
      <c r="CA77" s="173">
        <f t="shared" si="295"/>
        <v>0.86988090377659022</v>
      </c>
      <c r="CB77" s="5">
        <f t="shared" si="296"/>
        <v>86.98809037765902</v>
      </c>
      <c r="CE77" s="562">
        <f t="shared" si="232"/>
        <v>-50</v>
      </c>
      <c r="CF77">
        <f t="shared" si="233"/>
        <v>-50</v>
      </c>
      <c r="CG77" s="173">
        <f t="shared" si="234"/>
        <v>0.57689401365879156</v>
      </c>
      <c r="CI77" s="170">
        <v>72</v>
      </c>
      <c r="CJ77" s="217">
        <f t="shared" si="297"/>
        <v>0.72</v>
      </c>
      <c r="CK77" s="217"/>
      <c r="CL77" s="217">
        <f t="shared" si="235"/>
        <v>11.52</v>
      </c>
      <c r="CM77" s="541">
        <f t="shared" si="236"/>
        <v>24</v>
      </c>
      <c r="CN77" s="172">
        <f t="shared" si="237"/>
        <v>16.399999999999999</v>
      </c>
      <c r="CO77" s="443">
        <f t="shared" si="238"/>
        <v>40.4</v>
      </c>
      <c r="CP77" s="443"/>
      <c r="CQ77" s="217">
        <f t="shared" si="239"/>
        <v>0.40594059405940591</v>
      </c>
      <c r="CR77" s="172">
        <f t="shared" si="240"/>
        <v>24.648712871287128</v>
      </c>
      <c r="CS77" s="172">
        <f t="shared" si="298"/>
        <v>11.52</v>
      </c>
      <c r="CT77" s="217">
        <f t="shared" si="241"/>
        <v>1.5405445544554455</v>
      </c>
      <c r="CU77" s="217">
        <f t="shared" si="242"/>
        <v>16</v>
      </c>
      <c r="CV77" s="217">
        <f t="shared" si="243"/>
        <v>1.5222772277227721</v>
      </c>
      <c r="CW77" s="172">
        <f t="shared" si="244"/>
        <v>59.493617523817946</v>
      </c>
      <c r="CX77" s="172">
        <f t="shared" si="245"/>
        <v>16</v>
      </c>
      <c r="CY77" s="217">
        <f t="shared" si="246"/>
        <v>2.3648780487804877</v>
      </c>
      <c r="CZ77" s="217">
        <f t="shared" si="247"/>
        <v>1.1824390243902441</v>
      </c>
      <c r="DA77" s="217">
        <f t="shared" si="248"/>
        <v>1.7303985722784059</v>
      </c>
      <c r="DB77" s="197">
        <f t="shared" si="249"/>
        <v>350</v>
      </c>
      <c r="DC77" s="443">
        <f t="shared" si="299"/>
        <v>343.30784563604874</v>
      </c>
      <c r="DE77" s="217">
        <f t="shared" si="250"/>
        <v>2.3196605374823194</v>
      </c>
      <c r="DF77" s="173">
        <f t="shared" si="251"/>
        <v>1.6973125884016973</v>
      </c>
      <c r="DG77" s="173">
        <f t="shared" si="252"/>
        <v>0.68900808044029282</v>
      </c>
      <c r="DH77" s="173"/>
      <c r="DI77" s="173">
        <f t="shared" si="253"/>
        <v>0.73170731707317083</v>
      </c>
      <c r="DJ77" s="545">
        <f t="shared" si="300"/>
        <v>1967.9999999999998</v>
      </c>
      <c r="DK77" s="528">
        <f t="shared" si="254"/>
        <v>0.12804878048780488</v>
      </c>
      <c r="DM77" s="173">
        <f t="shared" si="255"/>
        <v>2.3712564481424492</v>
      </c>
      <c r="DN77" s="173">
        <f t="shared" si="256"/>
        <v>2.3648780487804877</v>
      </c>
      <c r="DO77" s="173">
        <f t="shared" si="257"/>
        <v>2.2110207768744354</v>
      </c>
      <c r="DQ77" s="545">
        <f t="shared" si="258"/>
        <v>720</v>
      </c>
      <c r="DR77" s="460">
        <f t="shared" si="259"/>
        <v>343.30784563604874</v>
      </c>
      <c r="DT77">
        <f t="shared" si="260"/>
        <v>720</v>
      </c>
      <c r="DU77">
        <f t="shared" si="261"/>
        <v>343.30784563604874</v>
      </c>
      <c r="DW77" s="5">
        <f t="shared" si="301"/>
        <v>2.9128375966686497</v>
      </c>
      <c r="DX77" s="5">
        <f t="shared" si="262"/>
        <v>1.1824390243902441</v>
      </c>
      <c r="DY77" s="5">
        <f t="shared" si="302"/>
        <v>1.7303985722784057</v>
      </c>
      <c r="DZ77" s="5">
        <f t="shared" si="263"/>
        <v>1.7303985722784059</v>
      </c>
      <c r="EA77" s="173">
        <f t="shared" si="303"/>
        <v>0.40594059405940597</v>
      </c>
      <c r="EB77" s="173">
        <f t="shared" si="264"/>
        <v>11.52</v>
      </c>
      <c r="EC77" s="173">
        <f t="shared" si="265"/>
        <v>0.70243902439024386</v>
      </c>
      <c r="ED77" s="173">
        <f t="shared" si="304"/>
        <v>16.400000000000002</v>
      </c>
      <c r="EE77" s="460">
        <f t="shared" si="266"/>
        <v>5.3209756097560987</v>
      </c>
      <c r="EF77" s="5">
        <f t="shared" si="267"/>
        <v>0.69215942891136217</v>
      </c>
      <c r="EG77" s="5"/>
      <c r="EH77" s="173">
        <f t="shared" si="305"/>
        <v>0.86992009725592379</v>
      </c>
      <c r="EI77" s="173">
        <f t="shared" si="268"/>
        <v>1.0523569196133884</v>
      </c>
      <c r="EJ77" s="173"/>
      <c r="EK77" s="528">
        <f t="shared" si="269"/>
        <v>1.5135219512195118E-2</v>
      </c>
      <c r="EL77" s="528">
        <f t="shared" si="270"/>
        <v>0.62319999999999987</v>
      </c>
      <c r="EM77" s="528">
        <f t="shared" si="271"/>
        <v>3.9480402248145606E-2</v>
      </c>
      <c r="EN77" s="528">
        <f t="shared" si="272"/>
        <v>0.27596416666666668</v>
      </c>
      <c r="EO77">
        <f t="shared" si="273"/>
        <v>1.0800000000000001E-2</v>
      </c>
      <c r="EP77" s="460">
        <f t="shared" si="306"/>
        <v>50.280402248145606</v>
      </c>
      <c r="EQ77" s="528">
        <f t="shared" si="274"/>
        <v>0.97216231797928232</v>
      </c>
      <c r="ER77" s="460">
        <f t="shared" si="307"/>
        <v>972.16231797928231</v>
      </c>
      <c r="ES77" s="528">
        <f t="shared" si="308"/>
        <v>0.44729999999999998</v>
      </c>
      <c r="ET77" s="528"/>
      <c r="EV77" s="460">
        <f t="shared" si="309"/>
        <v>447.29999999999995</v>
      </c>
      <c r="EW77" s="528">
        <f t="shared" si="275"/>
        <v>2.2702829268292674E-2</v>
      </c>
      <c r="EX77" s="528">
        <f t="shared" si="276"/>
        <v>3.3223652587745386E-2</v>
      </c>
      <c r="EY77" s="528">
        <f t="shared" si="277"/>
        <v>0.93907699342693196</v>
      </c>
      <c r="EZ77" s="528">
        <f t="shared" si="278"/>
        <v>1.0129579247684586</v>
      </c>
      <c r="FA77" s="528">
        <f t="shared" si="279"/>
        <v>9.5999999999999974E-3</v>
      </c>
      <c r="FB77" s="460">
        <f t="shared" si="310"/>
        <v>1022.5579247684586</v>
      </c>
      <c r="FC77" s="173">
        <f t="shared" si="311"/>
        <v>2.4420202427477404</v>
      </c>
      <c r="FD77" s="5">
        <f t="shared" si="312"/>
        <v>11.52</v>
      </c>
      <c r="FE77" s="173">
        <f t="shared" si="313"/>
        <v>0.82509549475720079</v>
      </c>
      <c r="FF77" s="5">
        <f t="shared" si="314"/>
        <v>82.509549475720078</v>
      </c>
      <c r="FI77" s="562">
        <f t="shared" si="280"/>
        <v>-50</v>
      </c>
      <c r="FJ77">
        <f t="shared" si="281"/>
        <v>-50</v>
      </c>
      <c r="FL77">
        <f t="shared" si="282"/>
        <v>0.59405940594059403</v>
      </c>
    </row>
    <row r="78" spans="5:168">
      <c r="E78" s="170">
        <v>73</v>
      </c>
      <c r="F78" s="217">
        <f t="shared" si="283"/>
        <v>0.73</v>
      </c>
      <c r="G78" s="217"/>
      <c r="H78" s="217">
        <f t="shared" si="183"/>
        <v>11.68</v>
      </c>
      <c r="I78" s="541">
        <f t="shared" si="184"/>
        <v>23.936755924355328</v>
      </c>
      <c r="J78" s="172">
        <f t="shared" si="185"/>
        <v>16.437946445386803</v>
      </c>
      <c r="K78" s="172">
        <f t="shared" si="186"/>
        <v>40.4379464453868</v>
      </c>
      <c r="L78" s="443"/>
      <c r="M78" s="217">
        <f t="shared" si="187"/>
        <v>0.40711892130746402</v>
      </c>
      <c r="N78" s="172">
        <f t="shared" si="188"/>
        <v>24.65511881635468</v>
      </c>
      <c r="O78" s="172">
        <f t="shared" si="284"/>
        <v>11.68</v>
      </c>
      <c r="P78" s="217">
        <f t="shared" si="189"/>
        <v>1.5409449260221675</v>
      </c>
      <c r="Q78" s="217">
        <f t="shared" si="190"/>
        <v>16</v>
      </c>
      <c r="R78" s="217">
        <f t="shared" si="191"/>
        <v>1.5226728518005608</v>
      </c>
      <c r="S78" s="172">
        <f t="shared" si="192"/>
        <v>58.201821344644756</v>
      </c>
      <c r="T78" s="172">
        <f t="shared" si="193"/>
        <v>16</v>
      </c>
      <c r="U78" s="217">
        <f t="shared" si="194"/>
        <v>2.4625511801113587</v>
      </c>
      <c r="V78" s="217">
        <f t="shared" si="195"/>
        <v>1.2345287830448632</v>
      </c>
      <c r="W78" s="217">
        <f t="shared" si="196"/>
        <v>1.7977071685635939</v>
      </c>
      <c r="X78" s="197">
        <f t="shared" si="197"/>
        <v>350</v>
      </c>
      <c r="Y78" s="443">
        <f t="shared" si="198"/>
        <v>309.38335411508871</v>
      </c>
      <c r="AA78" s="217">
        <f t="shared" si="199"/>
        <v>2.3203538995280666</v>
      </c>
      <c r="AB78" s="173">
        <f t="shared" si="200"/>
        <v>1.6939005664026299</v>
      </c>
      <c r="AC78" s="173">
        <f t="shared" si="201"/>
        <v>0.68782853731640003</v>
      </c>
      <c r="AD78" s="173"/>
      <c r="AE78" s="173">
        <f t="shared" si="202"/>
        <v>0.73001819539129331</v>
      </c>
      <c r="AF78" s="545">
        <f t="shared" si="203"/>
        <v>1999.9501508553947</v>
      </c>
      <c r="AG78" s="528">
        <f t="shared" si="204"/>
        <v>0.12775318419347631</v>
      </c>
      <c r="AI78" s="173">
        <f t="shared" si="205"/>
        <v>2.3904274279212641</v>
      </c>
      <c r="AJ78" s="173">
        <f t="shared" si="206"/>
        <v>2.4625511801113587</v>
      </c>
      <c r="AK78" s="173">
        <f t="shared" si="207"/>
        <v>2.2833712445269323</v>
      </c>
      <c r="AM78" s="545">
        <f t="shared" si="208"/>
        <v>730</v>
      </c>
      <c r="AN78" s="460">
        <f t="shared" si="209"/>
        <v>309.38335411508871</v>
      </c>
      <c r="AP78">
        <f t="shared" si="210"/>
        <v>730</v>
      </c>
      <c r="AQ78">
        <f t="shared" si="211"/>
        <v>309.38335411508871</v>
      </c>
      <c r="AS78" s="5">
        <f t="shared" si="285"/>
        <v>3.2322359516084571</v>
      </c>
      <c r="AT78" s="5">
        <f t="shared" si="212"/>
        <v>1.2345287830448632</v>
      </c>
      <c r="AU78" s="5">
        <f t="shared" si="286"/>
        <v>1.9977071685635939</v>
      </c>
      <c r="AV78" s="5">
        <f t="shared" si="213"/>
        <v>1.7977071685635939</v>
      </c>
      <c r="AW78" s="173">
        <f t="shared" si="287"/>
        <v>0.38194265565003843</v>
      </c>
      <c r="AX78" s="173">
        <f t="shared" si="214"/>
        <v>11.256897835661048</v>
      </c>
      <c r="AY78" s="173">
        <f t="shared" si="215"/>
        <v>0.76099892135274505</v>
      </c>
      <c r="AZ78" s="173">
        <f t="shared" si="288"/>
        <v>14.79226516596224</v>
      </c>
      <c r="BA78" s="460">
        <f t="shared" si="216"/>
        <v>5.6325375726421889</v>
      </c>
      <c r="BB78" s="5">
        <f t="shared" si="217"/>
        <v>0.81232184659720785</v>
      </c>
      <c r="BC78" s="5"/>
      <c r="BD78" s="173">
        <f t="shared" si="289"/>
        <v>0.87866579368693953</v>
      </c>
      <c r="BE78" s="173">
        <f t="shared" si="218"/>
        <v>1.1177354462903026</v>
      </c>
      <c r="BF78" s="173"/>
      <c r="BG78" s="528">
        <f t="shared" si="219"/>
        <v>1.5441071539909987E-2</v>
      </c>
      <c r="BH78" s="528">
        <f t="shared" si="220"/>
        <v>0.56225609290910095</v>
      </c>
      <c r="BI78" s="528">
        <f t="shared" si="221"/>
        <v>0.17032957819375927</v>
      </c>
      <c r="BJ78" s="528">
        <f t="shared" si="222"/>
        <v>0.24916174501858993</v>
      </c>
      <c r="BK78">
        <f t="shared" si="223"/>
        <v>1.0771540165959898E-2</v>
      </c>
      <c r="BL78" s="460">
        <f t="shared" si="290"/>
        <v>181.10111835971918</v>
      </c>
      <c r="BM78" s="528">
        <f t="shared" si="224"/>
        <v>0.83408810003529654</v>
      </c>
      <c r="BN78" s="460">
        <f t="shared" si="291"/>
        <v>834.08810003529652</v>
      </c>
      <c r="BO78" s="528">
        <f t="shared" si="225"/>
        <v>0.45351249999999999</v>
      </c>
      <c r="BP78" s="528"/>
      <c r="BR78" s="460">
        <f t="shared" si="292"/>
        <v>453.51249999999999</v>
      </c>
      <c r="BS78" s="528">
        <f t="shared" si="226"/>
        <v>2.3161607309864982E-2</v>
      </c>
      <c r="BT78" s="528">
        <f t="shared" si="227"/>
        <v>3.7479975836813458E-2</v>
      </c>
      <c r="BU78" s="528">
        <f t="shared" si="228"/>
        <v>0.17519999999999999</v>
      </c>
      <c r="BV78" s="528">
        <f t="shared" si="229"/>
        <v>0.25161623565190844</v>
      </c>
      <c r="BW78" s="528">
        <f t="shared" si="230"/>
        <v>9.3807481963842088E-3</v>
      </c>
      <c r="BX78" s="460">
        <f t="shared" si="293"/>
        <v>260.99698384829264</v>
      </c>
      <c r="BY78" s="173">
        <f t="shared" si="231"/>
        <v>1.7296987022433081</v>
      </c>
      <c r="BZ78" s="5">
        <f t="shared" si="294"/>
        <v>11.68</v>
      </c>
      <c r="CA78" s="173">
        <f t="shared" si="295"/>
        <v>0.871011367171587</v>
      </c>
      <c r="CB78" s="5">
        <f t="shared" si="296"/>
        <v>87.101136717158695</v>
      </c>
      <c r="CE78" s="562">
        <f t="shared" si="232"/>
        <v>-50</v>
      </c>
      <c r="CF78">
        <f t="shared" si="233"/>
        <v>-50</v>
      </c>
      <c r="CG78" s="173">
        <f t="shared" si="234"/>
        <v>0.57712915601881642</v>
      </c>
      <c r="CI78" s="170">
        <v>73</v>
      </c>
      <c r="CJ78" s="217">
        <f t="shared" si="297"/>
        <v>0.73</v>
      </c>
      <c r="CK78" s="217"/>
      <c r="CL78" s="217">
        <f t="shared" si="235"/>
        <v>11.68</v>
      </c>
      <c r="CM78" s="541">
        <f t="shared" si="236"/>
        <v>24</v>
      </c>
      <c r="CN78" s="172">
        <f t="shared" si="237"/>
        <v>16.399999999999999</v>
      </c>
      <c r="CO78" s="443">
        <f t="shared" si="238"/>
        <v>40.4</v>
      </c>
      <c r="CP78" s="443"/>
      <c r="CQ78" s="217">
        <f t="shared" si="239"/>
        <v>0.40594059405940591</v>
      </c>
      <c r="CR78" s="172">
        <f t="shared" si="240"/>
        <v>24.648712871287128</v>
      </c>
      <c r="CS78" s="172">
        <f t="shared" si="298"/>
        <v>11.68</v>
      </c>
      <c r="CT78" s="217">
        <f t="shared" si="241"/>
        <v>1.5405445544554455</v>
      </c>
      <c r="CU78" s="217">
        <f t="shared" si="242"/>
        <v>16</v>
      </c>
      <c r="CV78" s="217">
        <f t="shared" si="243"/>
        <v>1.5222772277227721</v>
      </c>
      <c r="CW78" s="172">
        <f t="shared" si="244"/>
        <v>58.355170696989553</v>
      </c>
      <c r="CX78" s="172">
        <f t="shared" si="245"/>
        <v>16</v>
      </c>
      <c r="CY78" s="217">
        <f t="shared" si="246"/>
        <v>2.3977235772357726</v>
      </c>
      <c r="CZ78" s="217">
        <f t="shared" si="247"/>
        <v>1.1988617886178863</v>
      </c>
      <c r="DA78" s="217">
        <f t="shared" si="248"/>
        <v>1.7544318857822729</v>
      </c>
      <c r="DB78" s="197">
        <f t="shared" si="249"/>
        <v>350</v>
      </c>
      <c r="DC78" s="443">
        <f t="shared" si="299"/>
        <v>338.60499843555488</v>
      </c>
      <c r="DE78" s="217">
        <f t="shared" si="250"/>
        <v>2.3196605374823194</v>
      </c>
      <c r="DF78" s="173">
        <f t="shared" si="251"/>
        <v>1.6973125884016973</v>
      </c>
      <c r="DG78" s="173">
        <f t="shared" si="252"/>
        <v>0.68900808044029282</v>
      </c>
      <c r="DH78" s="173"/>
      <c r="DI78" s="173">
        <f t="shared" si="253"/>
        <v>0.73170731707317083</v>
      </c>
      <c r="DJ78" s="545">
        <f t="shared" si="300"/>
        <v>1995.333333333333</v>
      </c>
      <c r="DK78" s="528">
        <f t="shared" si="254"/>
        <v>0.12804878048780488</v>
      </c>
      <c r="DM78" s="173">
        <f t="shared" si="255"/>
        <v>2.3876667231739819</v>
      </c>
      <c r="DN78" s="173">
        <f t="shared" si="256"/>
        <v>2.3977235772357726</v>
      </c>
      <c r="DO78" s="173">
        <f t="shared" si="257"/>
        <v>2.2353507979524241</v>
      </c>
      <c r="DQ78" s="545">
        <f t="shared" si="258"/>
        <v>730</v>
      </c>
      <c r="DR78" s="460">
        <f t="shared" si="259"/>
        <v>338.60499843555488</v>
      </c>
      <c r="DT78">
        <f t="shared" si="260"/>
        <v>730</v>
      </c>
      <c r="DU78">
        <f t="shared" si="261"/>
        <v>338.60499843555488</v>
      </c>
      <c r="DW78" s="5">
        <f t="shared" si="301"/>
        <v>2.9532936744001592</v>
      </c>
      <c r="DX78" s="5">
        <f t="shared" si="262"/>
        <v>1.1988617886178863</v>
      </c>
      <c r="DY78" s="5">
        <f t="shared" si="302"/>
        <v>1.7544318857822729</v>
      </c>
      <c r="DZ78" s="5">
        <f t="shared" si="263"/>
        <v>1.7544318857822729</v>
      </c>
      <c r="EA78" s="173">
        <f t="shared" si="303"/>
        <v>0.40594059405940591</v>
      </c>
      <c r="EB78" s="173">
        <f t="shared" si="264"/>
        <v>11.680000000000001</v>
      </c>
      <c r="EC78" s="173">
        <f t="shared" si="265"/>
        <v>0.7121951219512197</v>
      </c>
      <c r="ED78" s="173">
        <f t="shared" si="304"/>
        <v>16.399999999999999</v>
      </c>
      <c r="EE78" s="460">
        <f t="shared" si="266"/>
        <v>5.4698069105691056</v>
      </c>
      <c r="EF78" s="5">
        <f t="shared" si="267"/>
        <v>0.71151959812281051</v>
      </c>
      <c r="EG78" s="5"/>
      <c r="EH78" s="173">
        <f t="shared" si="305"/>
        <v>0.88200232082892294</v>
      </c>
      <c r="EI78" s="173">
        <f t="shared" si="268"/>
        <v>1.0669729879413523</v>
      </c>
      <c r="EJ78" s="173"/>
      <c r="EK78" s="528">
        <f t="shared" si="269"/>
        <v>1.5558561878952127E-2</v>
      </c>
      <c r="EL78" s="528">
        <f t="shared" si="270"/>
        <v>0.62319999999999987</v>
      </c>
      <c r="EM78" s="528">
        <f t="shared" si="271"/>
        <v>3.8939574820088814E-2</v>
      </c>
      <c r="EN78" s="528">
        <f t="shared" si="272"/>
        <v>0.27218383561643827</v>
      </c>
      <c r="EO78">
        <f t="shared" si="273"/>
        <v>1.0800000000000001E-2</v>
      </c>
      <c r="EP78" s="460">
        <f t="shared" si="306"/>
        <v>49.739574820088812</v>
      </c>
      <c r="EQ78" s="528">
        <f t="shared" si="274"/>
        <v>0.96846291473106438</v>
      </c>
      <c r="ER78" s="460">
        <f t="shared" si="307"/>
        <v>968.46291473106442</v>
      </c>
      <c r="ES78" s="528">
        <f t="shared" si="308"/>
        <v>0.45351249999999999</v>
      </c>
      <c r="ET78" s="528"/>
      <c r="EV78" s="460">
        <f t="shared" si="309"/>
        <v>453.51249999999999</v>
      </c>
      <c r="EW78" s="528">
        <f t="shared" si="275"/>
        <v>2.3337842818428187E-2</v>
      </c>
      <c r="EX78" s="528">
        <f t="shared" si="276"/>
        <v>3.4152940709894913E-2</v>
      </c>
      <c r="EY78" s="528">
        <f t="shared" si="277"/>
        <v>0.93907699342693063</v>
      </c>
      <c r="EZ78" s="528">
        <f t="shared" si="278"/>
        <v>1.0150339728747262</v>
      </c>
      <c r="FA78" s="528">
        <f t="shared" si="279"/>
        <v>9.7333333333333334E-3</v>
      </c>
      <c r="FB78" s="460">
        <f t="shared" si="310"/>
        <v>1024.7673062080596</v>
      </c>
      <c r="FC78" s="173">
        <f t="shared" si="311"/>
        <v>2.4467427209391239</v>
      </c>
      <c r="FD78" s="5">
        <f t="shared" si="312"/>
        <v>11.68</v>
      </c>
      <c r="FE78" s="173">
        <f t="shared" si="313"/>
        <v>0.82680064546567544</v>
      </c>
      <c r="FF78" s="5">
        <f t="shared" si="314"/>
        <v>82.68006454656755</v>
      </c>
      <c r="FI78" s="562">
        <f t="shared" si="280"/>
        <v>-50</v>
      </c>
      <c r="FJ78">
        <f t="shared" si="281"/>
        <v>-50</v>
      </c>
      <c r="FL78">
        <f t="shared" si="282"/>
        <v>0.59405940594059414</v>
      </c>
    </row>
    <row r="79" spans="5:168">
      <c r="E79" s="170">
        <v>74</v>
      </c>
      <c r="F79" s="217">
        <f t="shared" si="283"/>
        <v>0.74</v>
      </c>
      <c r="G79" s="217"/>
      <c r="H79" s="217">
        <f t="shared" si="183"/>
        <v>11.84</v>
      </c>
      <c r="I79" s="541">
        <f t="shared" si="184"/>
        <v>23.935914971921552</v>
      </c>
      <c r="J79" s="172">
        <f t="shared" si="185"/>
        <v>16.438451016847068</v>
      </c>
      <c r="K79" s="172">
        <f t="shared" si="186"/>
        <v>40.438451016847068</v>
      </c>
      <c r="L79" s="443"/>
      <c r="M79" s="217">
        <f t="shared" si="187"/>
        <v>0.40713481727909218</v>
      </c>
      <c r="N79" s="172">
        <f t="shared" si="188"/>
        <v>24.655215252307951</v>
      </c>
      <c r="O79" s="172">
        <f t="shared" si="284"/>
        <v>11.84</v>
      </c>
      <c r="P79" s="217">
        <f t="shared" si="189"/>
        <v>1.5409509532692469</v>
      </c>
      <c r="Q79" s="217">
        <f t="shared" si="190"/>
        <v>16</v>
      </c>
      <c r="R79" s="217">
        <f t="shared" si="191"/>
        <v>1.5226788075783073</v>
      </c>
      <c r="S79" s="172">
        <f t="shared" si="192"/>
        <v>57.095187286776451</v>
      </c>
      <c r="T79" s="172">
        <f t="shared" si="193"/>
        <v>16</v>
      </c>
      <c r="U79" s="217">
        <f t="shared" si="194"/>
        <v>2.4963516886042409</v>
      </c>
      <c r="V79" s="217">
        <f t="shared" si="195"/>
        <v>1.2515176586477503</v>
      </c>
      <c r="W79" s="217">
        <f t="shared" si="196"/>
        <v>1.8223262175097907</v>
      </c>
      <c r="X79" s="197">
        <f t="shared" si="197"/>
        <v>350</v>
      </c>
      <c r="Y79" s="443">
        <f t="shared" si="198"/>
        <v>305.45134032893594</v>
      </c>
      <c r="AA79" s="217">
        <f t="shared" si="199"/>
        <v>2.3203629342840975</v>
      </c>
      <c r="AB79" s="173">
        <f t="shared" si="200"/>
        <v>1.6938551681586467</v>
      </c>
      <c r="AC79" s="173">
        <f t="shared" si="201"/>
        <v>0.68781278094215414</v>
      </c>
      <c r="AD79" s="173"/>
      <c r="AE79" s="173">
        <f t="shared" si="202"/>
        <v>0.72999578778448837</v>
      </c>
      <c r="AF79" s="545">
        <f t="shared" si="203"/>
        <v>2027.4089587444716</v>
      </c>
      <c r="AG79" s="528">
        <f t="shared" si="204"/>
        <v>0.1277492628622855</v>
      </c>
      <c r="AI79" s="173">
        <f t="shared" si="205"/>
        <v>2.4067814659798685</v>
      </c>
      <c r="AJ79" s="173">
        <f t="shared" si="206"/>
        <v>2.4963516886042409</v>
      </c>
      <c r="AK79" s="173">
        <f t="shared" si="207"/>
        <v>2.3084086582253636</v>
      </c>
      <c r="AM79" s="545">
        <f t="shared" si="208"/>
        <v>740</v>
      </c>
      <c r="AN79" s="460">
        <f t="shared" si="209"/>
        <v>305.45134032893594</v>
      </c>
      <c r="AP79">
        <f t="shared" si="210"/>
        <v>740</v>
      </c>
      <c r="AQ79">
        <f t="shared" si="211"/>
        <v>305.45134032893594</v>
      </c>
      <c r="AS79" s="5">
        <f t="shared" si="285"/>
        <v>3.2738438761575415</v>
      </c>
      <c r="AT79" s="5">
        <f t="shared" si="212"/>
        <v>1.2515176586477503</v>
      </c>
      <c r="AU79" s="5">
        <f t="shared" si="286"/>
        <v>2.0223262175097911</v>
      </c>
      <c r="AV79" s="5">
        <f t="shared" si="213"/>
        <v>1.8223262175097907</v>
      </c>
      <c r="AW79" s="173">
        <f t="shared" si="287"/>
        <v>0.38227774627928707</v>
      </c>
      <c r="AX79" s="173">
        <f t="shared" si="214"/>
        <v>11.42101820782861</v>
      </c>
      <c r="AY79" s="173">
        <f t="shared" si="215"/>
        <v>0.77102599558205964</v>
      </c>
      <c r="AZ79" s="173">
        <f t="shared" si="288"/>
        <v>14.812753750548584</v>
      </c>
      <c r="BA79" s="460">
        <f t="shared" si="216"/>
        <v>5.7882691712458447</v>
      </c>
      <c r="BB79" s="5">
        <f t="shared" si="217"/>
        <v>0.8336267363431431</v>
      </c>
      <c r="BC79" s="5"/>
      <c r="BD79" s="173">
        <f t="shared" si="289"/>
        <v>0.89111683879260273</v>
      </c>
      <c r="BE79" s="173">
        <f t="shared" si="218"/>
        <v>1.1327700696460985</v>
      </c>
      <c r="BF79" s="173"/>
      <c r="BG79" s="528">
        <f t="shared" si="219"/>
        <v>1.588178440759443E-2</v>
      </c>
      <c r="BH79" s="528">
        <f t="shared" si="220"/>
        <v>0.56273662923732115</v>
      </c>
      <c r="BI79" s="528">
        <f t="shared" si="221"/>
        <v>0.16815891813397632</v>
      </c>
      <c r="BJ79" s="528">
        <f t="shared" si="222"/>
        <v>0.24600123841623286</v>
      </c>
      <c r="BK79">
        <f t="shared" si="223"/>
        <v>1.0771161737364698E-2</v>
      </c>
      <c r="BL79" s="460">
        <f t="shared" si="290"/>
        <v>178.93007987134101</v>
      </c>
      <c r="BM79" s="528">
        <f t="shared" si="224"/>
        <v>0.83204747496193976</v>
      </c>
      <c r="BN79" s="460">
        <f t="shared" si="291"/>
        <v>832.04747496193977</v>
      </c>
      <c r="BO79" s="528">
        <f t="shared" si="225"/>
        <v>0.45972499999999999</v>
      </c>
      <c r="BP79" s="528"/>
      <c r="BR79" s="460">
        <f t="shared" si="292"/>
        <v>459.72500000000002</v>
      </c>
      <c r="BS79" s="528">
        <f t="shared" si="226"/>
        <v>2.3822676611391643E-2</v>
      </c>
      <c r="BT79" s="528">
        <f t="shared" si="227"/>
        <v>3.8495040920580807E-2</v>
      </c>
      <c r="BU79" s="528">
        <f t="shared" si="228"/>
        <v>0.17759999999999998</v>
      </c>
      <c r="BV79" s="528">
        <f t="shared" si="229"/>
        <v>0.25615098933958175</v>
      </c>
      <c r="BW79" s="528">
        <f t="shared" si="230"/>
        <v>9.517515173190506E-3</v>
      </c>
      <c r="BX79" s="460">
        <f t="shared" si="293"/>
        <v>265.66850451277224</v>
      </c>
      <c r="BY79" s="173">
        <f t="shared" si="231"/>
        <v>1.7363710593460531</v>
      </c>
      <c r="BZ79" s="5">
        <f t="shared" si="294"/>
        <v>11.84</v>
      </c>
      <c r="CA79" s="173">
        <f t="shared" si="295"/>
        <v>0.87210344710262422</v>
      </c>
      <c r="CB79" s="5">
        <f t="shared" si="296"/>
        <v>87.210344710262419</v>
      </c>
      <c r="CE79" s="562">
        <f t="shared" si="232"/>
        <v>-50</v>
      </c>
      <c r="CF79">
        <f t="shared" si="233"/>
        <v>-50</v>
      </c>
      <c r="CG79" s="173">
        <f t="shared" si="234"/>
        <v>0.57735794317992151</v>
      </c>
      <c r="CI79" s="170">
        <v>74</v>
      </c>
      <c r="CJ79" s="217">
        <f t="shared" si="297"/>
        <v>0.74</v>
      </c>
      <c r="CK79" s="217"/>
      <c r="CL79" s="217">
        <f t="shared" si="235"/>
        <v>11.84</v>
      </c>
      <c r="CM79" s="541">
        <f t="shared" si="236"/>
        <v>24</v>
      </c>
      <c r="CN79" s="172">
        <f t="shared" si="237"/>
        <v>16.399999999999999</v>
      </c>
      <c r="CO79" s="443">
        <f t="shared" si="238"/>
        <v>40.4</v>
      </c>
      <c r="CP79" s="443"/>
      <c r="CQ79" s="217">
        <f t="shared" si="239"/>
        <v>0.40594059405940591</v>
      </c>
      <c r="CR79" s="172">
        <f t="shared" si="240"/>
        <v>24.648712871287128</v>
      </c>
      <c r="CS79" s="172">
        <f t="shared" si="298"/>
        <v>11.84</v>
      </c>
      <c r="CT79" s="217">
        <f t="shared" si="241"/>
        <v>1.5405445544554455</v>
      </c>
      <c r="CU79" s="217">
        <f t="shared" si="242"/>
        <v>16</v>
      </c>
      <c r="CV79" s="217">
        <f t="shared" si="243"/>
        <v>1.5222772277227721</v>
      </c>
      <c r="CW79" s="172">
        <f t="shared" si="244"/>
        <v>57.247610100813425</v>
      </c>
      <c r="CX79" s="172">
        <f t="shared" si="245"/>
        <v>16</v>
      </c>
      <c r="CY79" s="217">
        <f t="shared" si="246"/>
        <v>2.430569105691057</v>
      </c>
      <c r="CZ79" s="217">
        <f t="shared" si="247"/>
        <v>1.2152845528455285</v>
      </c>
      <c r="DA79" s="217">
        <f t="shared" si="248"/>
        <v>1.7784651992861396</v>
      </c>
      <c r="DB79" s="197">
        <f t="shared" si="249"/>
        <v>350</v>
      </c>
      <c r="DC79" s="443">
        <f t="shared" si="299"/>
        <v>334.02925521345276</v>
      </c>
      <c r="DE79" s="217">
        <f t="shared" si="250"/>
        <v>2.3196605374823194</v>
      </c>
      <c r="DF79" s="173">
        <f t="shared" si="251"/>
        <v>1.6973125884016973</v>
      </c>
      <c r="DG79" s="173">
        <f t="shared" si="252"/>
        <v>0.68900808044029282</v>
      </c>
      <c r="DH79" s="173"/>
      <c r="DI79" s="173">
        <f t="shared" si="253"/>
        <v>0.73170731707317083</v>
      </c>
      <c r="DJ79" s="545">
        <f t="shared" si="300"/>
        <v>2022.6666666666663</v>
      </c>
      <c r="DK79" s="528">
        <f t="shared" si="254"/>
        <v>0.12804878048780488</v>
      </c>
      <c r="DM79" s="173">
        <f t="shared" si="255"/>
        <v>2.4039649787481552</v>
      </c>
      <c r="DN79" s="173">
        <f t="shared" si="256"/>
        <v>2.430569105691057</v>
      </c>
      <c r="DO79" s="173">
        <f t="shared" si="257"/>
        <v>2.2596808190304127</v>
      </c>
      <c r="DQ79" s="545">
        <f t="shared" si="258"/>
        <v>740</v>
      </c>
      <c r="DR79" s="460">
        <f t="shared" si="259"/>
        <v>334.02925521345276</v>
      </c>
      <c r="DT79">
        <f t="shared" si="260"/>
        <v>740</v>
      </c>
      <c r="DU79">
        <f t="shared" si="261"/>
        <v>334.02925521345276</v>
      </c>
      <c r="DW79" s="5">
        <f t="shared" si="301"/>
        <v>2.9937497521316687</v>
      </c>
      <c r="DX79" s="5">
        <f t="shared" si="262"/>
        <v>1.2152845528455285</v>
      </c>
      <c r="DY79" s="5">
        <f t="shared" si="302"/>
        <v>1.7784651992861402</v>
      </c>
      <c r="DZ79" s="5">
        <f t="shared" si="263"/>
        <v>1.7784651992861396</v>
      </c>
      <c r="EA79" s="173">
        <f t="shared" si="303"/>
        <v>0.4059405940594058</v>
      </c>
      <c r="EB79" s="173">
        <f t="shared" si="264"/>
        <v>11.839999999999998</v>
      </c>
      <c r="EC79" s="173">
        <f t="shared" si="265"/>
        <v>0.72195121951219521</v>
      </c>
      <c r="ED79" s="173">
        <f t="shared" si="304"/>
        <v>16.399999999999995</v>
      </c>
      <c r="EE79" s="460">
        <f t="shared" si="266"/>
        <v>5.6206910569105686</v>
      </c>
      <c r="EF79" s="5">
        <f t="shared" si="267"/>
        <v>0.73114680415096867</v>
      </c>
      <c r="EG79" s="5"/>
      <c r="EH79" s="173">
        <f t="shared" si="305"/>
        <v>0.89408454440192164</v>
      </c>
      <c r="EI79" s="173">
        <f t="shared" si="268"/>
        <v>1.081589056269316</v>
      </c>
      <c r="EJ79" s="173"/>
      <c r="EK79" s="528">
        <f t="shared" si="269"/>
        <v>1.5987743450767835E-2</v>
      </c>
      <c r="EL79" s="528">
        <f t="shared" si="270"/>
        <v>0.62319999999999987</v>
      </c>
      <c r="EM79" s="528">
        <f t="shared" si="271"/>
        <v>3.8413364349547077E-2</v>
      </c>
      <c r="EN79" s="528">
        <f t="shared" si="272"/>
        <v>0.26850567567567563</v>
      </c>
      <c r="EO79">
        <f t="shared" si="273"/>
        <v>1.0800000000000001E-2</v>
      </c>
      <c r="EP79" s="460">
        <f t="shared" si="306"/>
        <v>49.213364349547078</v>
      </c>
      <c r="EQ79" s="528">
        <f t="shared" si="274"/>
        <v>0.96488878550792456</v>
      </c>
      <c r="ER79" s="460">
        <f t="shared" si="307"/>
        <v>964.88878550792458</v>
      </c>
      <c r="ES79" s="528">
        <f t="shared" si="308"/>
        <v>0.45972499999999999</v>
      </c>
      <c r="ET79" s="528"/>
      <c r="EV79" s="460">
        <f t="shared" si="309"/>
        <v>459.72500000000002</v>
      </c>
      <c r="EW79" s="528">
        <f t="shared" si="275"/>
        <v>2.3981615176151751E-2</v>
      </c>
      <c r="EX79" s="528">
        <f t="shared" si="276"/>
        <v>3.5095046599246484E-2</v>
      </c>
      <c r="EY79" s="528">
        <f t="shared" si="277"/>
        <v>0.93907699342693085</v>
      </c>
      <c r="EZ79" s="528">
        <f t="shared" si="278"/>
        <v>1.0171391890564558</v>
      </c>
      <c r="FA79" s="528">
        <f t="shared" si="279"/>
        <v>9.8666666666666642E-3</v>
      </c>
      <c r="FB79" s="460">
        <f t="shared" si="310"/>
        <v>1027.0058557231225</v>
      </c>
      <c r="FC79" s="173">
        <f t="shared" si="311"/>
        <v>2.4516196412310469</v>
      </c>
      <c r="FD79" s="5">
        <f t="shared" si="312"/>
        <v>11.84</v>
      </c>
      <c r="FE79" s="173">
        <f t="shared" si="313"/>
        <v>0.82845753646016629</v>
      </c>
      <c r="FF79" s="5">
        <f t="shared" si="314"/>
        <v>82.845753646016632</v>
      </c>
      <c r="FI79" s="562">
        <f t="shared" si="280"/>
        <v>-50</v>
      </c>
      <c r="FJ79">
        <f t="shared" si="281"/>
        <v>-50</v>
      </c>
      <c r="FL79">
        <f t="shared" si="282"/>
        <v>0.59405940594059414</v>
      </c>
    </row>
    <row r="80" spans="5:168">
      <c r="E80" s="170">
        <v>75</v>
      </c>
      <c r="F80" s="217">
        <f t="shared" si="283"/>
        <v>0.75</v>
      </c>
      <c r="G80" s="217"/>
      <c r="H80" s="217">
        <f t="shared" si="183"/>
        <v>12</v>
      </c>
      <c r="I80" s="541">
        <f t="shared" si="184"/>
        <v>23.935073999898165</v>
      </c>
      <c r="J80" s="172">
        <f t="shared" si="185"/>
        <v>16.438955600061099</v>
      </c>
      <c r="K80" s="172">
        <f t="shared" si="186"/>
        <v>40.438955600061099</v>
      </c>
      <c r="L80" s="443"/>
      <c r="M80" s="217">
        <f t="shared" si="187"/>
        <v>0.40715071371282441</v>
      </c>
      <c r="N80" s="172">
        <f t="shared" si="188"/>
        <v>24.655311628424343</v>
      </c>
      <c r="O80" s="172">
        <f t="shared" si="284"/>
        <v>12</v>
      </c>
      <c r="P80" s="217">
        <f t="shared" si="189"/>
        <v>1.5409569767765214</v>
      </c>
      <c r="Q80" s="217">
        <f t="shared" si="190"/>
        <v>16</v>
      </c>
      <c r="R80" s="217">
        <f t="shared" si="191"/>
        <v>1.5226847596605946</v>
      </c>
      <c r="S80" s="172">
        <f t="shared" si="192"/>
        <v>56.018203526474075</v>
      </c>
      <c r="T80" s="172">
        <f t="shared" si="193"/>
        <v>16</v>
      </c>
      <c r="U80" s="217">
        <f t="shared" si="194"/>
        <v>2.5301540116443721</v>
      </c>
      <c r="V80" s="217">
        <f t="shared" si="195"/>
        <v>1.2685086388227438</v>
      </c>
      <c r="W80" s="217">
        <f t="shared" si="196"/>
        <v>1.8469450784099459</v>
      </c>
      <c r="X80" s="197">
        <f t="shared" si="197"/>
        <v>350</v>
      </c>
      <c r="Y80" s="443">
        <f t="shared" si="198"/>
        <v>301.6178433745925</v>
      </c>
      <c r="AA80" s="217">
        <f t="shared" si="199"/>
        <v>2.3203719643963296</v>
      </c>
      <c r="AB80" s="173">
        <f t="shared" si="200"/>
        <v>1.6938097681006248</v>
      </c>
      <c r="AC80" s="173">
        <f t="shared" si="201"/>
        <v>0.6877970223112343</v>
      </c>
      <c r="AD80" s="173"/>
      <c r="AE80" s="173">
        <f t="shared" si="202"/>
        <v>0.72997338103129861</v>
      </c>
      <c r="AF80" s="545">
        <f t="shared" si="203"/>
        <v>2054.8694500076372</v>
      </c>
      <c r="AG80" s="528">
        <f t="shared" si="204"/>
        <v>0.12774534168047724</v>
      </c>
      <c r="AI80" s="173">
        <f t="shared" si="205"/>
        <v>2.423026118606729</v>
      </c>
      <c r="AJ80" s="173">
        <f t="shared" si="206"/>
        <v>2.5301540116443721</v>
      </c>
      <c r="AK80" s="173">
        <f t="shared" si="207"/>
        <v>2.3334474160328682</v>
      </c>
      <c r="AM80" s="545">
        <f t="shared" si="208"/>
        <v>750</v>
      </c>
      <c r="AN80" s="460">
        <f t="shared" si="209"/>
        <v>301.6178433745925</v>
      </c>
      <c r="AP80">
        <f t="shared" si="210"/>
        <v>750</v>
      </c>
      <c r="AQ80">
        <f t="shared" si="211"/>
        <v>301.6178433745925</v>
      </c>
      <c r="AS80" s="5">
        <f t="shared" si="285"/>
        <v>3.3154537172326903</v>
      </c>
      <c r="AT80" s="5">
        <f t="shared" si="212"/>
        <v>1.2685086388227438</v>
      </c>
      <c r="AU80" s="5">
        <f t="shared" si="286"/>
        <v>2.0469450784099466</v>
      </c>
      <c r="AV80" s="5">
        <f t="shared" si="213"/>
        <v>1.8469450784099459</v>
      </c>
      <c r="AW80" s="173">
        <f t="shared" si="287"/>
        <v>0.38260483994375583</v>
      </c>
      <c r="AX80" s="173">
        <f t="shared" si="214"/>
        <v>11.585164267622591</v>
      </c>
      <c r="AY80" s="173">
        <f t="shared" si="215"/>
        <v>0.78105242049306267</v>
      </c>
      <c r="AZ80" s="173">
        <f t="shared" si="288"/>
        <v>14.832761494176166</v>
      </c>
      <c r="BA80" s="460">
        <f t="shared" si="216"/>
        <v>5.9461342444816117</v>
      </c>
      <c r="BB80" s="5">
        <f t="shared" si="217"/>
        <v>0.85520733231017176</v>
      </c>
      <c r="BC80" s="5"/>
      <c r="BD80" s="173">
        <f t="shared" si="289"/>
        <v>0.90356949421170152</v>
      </c>
      <c r="BE80" s="173">
        <f t="shared" si="218"/>
        <v>1.1478045463739517</v>
      </c>
      <c r="BF80" s="173"/>
      <c r="BG80" s="528">
        <f t="shared" si="219"/>
        <v>1.6328756617399801E-2</v>
      </c>
      <c r="BH80" s="528">
        <f t="shared" si="220"/>
        <v>0.56320537066063248</v>
      </c>
      <c r="BI80" s="528">
        <f t="shared" si="221"/>
        <v>0.16604264421979301</v>
      </c>
      <c r="BJ80" s="528">
        <f t="shared" si="222"/>
        <v>0.24291991842640268</v>
      </c>
      <c r="BK80">
        <f t="shared" si="223"/>
        <v>1.0770783299954173E-2</v>
      </c>
      <c r="BL80" s="460">
        <f t="shared" si="290"/>
        <v>176.81342751974719</v>
      </c>
      <c r="BM80" s="528">
        <f t="shared" si="224"/>
        <v>0.83008329458518648</v>
      </c>
      <c r="BN80" s="460">
        <f t="shared" si="291"/>
        <v>830.08329458518654</v>
      </c>
      <c r="BO80" s="528">
        <f t="shared" si="225"/>
        <v>0.46593749999999989</v>
      </c>
      <c r="BP80" s="528"/>
      <c r="BR80" s="460">
        <f t="shared" si="292"/>
        <v>465.93749999999989</v>
      </c>
      <c r="BS80" s="528">
        <f t="shared" si="226"/>
        <v>2.4493134926099704E-2</v>
      </c>
      <c r="BT80" s="528">
        <f t="shared" si="227"/>
        <v>3.9523658300301384E-2</v>
      </c>
      <c r="BU80" s="528">
        <f t="shared" si="228"/>
        <v>0.18</v>
      </c>
      <c r="BV80" s="528">
        <f t="shared" si="229"/>
        <v>0.26071603998654735</v>
      </c>
      <c r="BW80" s="528">
        <f t="shared" si="230"/>
        <v>9.65430355635216E-3</v>
      </c>
      <c r="BX80" s="460">
        <f t="shared" si="293"/>
        <v>270.37034354289949</v>
      </c>
      <c r="BY80" s="173">
        <f t="shared" si="231"/>
        <v>1.7432045656478332</v>
      </c>
      <c r="BZ80" s="5">
        <f t="shared" si="294"/>
        <v>12</v>
      </c>
      <c r="CA80" s="173">
        <f t="shared" si="295"/>
        <v>0.87315879951280773</v>
      </c>
      <c r="CB80" s="5">
        <f t="shared" si="296"/>
        <v>87.315879951280778</v>
      </c>
      <c r="CE80" s="562">
        <f t="shared" si="232"/>
        <v>-50</v>
      </c>
      <c r="CF80">
        <f t="shared" si="233"/>
        <v>-50</v>
      </c>
      <c r="CG80" s="173">
        <f t="shared" si="234"/>
        <v>0.57758062935006371</v>
      </c>
      <c r="CI80" s="170">
        <v>75</v>
      </c>
      <c r="CJ80" s="217">
        <f t="shared" si="297"/>
        <v>0.75</v>
      </c>
      <c r="CK80" s="217"/>
      <c r="CL80" s="217">
        <f t="shared" si="235"/>
        <v>12</v>
      </c>
      <c r="CM80" s="541">
        <f t="shared" si="236"/>
        <v>24</v>
      </c>
      <c r="CN80" s="172">
        <f t="shared" si="237"/>
        <v>16.399999999999999</v>
      </c>
      <c r="CO80" s="443">
        <f t="shared" si="238"/>
        <v>40.4</v>
      </c>
      <c r="CP80" s="443"/>
      <c r="CQ80" s="217">
        <f t="shared" si="239"/>
        <v>0.40594059405940591</v>
      </c>
      <c r="CR80" s="172">
        <f t="shared" si="240"/>
        <v>24.648712871287128</v>
      </c>
      <c r="CS80" s="172">
        <f t="shared" si="298"/>
        <v>12</v>
      </c>
      <c r="CT80" s="217">
        <f t="shared" si="241"/>
        <v>1.5405445544554455</v>
      </c>
      <c r="CU80" s="217">
        <f t="shared" si="242"/>
        <v>16</v>
      </c>
      <c r="CV80" s="217">
        <f t="shared" si="243"/>
        <v>1.5222772277227721</v>
      </c>
      <c r="CW80" s="172">
        <f t="shared" si="244"/>
        <v>56.169702148595071</v>
      </c>
      <c r="CX80" s="172">
        <f t="shared" si="245"/>
        <v>16</v>
      </c>
      <c r="CY80" s="217">
        <f t="shared" si="246"/>
        <v>2.4634146341463414</v>
      </c>
      <c r="CZ80" s="217">
        <f t="shared" si="247"/>
        <v>1.2317073170731707</v>
      </c>
      <c r="DA80" s="217">
        <f t="shared" si="248"/>
        <v>1.8024985127900059</v>
      </c>
      <c r="DB80" s="197">
        <f t="shared" si="249"/>
        <v>350</v>
      </c>
      <c r="DC80" s="443">
        <f t="shared" si="299"/>
        <v>329.57553181060683</v>
      </c>
      <c r="DE80" s="217">
        <f t="shared" si="250"/>
        <v>2.3196605374823194</v>
      </c>
      <c r="DF80" s="173">
        <f t="shared" si="251"/>
        <v>1.6973125884016973</v>
      </c>
      <c r="DG80" s="173">
        <f t="shared" si="252"/>
        <v>0.68900808044029282</v>
      </c>
      <c r="DH80" s="173"/>
      <c r="DI80" s="173">
        <f t="shared" si="253"/>
        <v>0.73170731707317083</v>
      </c>
      <c r="DJ80" s="545">
        <f t="shared" si="300"/>
        <v>2049.9999999999995</v>
      </c>
      <c r="DK80" s="528">
        <f t="shared" si="254"/>
        <v>0.12804878048780488</v>
      </c>
      <c r="DM80" s="173">
        <f t="shared" si="255"/>
        <v>2.4201534780139164</v>
      </c>
      <c r="DN80" s="173">
        <f t="shared" si="256"/>
        <v>2.4634146341463414</v>
      </c>
      <c r="DO80" s="173">
        <f t="shared" si="257"/>
        <v>2.2840108401084009</v>
      </c>
      <c r="DQ80" s="545">
        <f t="shared" si="258"/>
        <v>750</v>
      </c>
      <c r="DR80" s="460">
        <f t="shared" si="259"/>
        <v>329.57553181060683</v>
      </c>
      <c r="DT80">
        <f t="shared" si="260"/>
        <v>750</v>
      </c>
      <c r="DU80">
        <f t="shared" si="261"/>
        <v>329.57553181060683</v>
      </c>
      <c r="DW80" s="5">
        <f t="shared" si="301"/>
        <v>3.0342058298631764</v>
      </c>
      <c r="DX80" s="5">
        <f t="shared" si="262"/>
        <v>1.2317073170731707</v>
      </c>
      <c r="DY80" s="5">
        <f t="shared" si="302"/>
        <v>1.8024985127900057</v>
      </c>
      <c r="DZ80" s="5">
        <f t="shared" si="263"/>
        <v>1.8024985127900059</v>
      </c>
      <c r="EA80" s="173">
        <f t="shared" si="303"/>
        <v>0.40594059405940597</v>
      </c>
      <c r="EB80" s="173">
        <f t="shared" si="264"/>
        <v>12</v>
      </c>
      <c r="EC80" s="173">
        <f t="shared" si="265"/>
        <v>0.73170731707317072</v>
      </c>
      <c r="ED80" s="173">
        <f t="shared" si="304"/>
        <v>16.400000000000002</v>
      </c>
      <c r="EE80" s="460">
        <f t="shared" si="266"/>
        <v>5.7736280487804876</v>
      </c>
      <c r="EF80" s="5">
        <f t="shared" si="267"/>
        <v>0.75104104699583563</v>
      </c>
      <c r="EG80" s="5"/>
      <c r="EH80" s="173">
        <f t="shared" si="305"/>
        <v>0.90616676797492068</v>
      </c>
      <c r="EI80" s="173">
        <f t="shared" si="268"/>
        <v>1.0962051245972795</v>
      </c>
      <c r="EJ80" s="173"/>
      <c r="EK80" s="528">
        <f t="shared" si="269"/>
        <v>1.6422764227642276E-2</v>
      </c>
      <c r="EL80" s="528">
        <f t="shared" si="270"/>
        <v>0.62320000000000009</v>
      </c>
      <c r="EM80" s="528">
        <f t="shared" si="271"/>
        <v>3.7901186158219788E-2</v>
      </c>
      <c r="EN80" s="528">
        <f t="shared" si="272"/>
        <v>0.26492559999999998</v>
      </c>
      <c r="EO80">
        <f t="shared" si="273"/>
        <v>1.0800000000000001E-2</v>
      </c>
      <c r="EP80" s="460">
        <f t="shared" si="306"/>
        <v>48.701186158219791</v>
      </c>
      <c r="EQ80" s="528">
        <f t="shared" si="274"/>
        <v>0.96143526402683954</v>
      </c>
      <c r="ER80" s="460">
        <f t="shared" si="307"/>
        <v>961.43526402683949</v>
      </c>
      <c r="ES80" s="528">
        <f t="shared" si="308"/>
        <v>0.46593749999999989</v>
      </c>
      <c r="ET80" s="528"/>
      <c r="EV80" s="460">
        <f t="shared" si="309"/>
        <v>465.93749999999989</v>
      </c>
      <c r="EW80" s="528">
        <f t="shared" si="275"/>
        <v>2.4634146341463412E-2</v>
      </c>
      <c r="EX80" s="528">
        <f t="shared" si="276"/>
        <v>3.6049970255800111E-2</v>
      </c>
      <c r="EY80" s="528">
        <f t="shared" si="277"/>
        <v>0.93907699342693007</v>
      </c>
      <c r="EZ80" s="528">
        <f t="shared" si="278"/>
        <v>1.019273595424276</v>
      </c>
      <c r="FA80" s="528">
        <f t="shared" si="279"/>
        <v>9.9999999999999985E-3</v>
      </c>
      <c r="FB80" s="460">
        <f t="shared" si="310"/>
        <v>1029.273595424276</v>
      </c>
      <c r="FC80" s="173">
        <f t="shared" si="311"/>
        <v>2.4566463594511152</v>
      </c>
      <c r="FD80" s="5">
        <f t="shared" si="312"/>
        <v>12</v>
      </c>
      <c r="FE80" s="173">
        <f t="shared" si="313"/>
        <v>0.8300680324904629</v>
      </c>
      <c r="FF80" s="5">
        <f t="shared" si="314"/>
        <v>83.006803249046285</v>
      </c>
      <c r="FI80" s="562">
        <f t="shared" si="280"/>
        <v>-50</v>
      </c>
      <c r="FJ80">
        <f t="shared" si="281"/>
        <v>-50</v>
      </c>
      <c r="FL80">
        <f t="shared" si="282"/>
        <v>0.59405940594059403</v>
      </c>
    </row>
    <row r="81" spans="5:168">
      <c r="E81" s="170">
        <v>76</v>
      </c>
      <c r="F81" s="217">
        <f t="shared" si="283"/>
        <v>0.76</v>
      </c>
      <c r="G81" s="217"/>
      <c r="H81" s="217">
        <f t="shared" si="183"/>
        <v>12.16</v>
      </c>
      <c r="I81" s="541">
        <f t="shared" si="184"/>
        <v>23.934233009080202</v>
      </c>
      <c r="J81" s="172">
        <f t="shared" si="185"/>
        <v>16.439460194551877</v>
      </c>
      <c r="K81" s="172">
        <f t="shared" si="186"/>
        <v>40.439460194551877</v>
      </c>
      <c r="L81" s="443"/>
      <c r="M81" s="217">
        <f t="shared" si="187"/>
        <v>0.40716661060067738</v>
      </c>
      <c r="N81" s="172">
        <f t="shared" si="188"/>
        <v>24.655407945034113</v>
      </c>
      <c r="O81" s="172">
        <f t="shared" si="284"/>
        <v>12.16</v>
      </c>
      <c r="P81" s="217">
        <f t="shared" si="189"/>
        <v>1.5409629965646321</v>
      </c>
      <c r="Q81" s="217">
        <f t="shared" si="190"/>
        <v>16</v>
      </c>
      <c r="R81" s="217">
        <f t="shared" si="191"/>
        <v>1.5226907080678185</v>
      </c>
      <c r="S81" s="172">
        <f t="shared" si="192"/>
        <v>54.969701535022459</v>
      </c>
      <c r="T81" s="172">
        <f t="shared" si="193"/>
        <v>16</v>
      </c>
      <c r="U81" s="217">
        <f t="shared" si="194"/>
        <v>2.5639581494222372</v>
      </c>
      <c r="V81" s="217">
        <f t="shared" si="195"/>
        <v>1.2855017238862108</v>
      </c>
      <c r="W81" s="217">
        <f t="shared" si="196"/>
        <v>1.8715637514219208</v>
      </c>
      <c r="X81" s="197">
        <f t="shared" si="197"/>
        <v>350</v>
      </c>
      <c r="Y81" s="443">
        <f t="shared" si="198"/>
        <v>297.87920651390152</v>
      </c>
      <c r="AA81" s="217">
        <f t="shared" si="199"/>
        <v>2.3203809898557717</v>
      </c>
      <c r="AB81" s="173">
        <f t="shared" si="200"/>
        <v>1.6937643662714119</v>
      </c>
      <c r="AC81" s="173">
        <f t="shared" si="201"/>
        <v>0.68778126143847629</v>
      </c>
      <c r="AD81" s="173"/>
      <c r="AE81" s="173">
        <f t="shared" si="202"/>
        <v>0.7299509751528741</v>
      </c>
      <c r="AF81" s="545">
        <f t="shared" si="203"/>
        <v>2082.3316246432378</v>
      </c>
      <c r="AG81" s="528">
        <f t="shared" si="204"/>
        <v>0.12774142065175298</v>
      </c>
      <c r="AI81" s="173">
        <f t="shared" si="205"/>
        <v>2.4391635712990034</v>
      </c>
      <c r="AJ81" s="173">
        <f t="shared" si="206"/>
        <v>2.5639581494222372</v>
      </c>
      <c r="AK81" s="173">
        <f t="shared" si="207"/>
        <v>2.3584875180905458</v>
      </c>
      <c r="AM81" s="545">
        <f t="shared" si="208"/>
        <v>760</v>
      </c>
      <c r="AN81" s="460">
        <f t="shared" si="209"/>
        <v>297.87920651390152</v>
      </c>
      <c r="AP81">
        <f t="shared" si="210"/>
        <v>760</v>
      </c>
      <c r="AQ81">
        <f t="shared" si="211"/>
        <v>297.87920651390152</v>
      </c>
      <c r="AS81" s="5">
        <f t="shared" si="285"/>
        <v>3.3570654753081319</v>
      </c>
      <c r="AT81" s="5">
        <f t="shared" si="212"/>
        <v>1.2855017238862108</v>
      </c>
      <c r="AU81" s="5">
        <f t="shared" si="286"/>
        <v>2.0715637514219214</v>
      </c>
      <c r="AV81" s="5">
        <f t="shared" si="213"/>
        <v>1.8715637514219208</v>
      </c>
      <c r="AW81" s="173">
        <f t="shared" si="287"/>
        <v>0.38292423348347698</v>
      </c>
      <c r="AX81" s="173">
        <f t="shared" si="214"/>
        <v>11.749335436572583</v>
      </c>
      <c r="AY81" s="173">
        <f t="shared" si="215"/>
        <v>0.79107822018550633</v>
      </c>
      <c r="AZ81" s="173">
        <f t="shared" si="288"/>
        <v>14.852305545483715</v>
      </c>
      <c r="BA81" s="460">
        <f t="shared" si="216"/>
        <v>6.1061331884595011</v>
      </c>
      <c r="BB81" s="5">
        <f t="shared" si="217"/>
        <v>0.87706366050856466</v>
      </c>
      <c r="BC81" s="5"/>
      <c r="BD81" s="173">
        <f t="shared" si="289"/>
        <v>0.91602374296713629</v>
      </c>
      <c r="BE81" s="173">
        <f t="shared" si="218"/>
        <v>1.1628388966877765</v>
      </c>
      <c r="BF81" s="173"/>
      <c r="BG81" s="528">
        <f t="shared" si="219"/>
        <v>1.6781989953590443E-2</v>
      </c>
      <c r="BH81" s="528">
        <f t="shared" si="220"/>
        <v>0.56366275493639761</v>
      </c>
      <c r="BI81" s="528">
        <f t="shared" si="221"/>
        <v>0.16397873775706376</v>
      </c>
      <c r="BJ81" s="528">
        <f t="shared" si="222"/>
        <v>0.23991484580241823</v>
      </c>
      <c r="BK81">
        <f t="shared" si="223"/>
        <v>1.0770404854086091E-2</v>
      </c>
      <c r="BL81" s="460">
        <f t="shared" si="290"/>
        <v>174.74914261114984</v>
      </c>
      <c r="BM81" s="528">
        <f t="shared" si="224"/>
        <v>0.82819306568327977</v>
      </c>
      <c r="BN81" s="460">
        <f t="shared" si="291"/>
        <v>828.19306568327977</v>
      </c>
      <c r="BO81" s="528">
        <f t="shared" si="225"/>
        <v>0.4721499999999999</v>
      </c>
      <c r="BP81" s="528"/>
      <c r="BR81" s="460">
        <f t="shared" si="292"/>
        <v>472.14999999999992</v>
      </c>
      <c r="BS81" s="528">
        <f t="shared" si="226"/>
        <v>2.5172984930385663E-2</v>
      </c>
      <c r="BT81" s="528">
        <f t="shared" si="227"/>
        <v>4.0565828989501361E-2</v>
      </c>
      <c r="BU81" s="528">
        <f t="shared" si="228"/>
        <v>0.18240000000000001</v>
      </c>
      <c r="BV81" s="528">
        <f t="shared" si="229"/>
        <v>0.26531142995864954</v>
      </c>
      <c r="BW81" s="528">
        <f t="shared" si="230"/>
        <v>9.7911128638104861E-3</v>
      </c>
      <c r="BX81" s="460">
        <f t="shared" si="293"/>
        <v>275.10254282246007</v>
      </c>
      <c r="BY81" s="173">
        <f t="shared" si="231"/>
        <v>1.7501947511168894</v>
      </c>
      <c r="BZ81" s="5">
        <f t="shared" si="294"/>
        <v>12.16</v>
      </c>
      <c r="CA81" s="173">
        <f t="shared" si="295"/>
        <v>0.87417899012690947</v>
      </c>
      <c r="CB81" s="5">
        <f t="shared" si="296"/>
        <v>87.417899012690953</v>
      </c>
      <c r="CE81" s="562">
        <f t="shared" si="232"/>
        <v>-50</v>
      </c>
      <c r="CF81">
        <f t="shared" si="233"/>
        <v>-50</v>
      </c>
      <c r="CG81" s="173">
        <f t="shared" si="234"/>
        <v>0.57779745535783389</v>
      </c>
      <c r="CI81" s="170">
        <v>76</v>
      </c>
      <c r="CJ81" s="217">
        <f t="shared" si="297"/>
        <v>0.76</v>
      </c>
      <c r="CK81" s="217"/>
      <c r="CL81" s="217">
        <f t="shared" si="235"/>
        <v>12.16</v>
      </c>
      <c r="CM81" s="541">
        <f t="shared" si="236"/>
        <v>24</v>
      </c>
      <c r="CN81" s="172">
        <f t="shared" si="237"/>
        <v>16.399999999999999</v>
      </c>
      <c r="CO81" s="443">
        <f t="shared" si="238"/>
        <v>40.4</v>
      </c>
      <c r="CP81" s="443"/>
      <c r="CQ81" s="217">
        <f t="shared" si="239"/>
        <v>0.40594059405940591</v>
      </c>
      <c r="CR81" s="172">
        <f t="shared" si="240"/>
        <v>24.648712871287128</v>
      </c>
      <c r="CS81" s="172">
        <f t="shared" si="298"/>
        <v>12.16</v>
      </c>
      <c r="CT81" s="217">
        <f t="shared" si="241"/>
        <v>1.5405445544554455</v>
      </c>
      <c r="CU81" s="217">
        <f t="shared" si="242"/>
        <v>16</v>
      </c>
      <c r="CV81" s="217">
        <f t="shared" si="243"/>
        <v>1.5222772277227721</v>
      </c>
      <c r="CW81" s="172">
        <f t="shared" si="244"/>
        <v>55.12027821740503</v>
      </c>
      <c r="CX81" s="172">
        <f t="shared" si="245"/>
        <v>16</v>
      </c>
      <c r="CY81" s="217">
        <f t="shared" si="246"/>
        <v>2.4962601626016263</v>
      </c>
      <c r="CZ81" s="217">
        <f t="shared" si="247"/>
        <v>1.2481300813008132</v>
      </c>
      <c r="DA81" s="217">
        <f t="shared" si="248"/>
        <v>1.826531826293873</v>
      </c>
      <c r="DB81" s="197">
        <f t="shared" si="249"/>
        <v>350</v>
      </c>
      <c r="DC81" s="443">
        <f t="shared" si="299"/>
        <v>325.23901165520402</v>
      </c>
      <c r="DE81" s="217">
        <f t="shared" si="250"/>
        <v>2.3196605374823194</v>
      </c>
      <c r="DF81" s="173">
        <f t="shared" si="251"/>
        <v>1.6973125884016973</v>
      </c>
      <c r="DG81" s="173">
        <f t="shared" si="252"/>
        <v>0.68900808044029282</v>
      </c>
      <c r="DH81" s="173"/>
      <c r="DI81" s="173">
        <f t="shared" si="253"/>
        <v>0.73170731707317083</v>
      </c>
      <c r="DJ81" s="545">
        <f t="shared" si="300"/>
        <v>2077.333333333333</v>
      </c>
      <c r="DK81" s="528">
        <f t="shared" si="254"/>
        <v>0.12804878048780488</v>
      </c>
      <c r="DM81" s="173">
        <f t="shared" si="255"/>
        <v>2.4362344089266319</v>
      </c>
      <c r="DN81" s="173">
        <f t="shared" si="256"/>
        <v>2.4962601626016263</v>
      </c>
      <c r="DO81" s="173">
        <f t="shared" si="257"/>
        <v>2.30834086118639</v>
      </c>
      <c r="DQ81" s="545">
        <f t="shared" si="258"/>
        <v>760</v>
      </c>
      <c r="DR81" s="460">
        <f t="shared" si="259"/>
        <v>325.23901165520402</v>
      </c>
      <c r="DT81">
        <f t="shared" si="260"/>
        <v>760</v>
      </c>
      <c r="DU81">
        <f t="shared" si="261"/>
        <v>325.23901165520402</v>
      </c>
      <c r="DW81" s="5">
        <f t="shared" si="301"/>
        <v>3.0746619075946864</v>
      </c>
      <c r="DX81" s="5">
        <f t="shared" si="262"/>
        <v>1.2481300813008132</v>
      </c>
      <c r="DY81" s="5">
        <f t="shared" si="302"/>
        <v>1.8265318262938732</v>
      </c>
      <c r="DZ81" s="5">
        <f t="shared" si="263"/>
        <v>1.826531826293873</v>
      </c>
      <c r="EA81" s="173">
        <f t="shared" si="303"/>
        <v>0.40594059405940591</v>
      </c>
      <c r="EB81" s="173">
        <f t="shared" si="264"/>
        <v>12.160000000000002</v>
      </c>
      <c r="EC81" s="173">
        <f t="shared" si="265"/>
        <v>0.74146341463414656</v>
      </c>
      <c r="ED81" s="173">
        <f t="shared" si="304"/>
        <v>16.399999999999999</v>
      </c>
      <c r="EE81" s="460">
        <f t="shared" si="266"/>
        <v>5.9286178861788628</v>
      </c>
      <c r="EF81" s="5">
        <f t="shared" si="267"/>
        <v>0.77120232665741317</v>
      </c>
      <c r="EG81" s="5"/>
      <c r="EH81" s="173">
        <f t="shared" si="305"/>
        <v>0.91824899154791972</v>
      </c>
      <c r="EI81" s="173">
        <f t="shared" si="268"/>
        <v>1.1108211929252436</v>
      </c>
      <c r="EJ81" s="173"/>
      <c r="EK81" s="528">
        <f t="shared" si="269"/>
        <v>1.6863624209575431E-2</v>
      </c>
      <c r="EL81" s="528">
        <f t="shared" si="270"/>
        <v>0.62319999999999987</v>
      </c>
      <c r="EM81" s="528">
        <f t="shared" si="271"/>
        <v>3.7402486340348463E-2</v>
      </c>
      <c r="EN81" s="528">
        <f t="shared" si="272"/>
        <v>0.2614397368421052</v>
      </c>
      <c r="EO81">
        <f t="shared" si="273"/>
        <v>1.0800000000000001E-2</v>
      </c>
      <c r="EP81" s="460">
        <f t="shared" si="306"/>
        <v>48.202486340348457</v>
      </c>
      <c r="EQ81" s="528">
        <f t="shared" si="274"/>
        <v>0.95809792994752818</v>
      </c>
      <c r="ER81" s="460">
        <f t="shared" si="307"/>
        <v>958.0979299475282</v>
      </c>
      <c r="ES81" s="528">
        <f t="shared" si="308"/>
        <v>0.4721499999999999</v>
      </c>
      <c r="ET81" s="528"/>
      <c r="EV81" s="460">
        <f t="shared" si="309"/>
        <v>472.14999999999992</v>
      </c>
      <c r="EW81" s="528">
        <f t="shared" si="275"/>
        <v>2.5295436314363148E-2</v>
      </c>
      <c r="EX81" s="528">
        <f t="shared" si="276"/>
        <v>3.7017711679555837E-2</v>
      </c>
      <c r="EY81" s="528">
        <f t="shared" si="277"/>
        <v>0.93907699342693063</v>
      </c>
      <c r="EZ81" s="528">
        <f t="shared" si="278"/>
        <v>1.0214372144040025</v>
      </c>
      <c r="FA81" s="528">
        <f t="shared" si="279"/>
        <v>1.0133333333333334E-2</v>
      </c>
      <c r="FB81" s="460">
        <f t="shared" si="310"/>
        <v>1031.5705477373358</v>
      </c>
      <c r="FC81" s="173">
        <f t="shared" si="311"/>
        <v>2.4618184776848642</v>
      </c>
      <c r="FD81" s="5">
        <f t="shared" si="312"/>
        <v>12.16</v>
      </c>
      <c r="FE81" s="173">
        <f t="shared" si="313"/>
        <v>0.83163390508219093</v>
      </c>
      <c r="FF81" s="5">
        <f t="shared" si="314"/>
        <v>83.163390508219095</v>
      </c>
      <c r="FI81" s="562">
        <f t="shared" si="280"/>
        <v>-50</v>
      </c>
      <c r="FJ81">
        <f t="shared" si="281"/>
        <v>-50</v>
      </c>
      <c r="FL81">
        <f t="shared" si="282"/>
        <v>0.59405940594059414</v>
      </c>
    </row>
    <row r="82" spans="5:168">
      <c r="E82" s="170">
        <v>77</v>
      </c>
      <c r="F82" s="217">
        <f t="shared" si="283"/>
        <v>0.77</v>
      </c>
      <c r="G82" s="217"/>
      <c r="H82" s="217">
        <f t="shared" si="183"/>
        <v>12.32</v>
      </c>
      <c r="I82" s="541">
        <f t="shared" si="184"/>
        <v>23.933392000220259</v>
      </c>
      <c r="J82" s="172">
        <f t="shared" si="185"/>
        <v>16.439964799867845</v>
      </c>
      <c r="K82" s="172">
        <f t="shared" si="186"/>
        <v>40.439964799867845</v>
      </c>
      <c r="L82" s="443"/>
      <c r="M82" s="217">
        <f t="shared" si="187"/>
        <v>0.40718250793509403</v>
      </c>
      <c r="N82" s="172">
        <f t="shared" si="188"/>
        <v>24.655504202449805</v>
      </c>
      <c r="O82" s="172">
        <f t="shared" si="284"/>
        <v>12.32</v>
      </c>
      <c r="P82" s="217">
        <f t="shared" si="189"/>
        <v>1.5409690126531128</v>
      </c>
      <c r="Q82" s="217">
        <f t="shared" si="190"/>
        <v>16</v>
      </c>
      <c r="R82" s="217">
        <f t="shared" si="191"/>
        <v>1.5226966528192816</v>
      </c>
      <c r="S82" s="172">
        <f t="shared" si="192"/>
        <v>53.948573524905228</v>
      </c>
      <c r="T82" s="172">
        <f t="shared" si="193"/>
        <v>16</v>
      </c>
      <c r="U82" s="217">
        <f t="shared" si="194"/>
        <v>2.5977641021283993</v>
      </c>
      <c r="V82" s="217">
        <f t="shared" si="195"/>
        <v>1.3024969141546634</v>
      </c>
      <c r="W82" s="217">
        <f t="shared" si="196"/>
        <v>1.896182236703535</v>
      </c>
      <c r="X82" s="197">
        <f t="shared" si="197"/>
        <v>350</v>
      </c>
      <c r="Y82" s="443">
        <f t="shared" si="198"/>
        <v>294.2319517708786</v>
      </c>
      <c r="AA82" s="217">
        <f t="shared" si="199"/>
        <v>2.3203900106539068</v>
      </c>
      <c r="AB82" s="173">
        <f t="shared" si="200"/>
        <v>1.6937189627115696</v>
      </c>
      <c r="AC82" s="173">
        <f t="shared" si="201"/>
        <v>0.68776549833792899</v>
      </c>
      <c r="AD82" s="173"/>
      <c r="AE82" s="173">
        <f t="shared" si="202"/>
        <v>0.72992857016922952</v>
      </c>
      <c r="AF82" s="545">
        <f t="shared" si="203"/>
        <v>2109.7954826497066</v>
      </c>
      <c r="AG82" s="528">
        <f t="shared" si="204"/>
        <v>0.12773749977961518</v>
      </c>
      <c r="AI82" s="173">
        <f t="shared" si="205"/>
        <v>2.4551959378601289</v>
      </c>
      <c r="AJ82" s="173">
        <f t="shared" si="206"/>
        <v>2.5977641021283993</v>
      </c>
      <c r="AK82" s="173">
        <f t="shared" si="207"/>
        <v>2.383528964539555</v>
      </c>
      <c r="AM82" s="545">
        <f t="shared" si="208"/>
        <v>770</v>
      </c>
      <c r="AN82" s="460">
        <f t="shared" si="209"/>
        <v>294.2319517708786</v>
      </c>
      <c r="AP82">
        <f t="shared" si="210"/>
        <v>770</v>
      </c>
      <c r="AQ82">
        <f t="shared" si="211"/>
        <v>294.2319517708786</v>
      </c>
      <c r="AS82" s="5">
        <f t="shared" si="285"/>
        <v>3.3986791508581984</v>
      </c>
      <c r="AT82" s="5">
        <f t="shared" si="212"/>
        <v>1.3024969141546634</v>
      </c>
      <c r="AU82" s="5">
        <f t="shared" si="286"/>
        <v>2.0961822367035348</v>
      </c>
      <c r="AV82" s="5">
        <f t="shared" si="213"/>
        <v>1.896182236703535</v>
      </c>
      <c r="AW82" s="173">
        <f t="shared" si="287"/>
        <v>0.38323620922727308</v>
      </c>
      <c r="AX82" s="173">
        <f t="shared" si="214"/>
        <v>11.913531164487132</v>
      </c>
      <c r="AY82" s="173">
        <f t="shared" si="215"/>
        <v>0.80110341758101045</v>
      </c>
      <c r="AZ82" s="173">
        <f t="shared" si="288"/>
        <v>14.87140224724156</v>
      </c>
      <c r="BA82" s="460">
        <f t="shared" si="216"/>
        <v>6.2682663993693186</v>
      </c>
      <c r="BB82" s="5">
        <f t="shared" si="217"/>
        <v>0.89919574695575533</v>
      </c>
      <c r="BC82" s="5"/>
      <c r="BD82" s="173">
        <f t="shared" si="289"/>
        <v>0.92847956892587147</v>
      </c>
      <c r="BE82" s="173">
        <f t="shared" si="218"/>
        <v>1.177873139825713</v>
      </c>
      <c r="BF82" s="173"/>
      <c r="BG82" s="528">
        <f t="shared" si="219"/>
        <v>1.7241486198255444E-2</v>
      </c>
      <c r="BH82" s="528">
        <f t="shared" si="220"/>
        <v>0.56410919842191654</v>
      </c>
      <c r="BI82" s="528">
        <f t="shared" si="221"/>
        <v>0.16196527873661382</v>
      </c>
      <c r="BJ82" s="528">
        <f t="shared" si="222"/>
        <v>0.2369832249850026</v>
      </c>
      <c r="BK82">
        <f t="shared" si="223"/>
        <v>1.0770026400099116E-2</v>
      </c>
      <c r="BL82" s="460">
        <f t="shared" si="290"/>
        <v>172.73530513671292</v>
      </c>
      <c r="BM82" s="528">
        <f t="shared" si="224"/>
        <v>0.82637441741020257</v>
      </c>
      <c r="BN82" s="460">
        <f t="shared" si="291"/>
        <v>826.37441741020257</v>
      </c>
      <c r="BO82" s="528">
        <f t="shared" si="225"/>
        <v>0.47836249999999991</v>
      </c>
      <c r="BP82" s="528"/>
      <c r="BR82" s="460">
        <f t="shared" si="292"/>
        <v>478.3624999999999</v>
      </c>
      <c r="BS82" s="528">
        <f t="shared" si="226"/>
        <v>2.5862229297383164E-2</v>
      </c>
      <c r="BT82" s="528">
        <f t="shared" si="227"/>
        <v>4.1621554005686505E-2</v>
      </c>
      <c r="BU82" s="528">
        <f t="shared" si="228"/>
        <v>0.18479999999999999</v>
      </c>
      <c r="BV82" s="528">
        <f t="shared" si="229"/>
        <v>0.26993720198735455</v>
      </c>
      <c r="BW82" s="528">
        <f t="shared" si="230"/>
        <v>9.9279426370726103E-3</v>
      </c>
      <c r="BX82" s="460">
        <f t="shared" si="293"/>
        <v>279.8651446244271</v>
      </c>
      <c r="BY82" s="173">
        <f t="shared" si="231"/>
        <v>1.7573373671713428</v>
      </c>
      <c r="BZ82" s="5">
        <f t="shared" si="294"/>
        <v>12.32</v>
      </c>
      <c r="CA82" s="173">
        <f t="shared" si="295"/>
        <v>0.87516550031190621</v>
      </c>
      <c r="CB82" s="5">
        <f t="shared" si="296"/>
        <v>87.516550031190619</v>
      </c>
      <c r="CE82" s="562">
        <f t="shared" si="232"/>
        <v>-50</v>
      </c>
      <c r="CF82">
        <f t="shared" si="233"/>
        <v>-50</v>
      </c>
      <c r="CG82" s="173">
        <f t="shared" si="234"/>
        <v>0.57800864952124642</v>
      </c>
      <c r="CI82" s="170">
        <v>77</v>
      </c>
      <c r="CJ82" s="217">
        <f t="shared" si="297"/>
        <v>0.77</v>
      </c>
      <c r="CK82" s="217"/>
      <c r="CL82" s="217">
        <f t="shared" si="235"/>
        <v>12.32</v>
      </c>
      <c r="CM82" s="541">
        <f t="shared" si="236"/>
        <v>24</v>
      </c>
      <c r="CN82" s="172">
        <f t="shared" si="237"/>
        <v>16.399999999999999</v>
      </c>
      <c r="CO82" s="443">
        <f t="shared" si="238"/>
        <v>40.4</v>
      </c>
      <c r="CP82" s="443"/>
      <c r="CQ82" s="217">
        <f t="shared" si="239"/>
        <v>0.40594059405940591</v>
      </c>
      <c r="CR82" s="172">
        <f t="shared" si="240"/>
        <v>24.648712871287128</v>
      </c>
      <c r="CS82" s="172">
        <f t="shared" si="298"/>
        <v>12.32</v>
      </c>
      <c r="CT82" s="217">
        <f t="shared" si="241"/>
        <v>1.5405445544554455</v>
      </c>
      <c r="CU82" s="217">
        <f t="shared" si="242"/>
        <v>16</v>
      </c>
      <c r="CV82" s="217">
        <f t="shared" si="243"/>
        <v>1.5222772277227721</v>
      </c>
      <c r="CW82" s="172">
        <f t="shared" si="244"/>
        <v>54.098230430593333</v>
      </c>
      <c r="CX82" s="172">
        <f t="shared" si="245"/>
        <v>16</v>
      </c>
      <c r="CY82" s="217">
        <f t="shared" si="246"/>
        <v>2.5291056910569107</v>
      </c>
      <c r="CZ82" s="217">
        <f t="shared" si="247"/>
        <v>1.2645528455284554</v>
      </c>
      <c r="DA82" s="217">
        <f t="shared" si="248"/>
        <v>1.8505651397977398</v>
      </c>
      <c r="DB82" s="197">
        <f t="shared" si="249"/>
        <v>350</v>
      </c>
      <c r="DC82" s="443">
        <f t="shared" si="299"/>
        <v>321.01512838695464</v>
      </c>
      <c r="DE82" s="217">
        <f t="shared" si="250"/>
        <v>2.3196605374823194</v>
      </c>
      <c r="DF82" s="173">
        <f t="shared" si="251"/>
        <v>1.6973125884016973</v>
      </c>
      <c r="DG82" s="173">
        <f t="shared" si="252"/>
        <v>0.68900808044029282</v>
      </c>
      <c r="DH82" s="173"/>
      <c r="DI82" s="173">
        <f t="shared" si="253"/>
        <v>0.73170731707317083</v>
      </c>
      <c r="DJ82" s="545">
        <f t="shared" si="300"/>
        <v>2104.6666666666665</v>
      </c>
      <c r="DK82" s="528">
        <f t="shared" si="254"/>
        <v>0.12804878048780488</v>
      </c>
      <c r="DM82" s="173">
        <f t="shared" si="255"/>
        <v>2.4522098876999361</v>
      </c>
      <c r="DN82" s="173">
        <f t="shared" si="256"/>
        <v>2.5291056910569107</v>
      </c>
      <c r="DO82" s="173">
        <f t="shared" si="257"/>
        <v>2.3326708822643782</v>
      </c>
      <c r="DQ82" s="545">
        <f t="shared" si="258"/>
        <v>770</v>
      </c>
      <c r="DR82" s="460">
        <f t="shared" si="259"/>
        <v>321.01512838695464</v>
      </c>
      <c r="DT82">
        <f t="shared" si="260"/>
        <v>770</v>
      </c>
      <c r="DU82">
        <f t="shared" si="261"/>
        <v>321.01512838695464</v>
      </c>
      <c r="DW82" s="5">
        <f t="shared" si="301"/>
        <v>3.115117985326195</v>
      </c>
      <c r="DX82" s="5">
        <f t="shared" si="262"/>
        <v>1.2645528455284554</v>
      </c>
      <c r="DY82" s="5">
        <f t="shared" si="302"/>
        <v>1.8505651397977396</v>
      </c>
      <c r="DZ82" s="5">
        <f t="shared" si="263"/>
        <v>1.8505651397977398</v>
      </c>
      <c r="EA82" s="173">
        <f t="shared" si="303"/>
        <v>0.40594059405940591</v>
      </c>
      <c r="EB82" s="173">
        <f t="shared" si="264"/>
        <v>12.319999999999999</v>
      </c>
      <c r="EC82" s="173">
        <f t="shared" si="265"/>
        <v>0.75121951219512206</v>
      </c>
      <c r="ED82" s="173">
        <f t="shared" si="304"/>
        <v>16.399999999999995</v>
      </c>
      <c r="EE82" s="460">
        <f t="shared" si="266"/>
        <v>6.0856605691056913</v>
      </c>
      <c r="EF82" s="5">
        <f t="shared" si="267"/>
        <v>0.79163064313569964</v>
      </c>
      <c r="EG82" s="5"/>
      <c r="EH82" s="173">
        <f t="shared" si="305"/>
        <v>0.93033121512091865</v>
      </c>
      <c r="EI82" s="173">
        <f t="shared" si="268"/>
        <v>1.1254372612532073</v>
      </c>
      <c r="EJ82" s="173"/>
      <c r="EK82" s="528">
        <f t="shared" si="269"/>
        <v>1.7310323396567299E-2</v>
      </c>
      <c r="EL82" s="528">
        <f t="shared" si="270"/>
        <v>0.62320000000000009</v>
      </c>
      <c r="EM82" s="528">
        <f t="shared" si="271"/>
        <v>3.6916739764499787E-2</v>
      </c>
      <c r="EN82" s="528">
        <f t="shared" si="272"/>
        <v>0.25804441558441554</v>
      </c>
      <c r="EO82">
        <f t="shared" si="273"/>
        <v>1.0800000000000001E-2</v>
      </c>
      <c r="EP82" s="460">
        <f t="shared" si="306"/>
        <v>47.716739764499792</v>
      </c>
      <c r="EQ82" s="528">
        <f t="shared" si="274"/>
        <v>0.95487259290700766</v>
      </c>
      <c r="ER82" s="460">
        <f t="shared" si="307"/>
        <v>954.87259290700763</v>
      </c>
      <c r="ES82" s="528">
        <f t="shared" si="308"/>
        <v>0.47836249999999991</v>
      </c>
      <c r="ET82" s="528"/>
      <c r="EV82" s="460">
        <f t="shared" si="309"/>
        <v>478.3624999999999</v>
      </c>
      <c r="EW82" s="528">
        <f t="shared" si="275"/>
        <v>2.596548509485095E-2</v>
      </c>
      <c r="EX82" s="528">
        <f t="shared" si="276"/>
        <v>3.7998270870513599E-2</v>
      </c>
      <c r="EY82" s="528">
        <f t="shared" si="277"/>
        <v>0.9390769934269324</v>
      </c>
      <c r="EZ82" s="528">
        <f t="shared" si="278"/>
        <v>1.023630068737226</v>
      </c>
      <c r="FA82" s="528">
        <f t="shared" si="279"/>
        <v>1.0266666666666665E-2</v>
      </c>
      <c r="FB82" s="460">
        <f t="shared" si="310"/>
        <v>1033.8967354038925</v>
      </c>
      <c r="FC82" s="173">
        <f t="shared" si="311"/>
        <v>2.4671318283109005</v>
      </c>
      <c r="FD82" s="5">
        <f t="shared" si="312"/>
        <v>12.32</v>
      </c>
      <c r="FE82" s="173">
        <f t="shared" si="313"/>
        <v>0.83315683819174313</v>
      </c>
      <c r="FF82" s="5">
        <f t="shared" si="314"/>
        <v>83.315683819174311</v>
      </c>
      <c r="FI82" s="562">
        <f t="shared" si="280"/>
        <v>-50</v>
      </c>
      <c r="FJ82">
        <f t="shared" si="281"/>
        <v>-50</v>
      </c>
      <c r="FL82">
        <f t="shared" si="282"/>
        <v>0.59405940594059414</v>
      </c>
    </row>
    <row r="83" spans="5:168">
      <c r="E83" s="170">
        <v>78</v>
      </c>
      <c r="F83" s="217">
        <f t="shared" si="283"/>
        <v>0.78</v>
      </c>
      <c r="G83" s="217"/>
      <c r="H83" s="217">
        <f t="shared" si="183"/>
        <v>12.48</v>
      </c>
      <c r="I83" s="541">
        <f t="shared" si="184"/>
        <v>23.932550974031265</v>
      </c>
      <c r="J83" s="172">
        <f t="shared" si="185"/>
        <v>16.440469415581237</v>
      </c>
      <c r="K83" s="172">
        <f t="shared" si="186"/>
        <v>40.440469415581234</v>
      </c>
      <c r="L83" s="443"/>
      <c r="M83" s="217">
        <f t="shared" si="187"/>
        <v>0.40719840570891619</v>
      </c>
      <c r="N83" s="172">
        <f t="shared" si="188"/>
        <v>24.655600400967433</v>
      </c>
      <c r="O83" s="172">
        <f t="shared" si="284"/>
        <v>12.48</v>
      </c>
      <c r="P83" s="217">
        <f t="shared" si="189"/>
        <v>1.5409750250604646</v>
      </c>
      <c r="Q83" s="217">
        <f t="shared" si="190"/>
        <v>16</v>
      </c>
      <c r="R83" s="217">
        <f t="shared" si="191"/>
        <v>1.5227025939332659</v>
      </c>
      <c r="S83" s="172">
        <f t="shared" si="192"/>
        <v>52.953768557100133</v>
      </c>
      <c r="T83" s="172">
        <f t="shared" si="193"/>
        <v>16</v>
      </c>
      <c r="U83" s="217">
        <f t="shared" si="194"/>
        <v>2.6315718699534942</v>
      </c>
      <c r="V83" s="217">
        <f t="shared" si="195"/>
        <v>1.3194942099447537</v>
      </c>
      <c r="W83" s="217">
        <f t="shared" si="196"/>
        <v>1.9208005344125689</v>
      </c>
      <c r="X83" s="197">
        <f t="shared" si="197"/>
        <v>350</v>
      </c>
      <c r="Y83" s="443">
        <f t="shared" si="198"/>
        <v>290.67276913996176</v>
      </c>
      <c r="AA83" s="217">
        <f t="shared" si="199"/>
        <v>2.3203990267826597</v>
      </c>
      <c r="AB83" s="173">
        <f t="shared" si="200"/>
        <v>1.6936735574595205</v>
      </c>
      <c r="AC83" s="173">
        <f t="shared" si="201"/>
        <v>0.68774973302290432</v>
      </c>
      <c r="AD83" s="173"/>
      <c r="AE83" s="173">
        <f t="shared" si="202"/>
        <v>0.72990616609931824</v>
      </c>
      <c r="AF83" s="545">
        <f t="shared" si="203"/>
        <v>2137.2610240255608</v>
      </c>
      <c r="AG83" s="528">
        <f t="shared" si="204"/>
        <v>0.12773357906738067</v>
      </c>
      <c r="AI83" s="173">
        <f t="shared" si="205"/>
        <v>2.4711252636490242</v>
      </c>
      <c r="AJ83" s="173">
        <f t="shared" si="206"/>
        <v>2.6315718699534942</v>
      </c>
      <c r="AK83" s="173">
        <f t="shared" si="207"/>
        <v>2.4085717555211068</v>
      </c>
      <c r="AM83" s="545">
        <f t="shared" si="208"/>
        <v>780</v>
      </c>
      <c r="AN83" s="460">
        <f t="shared" si="209"/>
        <v>290.67276913996176</v>
      </c>
      <c r="AP83">
        <f t="shared" si="210"/>
        <v>780</v>
      </c>
      <c r="AQ83">
        <f t="shared" si="211"/>
        <v>290.67276913996176</v>
      </c>
      <c r="AS83" s="5">
        <f t="shared" si="285"/>
        <v>3.4402947443573231</v>
      </c>
      <c r="AT83" s="5">
        <f t="shared" si="212"/>
        <v>1.3194942099447537</v>
      </c>
      <c r="AU83" s="5">
        <f t="shared" si="286"/>
        <v>2.1208005344125693</v>
      </c>
      <c r="AV83" s="5">
        <f t="shared" si="213"/>
        <v>1.9208005344125689</v>
      </c>
      <c r="AW83" s="173">
        <f t="shared" si="287"/>
        <v>0.38354103586878768</v>
      </c>
      <c r="AX83" s="173">
        <f t="shared" si="214"/>
        <v>12.077750927746532</v>
      </c>
      <c r="AY83" s="173">
        <f t="shared" si="215"/>
        <v>0.81112803449418425</v>
      </c>
      <c r="AZ83" s="173">
        <f t="shared" si="288"/>
        <v>14.89006718313979</v>
      </c>
      <c r="BA83" s="460">
        <f t="shared" si="216"/>
        <v>6.432534273480675</v>
      </c>
      <c r="BB83" s="5">
        <f t="shared" si="217"/>
        <v>0.92160361767634369</v>
      </c>
      <c r="BC83" s="5"/>
      <c r="BD83" s="173">
        <f t="shared" si="289"/>
        <v>0.94093695674744071</v>
      </c>
      <c r="BE83" s="173">
        <f t="shared" si="218"/>
        <v>1.1929072941084073</v>
      </c>
      <c r="BF83" s="173"/>
      <c r="BG83" s="528">
        <f t="shared" si="219"/>
        <v>1.7707247131462704E-2</v>
      </c>
      <c r="BH83" s="528">
        <f t="shared" si="220"/>
        <v>0.56454509736633252</v>
      </c>
      <c r="BI83" s="528">
        <f t="shared" si="221"/>
        <v>0.160000439876714</v>
      </c>
      <c r="BJ83" s="528">
        <f t="shared" si="222"/>
        <v>0.23412239542795377</v>
      </c>
      <c r="BK83">
        <f t="shared" si="223"/>
        <v>1.0769647938314069E-2</v>
      </c>
      <c r="BL83" s="460">
        <f t="shared" si="290"/>
        <v>170.77008781502806</v>
      </c>
      <c r="BM83" s="528">
        <f t="shared" si="224"/>
        <v>0.82462509391335004</v>
      </c>
      <c r="BN83" s="460">
        <f t="shared" si="291"/>
        <v>824.62509391335004</v>
      </c>
      <c r="BO83" s="528">
        <f t="shared" si="225"/>
        <v>0.48457499999999992</v>
      </c>
      <c r="BP83" s="528"/>
      <c r="BR83" s="460">
        <f t="shared" si="292"/>
        <v>484.57499999999993</v>
      </c>
      <c r="BS83" s="528">
        <f t="shared" si="226"/>
        <v>2.6560870697194053E-2</v>
      </c>
      <c r="BT83" s="528">
        <f t="shared" si="227"/>
        <v>4.2690834370111272E-2</v>
      </c>
      <c r="BU83" s="528">
        <f t="shared" si="228"/>
        <v>0.18720000000000001</v>
      </c>
      <c r="BV83" s="528">
        <f t="shared" si="229"/>
        <v>0.27459339917088349</v>
      </c>
      <c r="BW83" s="528">
        <f t="shared" si="230"/>
        <v>1.0064792439788776E-2</v>
      </c>
      <c r="BX83" s="460">
        <f t="shared" si="293"/>
        <v>284.65819161067225</v>
      </c>
      <c r="BY83" s="173">
        <f t="shared" si="231"/>
        <v>1.7646283733390504</v>
      </c>
      <c r="BZ83" s="5">
        <f t="shared" si="294"/>
        <v>12.48</v>
      </c>
      <c r="CA83" s="173">
        <f t="shared" si="295"/>
        <v>0.8761197324991773</v>
      </c>
      <c r="CB83" s="5">
        <f t="shared" si="296"/>
        <v>87.611973249917725</v>
      </c>
      <c r="CE83" s="562">
        <f t="shared" si="232"/>
        <v>-50</v>
      </c>
      <c r="CF83">
        <f t="shared" si="233"/>
        <v>-50</v>
      </c>
      <c r="CG83" s="173">
        <f t="shared" si="234"/>
        <v>0.57821442844969961</v>
      </c>
      <c r="CI83" s="170">
        <v>78</v>
      </c>
      <c r="CJ83" s="217">
        <f t="shared" si="297"/>
        <v>0.78</v>
      </c>
      <c r="CK83" s="217"/>
      <c r="CL83" s="217">
        <f t="shared" si="235"/>
        <v>12.48</v>
      </c>
      <c r="CM83" s="541">
        <f t="shared" si="236"/>
        <v>24</v>
      </c>
      <c r="CN83" s="172">
        <f t="shared" si="237"/>
        <v>16.399999999999999</v>
      </c>
      <c r="CO83" s="443">
        <f t="shared" si="238"/>
        <v>40.4</v>
      </c>
      <c r="CP83" s="443"/>
      <c r="CQ83" s="217">
        <f t="shared" si="239"/>
        <v>0.40594059405940591</v>
      </c>
      <c r="CR83" s="172">
        <f t="shared" si="240"/>
        <v>24.648712871287128</v>
      </c>
      <c r="CS83" s="172">
        <f t="shared" si="298"/>
        <v>12.48</v>
      </c>
      <c r="CT83" s="217">
        <f t="shared" si="241"/>
        <v>1.5405445544554455</v>
      </c>
      <c r="CU83" s="217">
        <f t="shared" si="242"/>
        <v>16</v>
      </c>
      <c r="CV83" s="217">
        <f t="shared" si="243"/>
        <v>1.5222772277227721</v>
      </c>
      <c r="CW83" s="172">
        <f t="shared" si="244"/>
        <v>53.102507764752808</v>
      </c>
      <c r="CX83" s="172">
        <f t="shared" si="245"/>
        <v>16</v>
      </c>
      <c r="CY83" s="217">
        <f t="shared" si="246"/>
        <v>2.5619512195121952</v>
      </c>
      <c r="CZ83" s="217">
        <f t="shared" si="247"/>
        <v>1.2809756097560974</v>
      </c>
      <c r="DA83" s="217">
        <f t="shared" si="248"/>
        <v>1.8745984533016062</v>
      </c>
      <c r="DB83" s="197">
        <f t="shared" si="249"/>
        <v>350</v>
      </c>
      <c r="DC83" s="443">
        <f t="shared" si="299"/>
        <v>316.89954981789117</v>
      </c>
      <c r="DE83" s="217">
        <f t="shared" si="250"/>
        <v>2.3196605374823194</v>
      </c>
      <c r="DF83" s="173">
        <f t="shared" si="251"/>
        <v>1.6973125884016973</v>
      </c>
      <c r="DG83" s="173">
        <f t="shared" si="252"/>
        <v>0.68900808044029282</v>
      </c>
      <c r="DH83" s="173"/>
      <c r="DI83" s="173">
        <f t="shared" si="253"/>
        <v>0.73170731707317083</v>
      </c>
      <c r="DJ83" s="545">
        <f t="shared" si="300"/>
        <v>2132</v>
      </c>
      <c r="DK83" s="528">
        <f t="shared" si="254"/>
        <v>0.12804878048780488</v>
      </c>
      <c r="DM83" s="173">
        <f t="shared" si="255"/>
        <v>2.4680819620564813</v>
      </c>
      <c r="DN83" s="173">
        <f t="shared" si="256"/>
        <v>2.5619512195121952</v>
      </c>
      <c r="DO83" s="173">
        <f t="shared" si="257"/>
        <v>2.3570009033423669</v>
      </c>
      <c r="DQ83" s="545">
        <f t="shared" si="258"/>
        <v>780</v>
      </c>
      <c r="DR83" s="460">
        <f t="shared" si="259"/>
        <v>316.89954981789117</v>
      </c>
      <c r="DT83">
        <f t="shared" si="260"/>
        <v>780</v>
      </c>
      <c r="DU83">
        <f t="shared" si="261"/>
        <v>316.89954981789117</v>
      </c>
      <c r="DW83" s="5">
        <f t="shared" si="301"/>
        <v>3.1555740630577036</v>
      </c>
      <c r="DX83" s="5">
        <f t="shared" si="262"/>
        <v>1.2809756097560974</v>
      </c>
      <c r="DY83" s="5">
        <f t="shared" si="302"/>
        <v>1.8745984533016062</v>
      </c>
      <c r="DZ83" s="5">
        <f t="shared" si="263"/>
        <v>1.8745984533016062</v>
      </c>
      <c r="EA83" s="173">
        <f t="shared" si="303"/>
        <v>0.40594059405940591</v>
      </c>
      <c r="EB83" s="173">
        <f t="shared" si="264"/>
        <v>12.48</v>
      </c>
      <c r="EC83" s="173">
        <f t="shared" si="265"/>
        <v>0.76097560975609768</v>
      </c>
      <c r="ED83" s="173">
        <f t="shared" si="304"/>
        <v>16.399999999999999</v>
      </c>
      <c r="EE83" s="460">
        <f t="shared" si="266"/>
        <v>6.2447560975609759</v>
      </c>
      <c r="EF83" s="5">
        <f t="shared" si="267"/>
        <v>0.81232599643069592</v>
      </c>
      <c r="EG83" s="5"/>
      <c r="EH83" s="173">
        <f t="shared" si="305"/>
        <v>0.94241343869391758</v>
      </c>
      <c r="EI83" s="173">
        <f t="shared" si="268"/>
        <v>1.140053329581171</v>
      </c>
      <c r="EJ83" s="173"/>
      <c r="EK83" s="528">
        <f t="shared" si="269"/>
        <v>1.7762861788617888E-2</v>
      </c>
      <c r="EL83" s="528">
        <f t="shared" si="270"/>
        <v>0.62320000000000009</v>
      </c>
      <c r="EM83" s="528">
        <f t="shared" si="271"/>
        <v>3.6443448229057492E-2</v>
      </c>
      <c r="EN83" s="528">
        <f t="shared" si="272"/>
        <v>0.25473615384615383</v>
      </c>
      <c r="EO83">
        <f t="shared" si="273"/>
        <v>1.0800000000000001E-2</v>
      </c>
      <c r="EP83" s="460">
        <f t="shared" si="306"/>
        <v>47.243448229057492</v>
      </c>
      <c r="EQ83" s="528">
        <f t="shared" si="274"/>
        <v>0.95175527778226243</v>
      </c>
      <c r="ER83" s="460">
        <f t="shared" si="307"/>
        <v>951.7552777822624</v>
      </c>
      <c r="ES83" s="528">
        <f t="shared" si="308"/>
        <v>0.48457499999999992</v>
      </c>
      <c r="ET83" s="528"/>
      <c r="EV83" s="460">
        <f t="shared" si="309"/>
        <v>484.57499999999993</v>
      </c>
      <c r="EW83" s="528">
        <f t="shared" si="275"/>
        <v>2.664429268292683E-2</v>
      </c>
      <c r="EX83" s="528">
        <f t="shared" si="276"/>
        <v>3.8991647828673419E-2</v>
      </c>
      <c r="EY83" s="528">
        <f t="shared" si="277"/>
        <v>0.93907699342693329</v>
      </c>
      <c r="EZ83" s="528">
        <f t="shared" si="278"/>
        <v>1.025852181481913</v>
      </c>
      <c r="FA83" s="528">
        <f t="shared" si="279"/>
        <v>1.04E-2</v>
      </c>
      <c r="FB83" s="460">
        <f t="shared" si="310"/>
        <v>1036.2521814819131</v>
      </c>
      <c r="FC83" s="173">
        <f t="shared" si="311"/>
        <v>2.4725824592641756</v>
      </c>
      <c r="FD83" s="5">
        <f t="shared" si="312"/>
        <v>12.48</v>
      </c>
      <c r="FE83" s="173">
        <f t="shared" si="313"/>
        <v>0.83463843346122213</v>
      </c>
      <c r="FF83" s="5">
        <f t="shared" si="314"/>
        <v>83.463843346122218</v>
      </c>
      <c r="FI83" s="562">
        <f t="shared" si="280"/>
        <v>-50</v>
      </c>
      <c r="FJ83">
        <f t="shared" si="281"/>
        <v>-50</v>
      </c>
      <c r="FL83">
        <f t="shared" si="282"/>
        <v>0.59405940594059414</v>
      </c>
    </row>
    <row r="84" spans="5:168">
      <c r="E84" s="170">
        <v>79</v>
      </c>
      <c r="F84" s="217">
        <f t="shared" si="283"/>
        <v>0.79</v>
      </c>
      <c r="G84" s="217"/>
      <c r="H84" s="217">
        <f t="shared" si="183"/>
        <v>12.64</v>
      </c>
      <c r="I84" s="541">
        <f t="shared" si="184"/>
        <v>23.931709931189094</v>
      </c>
      <c r="J84" s="172">
        <f t="shared" si="185"/>
        <v>16.440974041286541</v>
      </c>
      <c r="K84" s="172">
        <f t="shared" si="186"/>
        <v>40.440974041286537</v>
      </c>
      <c r="L84" s="443"/>
      <c r="M84" s="217">
        <f t="shared" si="187"/>
        <v>0.40721430391535796</v>
      </c>
      <c r="N84" s="172">
        <f t="shared" si="188"/>
        <v>24.655696540867563</v>
      </c>
      <c r="O84" s="172">
        <f t="shared" si="284"/>
        <v>12.64</v>
      </c>
      <c r="P84" s="217">
        <f t="shared" si="189"/>
        <v>1.5409810338042227</v>
      </c>
      <c r="Q84" s="217">
        <f t="shared" si="190"/>
        <v>16</v>
      </c>
      <c r="R84" s="217">
        <f t="shared" si="191"/>
        <v>1.5227085314270976</v>
      </c>
      <c r="S84" s="172">
        <f t="shared" si="192"/>
        <v>51.984288944049133</v>
      </c>
      <c r="T84" s="172">
        <f t="shared" si="193"/>
        <v>16</v>
      </c>
      <c r="U84" s="217">
        <f t="shared" si="194"/>
        <v>2.6653814530882287</v>
      </c>
      <c r="V84" s="217">
        <f t="shared" si="195"/>
        <v>1.3364936115732675</v>
      </c>
      <c r="W84" s="217">
        <f t="shared" si="196"/>
        <v>1.9454186447067634</v>
      </c>
      <c r="X84" s="197">
        <f t="shared" si="197"/>
        <v>350</v>
      </c>
      <c r="Y84" s="443">
        <f t="shared" si="198"/>
        <v>287.19850656672475</v>
      </c>
      <c r="AA84" s="217">
        <f t="shared" si="199"/>
        <v>2.3204080382343699</v>
      </c>
      <c r="AB84" s="173">
        <f t="shared" si="200"/>
        <v>1.6936281505516881</v>
      </c>
      <c r="AC84" s="173">
        <f t="shared" si="201"/>
        <v>0.68773396550602572</v>
      </c>
      <c r="AD84" s="173"/>
      <c r="AE84" s="173">
        <f t="shared" si="202"/>
        <v>0.72988376296110102</v>
      </c>
      <c r="AF84" s="545">
        <f t="shared" si="203"/>
        <v>2164.7282487693947</v>
      </c>
      <c r="AG84" s="528">
        <f t="shared" si="204"/>
        <v>0.12772965851819268</v>
      </c>
      <c r="AI84" s="173">
        <f t="shared" si="205"/>
        <v>2.4869535286423914</v>
      </c>
      <c r="AJ84" s="173">
        <f t="shared" si="206"/>
        <v>2.6653814530882287</v>
      </c>
      <c r="AK84" s="173">
        <f t="shared" si="207"/>
        <v>2.4336158911764656</v>
      </c>
      <c r="AM84" s="545">
        <f t="shared" si="208"/>
        <v>790</v>
      </c>
      <c r="AN84" s="460">
        <f t="shared" si="209"/>
        <v>287.19850656672475</v>
      </c>
      <c r="AP84">
        <f t="shared" si="210"/>
        <v>790</v>
      </c>
      <c r="AQ84">
        <f t="shared" si="211"/>
        <v>287.19850656672475</v>
      </c>
      <c r="AS84" s="5">
        <f t="shared" si="285"/>
        <v>3.4819122562800318</v>
      </c>
      <c r="AT84" s="5">
        <f t="shared" si="212"/>
        <v>1.3364936115732675</v>
      </c>
      <c r="AU84" s="5">
        <f t="shared" si="286"/>
        <v>2.1454186447067642</v>
      </c>
      <c r="AV84" s="5">
        <f t="shared" si="213"/>
        <v>1.9454186447067634</v>
      </c>
      <c r="AW84" s="173">
        <f t="shared" si="287"/>
        <v>0.3838389692798107</v>
      </c>
      <c r="AX84" s="173">
        <f t="shared" si="214"/>
        <v>12.241994227717885</v>
      </c>
      <c r="AY84" s="173">
        <f t="shared" si="215"/>
        <v>0.82115209169865933</v>
      </c>
      <c r="AZ84" s="173">
        <f t="shared" si="288"/>
        <v>14.908315221354107</v>
      </c>
      <c r="BA84" s="460">
        <f t="shared" si="216"/>
        <v>6.5989372071430088</v>
      </c>
      <c r="BB84" s="5">
        <f t="shared" si="217"/>
        <v>0.94428729870209216</v>
      </c>
      <c r="BC84" s="5"/>
      <c r="BD84" s="173">
        <f t="shared" si="289"/>
        <v>0.95339589183617635</v>
      </c>
      <c r="BE84" s="173">
        <f t="shared" si="218"/>
        <v>1.207941376993164</v>
      </c>
      <c r="BF84" s="173"/>
      <c r="BG84" s="528">
        <f t="shared" si="219"/>
        <v>1.8179274531401963E-2</v>
      </c>
      <c r="BH84" s="528">
        <f t="shared" si="220"/>
        <v>0.56497082911006735</v>
      </c>
      <c r="BI84" s="528">
        <f t="shared" si="221"/>
        <v>0.15808248109198794</v>
      </c>
      <c r="BJ84" s="528">
        <f t="shared" si="222"/>
        <v>0.23132982354471662</v>
      </c>
      <c r="BK84">
        <f t="shared" si="223"/>
        <v>1.0769269469035092E-2</v>
      </c>
      <c r="BL84" s="460">
        <f t="shared" si="290"/>
        <v>168.85175056102304</v>
      </c>
      <c r="BM84" s="528">
        <f t="shared" si="224"/>
        <v>0.82294294747964558</v>
      </c>
      <c r="BN84" s="460">
        <f t="shared" si="291"/>
        <v>822.94294747964557</v>
      </c>
      <c r="BO84" s="528">
        <f t="shared" si="225"/>
        <v>0.49078749999999993</v>
      </c>
      <c r="BP84" s="528"/>
      <c r="BR84" s="460">
        <f t="shared" si="292"/>
        <v>490.78749999999991</v>
      </c>
      <c r="BS84" s="528">
        <f t="shared" si="226"/>
        <v>2.7268911797102939E-2</v>
      </c>
      <c r="BT84" s="528">
        <f t="shared" si="227"/>
        <v>4.3773671107564228E-2</v>
      </c>
      <c r="BU84" s="528">
        <f t="shared" si="228"/>
        <v>0.18959999999999999</v>
      </c>
      <c r="BV84" s="528">
        <f t="shared" si="229"/>
        <v>0.27928006497535784</v>
      </c>
      <c r="BW84" s="528">
        <f t="shared" si="230"/>
        <v>1.0201661856431572E-2</v>
      </c>
      <c r="BX84" s="460">
        <f t="shared" si="293"/>
        <v>289.48172683178939</v>
      </c>
      <c r="BY84" s="173">
        <f t="shared" si="231"/>
        <v>1.7720639248724579</v>
      </c>
      <c r="BZ84" s="5">
        <f t="shared" si="294"/>
        <v>12.64</v>
      </c>
      <c r="CA84" s="173">
        <f t="shared" si="295"/>
        <v>0.87704301520518402</v>
      </c>
      <c r="CB84" s="5">
        <f t="shared" si="296"/>
        <v>87.704301520518399</v>
      </c>
      <c r="CE84" s="562">
        <f t="shared" si="232"/>
        <v>-50</v>
      </c>
      <c r="CF84">
        <f t="shared" si="233"/>
        <v>-50</v>
      </c>
      <c r="CG84" s="173">
        <f t="shared" si="234"/>
        <v>0.57841499778502736</v>
      </c>
      <c r="CI84" s="170">
        <v>79</v>
      </c>
      <c r="CJ84" s="217">
        <f t="shared" si="297"/>
        <v>0.79</v>
      </c>
      <c r="CK84" s="217"/>
      <c r="CL84" s="217">
        <f t="shared" si="235"/>
        <v>12.64</v>
      </c>
      <c r="CM84" s="541">
        <f t="shared" si="236"/>
        <v>24</v>
      </c>
      <c r="CN84" s="172">
        <f t="shared" si="237"/>
        <v>16.399999999999999</v>
      </c>
      <c r="CO84" s="443">
        <f t="shared" si="238"/>
        <v>40.4</v>
      </c>
      <c r="CP84" s="443"/>
      <c r="CQ84" s="217">
        <f t="shared" si="239"/>
        <v>0.40594059405940591</v>
      </c>
      <c r="CR84" s="172">
        <f t="shared" si="240"/>
        <v>24.648712871287128</v>
      </c>
      <c r="CS84" s="172">
        <f t="shared" si="298"/>
        <v>12.64</v>
      </c>
      <c r="CT84" s="217">
        <f t="shared" si="241"/>
        <v>1.5405445544554455</v>
      </c>
      <c r="CU84" s="217">
        <f t="shared" si="242"/>
        <v>16</v>
      </c>
      <c r="CV84" s="217">
        <f t="shared" si="243"/>
        <v>1.5222772277227721</v>
      </c>
      <c r="CW84" s="172">
        <f t="shared" si="244"/>
        <v>52.13211245238297</v>
      </c>
      <c r="CX84" s="172">
        <f t="shared" si="245"/>
        <v>16</v>
      </c>
      <c r="CY84" s="217">
        <f t="shared" si="246"/>
        <v>2.5947967479674801</v>
      </c>
      <c r="CZ84" s="217">
        <f t="shared" si="247"/>
        <v>1.29739837398374</v>
      </c>
      <c r="DA84" s="217">
        <f t="shared" si="248"/>
        <v>1.8986317668054733</v>
      </c>
      <c r="DB84" s="197">
        <f t="shared" si="249"/>
        <v>350</v>
      </c>
      <c r="DC84" s="443">
        <f t="shared" si="299"/>
        <v>312.88816311133547</v>
      </c>
      <c r="DE84" s="217">
        <f t="shared" si="250"/>
        <v>2.3196605374823194</v>
      </c>
      <c r="DF84" s="173">
        <f t="shared" si="251"/>
        <v>1.6973125884016973</v>
      </c>
      <c r="DG84" s="173">
        <f t="shared" si="252"/>
        <v>0.68900808044029282</v>
      </c>
      <c r="DH84" s="173"/>
      <c r="DI84" s="173">
        <f t="shared" si="253"/>
        <v>0.73170731707317083</v>
      </c>
      <c r="DJ84" s="545">
        <f t="shared" si="300"/>
        <v>2159.333333333333</v>
      </c>
      <c r="DK84" s="528">
        <f t="shared" si="254"/>
        <v>0.12804878048780488</v>
      </c>
      <c r="DM84" s="173">
        <f t="shared" si="255"/>
        <v>2.4838526142917194</v>
      </c>
      <c r="DN84" s="173">
        <f t="shared" si="256"/>
        <v>2.5947967479674801</v>
      </c>
      <c r="DO84" s="173">
        <f t="shared" si="257"/>
        <v>2.3813309244203555</v>
      </c>
      <c r="DQ84" s="545">
        <f t="shared" si="258"/>
        <v>790</v>
      </c>
      <c r="DR84" s="460">
        <f t="shared" si="259"/>
        <v>312.88816311133547</v>
      </c>
      <c r="DT84">
        <f t="shared" si="260"/>
        <v>790</v>
      </c>
      <c r="DU84">
        <f t="shared" si="261"/>
        <v>312.88816311133547</v>
      </c>
      <c r="DW84" s="5">
        <f t="shared" si="301"/>
        <v>3.196030140789214</v>
      </c>
      <c r="DX84" s="5">
        <f t="shared" si="262"/>
        <v>1.29739837398374</v>
      </c>
      <c r="DY84" s="5">
        <f t="shared" si="302"/>
        <v>1.898631766805474</v>
      </c>
      <c r="DZ84" s="5">
        <f t="shared" si="263"/>
        <v>1.8986317668054733</v>
      </c>
      <c r="EA84" s="173">
        <f t="shared" si="303"/>
        <v>0.40594059405940586</v>
      </c>
      <c r="EB84" s="173">
        <f t="shared" si="264"/>
        <v>12.64</v>
      </c>
      <c r="EC84" s="173">
        <f t="shared" si="265"/>
        <v>0.77073170731707341</v>
      </c>
      <c r="ED84" s="173">
        <f t="shared" si="304"/>
        <v>16.399999999999995</v>
      </c>
      <c r="EE84" s="460">
        <f t="shared" si="266"/>
        <v>6.4059044715447166</v>
      </c>
      <c r="EF84" s="5">
        <f t="shared" si="267"/>
        <v>0.83328838654240245</v>
      </c>
      <c r="EG84" s="5"/>
      <c r="EH84" s="173">
        <f t="shared" si="305"/>
        <v>0.95449566226691651</v>
      </c>
      <c r="EI84" s="173">
        <f t="shared" si="268"/>
        <v>1.1546693979091347</v>
      </c>
      <c r="EJ84" s="173"/>
      <c r="EK84" s="528">
        <f t="shared" si="269"/>
        <v>1.822123938572719E-2</v>
      </c>
      <c r="EL84" s="528">
        <f t="shared" si="270"/>
        <v>0.62319999999999987</v>
      </c>
      <c r="EM84" s="528">
        <f t="shared" si="271"/>
        <v>3.5982138757803581E-2</v>
      </c>
      <c r="EN84" s="528">
        <f t="shared" si="272"/>
        <v>0.25151164556962019</v>
      </c>
      <c r="EO84">
        <f t="shared" si="273"/>
        <v>1.0800000000000001E-2</v>
      </c>
      <c r="EP84" s="460">
        <f t="shared" si="306"/>
        <v>46.782138757803587</v>
      </c>
      <c r="EQ84" s="528">
        <f t="shared" si="274"/>
        <v>0.94874221107222323</v>
      </c>
      <c r="ER84" s="460">
        <f t="shared" si="307"/>
        <v>948.7422110722232</v>
      </c>
      <c r="ES84" s="528">
        <f t="shared" si="308"/>
        <v>0.49078749999999993</v>
      </c>
      <c r="ET84" s="528"/>
      <c r="EV84" s="460">
        <f t="shared" si="309"/>
        <v>490.78749999999991</v>
      </c>
      <c r="EW84" s="528">
        <f t="shared" si="275"/>
        <v>2.7331859078590783E-2</v>
      </c>
      <c r="EX84" s="528">
        <f t="shared" si="276"/>
        <v>3.9997842554035309E-2</v>
      </c>
      <c r="EY84" s="528">
        <f t="shared" si="277"/>
        <v>0.93907699342693118</v>
      </c>
      <c r="EZ84" s="528">
        <f t="shared" si="278"/>
        <v>1.0281035760130188</v>
      </c>
      <c r="FA84" s="528">
        <f t="shared" si="279"/>
        <v>1.0533333333333334E-2</v>
      </c>
      <c r="FB84" s="460">
        <f t="shared" si="310"/>
        <v>1038.636909346352</v>
      </c>
      <c r="FC84" s="173">
        <f t="shared" si="311"/>
        <v>2.4781666204185755</v>
      </c>
      <c r="FD84" s="5">
        <f t="shared" si="312"/>
        <v>12.64</v>
      </c>
      <c r="FE84" s="173">
        <f t="shared" si="313"/>
        <v>0.8360802151054767</v>
      </c>
      <c r="FF84" s="5">
        <f t="shared" si="314"/>
        <v>83.608021510547673</v>
      </c>
      <c r="FI84" s="562">
        <f t="shared" si="280"/>
        <v>-50</v>
      </c>
      <c r="FJ84">
        <f t="shared" si="281"/>
        <v>-50</v>
      </c>
      <c r="FL84">
        <f t="shared" si="282"/>
        <v>0.59405940594059414</v>
      </c>
    </row>
    <row r="85" spans="5:168">
      <c r="E85" s="170">
        <v>80</v>
      </c>
      <c r="F85" s="217">
        <f t="shared" si="283"/>
        <v>0.8</v>
      </c>
      <c r="G85" s="217"/>
      <c r="H85" s="217">
        <f t="shared" si="183"/>
        <v>12.8</v>
      </c>
      <c r="I85" s="541">
        <f t="shared" si="184"/>
        <v>23.930868872334905</v>
      </c>
      <c r="J85" s="172">
        <f t="shared" si="185"/>
        <v>16.441478676599054</v>
      </c>
      <c r="K85" s="172">
        <f t="shared" si="186"/>
        <v>40.441478676599054</v>
      </c>
      <c r="L85" s="443"/>
      <c r="M85" s="217">
        <f t="shared" si="187"/>
        <v>0.40723020254798237</v>
      </c>
      <c r="N85" s="172">
        <f t="shared" si="188"/>
        <v>24.655792622416278</v>
      </c>
      <c r="O85" s="172">
        <f t="shared" si="284"/>
        <v>12.8</v>
      </c>
      <c r="P85" s="217">
        <f t="shared" si="189"/>
        <v>1.5409870389010174</v>
      </c>
      <c r="Q85" s="217">
        <f t="shared" si="190"/>
        <v>16</v>
      </c>
      <c r="R85" s="217">
        <f t="shared" si="191"/>
        <v>1.5227144653172109</v>
      </c>
      <c r="S85" s="172">
        <f t="shared" si="192"/>
        <v>51.039186922432528</v>
      </c>
      <c r="T85" s="172">
        <f t="shared" si="193"/>
        <v>16</v>
      </c>
      <c r="U85" s="217">
        <f t="shared" si="194"/>
        <v>2.6991928517233776</v>
      </c>
      <c r="V85" s="217">
        <f t="shared" si="195"/>
        <v>1.3534951193571205</v>
      </c>
      <c r="W85" s="217">
        <f t="shared" si="196"/>
        <v>1.9700365677438278</v>
      </c>
      <c r="X85" s="197">
        <f t="shared" si="197"/>
        <v>350</v>
      </c>
      <c r="Y85" s="443">
        <f t="shared" si="198"/>
        <v>283.80616063730326</v>
      </c>
      <c r="AA85" s="217">
        <f t="shared" si="199"/>
        <v>2.3204170450017632</v>
      </c>
      <c r="AB85" s="173">
        <f t="shared" si="200"/>
        <v>1.6935827420226257</v>
      </c>
      <c r="AC85" s="173">
        <f t="shared" si="201"/>
        <v>0.68771819579927185</v>
      </c>
      <c r="AD85" s="173"/>
      <c r="AE85" s="173">
        <f t="shared" si="202"/>
        <v>0.72986136077161023</v>
      </c>
      <c r="AF85" s="545">
        <f t="shared" si="203"/>
        <v>2192.197156879874</v>
      </c>
      <c r="AG85" s="528">
        <f t="shared" si="204"/>
        <v>0.1277257381350318</v>
      </c>
      <c r="AI85" s="173">
        <f t="shared" si="205"/>
        <v>2.502682650323091</v>
      </c>
      <c r="AJ85" s="173">
        <f t="shared" si="206"/>
        <v>2.6991928517233776</v>
      </c>
      <c r="AK85" s="173">
        <f t="shared" si="207"/>
        <v>2.4586613716469463</v>
      </c>
      <c r="AM85" s="545">
        <f t="shared" si="208"/>
        <v>800</v>
      </c>
      <c r="AN85" s="460">
        <f t="shared" si="209"/>
        <v>283.80616063730326</v>
      </c>
      <c r="AP85">
        <f t="shared" si="210"/>
        <v>800</v>
      </c>
      <c r="AQ85">
        <f t="shared" si="211"/>
        <v>283.80616063730326</v>
      </c>
      <c r="AS85" s="5">
        <f t="shared" si="285"/>
        <v>3.5235316871009483</v>
      </c>
      <c r="AT85" s="5">
        <f t="shared" si="212"/>
        <v>1.3534951193571205</v>
      </c>
      <c r="AU85" s="5">
        <f t="shared" si="286"/>
        <v>2.1700365677438276</v>
      </c>
      <c r="AV85" s="5">
        <f t="shared" si="213"/>
        <v>1.9700365677438278</v>
      </c>
      <c r="AW85" s="173">
        <f t="shared" si="287"/>
        <v>0.38413025326607292</v>
      </c>
      <c r="AX85" s="173">
        <f t="shared" si="214"/>
        <v>12.406260589282189</v>
      </c>
      <c r="AY85" s="173">
        <f t="shared" si="215"/>
        <v>0.83117560898845155</v>
      </c>
      <c r="AZ85" s="173">
        <f t="shared" si="288"/>
        <v>14.926160555145168</v>
      </c>
      <c r="BA85" s="460">
        <f t="shared" si="216"/>
        <v>6.7674755967856042</v>
      </c>
      <c r="BB85" s="5">
        <f t="shared" si="217"/>
        <v>0.96724681607193108</v>
      </c>
      <c r="BC85" s="5"/>
      <c r="BD85" s="173">
        <f t="shared" si="289"/>
        <v>0.9658563602968564</v>
      </c>
      <c r="BE85" s="173">
        <f t="shared" si="218"/>
        <v>1.2229754051243096</v>
      </c>
      <c r="BF85" s="173"/>
      <c r="BG85" s="528">
        <f t="shared" si="219"/>
        <v>1.8657570174517819E-2</v>
      </c>
      <c r="BH85" s="528">
        <f t="shared" si="220"/>
        <v>0.56538675319940923</v>
      </c>
      <c r="BI85" s="528">
        <f t="shared" si="221"/>
        <v>0.15620974435355878</v>
      </c>
      <c r="BJ85" s="528">
        <f t="shared" si="222"/>
        <v>0.22860309522461436</v>
      </c>
      <c r="BK85">
        <f t="shared" si="223"/>
        <v>1.0768890992550706E-2</v>
      </c>
      <c r="BL85" s="460">
        <f t="shared" si="290"/>
        <v>166.97863534610948</v>
      </c>
      <c r="BM85" s="528">
        <f t="shared" si="224"/>
        <v>0.8213259321664752</v>
      </c>
      <c r="BN85" s="460">
        <f t="shared" si="291"/>
        <v>821.32593216647524</v>
      </c>
      <c r="BO85" s="528">
        <f t="shared" si="225"/>
        <v>0.49699999999999994</v>
      </c>
      <c r="BP85" s="528"/>
      <c r="BR85" s="460">
        <f t="shared" si="292"/>
        <v>496.99999999999994</v>
      </c>
      <c r="BS85" s="528">
        <f t="shared" si="226"/>
        <v>2.7986355261776723E-2</v>
      </c>
      <c r="BT85" s="528">
        <f t="shared" si="227"/>
        <v>4.4870065246169072E-2</v>
      </c>
      <c r="BU85" s="528">
        <f t="shared" si="228"/>
        <v>0.192</v>
      </c>
      <c r="BV85" s="528">
        <f t="shared" si="229"/>
        <v>0.28399724323595649</v>
      </c>
      <c r="BW85" s="528">
        <f t="shared" si="230"/>
        <v>1.0338550491068492E-2</v>
      </c>
      <c r="BX85" s="460">
        <f t="shared" si="293"/>
        <v>294.33579372702496</v>
      </c>
      <c r="BY85" s="173">
        <f t="shared" si="231"/>
        <v>1.7796403612396097</v>
      </c>
      <c r="BZ85" s="5">
        <f t="shared" si="294"/>
        <v>12.8</v>
      </c>
      <c r="CA85" s="173">
        <f t="shared" si="295"/>
        <v>0.87793660768403903</v>
      </c>
      <c r="CB85" s="5">
        <f t="shared" si="296"/>
        <v>87.793660768403896</v>
      </c>
      <c r="CE85" s="562">
        <f t="shared" si="232"/>
        <v>-50</v>
      </c>
      <c r="CF85">
        <f t="shared" si="233"/>
        <v>-50</v>
      </c>
      <c r="CG85" s="173">
        <f t="shared" si="234"/>
        <v>0.57861055288697183</v>
      </c>
      <c r="CI85" s="170">
        <v>80</v>
      </c>
      <c r="CJ85" s="217">
        <f t="shared" si="297"/>
        <v>0.8</v>
      </c>
      <c r="CK85" s="217"/>
      <c r="CL85" s="217">
        <f t="shared" si="235"/>
        <v>12.8</v>
      </c>
      <c r="CM85" s="541">
        <f t="shared" si="236"/>
        <v>24</v>
      </c>
      <c r="CN85" s="172">
        <f t="shared" si="237"/>
        <v>16.399999999999999</v>
      </c>
      <c r="CO85" s="443">
        <f t="shared" si="238"/>
        <v>40.4</v>
      </c>
      <c r="CP85" s="443"/>
      <c r="CQ85" s="217">
        <f t="shared" si="239"/>
        <v>0.40594059405940591</v>
      </c>
      <c r="CR85" s="172">
        <f t="shared" si="240"/>
        <v>24.648712871287128</v>
      </c>
      <c r="CS85" s="172">
        <f t="shared" si="298"/>
        <v>12.8</v>
      </c>
      <c r="CT85" s="217">
        <f t="shared" si="241"/>
        <v>1.5405445544554455</v>
      </c>
      <c r="CU85" s="217">
        <f t="shared" si="242"/>
        <v>16</v>
      </c>
      <c r="CV85" s="217">
        <f t="shared" si="243"/>
        <v>1.5222772277227721</v>
      </c>
      <c r="CW85" s="172">
        <f t="shared" si="244"/>
        <v>51.186096654381863</v>
      </c>
      <c r="CX85" s="172">
        <f t="shared" si="245"/>
        <v>16</v>
      </c>
      <c r="CY85" s="217">
        <f t="shared" si="246"/>
        <v>2.6276422764227645</v>
      </c>
      <c r="CZ85" s="217">
        <f t="shared" si="247"/>
        <v>1.3138211382113825</v>
      </c>
      <c r="DA85" s="217">
        <f t="shared" si="248"/>
        <v>1.9226650803093404</v>
      </c>
      <c r="DB85" s="197">
        <f t="shared" si="249"/>
        <v>350</v>
      </c>
      <c r="DC85" s="443">
        <f t="shared" si="299"/>
        <v>308.9770610724438</v>
      </c>
      <c r="DE85" s="217">
        <f t="shared" si="250"/>
        <v>2.3196605374823194</v>
      </c>
      <c r="DF85" s="173">
        <f t="shared" si="251"/>
        <v>1.6973125884016973</v>
      </c>
      <c r="DG85" s="173">
        <f t="shared" si="252"/>
        <v>0.68900808044029282</v>
      </c>
      <c r="DH85" s="173"/>
      <c r="DI85" s="173">
        <f t="shared" si="253"/>
        <v>0.73170731707317083</v>
      </c>
      <c r="DJ85" s="545">
        <f t="shared" si="300"/>
        <v>2186.6666666666665</v>
      </c>
      <c r="DK85" s="528">
        <f t="shared" si="254"/>
        <v>0.12804878048780488</v>
      </c>
      <c r="DM85" s="173">
        <f t="shared" si="255"/>
        <v>2.4995237641636954</v>
      </c>
      <c r="DN85" s="173">
        <f t="shared" si="256"/>
        <v>2.6276422764227645</v>
      </c>
      <c r="DO85" s="173">
        <f t="shared" si="257"/>
        <v>2.4056609454983438</v>
      </c>
      <c r="DQ85" s="545">
        <f t="shared" si="258"/>
        <v>800</v>
      </c>
      <c r="DR85" s="460">
        <f t="shared" si="259"/>
        <v>308.9770610724438</v>
      </c>
      <c r="DT85">
        <f t="shared" si="260"/>
        <v>800</v>
      </c>
      <c r="DU85">
        <f t="shared" si="261"/>
        <v>308.9770610724438</v>
      </c>
      <c r="DW85" s="5">
        <f t="shared" si="301"/>
        <v>3.2364862185207226</v>
      </c>
      <c r="DX85" s="5">
        <f t="shared" si="262"/>
        <v>1.3138211382113825</v>
      </c>
      <c r="DY85" s="5">
        <f t="shared" si="302"/>
        <v>1.9226650803093401</v>
      </c>
      <c r="DZ85" s="5">
        <f t="shared" si="263"/>
        <v>1.9226650803093404</v>
      </c>
      <c r="EA85" s="173">
        <f t="shared" si="303"/>
        <v>0.40594059405940597</v>
      </c>
      <c r="EB85" s="173">
        <f t="shared" si="264"/>
        <v>12.8</v>
      </c>
      <c r="EC85" s="173">
        <f t="shared" si="265"/>
        <v>0.78048780487804881</v>
      </c>
      <c r="ED85" s="173">
        <f t="shared" si="304"/>
        <v>16.399999999999999</v>
      </c>
      <c r="EE85" s="460">
        <f t="shared" si="266"/>
        <v>6.5691056910569134</v>
      </c>
      <c r="EF85" s="5">
        <f t="shared" si="267"/>
        <v>0.85451781347081768</v>
      </c>
      <c r="EG85" s="5"/>
      <c r="EH85" s="173">
        <f t="shared" si="305"/>
        <v>0.96657788583991555</v>
      </c>
      <c r="EI85" s="173">
        <f t="shared" si="268"/>
        <v>1.1692854662370984</v>
      </c>
      <c r="EJ85" s="173"/>
      <c r="EK85" s="528">
        <f t="shared" si="269"/>
        <v>1.8685456187895216E-2</v>
      </c>
      <c r="EL85" s="528">
        <f t="shared" si="270"/>
        <v>0.62319999999999987</v>
      </c>
      <c r="EM85" s="528">
        <f t="shared" si="271"/>
        <v>3.5532362023331043E-2</v>
      </c>
      <c r="EN85" s="528">
        <f t="shared" si="272"/>
        <v>0.24836774999999991</v>
      </c>
      <c r="EO85">
        <f t="shared" si="273"/>
        <v>1.0800000000000001E-2</v>
      </c>
      <c r="EP85" s="460">
        <f t="shared" si="306"/>
        <v>46.332362023331051</v>
      </c>
      <c r="EQ85" s="528">
        <f t="shared" si="274"/>
        <v>0.94582980830110353</v>
      </c>
      <c r="ER85" s="460">
        <f t="shared" si="307"/>
        <v>945.82980830110353</v>
      </c>
      <c r="ES85" s="528">
        <f t="shared" si="308"/>
        <v>0.49699999999999994</v>
      </c>
      <c r="ET85" s="528"/>
      <c r="EV85" s="460">
        <f t="shared" si="309"/>
        <v>496.99999999999994</v>
      </c>
      <c r="EW85" s="528">
        <f t="shared" si="275"/>
        <v>2.8028184281842825E-2</v>
      </c>
      <c r="EX85" s="528">
        <f t="shared" si="276"/>
        <v>4.1016855046599257E-2</v>
      </c>
      <c r="EY85" s="528">
        <f t="shared" si="277"/>
        <v>0.93907699342693063</v>
      </c>
      <c r="EZ85" s="528">
        <f t="shared" si="278"/>
        <v>1.0303842760231126</v>
      </c>
      <c r="FA85" s="528">
        <f t="shared" si="279"/>
        <v>1.0666666666666668E-2</v>
      </c>
      <c r="FB85" s="460">
        <f t="shared" si="310"/>
        <v>1041.050942689779</v>
      </c>
      <c r="FC85" s="173">
        <f t="shared" si="311"/>
        <v>2.4838807509908829</v>
      </c>
      <c r="FD85" s="5">
        <f t="shared" si="312"/>
        <v>12.8</v>
      </c>
      <c r="FE85" s="173">
        <f t="shared" si="313"/>
        <v>0.83748363446045282</v>
      </c>
      <c r="FF85" s="5">
        <f t="shared" si="314"/>
        <v>83.748363446045289</v>
      </c>
      <c r="FI85" s="562">
        <f t="shared" si="280"/>
        <v>-50</v>
      </c>
      <c r="FJ85">
        <f t="shared" si="281"/>
        <v>-50</v>
      </c>
      <c r="FL85">
        <f t="shared" si="282"/>
        <v>0.59405940594059403</v>
      </c>
    </row>
    <row r="86" spans="5:168">
      <c r="E86" s="170">
        <v>81</v>
      </c>
      <c r="F86" s="217">
        <f t="shared" si="283"/>
        <v>0.81</v>
      </c>
      <c r="G86" s="217"/>
      <c r="H86" s="217">
        <f t="shared" si="183"/>
        <v>12.96</v>
      </c>
      <c r="I86" s="541">
        <f t="shared" si="184"/>
        <v>23.930027798077376</v>
      </c>
      <c r="J86" s="172">
        <f t="shared" si="185"/>
        <v>16.441983321153572</v>
      </c>
      <c r="K86" s="172">
        <f t="shared" si="186"/>
        <v>40.441983321153572</v>
      </c>
      <c r="L86" s="443"/>
      <c r="M86" s="217">
        <f t="shared" si="187"/>
        <v>0.40724610160067887</v>
      </c>
      <c r="N86" s="172">
        <f t="shared" si="188"/>
        <v>24.655888645866103</v>
      </c>
      <c r="O86" s="172">
        <f t="shared" si="284"/>
        <v>12.96</v>
      </c>
      <c r="P86" s="217">
        <f t="shared" si="189"/>
        <v>1.5409930403666314</v>
      </c>
      <c r="Q86" s="217">
        <f t="shared" si="190"/>
        <v>16</v>
      </c>
      <c r="R86" s="217">
        <f t="shared" si="191"/>
        <v>1.5227203956192013</v>
      </c>
      <c r="S86" s="172">
        <f t="shared" si="192"/>
        <v>50.117561572431789</v>
      </c>
      <c r="T86" s="172">
        <f t="shared" si="193"/>
        <v>16</v>
      </c>
      <c r="U86" s="217">
        <f t="shared" si="194"/>
        <v>2.7330060660497812</v>
      </c>
      <c r="V86" s="217">
        <f t="shared" si="195"/>
        <v>1.3704987336133532</v>
      </c>
      <c r="W86" s="217">
        <f t="shared" si="196"/>
        <v>1.9946543036814368</v>
      </c>
      <c r="X86" s="197">
        <f t="shared" si="197"/>
        <v>350</v>
      </c>
      <c r="Y86" s="443">
        <f t="shared" si="198"/>
        <v>280.49286791873374</v>
      </c>
      <c r="AA86" s="217">
        <f t="shared" si="199"/>
        <v>2.3204260470779277</v>
      </c>
      <c r="AB86" s="173">
        <f t="shared" si="200"/>
        <v>1.6935373319051339</v>
      </c>
      <c r="AC86" s="173">
        <f t="shared" si="201"/>
        <v>0.68770242391401781</v>
      </c>
      <c r="AD86" s="173"/>
      <c r="AE86" s="173">
        <f t="shared" si="202"/>
        <v>0.72983895954700906</v>
      </c>
      <c r="AF86" s="545">
        <f t="shared" si="203"/>
        <v>2219.6677483557323</v>
      </c>
      <c r="AG86" s="528">
        <f t="shared" si="204"/>
        <v>0.12772181792072659</v>
      </c>
      <c r="AI86" s="173">
        <f t="shared" si="205"/>
        <v>2.5183144864065228</v>
      </c>
      <c r="AJ86" s="173">
        <f t="shared" si="206"/>
        <v>2.7330060660497812</v>
      </c>
      <c r="AK86" s="173">
        <f t="shared" si="207"/>
        <v>2.4837081970739119</v>
      </c>
      <c r="AM86" s="545">
        <f t="shared" si="208"/>
        <v>810</v>
      </c>
      <c r="AN86" s="460">
        <f t="shared" si="209"/>
        <v>280.49286791873374</v>
      </c>
      <c r="AP86">
        <f t="shared" si="210"/>
        <v>810</v>
      </c>
      <c r="AQ86">
        <f t="shared" si="211"/>
        <v>280.49286791873374</v>
      </c>
      <c r="AS86" s="5">
        <f t="shared" si="285"/>
        <v>3.5651530372947904</v>
      </c>
      <c r="AT86" s="5">
        <f t="shared" si="212"/>
        <v>1.3704987336133532</v>
      </c>
      <c r="AU86" s="5">
        <f t="shared" si="286"/>
        <v>2.1946543036814372</v>
      </c>
      <c r="AV86" s="5">
        <f t="shared" si="213"/>
        <v>1.9946543036814368</v>
      </c>
      <c r="AW86" s="173">
        <f t="shared" si="287"/>
        <v>0.38441512027020208</v>
      </c>
      <c r="AX86" s="173">
        <f t="shared" si="214"/>
        <v>12.57054955946446</v>
      </c>
      <c r="AY86" s="173">
        <f t="shared" si="215"/>
        <v>0.84119860523503132</v>
      </c>
      <c r="AZ86" s="173">
        <f t="shared" si="288"/>
        <v>14.943616740724673</v>
      </c>
      <c r="BA86" s="460">
        <f t="shared" si="216"/>
        <v>6.9381498389176013</v>
      </c>
      <c r="BB86" s="5">
        <f t="shared" si="217"/>
        <v>0.99048219583195984</v>
      </c>
      <c r="BC86" s="5"/>
      <c r="BD86" s="173">
        <f t="shared" si="289"/>
        <v>0.97831834889347913</v>
      </c>
      <c r="BE86" s="173">
        <f t="shared" si="218"/>
        <v>1.2380093943800685</v>
      </c>
      <c r="BF86" s="173"/>
      <c r="BG86" s="528">
        <f t="shared" si="219"/>
        <v>1.9142135835633262E-2</v>
      </c>
      <c r="BH86" s="528">
        <f t="shared" si="220"/>
        <v>0.56579321242318426</v>
      </c>
      <c r="BI86" s="528">
        <f t="shared" si="221"/>
        <v>0.15438064890852812</v>
      </c>
      <c r="BJ86" s="528">
        <f t="shared" si="222"/>
        <v>0.22593990887228033</v>
      </c>
      <c r="BK86">
        <f t="shared" si="223"/>
        <v>1.0768512509134819E-2</v>
      </c>
      <c r="BL86" s="460">
        <f t="shared" si="290"/>
        <v>165.14916141766295</v>
      </c>
      <c r="BM86" s="528">
        <f t="shared" si="224"/>
        <v>0.81977209787791627</v>
      </c>
      <c r="BN86" s="460">
        <f t="shared" si="291"/>
        <v>819.77209787791628</v>
      </c>
      <c r="BO86" s="528">
        <f t="shared" si="225"/>
        <v>0.50321249999999995</v>
      </c>
      <c r="BP86" s="528"/>
      <c r="BR86" s="460">
        <f t="shared" si="292"/>
        <v>503.21249999999998</v>
      </c>
      <c r="BS86" s="528">
        <f t="shared" si="226"/>
        <v>2.8713203753449892E-2</v>
      </c>
      <c r="BT86" s="528">
        <f t="shared" si="227"/>
        <v>4.5980017817199119E-2</v>
      </c>
      <c r="BU86" s="528">
        <f t="shared" si="228"/>
        <v>0.19440000000000002</v>
      </c>
      <c r="BV86" s="528">
        <f t="shared" si="229"/>
        <v>0.2887449781580827</v>
      </c>
      <c r="BW86" s="528">
        <f t="shared" si="230"/>
        <v>1.0475457966220385E-2</v>
      </c>
      <c r="BX86" s="460">
        <f t="shared" si="293"/>
        <v>299.22043612430309</v>
      </c>
      <c r="BY86" s="173">
        <f t="shared" si="231"/>
        <v>1.7873541954198822</v>
      </c>
      <c r="BZ86" s="5">
        <f t="shared" si="294"/>
        <v>12.96</v>
      </c>
      <c r="CA86" s="173">
        <f t="shared" si="295"/>
        <v>0.87880170424231185</v>
      </c>
      <c r="CB86" s="5">
        <f t="shared" si="296"/>
        <v>87.880170424231181</v>
      </c>
      <c r="CE86" s="562">
        <f t="shared" si="232"/>
        <v>-50</v>
      </c>
      <c r="CF86">
        <f t="shared" si="233"/>
        <v>-50</v>
      </c>
      <c r="CG86" s="173">
        <f t="shared" si="234"/>
        <v>0.57880127946788085</v>
      </c>
      <c r="CI86" s="170">
        <v>81</v>
      </c>
      <c r="CJ86" s="217">
        <f t="shared" si="297"/>
        <v>0.81</v>
      </c>
      <c r="CK86" s="217"/>
      <c r="CL86" s="217">
        <f t="shared" si="235"/>
        <v>12.96</v>
      </c>
      <c r="CM86" s="541">
        <f t="shared" si="236"/>
        <v>24</v>
      </c>
      <c r="CN86" s="172">
        <f t="shared" si="237"/>
        <v>16.399999999999999</v>
      </c>
      <c r="CO86" s="443">
        <f t="shared" si="238"/>
        <v>40.4</v>
      </c>
      <c r="CP86" s="443"/>
      <c r="CQ86" s="217">
        <f t="shared" si="239"/>
        <v>0.40594059405940591</v>
      </c>
      <c r="CR86" s="172">
        <f t="shared" si="240"/>
        <v>24.648712871287128</v>
      </c>
      <c r="CS86" s="172">
        <f t="shared" si="298"/>
        <v>12.96</v>
      </c>
      <c r="CT86" s="217">
        <f t="shared" si="241"/>
        <v>1.5405445544554455</v>
      </c>
      <c r="CU86" s="217">
        <f t="shared" si="242"/>
        <v>16</v>
      </c>
      <c r="CV86" s="217">
        <f t="shared" si="243"/>
        <v>1.5222772277227721</v>
      </c>
      <c r="CW86" s="172">
        <f t="shared" si="244"/>
        <v>50.263559379047926</v>
      </c>
      <c r="CX86" s="172">
        <f t="shared" si="245"/>
        <v>16</v>
      </c>
      <c r="CY86" s="217">
        <f t="shared" si="246"/>
        <v>2.6604878048780489</v>
      </c>
      <c r="CZ86" s="217">
        <f t="shared" si="247"/>
        <v>1.3302439024390247</v>
      </c>
      <c r="DA86" s="217">
        <f t="shared" si="248"/>
        <v>1.946698393813207</v>
      </c>
      <c r="DB86" s="197">
        <f t="shared" si="249"/>
        <v>350</v>
      </c>
      <c r="DC86" s="443">
        <f t="shared" si="299"/>
        <v>305.1625294542655</v>
      </c>
      <c r="DE86" s="217">
        <f t="shared" si="250"/>
        <v>2.3196605374823194</v>
      </c>
      <c r="DF86" s="173">
        <f t="shared" si="251"/>
        <v>1.6973125884016973</v>
      </c>
      <c r="DG86" s="173">
        <f t="shared" si="252"/>
        <v>0.68900808044029282</v>
      </c>
      <c r="DH86" s="173"/>
      <c r="DI86" s="173">
        <f t="shared" si="253"/>
        <v>0.73170731707317083</v>
      </c>
      <c r="DJ86" s="545">
        <f t="shared" si="300"/>
        <v>2214</v>
      </c>
      <c r="DK86" s="528">
        <f t="shared" si="254"/>
        <v>0.12804878048780488</v>
      </c>
      <c r="DM86" s="173">
        <f t="shared" si="255"/>
        <v>2.5150972716207787</v>
      </c>
      <c r="DN86" s="173">
        <f t="shared" si="256"/>
        <v>2.6604878048780489</v>
      </c>
      <c r="DO86" s="173">
        <f t="shared" si="257"/>
        <v>2.4299909665763328</v>
      </c>
      <c r="DQ86" s="545">
        <f t="shared" si="258"/>
        <v>810</v>
      </c>
      <c r="DR86" s="460">
        <f t="shared" si="259"/>
        <v>305.1625294542655</v>
      </c>
      <c r="DT86">
        <f t="shared" si="260"/>
        <v>810</v>
      </c>
      <c r="DU86">
        <f t="shared" si="261"/>
        <v>305.1625294542655</v>
      </c>
      <c r="DW86" s="5">
        <f t="shared" si="301"/>
        <v>3.2769422962522317</v>
      </c>
      <c r="DX86" s="5">
        <f t="shared" si="262"/>
        <v>1.3302439024390247</v>
      </c>
      <c r="DY86" s="5">
        <f t="shared" si="302"/>
        <v>1.946698393813207</v>
      </c>
      <c r="DZ86" s="5">
        <f t="shared" si="263"/>
        <v>1.946698393813207</v>
      </c>
      <c r="EA86" s="173">
        <f t="shared" si="303"/>
        <v>0.40594059405940591</v>
      </c>
      <c r="EB86" s="173">
        <f t="shared" si="264"/>
        <v>12.96</v>
      </c>
      <c r="EC86" s="173">
        <f t="shared" si="265"/>
        <v>0.79024390243902454</v>
      </c>
      <c r="ED86" s="173">
        <f t="shared" si="304"/>
        <v>16.399999999999999</v>
      </c>
      <c r="EE86" s="460">
        <f t="shared" si="266"/>
        <v>6.7343597560975637</v>
      </c>
      <c r="EF86" s="5">
        <f t="shared" si="267"/>
        <v>0.87601427721594294</v>
      </c>
      <c r="EG86" s="5"/>
      <c r="EH86" s="173">
        <f t="shared" si="305"/>
        <v>0.97866010941291437</v>
      </c>
      <c r="EI86" s="173">
        <f t="shared" si="268"/>
        <v>1.1839015345650621</v>
      </c>
      <c r="EJ86" s="173"/>
      <c r="EK86" s="528">
        <f t="shared" si="269"/>
        <v>1.9155512195121953E-2</v>
      </c>
      <c r="EL86" s="528">
        <f t="shared" si="270"/>
        <v>0.62319999999999987</v>
      </c>
      <c r="EM86" s="528">
        <f t="shared" si="271"/>
        <v>3.5093690887240535E-2</v>
      </c>
      <c r="EN86" s="528">
        <f t="shared" si="272"/>
        <v>0.24530148148148143</v>
      </c>
      <c r="EO86">
        <f t="shared" si="273"/>
        <v>1.0800000000000001E-2</v>
      </c>
      <c r="EP86" s="460">
        <f t="shared" si="306"/>
        <v>45.893690887240531</v>
      </c>
      <c r="EQ86" s="528">
        <f t="shared" si="274"/>
        <v>0.943014662354831</v>
      </c>
      <c r="ER86" s="460">
        <f t="shared" si="307"/>
        <v>943.01466235483099</v>
      </c>
      <c r="ES86" s="528">
        <f t="shared" si="308"/>
        <v>0.50321249999999995</v>
      </c>
      <c r="ET86" s="528"/>
      <c r="EV86" s="460">
        <f t="shared" si="309"/>
        <v>503.21249999999998</v>
      </c>
      <c r="EW86" s="528">
        <f t="shared" si="275"/>
        <v>2.8733268292682926E-2</v>
      </c>
      <c r="EX86" s="528">
        <f t="shared" si="276"/>
        <v>4.2048685306365269E-2</v>
      </c>
      <c r="EY86" s="528">
        <f t="shared" si="277"/>
        <v>0.93907699342693163</v>
      </c>
      <c r="EZ86" s="528">
        <f t="shared" si="278"/>
        <v>1.0326943055229938</v>
      </c>
      <c r="FA86" s="528">
        <f t="shared" si="279"/>
        <v>1.0800000000000001E-2</v>
      </c>
      <c r="FB86" s="460">
        <f t="shared" si="310"/>
        <v>1043.4943055229937</v>
      </c>
      <c r="FC86" s="173">
        <f t="shared" si="311"/>
        <v>2.4897214678778248</v>
      </c>
      <c r="FD86" s="5">
        <f t="shared" si="312"/>
        <v>12.96</v>
      </c>
      <c r="FE86" s="173">
        <f t="shared" si="313"/>
        <v>0.83885007421950541</v>
      </c>
      <c r="FF86" s="5">
        <f t="shared" si="314"/>
        <v>83.885007421950547</v>
      </c>
      <c r="FI86" s="562">
        <f t="shared" si="280"/>
        <v>-50</v>
      </c>
      <c r="FJ86">
        <f t="shared" si="281"/>
        <v>-50</v>
      </c>
      <c r="FL86">
        <f t="shared" si="282"/>
        <v>0.59405940594059414</v>
      </c>
    </row>
    <row r="87" spans="5:168">
      <c r="E87" s="170">
        <v>82</v>
      </c>
      <c r="F87" s="217">
        <f t="shared" si="283"/>
        <v>0.82</v>
      </c>
      <c r="G87" s="217"/>
      <c r="H87" s="217">
        <f t="shared" si="183"/>
        <v>13.12</v>
      </c>
      <c r="I87" s="541">
        <f t="shared" si="184"/>
        <v>23.92918670899471</v>
      </c>
      <c r="J87" s="172">
        <f t="shared" si="185"/>
        <v>16.442487974603175</v>
      </c>
      <c r="K87" s="172">
        <f t="shared" si="186"/>
        <v>40.442487974603175</v>
      </c>
      <c r="L87" s="443"/>
      <c r="M87" s="217">
        <f t="shared" si="187"/>
        <v>0.40726200106764321</v>
      </c>
      <c r="N87" s="172">
        <f t="shared" si="188"/>
        <v>24.655984611456883</v>
      </c>
      <c r="O87" s="172">
        <f t="shared" si="284"/>
        <v>13.12</v>
      </c>
      <c r="P87" s="217">
        <f t="shared" si="189"/>
        <v>1.5409990382160552</v>
      </c>
      <c r="Q87" s="217">
        <f t="shared" si="190"/>
        <v>16</v>
      </c>
      <c r="R87" s="217">
        <f t="shared" si="191"/>
        <v>1.5227263223478809</v>
      </c>
      <c r="S87" s="172">
        <f t="shared" si="192"/>
        <v>49.218555962440107</v>
      </c>
      <c r="T87" s="172">
        <f t="shared" si="193"/>
        <v>16</v>
      </c>
      <c r="U87" s="217">
        <f t="shared" si="194"/>
        <v>2.7668210962583437</v>
      </c>
      <c r="V87" s="217">
        <f t="shared" si="195"/>
        <v>1.3875044546591266</v>
      </c>
      <c r="W87" s="217">
        <f t="shared" si="196"/>
        <v>2.0192718526772357</v>
      </c>
      <c r="X87" s="197">
        <f t="shared" si="197"/>
        <v>350</v>
      </c>
      <c r="Y87" s="443">
        <f t="shared" si="198"/>
        <v>277.25589689772283</v>
      </c>
      <c r="AA87" s="217">
        <f t="shared" si="199"/>
        <v>2.3204350444562927</v>
      </c>
      <c r="AB87" s="173">
        <f t="shared" si="200"/>
        <v>1.6934919202303709</v>
      </c>
      <c r="AC87" s="173">
        <f t="shared" si="201"/>
        <v>0.68768664986107331</v>
      </c>
      <c r="AD87" s="173"/>
      <c r="AE87" s="173">
        <f t="shared" si="202"/>
        <v>0.72981655930264466</v>
      </c>
      <c r="AF87" s="545">
        <f t="shared" si="203"/>
        <v>2247.1400231957673</v>
      </c>
      <c r="AG87" s="528">
        <f t="shared" si="204"/>
        <v>0.12771789787796284</v>
      </c>
      <c r="AI87" s="173">
        <f t="shared" si="205"/>
        <v>2.5338508374159718</v>
      </c>
      <c r="AJ87" s="173">
        <f t="shared" si="206"/>
        <v>2.7668210962583437</v>
      </c>
      <c r="AK87" s="173">
        <f t="shared" si="207"/>
        <v>2.5087563675987732</v>
      </c>
      <c r="AM87" s="545">
        <f t="shared" si="208"/>
        <v>820</v>
      </c>
      <c r="AN87" s="460">
        <f t="shared" si="209"/>
        <v>277.25589689772283</v>
      </c>
      <c r="AP87">
        <f t="shared" si="210"/>
        <v>820</v>
      </c>
      <c r="AQ87">
        <f t="shared" si="211"/>
        <v>277.25589689772283</v>
      </c>
      <c r="AS87" s="5">
        <f t="shared" si="285"/>
        <v>3.6067763073363626</v>
      </c>
      <c r="AT87" s="5">
        <f t="shared" si="212"/>
        <v>1.3875044546591266</v>
      </c>
      <c r="AU87" s="5">
        <f t="shared" si="286"/>
        <v>2.2192718526772359</v>
      </c>
      <c r="AV87" s="5">
        <f t="shared" si="213"/>
        <v>2.0192718526772357</v>
      </c>
      <c r="AW87" s="173">
        <f t="shared" si="287"/>
        <v>0.38469379202610193</v>
      </c>
      <c r="AX87" s="173">
        <f t="shared" si="214"/>
        <v>12.734860706158512</v>
      </c>
      <c r="AY87" s="173">
        <f t="shared" si="215"/>
        <v>0.85122109844045246</v>
      </c>
      <c r="AZ87" s="173">
        <f t="shared" si="288"/>
        <v>14.960696732600296</v>
      </c>
      <c r="BA87" s="460">
        <f t="shared" si="216"/>
        <v>7.1109603301280231</v>
      </c>
      <c r="BB87" s="5">
        <f t="shared" si="217"/>
        <v>1.0139934640354438</v>
      </c>
      <c r="BC87" s="5"/>
      <c r="BD87" s="173">
        <f t="shared" si="289"/>
        <v>0.99078184501092104</v>
      </c>
      <c r="BE87" s="173">
        <f t="shared" si="218"/>
        <v>1.2530433599162332</v>
      </c>
      <c r="BF87" s="173"/>
      <c r="BG87" s="528">
        <f t="shared" si="219"/>
        <v>1.9632973288064896E-2</v>
      </c>
      <c r="BH87" s="528">
        <f t="shared" si="220"/>
        <v>0.56619053377778483</v>
      </c>
      <c r="BI87" s="528">
        <f t="shared" si="221"/>
        <v>0.15259368682981414</v>
      </c>
      <c r="BJ87" s="528">
        <f t="shared" si="222"/>
        <v>0.22333806892810423</v>
      </c>
      <c r="BK87">
        <f t="shared" si="223"/>
        <v>1.076813401904762E-2</v>
      </c>
      <c r="BL87" s="460">
        <f t="shared" si="290"/>
        <v>163.36182084886175</v>
      </c>
      <c r="BM87" s="528">
        <f t="shared" si="224"/>
        <v>0.81827958485034435</v>
      </c>
      <c r="BN87" s="460">
        <f t="shared" si="291"/>
        <v>818.27958485034435</v>
      </c>
      <c r="BO87" s="528">
        <f t="shared" si="225"/>
        <v>0.50942499999999991</v>
      </c>
      <c r="BP87" s="528"/>
      <c r="BR87" s="460">
        <f t="shared" si="292"/>
        <v>509.4249999999999</v>
      </c>
      <c r="BS87" s="528">
        <f t="shared" si="226"/>
        <v>2.9449459932097341E-2</v>
      </c>
      <c r="BT87" s="528">
        <f t="shared" si="227"/>
        <v>4.7103529854904881E-2</v>
      </c>
      <c r="BU87" s="528">
        <f t="shared" si="228"/>
        <v>0.19679999999999997</v>
      </c>
      <c r="BV87" s="528">
        <f t="shared" si="229"/>
        <v>0.29352331431854473</v>
      </c>
      <c r="BW87" s="528">
        <f t="shared" si="230"/>
        <v>1.061238392179876E-2</v>
      </c>
      <c r="BX87" s="460">
        <f t="shared" si="293"/>
        <v>304.13569824034346</v>
      </c>
      <c r="BY87" s="173">
        <f t="shared" si="231"/>
        <v>1.7952021039395496</v>
      </c>
      <c r="BZ87" s="5">
        <f t="shared" si="294"/>
        <v>13.12</v>
      </c>
      <c r="CA87" s="173">
        <f t="shared" si="295"/>
        <v>0.8796394382436572</v>
      </c>
      <c r="CB87" s="5">
        <f t="shared" si="296"/>
        <v>87.963943824365714</v>
      </c>
      <c r="CE87" s="562">
        <f t="shared" si="232"/>
        <v>-50</v>
      </c>
      <c r="CF87">
        <f t="shared" si="233"/>
        <v>-50</v>
      </c>
      <c r="CG87" s="173">
        <f t="shared" si="234"/>
        <v>0.5789873541809627</v>
      </c>
      <c r="CI87" s="170">
        <v>82</v>
      </c>
      <c r="CJ87" s="217">
        <f t="shared" si="297"/>
        <v>0.82</v>
      </c>
      <c r="CK87" s="217"/>
      <c r="CL87" s="217">
        <f t="shared" si="235"/>
        <v>13.12</v>
      </c>
      <c r="CM87" s="541">
        <f t="shared" si="236"/>
        <v>24</v>
      </c>
      <c r="CN87" s="172">
        <f t="shared" si="237"/>
        <v>16.399999999999999</v>
      </c>
      <c r="CO87" s="443">
        <f t="shared" si="238"/>
        <v>40.4</v>
      </c>
      <c r="CP87" s="443"/>
      <c r="CQ87" s="217">
        <f t="shared" si="239"/>
        <v>0.40594059405940591</v>
      </c>
      <c r="CR87" s="172">
        <f t="shared" si="240"/>
        <v>24.648712871287128</v>
      </c>
      <c r="CS87" s="172">
        <f t="shared" si="298"/>
        <v>13.12</v>
      </c>
      <c r="CT87" s="217">
        <f t="shared" si="241"/>
        <v>1.5405445544554455</v>
      </c>
      <c r="CU87" s="217">
        <f t="shared" si="242"/>
        <v>16</v>
      </c>
      <c r="CV87" s="217">
        <f t="shared" si="243"/>
        <v>1.5222772277227721</v>
      </c>
      <c r="CW87" s="172">
        <f t="shared" si="244"/>
        <v>49.363643626549582</v>
      </c>
      <c r="CX87" s="172">
        <f t="shared" si="245"/>
        <v>16</v>
      </c>
      <c r="CY87" s="217">
        <f t="shared" si="246"/>
        <v>2.6933333333333334</v>
      </c>
      <c r="CZ87" s="217">
        <f t="shared" si="247"/>
        <v>1.3466666666666667</v>
      </c>
      <c r="DA87" s="217">
        <f t="shared" si="248"/>
        <v>1.9707317073170736</v>
      </c>
      <c r="DB87" s="197">
        <f t="shared" si="249"/>
        <v>350</v>
      </c>
      <c r="DC87" s="443">
        <f t="shared" si="299"/>
        <v>301.44103519262814</v>
      </c>
      <c r="DE87" s="217">
        <f t="shared" si="250"/>
        <v>2.3196605374823194</v>
      </c>
      <c r="DF87" s="173">
        <f t="shared" si="251"/>
        <v>1.6973125884016973</v>
      </c>
      <c r="DG87" s="173">
        <f t="shared" si="252"/>
        <v>0.68900808044029282</v>
      </c>
      <c r="DH87" s="173"/>
      <c r="DI87" s="173">
        <f t="shared" si="253"/>
        <v>0.73170731707317083</v>
      </c>
      <c r="DJ87" s="545">
        <f t="shared" si="300"/>
        <v>2241.333333333333</v>
      </c>
      <c r="DK87" s="528">
        <f t="shared" si="254"/>
        <v>0.12804878048780488</v>
      </c>
      <c r="DM87" s="173">
        <f t="shared" si="255"/>
        <v>2.5305749393783072</v>
      </c>
      <c r="DN87" s="173">
        <f t="shared" si="256"/>
        <v>2.6933333333333334</v>
      </c>
      <c r="DO87" s="173">
        <f t="shared" si="257"/>
        <v>2.4543209876543211</v>
      </c>
      <c r="DQ87" s="545">
        <f t="shared" si="258"/>
        <v>820</v>
      </c>
      <c r="DR87" s="460">
        <f t="shared" si="259"/>
        <v>301.44103519262814</v>
      </c>
      <c r="DT87">
        <f t="shared" si="260"/>
        <v>820</v>
      </c>
      <c r="DU87">
        <f t="shared" si="261"/>
        <v>301.44103519262814</v>
      </c>
      <c r="DW87" s="5">
        <f t="shared" si="301"/>
        <v>3.3173983739837403</v>
      </c>
      <c r="DX87" s="5">
        <f t="shared" si="262"/>
        <v>1.3466666666666667</v>
      </c>
      <c r="DY87" s="5">
        <f t="shared" si="302"/>
        <v>1.9707317073170736</v>
      </c>
      <c r="DZ87" s="5">
        <f t="shared" si="263"/>
        <v>1.9707317073170736</v>
      </c>
      <c r="EA87" s="173">
        <f t="shared" si="303"/>
        <v>0.40594059405940591</v>
      </c>
      <c r="EB87" s="173">
        <f t="shared" si="264"/>
        <v>13.119999999999997</v>
      </c>
      <c r="EC87" s="173">
        <f t="shared" si="265"/>
        <v>0.80000000000000016</v>
      </c>
      <c r="ED87" s="173">
        <f t="shared" si="304"/>
        <v>16.399999999999995</v>
      </c>
      <c r="EE87" s="460">
        <f t="shared" si="266"/>
        <v>6.9016666666666655</v>
      </c>
      <c r="EF87" s="5">
        <f t="shared" si="267"/>
        <v>0.89777777777777779</v>
      </c>
      <c r="EG87" s="5"/>
      <c r="EH87" s="173">
        <f t="shared" si="305"/>
        <v>0.9907423329859133</v>
      </c>
      <c r="EI87" s="173">
        <f t="shared" si="268"/>
        <v>1.1985176028930258</v>
      </c>
      <c r="EJ87" s="173"/>
      <c r="EK87" s="528">
        <f t="shared" si="269"/>
        <v>1.9631407407407406E-2</v>
      </c>
      <c r="EL87" s="528">
        <f t="shared" si="270"/>
        <v>0.62319999999999987</v>
      </c>
      <c r="EM87" s="528">
        <f t="shared" si="271"/>
        <v>3.4665719047152238E-2</v>
      </c>
      <c r="EN87" s="528">
        <f t="shared" si="272"/>
        <v>0.24230999999999994</v>
      </c>
      <c r="EO87">
        <f t="shared" si="273"/>
        <v>1.0800000000000001E-2</v>
      </c>
      <c r="EP87" s="460">
        <f t="shared" si="306"/>
        <v>45.465719047152241</v>
      </c>
      <c r="EQ87" s="528">
        <f t="shared" si="274"/>
        <v>0.94029353267092475</v>
      </c>
      <c r="ER87" s="460">
        <f t="shared" si="307"/>
        <v>940.29353267092472</v>
      </c>
      <c r="ES87" s="528">
        <f t="shared" si="308"/>
        <v>0.50942499999999991</v>
      </c>
      <c r="ET87" s="528"/>
      <c r="EV87" s="460">
        <f t="shared" si="309"/>
        <v>509.4249999999999</v>
      </c>
      <c r="EW87" s="528">
        <f t="shared" si="275"/>
        <v>2.9447111111111108E-2</v>
      </c>
      <c r="EX87" s="528">
        <f t="shared" si="276"/>
        <v>4.3093333333333338E-2</v>
      </c>
      <c r="EY87" s="528">
        <f t="shared" si="277"/>
        <v>0.93907699342693063</v>
      </c>
      <c r="EZ87" s="528">
        <f t="shared" si="278"/>
        <v>1.0350336888423293</v>
      </c>
      <c r="FA87" s="528">
        <f t="shared" si="279"/>
        <v>1.0933333333333333E-2</v>
      </c>
      <c r="FB87" s="460">
        <f t="shared" si="310"/>
        <v>1045.9670221756626</v>
      </c>
      <c r="FC87" s="173">
        <f t="shared" si="311"/>
        <v>2.4956855548465873</v>
      </c>
      <c r="FD87" s="5">
        <f t="shared" si="312"/>
        <v>13.12</v>
      </c>
      <c r="FE87" s="173">
        <f t="shared" si="313"/>
        <v>0.84018085238198148</v>
      </c>
      <c r="FF87" s="5">
        <f t="shared" si="314"/>
        <v>84.018085238198154</v>
      </c>
      <c r="FI87" s="562">
        <f t="shared" si="280"/>
        <v>-50</v>
      </c>
      <c r="FJ87">
        <f t="shared" si="281"/>
        <v>-50</v>
      </c>
      <c r="FL87">
        <f t="shared" si="282"/>
        <v>0.59405940594059414</v>
      </c>
    </row>
    <row r="88" spans="5:168">
      <c r="E88" s="170">
        <v>83</v>
      </c>
      <c r="F88" s="217">
        <f t="shared" si="283"/>
        <v>0.83</v>
      </c>
      <c r="G88" s="217"/>
      <c r="H88" s="217">
        <f t="shared" si="183"/>
        <v>13.28</v>
      </c>
      <c r="I88" s="541">
        <f t="shared" si="184"/>
        <v>23.928345605636533</v>
      </c>
      <c r="J88" s="172">
        <f t="shared" si="185"/>
        <v>16.442992636618079</v>
      </c>
      <c r="K88" s="172">
        <f t="shared" si="186"/>
        <v>40.442992636618079</v>
      </c>
      <c r="L88" s="443"/>
      <c r="M88" s="217">
        <f t="shared" si="187"/>
        <v>0.40727790094335836</v>
      </c>
      <c r="N88" s="172">
        <f t="shared" si="188"/>
        <v>24.656080519416527</v>
      </c>
      <c r="O88" s="172">
        <f t="shared" si="284"/>
        <v>13.28</v>
      </c>
      <c r="P88" s="217">
        <f t="shared" si="189"/>
        <v>1.5410050324635329</v>
      </c>
      <c r="Q88" s="217">
        <f t="shared" si="190"/>
        <v>16</v>
      </c>
      <c r="R88" s="217">
        <f t="shared" si="191"/>
        <v>1.5227322455173251</v>
      </c>
      <c r="S88" s="172">
        <f t="shared" si="192"/>
        <v>48.341354500208041</v>
      </c>
      <c r="T88" s="172">
        <f t="shared" si="193"/>
        <v>16</v>
      </c>
      <c r="U88" s="217">
        <f t="shared" si="194"/>
        <v>2.8006379425400287</v>
      </c>
      <c r="V88" s="217">
        <f t="shared" si="195"/>
        <v>1.4045122828117194</v>
      </c>
      <c r="W88" s="217">
        <f t="shared" si="196"/>
        <v>2.0438892148888428</v>
      </c>
      <c r="X88" s="197">
        <f t="shared" si="197"/>
        <v>350</v>
      </c>
      <c r="Y88" s="443">
        <f t="shared" si="198"/>
        <v>274.0926404701508</v>
      </c>
      <c r="AA88" s="217">
        <f t="shared" si="199"/>
        <v>2.3204440371306032</v>
      </c>
      <c r="AB88" s="173">
        <f t="shared" si="200"/>
        <v>1.6934465070279532</v>
      </c>
      <c r="AC88" s="173">
        <f t="shared" si="201"/>
        <v>0.68767087365071589</v>
      </c>
      <c r="AD88" s="173"/>
      <c r="AE88" s="173">
        <f t="shared" si="202"/>
        <v>0.72979416005310005</v>
      </c>
      <c r="AF88" s="545">
        <f t="shared" si="203"/>
        <v>2274.6139813988343</v>
      </c>
      <c r="AG88" s="528">
        <f t="shared" si="204"/>
        <v>0.12771397800929252</v>
      </c>
      <c r="AI88" s="173">
        <f t="shared" si="205"/>
        <v>2.5492934491170205</v>
      </c>
      <c r="AJ88" s="173">
        <f t="shared" si="206"/>
        <v>2.8006379425400287</v>
      </c>
      <c r="AK88" s="173">
        <f t="shared" si="207"/>
        <v>2.5338058833629842</v>
      </c>
      <c r="AM88" s="545">
        <f t="shared" si="208"/>
        <v>830</v>
      </c>
      <c r="AN88" s="460">
        <f t="shared" si="209"/>
        <v>274.0926404701508</v>
      </c>
      <c r="AP88">
        <f t="shared" si="210"/>
        <v>830</v>
      </c>
      <c r="AQ88">
        <f t="shared" si="211"/>
        <v>274.0926404701508</v>
      </c>
      <c r="AS88" s="5">
        <f t="shared" si="285"/>
        <v>3.6484014977005623</v>
      </c>
      <c r="AT88" s="5">
        <f t="shared" si="212"/>
        <v>1.4045122828117194</v>
      </c>
      <c r="AU88" s="5">
        <f t="shared" si="286"/>
        <v>2.243889214888843</v>
      </c>
      <c r="AV88" s="5">
        <f t="shared" si="213"/>
        <v>2.0438892148888428</v>
      </c>
      <c r="AW88" s="173">
        <f t="shared" si="287"/>
        <v>0.38496648016862339</v>
      </c>
      <c r="AX88" s="173">
        <f t="shared" si="214"/>
        <v>12.899193616938804</v>
      </c>
      <c r="AY88" s="173">
        <f t="shared" si="215"/>
        <v>0.86124310578684915</v>
      </c>
      <c r="AZ88" s="173">
        <f t="shared" si="288"/>
        <v>14.977412916593208</v>
      </c>
      <c r="BA88" s="460">
        <f t="shared" si="216"/>
        <v>7.2859074670857931</v>
      </c>
      <c r="BB88" s="5">
        <f t="shared" si="217"/>
        <v>1.0377806467428197</v>
      </c>
      <c r="BC88" s="5"/>
      <c r="BD88" s="173">
        <f t="shared" si="289"/>
        <v>1.0032468366192362</v>
      </c>
      <c r="BE88" s="173">
        <f t="shared" si="218"/>
        <v>1.2680773162068801</v>
      </c>
      <c r="BF88" s="173"/>
      <c r="BG88" s="528">
        <f t="shared" si="219"/>
        <v>2.0130084303730089E-2</v>
      </c>
      <c r="BH88" s="528">
        <f t="shared" si="220"/>
        <v>0.56657902936626914</v>
      </c>
      <c r="BI88" s="528">
        <f t="shared" si="221"/>
        <v>0.15084741887001868</v>
      </c>
      <c r="BJ88" s="528">
        <f t="shared" si="222"/>
        <v>0.22079547983135514</v>
      </c>
      <c r="BK88">
        <f t="shared" si="223"/>
        <v>1.076775552253644E-2</v>
      </c>
      <c r="BL88" s="460">
        <f t="shared" si="290"/>
        <v>161.61517439255513</v>
      </c>
      <c r="BM88" s="528">
        <f t="shared" si="224"/>
        <v>0.81684661851479679</v>
      </c>
      <c r="BN88" s="460">
        <f t="shared" si="291"/>
        <v>816.84661851479677</v>
      </c>
      <c r="BO88" s="528">
        <f t="shared" si="225"/>
        <v>0.51563749999999997</v>
      </c>
      <c r="BP88" s="528"/>
      <c r="BR88" s="460">
        <f t="shared" si="292"/>
        <v>515.63749999999993</v>
      </c>
      <c r="BS88" s="528">
        <f t="shared" si="226"/>
        <v>3.0195126455595134E-2</v>
      </c>
      <c r="BT88" s="528">
        <f t="shared" si="227"/>
        <v>4.8240602396353312E-2</v>
      </c>
      <c r="BU88" s="528">
        <f t="shared" si="228"/>
        <v>0.19919999999999999</v>
      </c>
      <c r="BV88" s="528">
        <f t="shared" si="229"/>
        <v>0.29833229666674665</v>
      </c>
      <c r="BW88" s="528">
        <f t="shared" si="230"/>
        <v>1.0749328014115671E-2</v>
      </c>
      <c r="BX88" s="460">
        <f t="shared" si="293"/>
        <v>309.08162468086232</v>
      </c>
      <c r="BY88" s="173">
        <f t="shared" si="231"/>
        <v>1.8031809175882141</v>
      </c>
      <c r="BZ88" s="5">
        <f t="shared" si="294"/>
        <v>13.28</v>
      </c>
      <c r="CA88" s="173">
        <f t="shared" si="295"/>
        <v>0.88045088582836273</v>
      </c>
      <c r="CB88" s="5">
        <f t="shared" si="296"/>
        <v>88.045088582836271</v>
      </c>
      <c r="CE88" s="562">
        <f t="shared" si="232"/>
        <v>-50</v>
      </c>
      <c r="CF88">
        <f t="shared" si="233"/>
        <v>-50</v>
      </c>
      <c r="CG88" s="173">
        <f t="shared" si="234"/>
        <v>0.57916894516601847</v>
      </c>
      <c r="CI88" s="170">
        <v>83</v>
      </c>
      <c r="CJ88" s="217">
        <f t="shared" si="297"/>
        <v>0.83</v>
      </c>
      <c r="CK88" s="217"/>
      <c r="CL88" s="217">
        <f t="shared" si="235"/>
        <v>13.28</v>
      </c>
      <c r="CM88" s="541">
        <f t="shared" si="236"/>
        <v>24</v>
      </c>
      <c r="CN88" s="172">
        <f t="shared" si="237"/>
        <v>16.399999999999999</v>
      </c>
      <c r="CO88" s="443">
        <f t="shared" si="238"/>
        <v>40.4</v>
      </c>
      <c r="CP88" s="443"/>
      <c r="CQ88" s="217">
        <f t="shared" si="239"/>
        <v>0.40594059405940591</v>
      </c>
      <c r="CR88" s="172">
        <f t="shared" si="240"/>
        <v>24.648712871287128</v>
      </c>
      <c r="CS88" s="172">
        <f t="shared" si="298"/>
        <v>13.28</v>
      </c>
      <c r="CT88" s="217">
        <f t="shared" si="241"/>
        <v>1.5405445544554455</v>
      </c>
      <c r="CU88" s="217">
        <f t="shared" si="242"/>
        <v>16</v>
      </c>
      <c r="CV88" s="217">
        <f t="shared" si="243"/>
        <v>1.5222772277227721</v>
      </c>
      <c r="CW88" s="172">
        <f t="shared" si="244"/>
        <v>48.485533739847732</v>
      </c>
      <c r="CX88" s="172">
        <f t="shared" si="245"/>
        <v>16</v>
      </c>
      <c r="CY88" s="217">
        <f t="shared" si="246"/>
        <v>2.7261788617886178</v>
      </c>
      <c r="CZ88" s="217">
        <f t="shared" si="247"/>
        <v>1.3630894308943089</v>
      </c>
      <c r="DA88" s="217">
        <f t="shared" si="248"/>
        <v>1.9947650208209402</v>
      </c>
      <c r="DB88" s="197">
        <f t="shared" si="249"/>
        <v>350</v>
      </c>
      <c r="DC88" s="443">
        <f t="shared" si="299"/>
        <v>297.80921549151219</v>
      </c>
      <c r="DE88" s="217">
        <f t="shared" si="250"/>
        <v>2.3196605374823194</v>
      </c>
      <c r="DF88" s="173">
        <f t="shared" si="251"/>
        <v>1.6973125884016973</v>
      </c>
      <c r="DG88" s="173">
        <f t="shared" si="252"/>
        <v>0.68900808044029282</v>
      </c>
      <c r="DH88" s="173"/>
      <c r="DI88" s="173">
        <f t="shared" si="253"/>
        <v>0.73170731707317083</v>
      </c>
      <c r="DJ88" s="545">
        <f t="shared" si="300"/>
        <v>2268.6666666666661</v>
      </c>
      <c r="DK88" s="528">
        <f t="shared" si="254"/>
        <v>0.12804878048780488</v>
      </c>
      <c r="DM88" s="173">
        <f t="shared" si="255"/>
        <v>2.545958515354239</v>
      </c>
      <c r="DN88" s="173">
        <f t="shared" si="256"/>
        <v>2.7261788617886178</v>
      </c>
      <c r="DO88" s="173">
        <f t="shared" si="257"/>
        <v>2.4786510087323093</v>
      </c>
      <c r="DQ88" s="545">
        <f t="shared" si="258"/>
        <v>830</v>
      </c>
      <c r="DR88" s="460">
        <f t="shared" si="259"/>
        <v>297.80921549151219</v>
      </c>
      <c r="DT88">
        <f t="shared" si="260"/>
        <v>830</v>
      </c>
      <c r="DU88">
        <f t="shared" si="261"/>
        <v>297.80921549151219</v>
      </c>
      <c r="DW88" s="5">
        <f t="shared" si="301"/>
        <v>3.3578544517152484</v>
      </c>
      <c r="DX88" s="5">
        <f t="shared" si="262"/>
        <v>1.3630894308943089</v>
      </c>
      <c r="DY88" s="5">
        <f t="shared" si="302"/>
        <v>1.9947650208209395</v>
      </c>
      <c r="DZ88" s="5">
        <f t="shared" si="263"/>
        <v>1.9947650208209402</v>
      </c>
      <c r="EA88" s="173">
        <f t="shared" si="303"/>
        <v>0.40594059405940597</v>
      </c>
      <c r="EB88" s="173">
        <f t="shared" si="264"/>
        <v>13.28</v>
      </c>
      <c r="EC88" s="173">
        <f t="shared" si="265"/>
        <v>0.80975609756097555</v>
      </c>
      <c r="ED88" s="173">
        <f t="shared" si="304"/>
        <v>16.400000000000002</v>
      </c>
      <c r="EE88" s="460">
        <f t="shared" si="266"/>
        <v>7.0710264227642279</v>
      </c>
      <c r="EF88" s="5">
        <f t="shared" si="267"/>
        <v>0.91980831515632189</v>
      </c>
      <c r="EG88" s="5"/>
      <c r="EH88" s="173">
        <f t="shared" si="305"/>
        <v>1.0028245565589122</v>
      </c>
      <c r="EI88" s="173">
        <f t="shared" si="268"/>
        <v>1.2131336712209893</v>
      </c>
      <c r="EJ88" s="173"/>
      <c r="EK88" s="528">
        <f t="shared" si="269"/>
        <v>2.0113141824751577E-2</v>
      </c>
      <c r="EL88" s="528">
        <f t="shared" si="270"/>
        <v>0.62320000000000009</v>
      </c>
      <c r="EM88" s="528">
        <f t="shared" si="271"/>
        <v>3.4248059781523905E-2</v>
      </c>
      <c r="EN88" s="528">
        <f t="shared" si="272"/>
        <v>0.23939060240963855</v>
      </c>
      <c r="EO88">
        <f t="shared" si="273"/>
        <v>1.0800000000000001E-2</v>
      </c>
      <c r="EP88" s="460">
        <f t="shared" si="306"/>
        <v>45.048059781523904</v>
      </c>
      <c r="EQ88" s="528">
        <f t="shared" si="274"/>
        <v>0.93766333520983602</v>
      </c>
      <c r="ER88" s="460">
        <f t="shared" si="307"/>
        <v>937.66333520983608</v>
      </c>
      <c r="ES88" s="528">
        <f t="shared" si="308"/>
        <v>0.51563749999999997</v>
      </c>
      <c r="ET88" s="528"/>
      <c r="EV88" s="460">
        <f t="shared" si="309"/>
        <v>515.63749999999993</v>
      </c>
      <c r="EW88" s="528">
        <f t="shared" si="275"/>
        <v>3.0169712737127364E-2</v>
      </c>
      <c r="EX88" s="528">
        <f t="shared" si="276"/>
        <v>4.4150799127503457E-2</v>
      </c>
      <c r="EY88" s="528">
        <f t="shared" si="277"/>
        <v>0.93907699342693118</v>
      </c>
      <c r="EZ88" s="528">
        <f t="shared" si="278"/>
        <v>1.037402450630311</v>
      </c>
      <c r="FA88" s="528">
        <f t="shared" si="279"/>
        <v>1.1066666666666666E-2</v>
      </c>
      <c r="FB88" s="460">
        <f t="shared" si="310"/>
        <v>1048.4691172969776</v>
      </c>
      <c r="FC88" s="173">
        <f t="shared" si="311"/>
        <v>2.5017699525068138</v>
      </c>
      <c r="FD88" s="5">
        <f t="shared" si="312"/>
        <v>13.28</v>
      </c>
      <c r="FE88" s="173">
        <f t="shared" si="313"/>
        <v>0.84147722593628183</v>
      </c>
      <c r="FF88" s="5">
        <f t="shared" si="314"/>
        <v>84.147722593628188</v>
      </c>
      <c r="FI88" s="562">
        <f t="shared" si="280"/>
        <v>-50</v>
      </c>
      <c r="FJ88">
        <f t="shared" si="281"/>
        <v>-50</v>
      </c>
      <c r="FL88">
        <f t="shared" si="282"/>
        <v>0.59405940594059403</v>
      </c>
    </row>
    <row r="89" spans="5:168">
      <c r="E89" s="170">
        <v>84</v>
      </c>
      <c r="F89" s="217">
        <f t="shared" si="283"/>
        <v>0.84</v>
      </c>
      <c r="G89" s="217"/>
      <c r="H89" s="217">
        <f t="shared" si="183"/>
        <v>13.44</v>
      </c>
      <c r="I89" s="541">
        <f t="shared" si="184"/>
        <v>23.927504488525631</v>
      </c>
      <c r="J89" s="172">
        <f t="shared" si="185"/>
        <v>16.44349730688462</v>
      </c>
      <c r="K89" s="172">
        <f t="shared" si="186"/>
        <v>40.443497306884623</v>
      </c>
      <c r="L89" s="443"/>
      <c r="M89" s="217">
        <f t="shared" si="187"/>
        <v>0.40729380122257697</v>
      </c>
      <c r="N89" s="172">
        <f t="shared" si="188"/>
        <v>24.656176369961749</v>
      </c>
      <c r="O89" s="172">
        <f t="shared" si="284"/>
        <v>13.44</v>
      </c>
      <c r="P89" s="217">
        <f t="shared" si="189"/>
        <v>1.5410110231226093</v>
      </c>
      <c r="Q89" s="217">
        <f t="shared" si="190"/>
        <v>16</v>
      </c>
      <c r="R89" s="217">
        <f t="shared" si="191"/>
        <v>1.5227381651409182</v>
      </c>
      <c r="S89" s="172">
        <f t="shared" si="192"/>
        <v>47.4851804732223</v>
      </c>
      <c r="T89" s="172">
        <f t="shared" si="193"/>
        <v>16</v>
      </c>
      <c r="U89" s="217">
        <f t="shared" si="194"/>
        <v>2.8344566050858604</v>
      </c>
      <c r="V89" s="217">
        <f t="shared" si="195"/>
        <v>1.4215222183885241</v>
      </c>
      <c r="W89" s="217">
        <f t="shared" si="196"/>
        <v>2.0685063904738468</v>
      </c>
      <c r="X89" s="197">
        <f t="shared" si="197"/>
        <v>350</v>
      </c>
      <c r="Y89" s="443">
        <f t="shared" si="198"/>
        <v>271.00060893790692</v>
      </c>
      <c r="AA89" s="217">
        <f t="shared" si="199"/>
        <v>2.3204530250949067</v>
      </c>
      <c r="AB89" s="173">
        <f t="shared" si="200"/>
        <v>1.6934010923260503</v>
      </c>
      <c r="AC89" s="173">
        <f t="shared" si="201"/>
        <v>0.6876550952927255</v>
      </c>
      <c r="AD89" s="173"/>
      <c r="AE89" s="173">
        <f t="shared" si="202"/>
        <v>0.72977176181223924</v>
      </c>
      <c r="AF89" s="545">
        <f t="shared" si="203"/>
        <v>2302.0896229638465</v>
      </c>
      <c r="AG89" s="528">
        <f t="shared" si="204"/>
        <v>0.12771005831714186</v>
      </c>
      <c r="AI89" s="173">
        <f t="shared" si="205"/>
        <v>2.5646440148203506</v>
      </c>
      <c r="AJ89" s="173">
        <f t="shared" si="206"/>
        <v>2.8344566050858604</v>
      </c>
      <c r="AK89" s="173">
        <f t="shared" si="207"/>
        <v>2.558856744508045</v>
      </c>
      <c r="AM89" s="545">
        <f t="shared" si="208"/>
        <v>840</v>
      </c>
      <c r="AN89" s="460">
        <f t="shared" si="209"/>
        <v>271.00060893790692</v>
      </c>
      <c r="AP89">
        <f t="shared" si="210"/>
        <v>840</v>
      </c>
      <c r="AQ89">
        <f t="shared" si="211"/>
        <v>271.00060893790692</v>
      </c>
      <c r="AS89" s="5">
        <f t="shared" si="285"/>
        <v>3.6900286088623706</v>
      </c>
      <c r="AT89" s="5">
        <f t="shared" si="212"/>
        <v>1.4215222183885241</v>
      </c>
      <c r="AU89" s="5">
        <f t="shared" si="286"/>
        <v>2.2685063904738465</v>
      </c>
      <c r="AV89" s="5">
        <f t="shared" si="213"/>
        <v>2.0685063904738468</v>
      </c>
      <c r="AW89" s="173">
        <f t="shared" si="287"/>
        <v>0.38523338680205432</v>
      </c>
      <c r="AX89" s="173">
        <f t="shared" si="214"/>
        <v>13.063547897952651</v>
      </c>
      <c r="AY89" s="173">
        <f t="shared" si="215"/>
        <v>0.87126464368259071</v>
      </c>
      <c r="AZ89" s="173">
        <f t="shared" si="288"/>
        <v>14.993777140705156</v>
      </c>
      <c r="BA89" s="460">
        <f t="shared" si="216"/>
        <v>7.4629916465397521</v>
      </c>
      <c r="BB89" s="5">
        <f t="shared" si="217"/>
        <v>1.0618437700216947</v>
      </c>
      <c r="BC89" s="5"/>
      <c r="BD89" s="173">
        <f t="shared" si="289"/>
        <v>1.0157133122403954</v>
      </c>
      <c r="BE89" s="173">
        <f t="shared" si="218"/>
        <v>1.2831112770823627</v>
      </c>
      <c r="BF89" s="173"/>
      <c r="BG89" s="528">
        <f t="shared" si="219"/>
        <v>2.06334706532471E-2</v>
      </c>
      <c r="BH89" s="528">
        <f t="shared" si="220"/>
        <v>0.56695899723672905</v>
      </c>
      <c r="BI89" s="528">
        <f t="shared" si="221"/>
        <v>0.14914047059536378</v>
      </c>
      <c r="BJ89" s="528">
        <f t="shared" si="222"/>
        <v>0.21831014039109525</v>
      </c>
      <c r="BK89">
        <f t="shared" si="223"/>
        <v>1.0767377019836533E-2</v>
      </c>
      <c r="BL89" s="460">
        <f t="shared" si="290"/>
        <v>159.90784761520032</v>
      </c>
      <c r="BM89" s="528">
        <f t="shared" si="224"/>
        <v>0.81547150470640239</v>
      </c>
      <c r="BN89" s="460">
        <f t="shared" si="291"/>
        <v>815.47150470640236</v>
      </c>
      <c r="BO89" s="528">
        <f t="shared" si="225"/>
        <v>0.52184999999999993</v>
      </c>
      <c r="BP89" s="528"/>
      <c r="BR89" s="460">
        <f t="shared" si="292"/>
        <v>521.84999999999991</v>
      </c>
      <c r="BS89" s="528">
        <f t="shared" si="226"/>
        <v>3.0950205979870648E-2</v>
      </c>
      <c r="BT89" s="528">
        <f t="shared" si="227"/>
        <v>4.9391236481277953E-2</v>
      </c>
      <c r="BU89" s="528">
        <f t="shared" si="228"/>
        <v>0.20159999999999997</v>
      </c>
      <c r="BV89" s="528">
        <f t="shared" si="229"/>
        <v>0.30317197052589134</v>
      </c>
      <c r="BW89" s="528">
        <f t="shared" si="230"/>
        <v>1.0886289914960543E-2</v>
      </c>
      <c r="BX89" s="460">
        <f t="shared" si="293"/>
        <v>314.05826044085188</v>
      </c>
      <c r="BY89" s="173">
        <f t="shared" si="231"/>
        <v>1.8112876127624542</v>
      </c>
      <c r="BZ89" s="5">
        <f t="shared" si="294"/>
        <v>13.44</v>
      </c>
      <c r="CA89" s="173">
        <f t="shared" si="295"/>
        <v>0.88123706937067081</v>
      </c>
      <c r="CB89" s="5">
        <f t="shared" si="296"/>
        <v>88.123706937067084</v>
      </c>
      <c r="CE89" s="562">
        <f t="shared" si="232"/>
        <v>-50</v>
      </c>
      <c r="CF89">
        <f t="shared" si="233"/>
        <v>-50</v>
      </c>
      <c r="CG89" s="173">
        <f t="shared" si="234"/>
        <v>0.57934621255619201</v>
      </c>
      <c r="CI89" s="170">
        <v>84</v>
      </c>
      <c r="CJ89" s="217">
        <f t="shared" si="297"/>
        <v>0.84</v>
      </c>
      <c r="CK89" s="217"/>
      <c r="CL89" s="217">
        <f t="shared" si="235"/>
        <v>13.44</v>
      </c>
      <c r="CM89" s="541">
        <f t="shared" si="236"/>
        <v>24</v>
      </c>
      <c r="CN89" s="172">
        <f t="shared" si="237"/>
        <v>16.399999999999999</v>
      </c>
      <c r="CO89" s="443">
        <f t="shared" si="238"/>
        <v>40.4</v>
      </c>
      <c r="CP89" s="443"/>
      <c r="CQ89" s="217">
        <f t="shared" si="239"/>
        <v>0.40594059405940591</v>
      </c>
      <c r="CR89" s="172">
        <f t="shared" si="240"/>
        <v>24.648712871287128</v>
      </c>
      <c r="CS89" s="172">
        <f t="shared" si="298"/>
        <v>13.44</v>
      </c>
      <c r="CT89" s="217">
        <f t="shared" si="241"/>
        <v>1.5405445544554455</v>
      </c>
      <c r="CU89" s="217">
        <f t="shared" si="242"/>
        <v>16</v>
      </c>
      <c r="CV89" s="217">
        <f t="shared" si="243"/>
        <v>1.5222772277227721</v>
      </c>
      <c r="CW89" s="172">
        <f t="shared" si="244"/>
        <v>47.628452944868023</v>
      </c>
      <c r="CX89" s="172">
        <f t="shared" si="245"/>
        <v>16</v>
      </c>
      <c r="CY89" s="217">
        <f t="shared" si="246"/>
        <v>2.7590243902439022</v>
      </c>
      <c r="CZ89" s="217">
        <f t="shared" si="247"/>
        <v>1.3795121951219511</v>
      </c>
      <c r="DA89" s="217">
        <f t="shared" si="248"/>
        <v>2.0187983343248068</v>
      </c>
      <c r="DB89" s="197">
        <f t="shared" si="249"/>
        <v>350</v>
      </c>
      <c r="DC89" s="443">
        <f t="shared" si="299"/>
        <v>294.26386768804178</v>
      </c>
      <c r="DE89" s="217">
        <f t="shared" si="250"/>
        <v>2.3196605374823194</v>
      </c>
      <c r="DF89" s="173">
        <f t="shared" si="251"/>
        <v>1.6973125884016973</v>
      </c>
      <c r="DG89" s="173">
        <f t="shared" si="252"/>
        <v>0.68900808044029282</v>
      </c>
      <c r="DH89" s="173"/>
      <c r="DI89" s="173">
        <f t="shared" si="253"/>
        <v>0.73170731707317083</v>
      </c>
      <c r="DJ89" s="545">
        <f t="shared" si="300"/>
        <v>2295.9999999999995</v>
      </c>
      <c r="DK89" s="528">
        <f t="shared" si="254"/>
        <v>0.12804878048780488</v>
      </c>
      <c r="DM89" s="173">
        <f t="shared" si="255"/>
        <v>2.5612496949731396</v>
      </c>
      <c r="DN89" s="173">
        <f t="shared" si="256"/>
        <v>2.7590243902439022</v>
      </c>
      <c r="DO89" s="173">
        <f t="shared" si="257"/>
        <v>2.5029810298102979</v>
      </c>
      <c r="DQ89" s="545">
        <f t="shared" si="258"/>
        <v>840</v>
      </c>
      <c r="DR89" s="460">
        <f t="shared" si="259"/>
        <v>294.26386768804178</v>
      </c>
      <c r="DT89">
        <f t="shared" si="260"/>
        <v>840</v>
      </c>
      <c r="DU89">
        <f t="shared" si="261"/>
        <v>294.26386768804178</v>
      </c>
      <c r="DW89" s="5">
        <f t="shared" si="301"/>
        <v>3.3983105294467579</v>
      </c>
      <c r="DX89" s="5">
        <f t="shared" si="262"/>
        <v>1.3795121951219511</v>
      </c>
      <c r="DY89" s="5">
        <f t="shared" si="302"/>
        <v>2.0187983343248068</v>
      </c>
      <c r="DZ89" s="5">
        <f t="shared" si="263"/>
        <v>2.0187983343248068</v>
      </c>
      <c r="EA89" s="173">
        <f t="shared" si="303"/>
        <v>0.40594059405940591</v>
      </c>
      <c r="EB89" s="173">
        <f t="shared" si="264"/>
        <v>13.44</v>
      </c>
      <c r="EC89" s="173">
        <f t="shared" si="265"/>
        <v>0.81951219512195128</v>
      </c>
      <c r="ED89" s="173">
        <f t="shared" si="304"/>
        <v>16.399999999999999</v>
      </c>
      <c r="EE89" s="460">
        <f t="shared" si="266"/>
        <v>7.2424390243902428</v>
      </c>
      <c r="EF89" s="5">
        <f t="shared" si="267"/>
        <v>0.94210588935157624</v>
      </c>
      <c r="EG89" s="5"/>
      <c r="EH89" s="173">
        <f t="shared" si="305"/>
        <v>1.0149067801319112</v>
      </c>
      <c r="EI89" s="173">
        <f t="shared" si="268"/>
        <v>1.2277497395489532</v>
      </c>
      <c r="EJ89" s="173"/>
      <c r="EK89" s="528">
        <f t="shared" si="269"/>
        <v>2.0600715447154468E-2</v>
      </c>
      <c r="EL89" s="528">
        <f t="shared" si="270"/>
        <v>0.62320000000000009</v>
      </c>
      <c r="EM89" s="528">
        <f t="shared" si="271"/>
        <v>3.3840344784124808E-2</v>
      </c>
      <c r="EN89" s="528">
        <f t="shared" si="272"/>
        <v>0.23654071428571427</v>
      </c>
      <c r="EO89">
        <f t="shared" si="273"/>
        <v>1.0800000000000001E-2</v>
      </c>
      <c r="EP89" s="460">
        <f t="shared" si="306"/>
        <v>44.640344784124807</v>
      </c>
      <c r="EQ89" s="528">
        <f t="shared" si="274"/>
        <v>0.93512113314262946</v>
      </c>
      <c r="ER89" s="460">
        <f t="shared" si="307"/>
        <v>935.12113314262945</v>
      </c>
      <c r="ES89" s="528">
        <f t="shared" si="308"/>
        <v>0.52184999999999993</v>
      </c>
      <c r="ET89" s="528"/>
      <c r="EV89" s="460">
        <f t="shared" si="309"/>
        <v>521.84999999999991</v>
      </c>
      <c r="EW89" s="528">
        <f t="shared" si="275"/>
        <v>3.0901073170731701E-2</v>
      </c>
      <c r="EX89" s="528">
        <f t="shared" si="276"/>
        <v>4.5221082688875668E-2</v>
      </c>
      <c r="EY89" s="528">
        <f t="shared" si="277"/>
        <v>0.93907699342692974</v>
      </c>
      <c r="EZ89" s="528">
        <f t="shared" si="278"/>
        <v>1.0398006158562931</v>
      </c>
      <c r="FA89" s="528">
        <f t="shared" si="279"/>
        <v>1.1199999999999998E-2</v>
      </c>
      <c r="FB89" s="460">
        <f t="shared" si="310"/>
        <v>1051.0006158562933</v>
      </c>
      <c r="FC89" s="173">
        <f t="shared" si="311"/>
        <v>2.5079717489989224</v>
      </c>
      <c r="FD89" s="5">
        <f t="shared" si="312"/>
        <v>13.44</v>
      </c>
      <c r="FE89" s="173">
        <f t="shared" si="313"/>
        <v>0.8427403942977042</v>
      </c>
      <c r="FF89" s="5">
        <f t="shared" si="314"/>
        <v>84.274039429770426</v>
      </c>
      <c r="FI89" s="562">
        <f t="shared" si="280"/>
        <v>-50</v>
      </c>
      <c r="FJ89">
        <f t="shared" si="281"/>
        <v>-50</v>
      </c>
      <c r="FL89">
        <f t="shared" si="282"/>
        <v>0.59405940594059414</v>
      </c>
    </row>
    <row r="90" spans="5:168">
      <c r="E90" s="170">
        <v>85</v>
      </c>
      <c r="F90" s="217">
        <f t="shared" si="283"/>
        <v>0.85</v>
      </c>
      <c r="G90" s="217"/>
      <c r="H90" s="217">
        <f t="shared" si="183"/>
        <v>13.6</v>
      </c>
      <c r="I90" s="541">
        <f t="shared" si="184"/>
        <v>23.926663358159576</v>
      </c>
      <c r="J90" s="172">
        <f t="shared" si="185"/>
        <v>16.444001985104254</v>
      </c>
      <c r="K90" s="172">
        <f t="shared" si="186"/>
        <v>40.444001985104251</v>
      </c>
      <c r="L90" s="443"/>
      <c r="M90" s="217">
        <f t="shared" si="187"/>
        <v>0.40730970190030497</v>
      </c>
      <c r="N90" s="172">
        <f t="shared" si="188"/>
        <v>24.656272163298741</v>
      </c>
      <c r="O90" s="172">
        <f t="shared" si="284"/>
        <v>13.6</v>
      </c>
      <c r="P90" s="217">
        <f t="shared" si="189"/>
        <v>1.5410170102061713</v>
      </c>
      <c r="Q90" s="217">
        <f t="shared" si="190"/>
        <v>16</v>
      </c>
      <c r="R90" s="217">
        <f t="shared" si="191"/>
        <v>1.5227440812313948</v>
      </c>
      <c r="S90" s="172">
        <f t="shared" si="192"/>
        <v>46.649293762734587</v>
      </c>
      <c r="T90" s="172">
        <f t="shared" si="193"/>
        <v>16</v>
      </c>
      <c r="U90" s="217">
        <f t="shared" si="194"/>
        <v>2.8682770840869192</v>
      </c>
      <c r="V90" s="217">
        <f t="shared" si="195"/>
        <v>1.4385342617070425</v>
      </c>
      <c r="W90" s="217">
        <f t="shared" si="196"/>
        <v>2.0931233795898141</v>
      </c>
      <c r="X90" s="197">
        <f t="shared" si="197"/>
        <v>350</v>
      </c>
      <c r="Y90" s="443">
        <f t="shared" si="198"/>
        <v>267.9774234735188</v>
      </c>
      <c r="AA90" s="217">
        <f t="shared" si="199"/>
        <v>2.3204620083435312</v>
      </c>
      <c r="AB90" s="173">
        <f t="shared" si="200"/>
        <v>1.6933556761514728</v>
      </c>
      <c r="AC90" s="173">
        <f t="shared" si="201"/>
        <v>0.68763931479641383</v>
      </c>
      <c r="AD90" s="173"/>
      <c r="AE90" s="173">
        <f t="shared" si="202"/>
        <v>0.72974936459325179</v>
      </c>
      <c r="AF90" s="545">
        <f t="shared" si="203"/>
        <v>2329.5669478897689</v>
      </c>
      <c r="AG90" s="528">
        <f t="shared" si="204"/>
        <v>0.12770613880381909</v>
      </c>
      <c r="AI90" s="173">
        <f t="shared" si="205"/>
        <v>2.5799041775615117</v>
      </c>
      <c r="AJ90" s="173">
        <f t="shared" si="206"/>
        <v>2.8682770840869192</v>
      </c>
      <c r="AK90" s="173">
        <f t="shared" si="207"/>
        <v>2.5839089511754958</v>
      </c>
      <c r="AM90" s="545">
        <f t="shared" si="208"/>
        <v>850</v>
      </c>
      <c r="AN90" s="460">
        <f t="shared" si="209"/>
        <v>267.9774234735188</v>
      </c>
      <c r="AP90">
        <f t="shared" si="210"/>
        <v>850</v>
      </c>
      <c r="AQ90">
        <f t="shared" si="211"/>
        <v>267.9774234735188</v>
      </c>
      <c r="AS90" s="5">
        <f t="shared" si="285"/>
        <v>3.7316576412968567</v>
      </c>
      <c r="AT90" s="5">
        <f t="shared" si="212"/>
        <v>1.4385342617070425</v>
      </c>
      <c r="AU90" s="5">
        <f t="shared" si="286"/>
        <v>2.2931233795898143</v>
      </c>
      <c r="AV90" s="5">
        <f t="shared" si="213"/>
        <v>2.0931233795898141</v>
      </c>
      <c r="AW90" s="173">
        <f t="shared" si="287"/>
        <v>0.38549470503063382</v>
      </c>
      <c r="AX90" s="173">
        <f t="shared" si="214"/>
        <v>13.22792317288631</v>
      </c>
      <c r="AY90" s="173">
        <f t="shared" si="215"/>
        <v>0.88128572780535286</v>
      </c>
      <c r="AZ90" s="173">
        <f t="shared" si="288"/>
        <v>15.009800743996532</v>
      </c>
      <c r="BA90" s="460">
        <f t="shared" si="216"/>
        <v>7.642213265318663</v>
      </c>
      <c r="BB90" s="5">
        <f t="shared" si="217"/>
        <v>1.0861828599468479</v>
      </c>
      <c r="BC90" s="5"/>
      <c r="BD90" s="173">
        <f t="shared" si="289"/>
        <v>1.0281812609172645</v>
      </c>
      <c r="BE90" s="173">
        <f t="shared" si="218"/>
        <v>1.2981452557647919</v>
      </c>
      <c r="BF90" s="173"/>
      <c r="BG90" s="528">
        <f t="shared" si="219"/>
        <v>2.1143134106028319E-2</v>
      </c>
      <c r="BH90" s="528">
        <f t="shared" si="220"/>
        <v>0.56733072216465197</v>
      </c>
      <c r="BI90" s="528">
        <f t="shared" si="221"/>
        <v>0.14747152877787065</v>
      </c>
      <c r="BJ90" s="528">
        <f t="shared" si="222"/>
        <v>0.21588013853310223</v>
      </c>
      <c r="BK90">
        <f t="shared" si="223"/>
        <v>1.076699851117181E-2</v>
      </c>
      <c r="BL90" s="460">
        <f t="shared" si="290"/>
        <v>158.23852728904245</v>
      </c>
      <c r="BM90" s="528">
        <f t="shared" si="224"/>
        <v>0.81415262519382015</v>
      </c>
      <c r="BN90" s="460">
        <f t="shared" si="291"/>
        <v>814.1526251938202</v>
      </c>
      <c r="BO90" s="528">
        <f t="shared" si="225"/>
        <v>0.52806249999999999</v>
      </c>
      <c r="BP90" s="528"/>
      <c r="BR90" s="460">
        <f t="shared" si="292"/>
        <v>528.0625</v>
      </c>
      <c r="BS90" s="528">
        <f t="shared" si="226"/>
        <v>3.1714701159042478E-2</v>
      </c>
      <c r="BT90" s="528">
        <f t="shared" si="227"/>
        <v>5.0555433151939111E-2</v>
      </c>
      <c r="BU90" s="528">
        <f t="shared" si="228"/>
        <v>0.20399999999999999</v>
      </c>
      <c r="BV90" s="528">
        <f t="shared" si="229"/>
        <v>0.3080423815941955</v>
      </c>
      <c r="BW90" s="528">
        <f t="shared" si="230"/>
        <v>1.1023269310738592E-2</v>
      </c>
      <c r="BX90" s="460">
        <f t="shared" si="293"/>
        <v>319.0656509049341</v>
      </c>
      <c r="BY90" s="173">
        <f t="shared" si="231"/>
        <v>1.8195193033877968</v>
      </c>
      <c r="BZ90" s="5">
        <f t="shared" si="294"/>
        <v>13.6</v>
      </c>
      <c r="CA90" s="173">
        <f t="shared" si="295"/>
        <v>0.8819989606947064</v>
      </c>
      <c r="CB90" s="5">
        <f t="shared" si="296"/>
        <v>88.19989606947064</v>
      </c>
      <c r="CE90" s="562">
        <f t="shared" si="232"/>
        <v>-50</v>
      </c>
      <c r="CF90">
        <f t="shared" si="233"/>
        <v>-50</v>
      </c>
      <c r="CG90" s="173">
        <f t="shared" si="234"/>
        <v>0.57951930894894976</v>
      </c>
      <c r="CI90" s="170">
        <v>85</v>
      </c>
      <c r="CJ90" s="217">
        <f t="shared" si="297"/>
        <v>0.85</v>
      </c>
      <c r="CK90" s="217"/>
      <c r="CL90" s="217">
        <f t="shared" si="235"/>
        <v>13.6</v>
      </c>
      <c r="CM90" s="541">
        <f t="shared" si="236"/>
        <v>24</v>
      </c>
      <c r="CN90" s="172">
        <f t="shared" si="237"/>
        <v>16.399999999999999</v>
      </c>
      <c r="CO90" s="443">
        <f t="shared" si="238"/>
        <v>40.4</v>
      </c>
      <c r="CP90" s="443"/>
      <c r="CQ90" s="217">
        <f t="shared" si="239"/>
        <v>0.40594059405940591</v>
      </c>
      <c r="CR90" s="172">
        <f t="shared" si="240"/>
        <v>24.648712871287128</v>
      </c>
      <c r="CS90" s="172">
        <f t="shared" si="298"/>
        <v>13.6</v>
      </c>
      <c r="CT90" s="217">
        <f t="shared" si="241"/>
        <v>1.5405445544554455</v>
      </c>
      <c r="CU90" s="217">
        <f t="shared" si="242"/>
        <v>16</v>
      </c>
      <c r="CV90" s="217">
        <f t="shared" si="243"/>
        <v>1.5222772277227721</v>
      </c>
      <c r="CW90" s="172">
        <f t="shared" si="244"/>
        <v>46.7916610643382</v>
      </c>
      <c r="CX90" s="172">
        <f t="shared" si="245"/>
        <v>16</v>
      </c>
      <c r="CY90" s="217">
        <f t="shared" si="246"/>
        <v>2.7918699186991871</v>
      </c>
      <c r="CZ90" s="217">
        <f t="shared" si="247"/>
        <v>1.3959349593495936</v>
      </c>
      <c r="DA90" s="217">
        <f t="shared" si="248"/>
        <v>2.0428316478286739</v>
      </c>
      <c r="DB90" s="197">
        <f t="shared" si="249"/>
        <v>350</v>
      </c>
      <c r="DC90" s="443">
        <f t="shared" si="299"/>
        <v>290.80193983288831</v>
      </c>
      <c r="DE90" s="217">
        <f t="shared" si="250"/>
        <v>2.3196605374823194</v>
      </c>
      <c r="DF90" s="173">
        <f t="shared" si="251"/>
        <v>1.6973125884016973</v>
      </c>
      <c r="DG90" s="173">
        <f t="shared" si="252"/>
        <v>0.68900808044029282</v>
      </c>
      <c r="DH90" s="173"/>
      <c r="DI90" s="173">
        <f t="shared" si="253"/>
        <v>0.73170731707317083</v>
      </c>
      <c r="DJ90" s="545">
        <f t="shared" si="300"/>
        <v>2323.333333333333</v>
      </c>
      <c r="DK90" s="528">
        <f t="shared" si="254"/>
        <v>0.12804878048780488</v>
      </c>
      <c r="DM90" s="173">
        <f t="shared" si="255"/>
        <v>2.5764501233470907</v>
      </c>
      <c r="DN90" s="173">
        <f t="shared" si="256"/>
        <v>2.7918699186991871</v>
      </c>
      <c r="DO90" s="173">
        <f t="shared" si="257"/>
        <v>2.5273110508882866</v>
      </c>
      <c r="DQ90" s="545">
        <f t="shared" si="258"/>
        <v>850</v>
      </c>
      <c r="DR90" s="460">
        <f t="shared" si="259"/>
        <v>290.80193983288831</v>
      </c>
      <c r="DT90">
        <f t="shared" si="260"/>
        <v>850</v>
      </c>
      <c r="DU90">
        <f t="shared" si="261"/>
        <v>290.80193983288831</v>
      </c>
      <c r="DW90" s="5">
        <f t="shared" si="301"/>
        <v>3.4387666071782674</v>
      </c>
      <c r="DX90" s="5">
        <f t="shared" si="262"/>
        <v>1.3959349593495936</v>
      </c>
      <c r="DY90" s="5">
        <f t="shared" si="302"/>
        <v>2.0428316478286739</v>
      </c>
      <c r="DZ90" s="5">
        <f t="shared" si="263"/>
        <v>2.0428316478286739</v>
      </c>
      <c r="EA90" s="173">
        <f t="shared" si="303"/>
        <v>0.40594059405940591</v>
      </c>
      <c r="EB90" s="173">
        <f t="shared" si="264"/>
        <v>13.6</v>
      </c>
      <c r="EC90" s="173">
        <f t="shared" si="265"/>
        <v>0.82926829268292701</v>
      </c>
      <c r="ED90" s="173">
        <f t="shared" si="304"/>
        <v>16.399999999999995</v>
      </c>
      <c r="EE90" s="460">
        <f t="shared" si="266"/>
        <v>7.4159044715447155</v>
      </c>
      <c r="EF90" s="5">
        <f t="shared" si="267"/>
        <v>0.9646705003635403</v>
      </c>
      <c r="EG90" s="5"/>
      <c r="EH90" s="173">
        <f t="shared" si="305"/>
        <v>1.0269890037049101</v>
      </c>
      <c r="EI90" s="173">
        <f t="shared" si="268"/>
        <v>1.2423658078769171</v>
      </c>
      <c r="EJ90" s="173"/>
      <c r="EK90" s="528">
        <f t="shared" si="269"/>
        <v>2.1094128274616077E-2</v>
      </c>
      <c r="EL90" s="528">
        <f t="shared" si="270"/>
        <v>0.62319999999999987</v>
      </c>
      <c r="EM90" s="528">
        <f t="shared" si="271"/>
        <v>3.3442223080782159E-2</v>
      </c>
      <c r="EN90" s="528">
        <f t="shared" si="272"/>
        <v>0.23375788235294115</v>
      </c>
      <c r="EO90">
        <f t="shared" si="273"/>
        <v>1.0800000000000001E-2</v>
      </c>
      <c r="EP90" s="460">
        <f t="shared" si="306"/>
        <v>44.242223080782153</v>
      </c>
      <c r="EQ90" s="528">
        <f t="shared" si="274"/>
        <v>0.93266412819602007</v>
      </c>
      <c r="ER90" s="460">
        <f t="shared" si="307"/>
        <v>932.6641281960201</v>
      </c>
      <c r="ES90" s="528">
        <f t="shared" si="308"/>
        <v>0.52806249999999999</v>
      </c>
      <c r="ET90" s="528"/>
      <c r="EV90" s="460">
        <f t="shared" si="309"/>
        <v>528.0625</v>
      </c>
      <c r="EW90" s="528">
        <f t="shared" si="275"/>
        <v>3.1641192411924111E-2</v>
      </c>
      <c r="EX90" s="528">
        <f t="shared" si="276"/>
        <v>4.6304184017449943E-2</v>
      </c>
      <c r="EY90" s="528">
        <f t="shared" si="277"/>
        <v>0.93907699342693118</v>
      </c>
      <c r="EZ90" s="528">
        <f t="shared" si="278"/>
        <v>1.0422282098104743</v>
      </c>
      <c r="FA90" s="528">
        <f t="shared" si="279"/>
        <v>1.1333333333333332E-2</v>
      </c>
      <c r="FB90" s="460">
        <f t="shared" si="310"/>
        <v>1053.5615431438077</v>
      </c>
      <c r="FC90" s="173">
        <f t="shared" si="311"/>
        <v>2.5142881713398277</v>
      </c>
      <c r="FD90" s="5">
        <f t="shared" si="312"/>
        <v>13.6</v>
      </c>
      <c r="FE90" s="173">
        <f t="shared" si="313"/>
        <v>0.8439715025196316</v>
      </c>
      <c r="FF90" s="5">
        <f t="shared" si="314"/>
        <v>84.397150251963154</v>
      </c>
      <c r="FI90" s="562">
        <f t="shared" si="280"/>
        <v>-50</v>
      </c>
      <c r="FJ90">
        <f t="shared" si="281"/>
        <v>-50</v>
      </c>
      <c r="FL90">
        <f t="shared" si="282"/>
        <v>0.59405940594059414</v>
      </c>
    </row>
    <row r="91" spans="5:168">
      <c r="E91" s="170">
        <v>86</v>
      </c>
      <c r="F91" s="217">
        <f t="shared" si="283"/>
        <v>0.86</v>
      </c>
      <c r="G91" s="217"/>
      <c r="H91" s="217">
        <f t="shared" si="183"/>
        <v>13.76</v>
      </c>
      <c r="I91" s="541">
        <f t="shared" si="184"/>
        <v>23.925822215012214</v>
      </c>
      <c r="J91" s="172">
        <f t="shared" si="185"/>
        <v>16.44450667099267</v>
      </c>
      <c r="K91" s="172">
        <f t="shared" si="186"/>
        <v>40.444506670992666</v>
      </c>
      <c r="L91" s="443"/>
      <c r="M91" s="217">
        <f t="shared" si="187"/>
        <v>0.40732560297178705</v>
      </c>
      <c r="N91" s="172">
        <f t="shared" si="188"/>
        <v>24.656367899623834</v>
      </c>
      <c r="O91" s="172">
        <f t="shared" si="284"/>
        <v>13.76</v>
      </c>
      <c r="P91" s="217">
        <f t="shared" si="189"/>
        <v>1.5410229937264897</v>
      </c>
      <c r="Q91" s="217">
        <f t="shared" si="190"/>
        <v>16</v>
      </c>
      <c r="R91" s="217">
        <f t="shared" si="191"/>
        <v>1.5227499938008795</v>
      </c>
      <c r="S91" s="172">
        <f t="shared" si="192"/>
        <v>45.83298871730733</v>
      </c>
      <c r="T91" s="172">
        <f t="shared" si="193"/>
        <v>16</v>
      </c>
      <c r="U91" s="217">
        <f t="shared" si="194"/>
        <v>2.9020993797343384</v>
      </c>
      <c r="V91" s="217">
        <f t="shared" si="195"/>
        <v>1.4555484130848828</v>
      </c>
      <c r="W91" s="217">
        <f t="shared" si="196"/>
        <v>2.1177401823942854</v>
      </c>
      <c r="X91" s="197">
        <f t="shared" si="197"/>
        <v>350</v>
      </c>
      <c r="Y91" s="443">
        <f t="shared" si="198"/>
        <v>265.02081001652368</v>
      </c>
      <c r="AA91" s="217">
        <f t="shared" si="199"/>
        <v>2.3204709868710687</v>
      </c>
      <c r="AB91" s="173">
        <f t="shared" si="200"/>
        <v>1.6933102585297519</v>
      </c>
      <c r="AC91" s="173">
        <f t="shared" si="201"/>
        <v>0.68762353217065164</v>
      </c>
      <c r="AD91" s="173"/>
      <c r="AE91" s="173">
        <f t="shared" si="202"/>
        <v>0.72972696840869244</v>
      </c>
      <c r="AF91" s="545">
        <f t="shared" si="203"/>
        <v>2357.0459561756161</v>
      </c>
      <c r="AG91" s="528">
        <f t="shared" si="204"/>
        <v>0.12770221947152116</v>
      </c>
      <c r="AI91" s="173">
        <f t="shared" si="205"/>
        <v>2.5950755321656089</v>
      </c>
      <c r="AJ91" s="173">
        <f t="shared" si="206"/>
        <v>2.9020993797343384</v>
      </c>
      <c r="AK91" s="173">
        <f t="shared" si="207"/>
        <v>2.6089625035069171</v>
      </c>
      <c r="AM91" s="545">
        <f t="shared" si="208"/>
        <v>860</v>
      </c>
      <c r="AN91" s="460">
        <f t="shared" si="209"/>
        <v>265.02081001652368</v>
      </c>
      <c r="AP91">
        <f t="shared" si="210"/>
        <v>860</v>
      </c>
      <c r="AQ91">
        <f t="shared" si="211"/>
        <v>265.02081001652368</v>
      </c>
      <c r="AS91" s="5">
        <f t="shared" si="285"/>
        <v>3.7732885954791677</v>
      </c>
      <c r="AT91" s="5">
        <f t="shared" si="212"/>
        <v>1.4555484130848828</v>
      </c>
      <c r="AU91" s="5">
        <f t="shared" si="286"/>
        <v>2.3177401823942851</v>
      </c>
      <c r="AV91" s="5">
        <f t="shared" si="213"/>
        <v>2.1177401823942854</v>
      </c>
      <c r="AW91" s="173">
        <f t="shared" si="287"/>
        <v>0.38575061945402128</v>
      </c>
      <c r="AX91" s="173">
        <f t="shared" si="214"/>
        <v>13.392319081999457</v>
      </c>
      <c r="AY91" s="173">
        <f t="shared" si="215"/>
        <v>0.89130637314234329</v>
      </c>
      <c r="AZ91" s="173">
        <f t="shared" si="288"/>
        <v>15.02549458362358</v>
      </c>
      <c r="BA91" s="460">
        <f t="shared" si="216"/>
        <v>7.8235727203312448</v>
      </c>
      <c r="BB91" s="5">
        <f t="shared" si="217"/>
        <v>1.1107979426002308</v>
      </c>
      <c r="BC91" s="5"/>
      <c r="BD91" s="173">
        <f t="shared" si="289"/>
        <v>1.0406506721846542</v>
      </c>
      <c r="BE91" s="173">
        <f t="shared" si="218"/>
        <v>1.3131792649011931</v>
      </c>
      <c r="BF91" s="173"/>
      <c r="BG91" s="528">
        <f t="shared" si="219"/>
        <v>2.1659076430367456E-2</v>
      </c>
      <c r="BH91" s="528">
        <f t="shared" si="220"/>
        <v>0.56769447638360426</v>
      </c>
      <c r="BI91" s="528">
        <f t="shared" si="221"/>
        <v>0.14583933802587912</v>
      </c>
      <c r="BJ91" s="528">
        <f t="shared" si="222"/>
        <v>0.21350364639382463</v>
      </c>
      <c r="BK91">
        <f t="shared" si="223"/>
        <v>1.0766619996755496E-2</v>
      </c>
      <c r="BL91" s="460">
        <f t="shared" si="290"/>
        <v>156.60595802263461</v>
      </c>
      <c r="BM91" s="528">
        <f t="shared" si="224"/>
        <v>0.81288843350404028</v>
      </c>
      <c r="BN91" s="460">
        <f t="shared" si="291"/>
        <v>812.88843350404022</v>
      </c>
      <c r="BO91" s="528">
        <f t="shared" si="225"/>
        <v>0.53427499999999994</v>
      </c>
      <c r="BP91" s="528"/>
      <c r="BR91" s="460">
        <f t="shared" si="292"/>
        <v>534.27499999999998</v>
      </c>
      <c r="BS91" s="528">
        <f t="shared" si="226"/>
        <v>3.2488614645551181E-2</v>
      </c>
      <c r="BT91" s="528">
        <f t="shared" si="227"/>
        <v>5.1733193452993133E-2</v>
      </c>
      <c r="BU91" s="528">
        <f t="shared" si="228"/>
        <v>0.2064</v>
      </c>
      <c r="BV91" s="528">
        <f t="shared" si="229"/>
        <v>0.31294357594611544</v>
      </c>
      <c r="BW91" s="528">
        <f t="shared" si="230"/>
        <v>1.1160265901666215E-2</v>
      </c>
      <c r="BX91" s="460">
        <f t="shared" si="293"/>
        <v>324.10384184778161</v>
      </c>
      <c r="BY91" s="173">
        <f t="shared" si="231"/>
        <v>1.8278732333744567</v>
      </c>
      <c r="BZ91" s="5">
        <f t="shared" si="294"/>
        <v>13.76</v>
      </c>
      <c r="CA91" s="173">
        <f t="shared" si="295"/>
        <v>0.88273748406800723</v>
      </c>
      <c r="CB91" s="5">
        <f t="shared" si="296"/>
        <v>88.273748406800721</v>
      </c>
      <c r="CE91" s="562">
        <f t="shared" si="232"/>
        <v>-50</v>
      </c>
      <c r="CF91">
        <f t="shared" si="233"/>
        <v>-50</v>
      </c>
      <c r="CG91" s="173">
        <f t="shared" si="234"/>
        <v>0.5796883798442013</v>
      </c>
      <c r="CI91" s="170">
        <v>86</v>
      </c>
      <c r="CJ91" s="217">
        <f t="shared" si="297"/>
        <v>0.86</v>
      </c>
      <c r="CK91" s="217"/>
      <c r="CL91" s="217">
        <f t="shared" si="235"/>
        <v>13.76</v>
      </c>
      <c r="CM91" s="541">
        <f t="shared" si="236"/>
        <v>24</v>
      </c>
      <c r="CN91" s="172">
        <f t="shared" si="237"/>
        <v>16.399999999999999</v>
      </c>
      <c r="CO91" s="443">
        <f t="shared" si="238"/>
        <v>40.4</v>
      </c>
      <c r="CP91" s="443"/>
      <c r="CQ91" s="217">
        <f t="shared" si="239"/>
        <v>0.40594059405940591</v>
      </c>
      <c r="CR91" s="172">
        <f t="shared" si="240"/>
        <v>24.648712871287128</v>
      </c>
      <c r="CS91" s="172">
        <f t="shared" si="298"/>
        <v>13.76</v>
      </c>
      <c r="CT91" s="217">
        <f t="shared" si="241"/>
        <v>1.5405445544554455</v>
      </c>
      <c r="CU91" s="217">
        <f t="shared" si="242"/>
        <v>16</v>
      </c>
      <c r="CV91" s="217">
        <f t="shared" si="243"/>
        <v>1.5222772277227721</v>
      </c>
      <c r="CW91" s="172">
        <f t="shared" si="244"/>
        <v>45.974452391156163</v>
      </c>
      <c r="CX91" s="172">
        <f t="shared" si="245"/>
        <v>16</v>
      </c>
      <c r="CY91" s="217">
        <f t="shared" si="246"/>
        <v>2.8247154471544715</v>
      </c>
      <c r="CZ91" s="217">
        <f t="shared" si="247"/>
        <v>1.4123577235772358</v>
      </c>
      <c r="DA91" s="217">
        <f t="shared" si="248"/>
        <v>2.0668649613325405</v>
      </c>
      <c r="DB91" s="197">
        <f t="shared" si="249"/>
        <v>350</v>
      </c>
      <c r="DC91" s="443">
        <f t="shared" si="299"/>
        <v>287.42052192785479</v>
      </c>
      <c r="DE91" s="217">
        <f t="shared" si="250"/>
        <v>2.3196605374823194</v>
      </c>
      <c r="DF91" s="173">
        <f t="shared" si="251"/>
        <v>1.6973125884016973</v>
      </c>
      <c r="DG91" s="173">
        <f t="shared" si="252"/>
        <v>0.68900808044029282</v>
      </c>
      <c r="DH91" s="173"/>
      <c r="DI91" s="173">
        <f t="shared" si="253"/>
        <v>0.73170731707317083</v>
      </c>
      <c r="DJ91" s="545">
        <f t="shared" si="300"/>
        <v>2350.6666666666665</v>
      </c>
      <c r="DK91" s="528">
        <f t="shared" si="254"/>
        <v>0.12804878048780488</v>
      </c>
      <c r="DM91" s="173">
        <f t="shared" si="255"/>
        <v>2.5915613973414704</v>
      </c>
      <c r="DN91" s="173">
        <f t="shared" si="256"/>
        <v>2.8247154471544715</v>
      </c>
      <c r="DO91" s="173">
        <f t="shared" si="257"/>
        <v>2.5516410719662752</v>
      </c>
      <c r="DQ91" s="545">
        <f t="shared" si="258"/>
        <v>860</v>
      </c>
      <c r="DR91" s="460">
        <f t="shared" si="259"/>
        <v>287.42052192785479</v>
      </c>
      <c r="DT91">
        <f t="shared" si="260"/>
        <v>860</v>
      </c>
      <c r="DU91">
        <f t="shared" si="261"/>
        <v>287.42052192785479</v>
      </c>
      <c r="DW91" s="5">
        <f t="shared" si="301"/>
        <v>3.4792226849097756</v>
      </c>
      <c r="DX91" s="5">
        <f t="shared" si="262"/>
        <v>1.4123577235772358</v>
      </c>
      <c r="DY91" s="5">
        <f t="shared" si="302"/>
        <v>2.0668649613325396</v>
      </c>
      <c r="DZ91" s="5">
        <f t="shared" si="263"/>
        <v>2.0668649613325405</v>
      </c>
      <c r="EA91" s="173">
        <f t="shared" si="303"/>
        <v>0.40594059405940597</v>
      </c>
      <c r="EB91" s="173">
        <f t="shared" si="264"/>
        <v>13.760000000000002</v>
      </c>
      <c r="EC91" s="173">
        <f t="shared" si="265"/>
        <v>0.83902439024390241</v>
      </c>
      <c r="ED91" s="173">
        <f t="shared" si="304"/>
        <v>16.400000000000002</v>
      </c>
      <c r="EE91" s="460">
        <f t="shared" si="266"/>
        <v>7.5914227642276426</v>
      </c>
      <c r="EF91" s="5">
        <f t="shared" si="267"/>
        <v>0.98750214819221327</v>
      </c>
      <c r="EG91" s="5"/>
      <c r="EH91" s="173">
        <f t="shared" si="305"/>
        <v>1.039071227277909</v>
      </c>
      <c r="EI91" s="173">
        <f t="shared" si="268"/>
        <v>1.2569818762048806</v>
      </c>
      <c r="EJ91" s="173"/>
      <c r="EK91" s="528">
        <f t="shared" si="269"/>
        <v>2.1593380307136402E-2</v>
      </c>
      <c r="EL91" s="528">
        <f t="shared" si="270"/>
        <v>0.62320000000000009</v>
      </c>
      <c r="EM91" s="528">
        <f t="shared" si="271"/>
        <v>3.3053360021703303E-2</v>
      </c>
      <c r="EN91" s="528">
        <f t="shared" si="272"/>
        <v>0.23103976744186047</v>
      </c>
      <c r="EO91">
        <f t="shared" si="273"/>
        <v>1.0800000000000001E-2</v>
      </c>
      <c r="EP91" s="460">
        <f t="shared" si="306"/>
        <v>43.853360021703303</v>
      </c>
      <c r="EQ91" s="528">
        <f t="shared" si="274"/>
        <v>0.93028965260125163</v>
      </c>
      <c r="ER91" s="460">
        <f t="shared" si="307"/>
        <v>930.28965260125165</v>
      </c>
      <c r="ES91" s="528">
        <f t="shared" si="308"/>
        <v>0.53427499999999994</v>
      </c>
      <c r="ET91" s="528"/>
      <c r="EV91" s="460">
        <f t="shared" si="309"/>
        <v>534.27499999999998</v>
      </c>
      <c r="EW91" s="528">
        <f t="shared" si="275"/>
        <v>3.2390070460704599E-2</v>
      </c>
      <c r="EX91" s="528">
        <f t="shared" si="276"/>
        <v>4.7400103113226254E-2</v>
      </c>
      <c r="EY91" s="528">
        <f t="shared" si="277"/>
        <v>0.93907699342693107</v>
      </c>
      <c r="EZ91" s="528">
        <f t="shared" si="278"/>
        <v>1.0446852581045483</v>
      </c>
      <c r="FA91" s="528">
        <f t="shared" si="279"/>
        <v>1.146666666666667E-2</v>
      </c>
      <c r="FB91" s="460">
        <f t="shared" si="310"/>
        <v>1056.1519247712149</v>
      </c>
      <c r="FC91" s="173">
        <f t="shared" si="311"/>
        <v>2.5207165773724665</v>
      </c>
      <c r="FD91" s="5">
        <f t="shared" si="312"/>
        <v>13.76</v>
      </c>
      <c r="FE91" s="173">
        <f t="shared" si="313"/>
        <v>0.84517164429507663</v>
      </c>
      <c r="FF91" s="5">
        <f t="shared" si="314"/>
        <v>84.517164429507659</v>
      </c>
      <c r="FI91" s="562">
        <f t="shared" si="280"/>
        <v>-50</v>
      </c>
      <c r="FJ91">
        <f t="shared" si="281"/>
        <v>-50</v>
      </c>
      <c r="FL91">
        <f t="shared" si="282"/>
        <v>0.59405940594059403</v>
      </c>
    </row>
    <row r="92" spans="5:168">
      <c r="E92" s="170">
        <v>87</v>
      </c>
      <c r="F92" s="217">
        <f t="shared" si="283"/>
        <v>0.87</v>
      </c>
      <c r="G92" s="217"/>
      <c r="H92" s="217">
        <f t="shared" si="183"/>
        <v>13.92</v>
      </c>
      <c r="I92" s="541">
        <f t="shared" si="184"/>
        <v>23.924981059535089</v>
      </c>
      <c r="J92" s="172">
        <f t="shared" si="185"/>
        <v>16.445011364278947</v>
      </c>
      <c r="K92" s="172">
        <f t="shared" si="186"/>
        <v>40.445011364278947</v>
      </c>
      <c r="L92" s="443"/>
      <c r="M92" s="217">
        <f t="shared" si="187"/>
        <v>0.40734150443249173</v>
      </c>
      <c r="N92" s="172">
        <f t="shared" si="188"/>
        <v>24.656463579124029</v>
      </c>
      <c r="O92" s="172">
        <f t="shared" si="284"/>
        <v>13.92</v>
      </c>
      <c r="P92" s="217">
        <f t="shared" si="189"/>
        <v>1.5410289736952518</v>
      </c>
      <c r="Q92" s="217">
        <f t="shared" si="190"/>
        <v>16</v>
      </c>
      <c r="R92" s="217">
        <f t="shared" si="191"/>
        <v>1.5227559028609208</v>
      </c>
      <c r="S92" s="172">
        <f t="shared" si="192"/>
        <v>45.035592173042488</v>
      </c>
      <c r="T92" s="172">
        <f t="shared" si="193"/>
        <v>16</v>
      </c>
      <c r="U92" s="217">
        <f t="shared" si="194"/>
        <v>2.9359234922193078</v>
      </c>
      <c r="V92" s="217">
        <f t="shared" si="195"/>
        <v>1.4725646728397581</v>
      </c>
      <c r="W92" s="217">
        <f t="shared" si="196"/>
        <v>2.1423567990447809</v>
      </c>
      <c r="X92" s="197">
        <f t="shared" si="197"/>
        <v>350</v>
      </c>
      <c r="Y92" s="443">
        <f t="shared" si="198"/>
        <v>262.12859356866613</v>
      </c>
      <c r="AA92" s="217">
        <f t="shared" si="199"/>
        <v>2.320479960672361</v>
      </c>
      <c r="AB92" s="173">
        <f t="shared" si="200"/>
        <v>1.6932648394852154</v>
      </c>
      <c r="AC92" s="173">
        <f t="shared" si="201"/>
        <v>0.6876077474238953</v>
      </c>
      <c r="AD92" s="173"/>
      <c r="AE92" s="173">
        <f t="shared" si="202"/>
        <v>0.72970457327051874</v>
      </c>
      <c r="AF92" s="545">
        <f t="shared" si="203"/>
        <v>2384.5266478204471</v>
      </c>
      <c r="AG92" s="528">
        <f t="shared" si="204"/>
        <v>0.12769830032234078</v>
      </c>
      <c r="AI92" s="173">
        <f t="shared" si="205"/>
        <v>2.6101596272042427</v>
      </c>
      <c r="AJ92" s="173">
        <f t="shared" si="206"/>
        <v>2.9359234922193078</v>
      </c>
      <c r="AK92" s="173">
        <f t="shared" si="207"/>
        <v>2.6340174016439315</v>
      </c>
      <c r="AM92" s="545">
        <f t="shared" si="208"/>
        <v>870</v>
      </c>
      <c r="AN92" s="460">
        <f t="shared" si="209"/>
        <v>262.12859356866613</v>
      </c>
      <c r="AP92">
        <f t="shared" si="210"/>
        <v>870</v>
      </c>
      <c r="AQ92">
        <f t="shared" si="211"/>
        <v>262.12859356866613</v>
      </c>
      <c r="AS92" s="5">
        <f t="shared" si="285"/>
        <v>3.8149214718845395</v>
      </c>
      <c r="AT92" s="5">
        <f t="shared" si="212"/>
        <v>1.4725646728397581</v>
      </c>
      <c r="AU92" s="5">
        <f t="shared" si="286"/>
        <v>2.3423567990447811</v>
      </c>
      <c r="AV92" s="5">
        <f t="shared" si="213"/>
        <v>2.1423567990447809</v>
      </c>
      <c r="AW92" s="173">
        <f t="shared" si="287"/>
        <v>0.38600130663038879</v>
      </c>
      <c r="AX92" s="173">
        <f t="shared" si="214"/>
        <v>13.556735281222736</v>
      </c>
      <c r="AY92" s="173">
        <f t="shared" si="215"/>
        <v>0.9013265940279005</v>
      </c>
      <c r="AZ92" s="173">
        <f t="shared" si="288"/>
        <v>15.04086906017009</v>
      </c>
      <c r="BA92" s="460">
        <f t="shared" si="216"/>
        <v>8.0070704085661841</v>
      </c>
      <c r="BB92" s="5">
        <f t="shared" si="217"/>
        <v>1.1356890440709695</v>
      </c>
      <c r="BC92" s="5"/>
      <c r="BD92" s="173">
        <f t="shared" si="289"/>
        <v>1.053121536042281</v>
      </c>
      <c r="BE92" s="173">
        <f t="shared" si="218"/>
        <v>1.3282133165945214</v>
      </c>
      <c r="BF92" s="173"/>
      <c r="BG92" s="528">
        <f t="shared" si="219"/>
        <v>2.2181299393521065E-2</v>
      </c>
      <c r="BH92" s="528">
        <f t="shared" si="220"/>
        <v>0.56805052026816549</v>
      </c>
      <c r="BI92" s="528">
        <f t="shared" si="221"/>
        <v>0.1442426976347369</v>
      </c>
      <c r="BJ92" s="528">
        <f t="shared" si="222"/>
        <v>0.21117891573490941</v>
      </c>
      <c r="BK92">
        <f t="shared" si="223"/>
        <v>1.076624147679079E-2</v>
      </c>
      <c r="BL92" s="460">
        <f t="shared" si="290"/>
        <v>155.0089391115277</v>
      </c>
      <c r="BM92" s="528">
        <f t="shared" si="224"/>
        <v>0.81167745102001254</v>
      </c>
      <c r="BN92" s="460">
        <f t="shared" si="291"/>
        <v>811.67745102001254</v>
      </c>
      <c r="BO92" s="528">
        <f t="shared" si="225"/>
        <v>0.54048750000000001</v>
      </c>
      <c r="BP92" s="528"/>
      <c r="BR92" s="460">
        <f t="shared" si="292"/>
        <v>540.48749999999995</v>
      </c>
      <c r="BS92" s="528">
        <f t="shared" si="226"/>
        <v>3.3271949090281597E-2</v>
      </c>
      <c r="BT92" s="528">
        <f t="shared" si="227"/>
        <v>5.2924518431370547E-2</v>
      </c>
      <c r="BU92" s="528">
        <f t="shared" si="228"/>
        <v>0.20879999999999999</v>
      </c>
      <c r="BV92" s="528">
        <f t="shared" si="229"/>
        <v>0.31787560003358628</v>
      </c>
      <c r="BW92" s="528">
        <f t="shared" si="230"/>
        <v>1.1297279401018948E-2</v>
      </c>
      <c r="BX92" s="460">
        <f t="shared" si="293"/>
        <v>329.17287943460519</v>
      </c>
      <c r="BY92" s="173">
        <f t="shared" si="231"/>
        <v>1.8363467695661455</v>
      </c>
      <c r="BZ92" s="5">
        <f t="shared" si="294"/>
        <v>13.92</v>
      </c>
      <c r="CA92" s="173">
        <f t="shared" si="295"/>
        <v>0.88345351899000446</v>
      </c>
      <c r="CB92" s="5">
        <f t="shared" si="296"/>
        <v>88.345351899000448</v>
      </c>
      <c r="CE92" s="562">
        <f t="shared" si="232"/>
        <v>-50</v>
      </c>
      <c r="CF92">
        <f t="shared" si="233"/>
        <v>-50</v>
      </c>
      <c r="CG92" s="173">
        <f t="shared" si="234"/>
        <v>0.57985356405220589</v>
      </c>
      <c r="CI92" s="170">
        <v>87</v>
      </c>
      <c r="CJ92" s="217">
        <f t="shared" si="297"/>
        <v>0.87</v>
      </c>
      <c r="CK92" s="217"/>
      <c r="CL92" s="217">
        <f t="shared" si="235"/>
        <v>13.92</v>
      </c>
      <c r="CM92" s="541">
        <f t="shared" si="236"/>
        <v>24</v>
      </c>
      <c r="CN92" s="172">
        <f t="shared" si="237"/>
        <v>16.399999999999999</v>
      </c>
      <c r="CO92" s="443">
        <f t="shared" si="238"/>
        <v>40.4</v>
      </c>
      <c r="CP92" s="443"/>
      <c r="CQ92" s="217">
        <f t="shared" si="239"/>
        <v>0.40594059405940591</v>
      </c>
      <c r="CR92" s="172">
        <f t="shared" si="240"/>
        <v>24.648712871287128</v>
      </c>
      <c r="CS92" s="172">
        <f t="shared" si="298"/>
        <v>13.92</v>
      </c>
      <c r="CT92" s="217">
        <f t="shared" si="241"/>
        <v>1.5405445544554455</v>
      </c>
      <c r="CU92" s="217">
        <f t="shared" si="242"/>
        <v>16</v>
      </c>
      <c r="CV92" s="217">
        <f t="shared" si="243"/>
        <v>1.5222772277227721</v>
      </c>
      <c r="CW92" s="172">
        <f t="shared" si="244"/>
        <v>45.176153708453967</v>
      </c>
      <c r="CX92" s="172">
        <f t="shared" si="245"/>
        <v>16</v>
      </c>
      <c r="CY92" s="217">
        <f t="shared" si="246"/>
        <v>2.857560975609756</v>
      </c>
      <c r="CZ92" s="217">
        <f t="shared" si="247"/>
        <v>1.4287804878048778</v>
      </c>
      <c r="DA92" s="217">
        <f t="shared" si="248"/>
        <v>2.0908982748364071</v>
      </c>
      <c r="DB92" s="197">
        <f t="shared" si="249"/>
        <v>350</v>
      </c>
      <c r="DC92" s="443">
        <f t="shared" si="299"/>
        <v>284.11683776776448</v>
      </c>
      <c r="DE92" s="217">
        <f t="shared" si="250"/>
        <v>2.3196605374823194</v>
      </c>
      <c r="DF92" s="173">
        <f t="shared" si="251"/>
        <v>1.6973125884016973</v>
      </c>
      <c r="DG92" s="173">
        <f t="shared" si="252"/>
        <v>0.68900808044029282</v>
      </c>
      <c r="DH92" s="173"/>
      <c r="DI92" s="173">
        <f t="shared" si="253"/>
        <v>0.73170731707317083</v>
      </c>
      <c r="DJ92" s="545">
        <f t="shared" si="300"/>
        <v>2377.9999999999995</v>
      </c>
      <c r="DK92" s="528">
        <f t="shared" si="254"/>
        <v>0.12804878048780488</v>
      </c>
      <c r="DM92" s="173">
        <f t="shared" si="255"/>
        <v>2.6065850675329427</v>
      </c>
      <c r="DN92" s="173">
        <f t="shared" si="256"/>
        <v>2.857560975609756</v>
      </c>
      <c r="DO92" s="173">
        <f t="shared" si="257"/>
        <v>2.5759710930442639</v>
      </c>
      <c r="DQ92" s="545">
        <f t="shared" si="258"/>
        <v>870</v>
      </c>
      <c r="DR92" s="460">
        <f t="shared" si="259"/>
        <v>284.11683776776448</v>
      </c>
      <c r="DT92">
        <f t="shared" si="260"/>
        <v>870</v>
      </c>
      <c r="DU92">
        <f t="shared" si="261"/>
        <v>284.11683776776448</v>
      </c>
      <c r="DW92" s="5">
        <f t="shared" si="301"/>
        <v>3.5196787626412851</v>
      </c>
      <c r="DX92" s="5">
        <f t="shared" si="262"/>
        <v>1.4287804878048778</v>
      </c>
      <c r="DY92" s="5">
        <f t="shared" si="302"/>
        <v>2.0908982748364071</v>
      </c>
      <c r="DZ92" s="5">
        <f t="shared" si="263"/>
        <v>2.0908982748364071</v>
      </c>
      <c r="EA92" s="173">
        <f t="shared" si="303"/>
        <v>0.40594059405940586</v>
      </c>
      <c r="EB92" s="173">
        <f t="shared" si="264"/>
        <v>13.919999999999998</v>
      </c>
      <c r="EC92" s="173">
        <f t="shared" si="265"/>
        <v>0.84878048780487814</v>
      </c>
      <c r="ED92" s="173">
        <f t="shared" si="304"/>
        <v>16.399999999999995</v>
      </c>
      <c r="EE92" s="460">
        <f t="shared" si="266"/>
        <v>7.7689939024390231</v>
      </c>
      <c r="EF92" s="5">
        <f t="shared" si="267"/>
        <v>1.0106008328375966</v>
      </c>
      <c r="EG92" s="5"/>
      <c r="EH92" s="173">
        <f t="shared" si="305"/>
        <v>1.0511534508509077</v>
      </c>
      <c r="EI92" s="173">
        <f t="shared" si="268"/>
        <v>1.2715979445328445</v>
      </c>
      <c r="EJ92" s="173"/>
      <c r="EK92" s="528">
        <f t="shared" si="269"/>
        <v>2.2098471544715434E-2</v>
      </c>
      <c r="EL92" s="528">
        <f t="shared" si="270"/>
        <v>0.62319999999999987</v>
      </c>
      <c r="EM92" s="528">
        <f t="shared" si="271"/>
        <v>3.2673436343292915E-2</v>
      </c>
      <c r="EN92" s="528">
        <f t="shared" si="272"/>
        <v>0.22838413793103449</v>
      </c>
      <c r="EO92">
        <f t="shared" si="273"/>
        <v>1.0800000000000001E-2</v>
      </c>
      <c r="EP92" s="460">
        <f t="shared" si="306"/>
        <v>43.47343634329291</v>
      </c>
      <c r="EQ92" s="528">
        <f t="shared" si="274"/>
        <v>0.92799516159823348</v>
      </c>
      <c r="ER92" s="460">
        <f t="shared" si="307"/>
        <v>927.99516159823349</v>
      </c>
      <c r="ES92" s="528">
        <f t="shared" si="308"/>
        <v>0.54048750000000001</v>
      </c>
      <c r="ET92" s="528"/>
      <c r="EV92" s="460">
        <f t="shared" si="309"/>
        <v>540.48749999999995</v>
      </c>
      <c r="EW92" s="528">
        <f t="shared" si="275"/>
        <v>3.3147707317073151E-2</v>
      </c>
      <c r="EX92" s="528">
        <f t="shared" si="276"/>
        <v>4.850883997620465E-2</v>
      </c>
      <c r="EY92" s="528">
        <f t="shared" si="277"/>
        <v>0.93907699342693174</v>
      </c>
      <c r="EZ92" s="528">
        <f t="shared" si="278"/>
        <v>1.0471717866724044</v>
      </c>
      <c r="FA92" s="528">
        <f t="shared" si="279"/>
        <v>1.1599999999999999E-2</v>
      </c>
      <c r="FB92" s="460">
        <f t="shared" si="310"/>
        <v>1058.7717866724045</v>
      </c>
      <c r="FC92" s="173">
        <f t="shared" si="311"/>
        <v>2.5272544482706381</v>
      </c>
      <c r="FD92" s="5">
        <f t="shared" si="312"/>
        <v>13.92</v>
      </c>
      <c r="FE92" s="173">
        <f t="shared" si="313"/>
        <v>0.84634186476416018</v>
      </c>
      <c r="FF92" s="5">
        <f t="shared" si="314"/>
        <v>84.634186476416019</v>
      </c>
      <c r="FI92" s="562">
        <f t="shared" si="280"/>
        <v>-50</v>
      </c>
      <c r="FJ92">
        <f t="shared" si="281"/>
        <v>-50</v>
      </c>
      <c r="FL92">
        <f t="shared" si="282"/>
        <v>0.59405940594059414</v>
      </c>
    </row>
    <row r="93" spans="5:168">
      <c r="E93" s="170">
        <v>88</v>
      </c>
      <c r="F93" s="217">
        <f t="shared" si="283"/>
        <v>0.88</v>
      </c>
      <c r="G93" s="217"/>
      <c r="H93" s="217">
        <f t="shared" si="183"/>
        <v>14.08</v>
      </c>
      <c r="I93" s="541">
        <f t="shared" si="184"/>
        <v>23.924139892158699</v>
      </c>
      <c r="J93" s="172">
        <f t="shared" si="185"/>
        <v>16.44551606470478</v>
      </c>
      <c r="K93" s="172">
        <f t="shared" si="186"/>
        <v>40.445516064704776</v>
      </c>
      <c r="L93" s="443"/>
      <c r="M93" s="217">
        <f t="shared" si="187"/>
        <v>0.4073574062780993</v>
      </c>
      <c r="N93" s="172">
        <f t="shared" si="188"/>
        <v>24.656559201977558</v>
      </c>
      <c r="O93" s="172">
        <f t="shared" si="284"/>
        <v>14.08</v>
      </c>
      <c r="P93" s="217">
        <f t="shared" si="189"/>
        <v>1.5410349501235974</v>
      </c>
      <c r="Q93" s="217">
        <f t="shared" si="190"/>
        <v>16</v>
      </c>
      <c r="R93" s="217">
        <f t="shared" si="191"/>
        <v>1.5227618084225272</v>
      </c>
      <c r="S93" s="172">
        <f t="shared" si="192"/>
        <v>44.256461608826442</v>
      </c>
      <c r="T93" s="172">
        <f t="shared" si="193"/>
        <v>16</v>
      </c>
      <c r="U93" s="217">
        <f t="shared" si="194"/>
        <v>2.9697494217330673</v>
      </c>
      <c r="V93" s="217">
        <f t="shared" si="195"/>
        <v>1.4895830412894835</v>
      </c>
      <c r="W93" s="217">
        <f t="shared" si="196"/>
        <v>2.1669732296987996</v>
      </c>
      <c r="X93" s="197">
        <f t="shared" si="197"/>
        <v>350</v>
      </c>
      <c r="Y93" s="443">
        <f t="shared" si="198"/>
        <v>259.29869285784838</v>
      </c>
      <c r="AA93" s="217">
        <f t="shared" si="199"/>
        <v>2.3204889297424827</v>
      </c>
      <c r="AB93" s="173">
        <f t="shared" si="200"/>
        <v>1.6932194190410568</v>
      </c>
      <c r="AC93" s="173">
        <f t="shared" si="201"/>
        <v>0.68759196056420979</v>
      </c>
      <c r="AD93" s="173"/>
      <c r="AE93" s="173">
        <f t="shared" si="202"/>
        <v>0.72968217919012546</v>
      </c>
      <c r="AF93" s="545">
        <f t="shared" si="203"/>
        <v>2412.0090228233676</v>
      </c>
      <c r="AG93" s="528">
        <f t="shared" si="204"/>
        <v>0.12769438135827194</v>
      </c>
      <c r="AI93" s="173">
        <f t="shared" si="205"/>
        <v>2.6251579668515013</v>
      </c>
      <c r="AJ93" s="173">
        <f t="shared" si="206"/>
        <v>2.9697494217330673</v>
      </c>
      <c r="AK93" s="173">
        <f t="shared" si="207"/>
        <v>2.6590736457281983</v>
      </c>
      <c r="AM93" s="545">
        <f t="shared" si="208"/>
        <v>880</v>
      </c>
      <c r="AN93" s="460">
        <f t="shared" si="209"/>
        <v>259.29869285784838</v>
      </c>
      <c r="AP93">
        <f t="shared" si="210"/>
        <v>880</v>
      </c>
      <c r="AQ93">
        <f t="shared" si="211"/>
        <v>259.29869285784838</v>
      </c>
      <c r="AS93" s="5">
        <f t="shared" si="285"/>
        <v>3.8565562709882837</v>
      </c>
      <c r="AT93" s="5">
        <f t="shared" si="212"/>
        <v>1.4895830412894835</v>
      </c>
      <c r="AU93" s="5">
        <f t="shared" si="286"/>
        <v>2.3669732296988002</v>
      </c>
      <c r="AV93" s="5">
        <f t="shared" si="213"/>
        <v>2.1669732296987996</v>
      </c>
      <c r="AW93" s="173">
        <f t="shared" si="287"/>
        <v>0.38624693550958145</v>
      </c>
      <c r="AX93" s="173">
        <f t="shared" si="214"/>
        <v>13.721171441313604</v>
      </c>
      <c r="AY93" s="173">
        <f t="shared" si="215"/>
        <v>0.9113464041786592</v>
      </c>
      <c r="AZ93" s="173">
        <f t="shared" si="288"/>
        <v>15.055934141397811</v>
      </c>
      <c r="BA93" s="460">
        <f t="shared" si="216"/>
        <v>8.1927067270921601</v>
      </c>
      <c r="BB93" s="5">
        <f t="shared" si="217"/>
        <v>1.1608561904553656</v>
      </c>
      <c r="BC93" s="5"/>
      <c r="BD93" s="173">
        <f t="shared" si="289"/>
        <v>1.0655938429294907</v>
      </c>
      <c r="BE93" s="173">
        <f t="shared" si="218"/>
        <v>1.3432474224326862</v>
      </c>
      <c r="BF93" s="173"/>
      <c r="BG93" s="528">
        <f t="shared" si="219"/>
        <v>2.2709804761784799E-2</v>
      </c>
      <c r="BH93" s="528">
        <f t="shared" si="220"/>
        <v>0.56839910297272001</v>
      </c>
      <c r="BI93" s="528">
        <f t="shared" si="221"/>
        <v>0.1426804586410563</v>
      </c>
      <c r="BJ93" s="528">
        <f t="shared" si="222"/>
        <v>0.20890427365413167</v>
      </c>
      <c r="BK93">
        <f t="shared" si="223"/>
        <v>1.0765862951471415E-2</v>
      </c>
      <c r="BL93" s="460">
        <f t="shared" si="290"/>
        <v>153.44632159252771</v>
      </c>
      <c r="BM93" s="528">
        <f t="shared" si="224"/>
        <v>0.81051826333054311</v>
      </c>
      <c r="BN93" s="460">
        <f t="shared" si="291"/>
        <v>810.51826333054316</v>
      </c>
      <c r="BO93" s="528">
        <f t="shared" si="225"/>
        <v>0.54669999999999996</v>
      </c>
      <c r="BP93" s="528"/>
      <c r="BR93" s="460">
        <f t="shared" si="292"/>
        <v>546.69999999999993</v>
      </c>
      <c r="BS93" s="528">
        <f t="shared" si="226"/>
        <v>3.4064707142677196E-2</v>
      </c>
      <c r="BT93" s="528">
        <f t="shared" si="227"/>
        <v>5.4129409136161662E-2</v>
      </c>
      <c r="BU93" s="528">
        <f t="shared" si="228"/>
        <v>0.2112</v>
      </c>
      <c r="BV93" s="528">
        <f t="shared" si="229"/>
        <v>0.32283850068727216</v>
      </c>
      <c r="BW93" s="528">
        <f t="shared" si="230"/>
        <v>1.1434309534428004E-2</v>
      </c>
      <c r="BX93" s="460">
        <f t="shared" si="293"/>
        <v>334.27281022170013</v>
      </c>
      <c r="BY93" s="173">
        <f t="shared" si="231"/>
        <v>1.844937395144771</v>
      </c>
      <c r="BZ93" s="5">
        <f t="shared" si="294"/>
        <v>14.08</v>
      </c>
      <c r="CA93" s="173">
        <f t="shared" si="295"/>
        <v>0.88414790279130018</v>
      </c>
      <c r="CB93" s="5">
        <f t="shared" si="296"/>
        <v>88.414790279130017</v>
      </c>
      <c r="CE93" s="562">
        <f t="shared" si="232"/>
        <v>-50</v>
      </c>
      <c r="CF93">
        <f t="shared" si="233"/>
        <v>-50</v>
      </c>
      <c r="CG93" s="173">
        <f t="shared" si="234"/>
        <v>0.58001499407366475</v>
      </c>
      <c r="CI93" s="170">
        <v>88</v>
      </c>
      <c r="CJ93" s="217">
        <f t="shared" si="297"/>
        <v>0.88</v>
      </c>
      <c r="CK93" s="217"/>
      <c r="CL93" s="217">
        <f t="shared" si="235"/>
        <v>14.08</v>
      </c>
      <c r="CM93" s="541">
        <f t="shared" si="236"/>
        <v>24</v>
      </c>
      <c r="CN93" s="172">
        <f t="shared" si="237"/>
        <v>16.399999999999999</v>
      </c>
      <c r="CO93" s="443">
        <f t="shared" si="238"/>
        <v>40.4</v>
      </c>
      <c r="CP93" s="443"/>
      <c r="CQ93" s="217">
        <f t="shared" si="239"/>
        <v>0.40594059405940591</v>
      </c>
      <c r="CR93" s="172">
        <f t="shared" si="240"/>
        <v>24.648712871287128</v>
      </c>
      <c r="CS93" s="172">
        <f t="shared" si="298"/>
        <v>14.08</v>
      </c>
      <c r="CT93" s="217">
        <f t="shared" si="241"/>
        <v>1.5405445544554455</v>
      </c>
      <c r="CU93" s="217">
        <f t="shared" si="242"/>
        <v>16</v>
      </c>
      <c r="CV93" s="217">
        <f t="shared" si="243"/>
        <v>1.5222772277227721</v>
      </c>
      <c r="CW93" s="172">
        <f t="shared" si="244"/>
        <v>44.396122444689446</v>
      </c>
      <c r="CX93" s="172">
        <f t="shared" si="245"/>
        <v>16</v>
      </c>
      <c r="CY93" s="217">
        <f t="shared" si="246"/>
        <v>2.8904065040650408</v>
      </c>
      <c r="CZ93" s="217">
        <f t="shared" si="247"/>
        <v>1.4452032520325204</v>
      </c>
      <c r="DA93" s="217">
        <f t="shared" si="248"/>
        <v>2.1149315883402742</v>
      </c>
      <c r="DB93" s="197">
        <f t="shared" si="249"/>
        <v>350</v>
      </c>
      <c r="DC93" s="443">
        <f t="shared" si="299"/>
        <v>280.88823733858533</v>
      </c>
      <c r="DE93" s="217">
        <f t="shared" si="250"/>
        <v>2.3196605374823194</v>
      </c>
      <c r="DF93" s="173">
        <f t="shared" si="251"/>
        <v>1.6973125884016973</v>
      </c>
      <c r="DG93" s="173">
        <f t="shared" si="252"/>
        <v>0.68900808044029282</v>
      </c>
      <c r="DH93" s="173"/>
      <c r="DI93" s="173">
        <f t="shared" si="253"/>
        <v>0.73170731707317083</v>
      </c>
      <c r="DJ93" s="545">
        <f t="shared" si="300"/>
        <v>2405.333333333333</v>
      </c>
      <c r="DK93" s="528">
        <f t="shared" si="254"/>
        <v>0.12804878048780488</v>
      </c>
      <c r="DM93" s="173">
        <f t="shared" si="255"/>
        <v>2.6215226400664466</v>
      </c>
      <c r="DN93" s="173">
        <f t="shared" si="256"/>
        <v>2.8904065040650408</v>
      </c>
      <c r="DO93" s="173">
        <f t="shared" si="257"/>
        <v>2.6003011141222525</v>
      </c>
      <c r="DQ93" s="545">
        <f t="shared" si="258"/>
        <v>880</v>
      </c>
      <c r="DR93" s="460">
        <f t="shared" si="259"/>
        <v>280.88823733858533</v>
      </c>
      <c r="DT93">
        <f t="shared" si="260"/>
        <v>880</v>
      </c>
      <c r="DU93">
        <f t="shared" si="261"/>
        <v>280.88823733858533</v>
      </c>
      <c r="DW93" s="5">
        <f t="shared" si="301"/>
        <v>3.5601348403727942</v>
      </c>
      <c r="DX93" s="5">
        <f t="shared" si="262"/>
        <v>1.4452032520325204</v>
      </c>
      <c r="DY93" s="5">
        <f t="shared" si="302"/>
        <v>2.1149315883402737</v>
      </c>
      <c r="DZ93" s="5">
        <f t="shared" si="263"/>
        <v>2.1149315883402742</v>
      </c>
      <c r="EA93" s="173">
        <f t="shared" si="303"/>
        <v>0.40594059405940597</v>
      </c>
      <c r="EB93" s="173">
        <f t="shared" si="264"/>
        <v>14.080000000000002</v>
      </c>
      <c r="EC93" s="173">
        <f t="shared" si="265"/>
        <v>0.85853658536585364</v>
      </c>
      <c r="ED93" s="173">
        <f t="shared" si="304"/>
        <v>16.400000000000002</v>
      </c>
      <c r="EE93" s="460">
        <f t="shared" si="266"/>
        <v>7.9486178861788614</v>
      </c>
      <c r="EF93" s="5">
        <f t="shared" si="267"/>
        <v>1.0339665542996892</v>
      </c>
      <c r="EG93" s="5"/>
      <c r="EH93" s="173">
        <f t="shared" si="305"/>
        <v>1.0632356744239071</v>
      </c>
      <c r="EI93" s="173">
        <f t="shared" si="268"/>
        <v>1.2862140128608082</v>
      </c>
      <c r="EJ93" s="173"/>
      <c r="EK93" s="528">
        <f t="shared" si="269"/>
        <v>2.2609401987353214E-2</v>
      </c>
      <c r="EL93" s="528">
        <f t="shared" si="270"/>
        <v>0.62320000000000009</v>
      </c>
      <c r="EM93" s="528">
        <f t="shared" si="271"/>
        <v>3.2302147293937315E-2</v>
      </c>
      <c r="EN93" s="528">
        <f t="shared" si="272"/>
        <v>0.22578886363636361</v>
      </c>
      <c r="EO93">
        <f t="shared" si="273"/>
        <v>1.0800000000000001E-2</v>
      </c>
      <c r="EP93" s="460">
        <f t="shared" si="306"/>
        <v>43.102147293937314</v>
      </c>
      <c r="EQ93" s="528">
        <f t="shared" si="274"/>
        <v>0.92577822645077601</v>
      </c>
      <c r="ER93" s="460">
        <f t="shared" si="307"/>
        <v>925.77822645077606</v>
      </c>
      <c r="ES93" s="528">
        <f t="shared" si="308"/>
        <v>0.54669999999999996</v>
      </c>
      <c r="ET93" s="528"/>
      <c r="EV93" s="460">
        <f t="shared" si="309"/>
        <v>546.69999999999993</v>
      </c>
      <c r="EW93" s="528">
        <f t="shared" si="275"/>
        <v>3.3914102981029814E-2</v>
      </c>
      <c r="EX93" s="528">
        <f t="shared" si="276"/>
        <v>4.9630394606385096E-2</v>
      </c>
      <c r="EY93" s="528">
        <f t="shared" si="277"/>
        <v>0.93907699342693196</v>
      </c>
      <c r="EZ93" s="528">
        <f t="shared" si="278"/>
        <v>1.0496878217708041</v>
      </c>
      <c r="FA93" s="528">
        <f t="shared" si="279"/>
        <v>1.1733333333333335E-2</v>
      </c>
      <c r="FB93" s="460">
        <f t="shared" si="310"/>
        <v>1061.4211551041374</v>
      </c>
      <c r="FC93" s="173">
        <f t="shared" si="311"/>
        <v>2.5338993815549133</v>
      </c>
      <c r="FD93" s="5">
        <f t="shared" si="312"/>
        <v>14.08</v>
      </c>
      <c r="FE93" s="173">
        <f t="shared" si="313"/>
        <v>0.84748316314181493</v>
      </c>
      <c r="FF93" s="5">
        <f t="shared" si="314"/>
        <v>84.748316314181494</v>
      </c>
      <c r="FI93" s="562">
        <f t="shared" si="280"/>
        <v>-50</v>
      </c>
      <c r="FJ93">
        <f t="shared" si="281"/>
        <v>-50</v>
      </c>
      <c r="FL93">
        <f t="shared" si="282"/>
        <v>0.59405940594059403</v>
      </c>
    </row>
    <row r="94" spans="5:168">
      <c r="E94" s="170">
        <v>89</v>
      </c>
      <c r="F94" s="217">
        <f t="shared" si="283"/>
        <v>0.89</v>
      </c>
      <c r="G94" s="217"/>
      <c r="H94" s="217">
        <f t="shared" si="183"/>
        <v>14.24</v>
      </c>
      <c r="I94" s="541">
        <f t="shared" si="184"/>
        <v>23.92329871329375</v>
      </c>
      <c r="J94" s="172">
        <f t="shared" si="185"/>
        <v>16.446020772023747</v>
      </c>
      <c r="K94" s="172">
        <f t="shared" si="186"/>
        <v>40.446020772023743</v>
      </c>
      <c r="L94" s="443"/>
      <c r="M94" s="217">
        <f t="shared" si="187"/>
        <v>0.40737330850448861</v>
      </c>
      <c r="N94" s="172">
        <f t="shared" si="188"/>
        <v>24.656654768354393</v>
      </c>
      <c r="O94" s="172">
        <f t="shared" si="284"/>
        <v>14.24</v>
      </c>
      <c r="P94" s="217">
        <f t="shared" si="189"/>
        <v>1.5410409230221496</v>
      </c>
      <c r="Q94" s="217">
        <f t="shared" si="190"/>
        <v>16</v>
      </c>
      <c r="R94" s="217">
        <f t="shared" si="191"/>
        <v>1.5227677104961952</v>
      </c>
      <c r="S94" s="172">
        <f t="shared" si="192"/>
        <v>43.494983425972954</v>
      </c>
      <c r="T94" s="172">
        <f t="shared" si="193"/>
        <v>16</v>
      </c>
      <c r="U94" s="217">
        <f t="shared" si="194"/>
        <v>3.0035771684669084</v>
      </c>
      <c r="V94" s="217">
        <f t="shared" si="195"/>
        <v>1.5066035187519724</v>
      </c>
      <c r="W94" s="217">
        <f t="shared" si="196"/>
        <v>2.1915894745138207</v>
      </c>
      <c r="X94" s="197">
        <f t="shared" si="197"/>
        <v>350</v>
      </c>
      <c r="Y94" s="443">
        <f t="shared" si="198"/>
        <v>256.52911534331935</v>
      </c>
      <c r="AA94" s="217">
        <f t="shared" si="199"/>
        <v>2.3204978940767309</v>
      </c>
      <c r="AB94" s="173">
        <f t="shared" si="200"/>
        <v>1.6931739972194024</v>
      </c>
      <c r="AC94" s="173">
        <f t="shared" si="201"/>
        <v>0.6875761715992933</v>
      </c>
      <c r="AD94" s="173"/>
      <c r="AE94" s="173">
        <f t="shared" si="202"/>
        <v>0.72965978617837746</v>
      </c>
      <c r="AF94" s="545">
        <f t="shared" si="203"/>
        <v>2439.4930811835225</v>
      </c>
      <c r="AG94" s="528">
        <f t="shared" si="204"/>
        <v>0.12769046258121605</v>
      </c>
      <c r="AI94" s="173">
        <f t="shared" si="205"/>
        <v>2.6400720126452839</v>
      </c>
      <c r="AJ94" s="173">
        <f t="shared" si="206"/>
        <v>3.0035771684669084</v>
      </c>
      <c r="AK94" s="173">
        <f t="shared" si="207"/>
        <v>2.6841312359014138</v>
      </c>
      <c r="AM94" s="545">
        <f t="shared" si="208"/>
        <v>890</v>
      </c>
      <c r="AN94" s="460">
        <f t="shared" si="209"/>
        <v>256.52911534331935</v>
      </c>
      <c r="AP94">
        <f t="shared" si="210"/>
        <v>890</v>
      </c>
      <c r="AQ94">
        <f t="shared" si="211"/>
        <v>256.52911534331935</v>
      </c>
      <c r="AS94" s="5">
        <f t="shared" si="285"/>
        <v>3.8981929932657935</v>
      </c>
      <c r="AT94" s="5">
        <f t="shared" si="212"/>
        <v>1.5066035187519724</v>
      </c>
      <c r="AU94" s="5">
        <f t="shared" si="286"/>
        <v>2.3915894745138209</v>
      </c>
      <c r="AV94" s="5">
        <f t="shared" si="213"/>
        <v>2.1915894745138207</v>
      </c>
      <c r="AW94" s="173">
        <f t="shared" si="287"/>
        <v>0.38648766783857552</v>
      </c>
      <c r="AX94" s="173">
        <f t="shared" si="214"/>
        <v>13.885627247066225</v>
      </c>
      <c r="AY94" s="173">
        <f t="shared" si="215"/>
        <v>0.92136581672647022</v>
      </c>
      <c r="AZ94" s="173">
        <f t="shared" si="288"/>
        <v>15.070699384529597</v>
      </c>
      <c r="BA94" s="460">
        <f t="shared" si="216"/>
        <v>8.3804820730578466</v>
      </c>
      <c r="BB94" s="5">
        <f t="shared" si="217"/>
        <v>1.1862994078568954</v>
      </c>
      <c r="BC94" s="5"/>
      <c r="BD94" s="173">
        <f t="shared" si="289"/>
        <v>1.0780675837016136</v>
      </c>
      <c r="BE94" s="173">
        <f t="shared" si="218"/>
        <v>1.3582815935157413</v>
      </c>
      <c r="BF94" s="173"/>
      <c r="BG94" s="528">
        <f t="shared" si="219"/>
        <v>2.3244594300564716E-2</v>
      </c>
      <c r="BH94" s="528">
        <f t="shared" si="220"/>
        <v>0.56874046302939918</v>
      </c>
      <c r="BI94" s="528">
        <f t="shared" si="221"/>
        <v>0.14115152106534998</v>
      </c>
      <c r="BJ94" s="528">
        <f t="shared" si="222"/>
        <v>0.20667811857060925</v>
      </c>
      <c r="BK94">
        <f t="shared" si="223"/>
        <v>1.0765484420982187E-2</v>
      </c>
      <c r="BL94" s="460">
        <f t="shared" si="290"/>
        <v>151.91700548633216</v>
      </c>
      <c r="BM94" s="528">
        <f t="shared" si="224"/>
        <v>0.80940951681363016</v>
      </c>
      <c r="BN94" s="460">
        <f t="shared" si="291"/>
        <v>809.40951681363015</v>
      </c>
      <c r="BO94" s="528">
        <f t="shared" si="225"/>
        <v>0.55291249999999992</v>
      </c>
      <c r="BP94" s="528"/>
      <c r="BR94" s="460">
        <f t="shared" si="292"/>
        <v>552.91249999999991</v>
      </c>
      <c r="BS94" s="528">
        <f t="shared" si="226"/>
        <v>3.4866891450847072E-2</v>
      </c>
      <c r="BT94" s="528">
        <f t="shared" si="227"/>
        <v>5.5347866618509843E-2</v>
      </c>
      <c r="BU94" s="528">
        <f t="shared" si="228"/>
        <v>0.21359999999999998</v>
      </c>
      <c r="BV94" s="528">
        <f t="shared" si="229"/>
        <v>0.32783232511782812</v>
      </c>
      <c r="BW94" s="528">
        <f t="shared" si="230"/>
        <v>1.1571356039221855E-2</v>
      </c>
      <c r="BX94" s="460">
        <f t="shared" si="293"/>
        <v>339.40368115705002</v>
      </c>
      <c r="BY94" s="173">
        <f t="shared" si="231"/>
        <v>1.8536427034570122</v>
      </c>
      <c r="BZ94" s="5">
        <f t="shared" si="294"/>
        <v>14.24</v>
      </c>
      <c r="CA94" s="173">
        <f t="shared" si="295"/>
        <v>0.88482143305823258</v>
      </c>
      <c r="CB94" s="5">
        <f t="shared" si="296"/>
        <v>88.482143305823257</v>
      </c>
      <c r="CE94" s="562">
        <f t="shared" si="232"/>
        <v>-50</v>
      </c>
      <c r="CF94">
        <f t="shared" si="233"/>
        <v>-50</v>
      </c>
      <c r="CG94" s="173">
        <f t="shared" si="234"/>
        <v>0.58017279645419206</v>
      </c>
      <c r="CI94" s="170">
        <v>89</v>
      </c>
      <c r="CJ94" s="217">
        <f t="shared" si="297"/>
        <v>0.89</v>
      </c>
      <c r="CK94" s="217"/>
      <c r="CL94" s="217">
        <f t="shared" si="235"/>
        <v>14.24</v>
      </c>
      <c r="CM94" s="541">
        <f t="shared" si="236"/>
        <v>24</v>
      </c>
      <c r="CN94" s="172">
        <f t="shared" si="237"/>
        <v>16.399999999999999</v>
      </c>
      <c r="CO94" s="443">
        <f t="shared" si="238"/>
        <v>40.4</v>
      </c>
      <c r="CP94" s="443"/>
      <c r="CQ94" s="217">
        <f t="shared" si="239"/>
        <v>0.40594059405940591</v>
      </c>
      <c r="CR94" s="172">
        <f t="shared" si="240"/>
        <v>24.648712871287128</v>
      </c>
      <c r="CS94" s="172">
        <f t="shared" si="298"/>
        <v>14.24</v>
      </c>
      <c r="CT94" s="217">
        <f t="shared" si="241"/>
        <v>1.5405445544554455</v>
      </c>
      <c r="CU94" s="217">
        <f t="shared" si="242"/>
        <v>16</v>
      </c>
      <c r="CV94" s="217">
        <f t="shared" si="243"/>
        <v>1.5222772277227721</v>
      </c>
      <c r="CW94" s="172">
        <f t="shared" si="244"/>
        <v>43.633744953146731</v>
      </c>
      <c r="CX94" s="172">
        <f t="shared" si="245"/>
        <v>16</v>
      </c>
      <c r="CY94" s="217">
        <f t="shared" si="246"/>
        <v>2.9232520325203253</v>
      </c>
      <c r="CZ94" s="217">
        <f t="shared" si="247"/>
        <v>1.4616260162601626</v>
      </c>
      <c r="DA94" s="217">
        <f t="shared" si="248"/>
        <v>2.1389649018441408</v>
      </c>
      <c r="DB94" s="197">
        <f t="shared" si="249"/>
        <v>350</v>
      </c>
      <c r="DC94" s="443">
        <f t="shared" si="299"/>
        <v>277.73218972803943</v>
      </c>
      <c r="DE94" s="217">
        <f t="shared" si="250"/>
        <v>2.3196605374823194</v>
      </c>
      <c r="DF94" s="173">
        <f t="shared" si="251"/>
        <v>1.6973125884016973</v>
      </c>
      <c r="DG94" s="173">
        <f t="shared" si="252"/>
        <v>0.68900808044029282</v>
      </c>
      <c r="DH94" s="173"/>
      <c r="DI94" s="173">
        <f t="shared" si="253"/>
        <v>0.73170731707317083</v>
      </c>
      <c r="DJ94" s="545">
        <f t="shared" si="300"/>
        <v>2432.6666666666665</v>
      </c>
      <c r="DK94" s="528">
        <f t="shared" si="254"/>
        <v>0.12804878048780488</v>
      </c>
      <c r="DM94" s="173">
        <f t="shared" si="255"/>
        <v>2.6363755784174967</v>
      </c>
      <c r="DN94" s="173">
        <f t="shared" si="256"/>
        <v>2.9232520325203253</v>
      </c>
      <c r="DO94" s="173">
        <f t="shared" si="257"/>
        <v>2.6246311352002412</v>
      </c>
      <c r="DQ94" s="545">
        <f t="shared" si="258"/>
        <v>890</v>
      </c>
      <c r="DR94" s="460">
        <f t="shared" si="259"/>
        <v>277.73218972803943</v>
      </c>
      <c r="DT94">
        <f t="shared" si="260"/>
        <v>890</v>
      </c>
      <c r="DU94">
        <f t="shared" si="261"/>
        <v>277.73218972803943</v>
      </c>
      <c r="DW94" s="5">
        <f t="shared" si="301"/>
        <v>3.6005909181043028</v>
      </c>
      <c r="DX94" s="5">
        <f t="shared" si="262"/>
        <v>1.4616260162601626</v>
      </c>
      <c r="DY94" s="5">
        <f t="shared" si="302"/>
        <v>2.1389649018441403</v>
      </c>
      <c r="DZ94" s="5">
        <f t="shared" si="263"/>
        <v>2.1389649018441408</v>
      </c>
      <c r="EA94" s="173">
        <f t="shared" si="303"/>
        <v>0.40594059405940597</v>
      </c>
      <c r="EB94" s="173">
        <f t="shared" si="264"/>
        <v>14.24</v>
      </c>
      <c r="EC94" s="173">
        <f t="shared" si="265"/>
        <v>0.86829268292682926</v>
      </c>
      <c r="ED94" s="173">
        <f t="shared" si="304"/>
        <v>16.400000000000002</v>
      </c>
      <c r="EE94" s="460">
        <f t="shared" si="266"/>
        <v>8.130294715447155</v>
      </c>
      <c r="EF94" s="5">
        <f t="shared" si="267"/>
        <v>1.0575993125784917</v>
      </c>
      <c r="EG94" s="5"/>
      <c r="EH94" s="173">
        <f t="shared" si="305"/>
        <v>1.075317897996906</v>
      </c>
      <c r="EI94" s="173">
        <f t="shared" si="268"/>
        <v>1.3008300811887719</v>
      </c>
      <c r="EJ94" s="173"/>
      <c r="EK94" s="528">
        <f t="shared" si="269"/>
        <v>2.3126171635049687E-2</v>
      </c>
      <c r="EL94" s="528">
        <f t="shared" si="270"/>
        <v>0.62320000000000009</v>
      </c>
      <c r="EM94" s="528">
        <f t="shared" si="271"/>
        <v>3.193920181872454E-2</v>
      </c>
      <c r="EN94" s="528">
        <f t="shared" si="272"/>
        <v>0.22325191011235951</v>
      </c>
      <c r="EO94">
        <f t="shared" si="273"/>
        <v>1.0800000000000001E-2</v>
      </c>
      <c r="EP94" s="460">
        <f t="shared" si="306"/>
        <v>42.739201818724538</v>
      </c>
      <c r="EQ94" s="528">
        <f t="shared" si="274"/>
        <v>0.92363652793271067</v>
      </c>
      <c r="ER94" s="460">
        <f t="shared" si="307"/>
        <v>923.63652793271069</v>
      </c>
      <c r="ES94" s="528">
        <f t="shared" si="308"/>
        <v>0.55291249999999992</v>
      </c>
      <c r="ET94" s="528"/>
      <c r="EV94" s="460">
        <f t="shared" si="309"/>
        <v>552.91249999999991</v>
      </c>
      <c r="EW94" s="528">
        <f t="shared" si="275"/>
        <v>3.4689257452574528E-2</v>
      </c>
      <c r="EX94" s="528">
        <f t="shared" si="276"/>
        <v>5.07647670037676E-2</v>
      </c>
      <c r="EY94" s="528">
        <f t="shared" si="277"/>
        <v>0.93907699342693063</v>
      </c>
      <c r="EZ94" s="528">
        <f t="shared" si="278"/>
        <v>1.052233389980086</v>
      </c>
      <c r="FA94" s="528">
        <f t="shared" si="279"/>
        <v>1.1866666666666668E-2</v>
      </c>
      <c r="FB94" s="460">
        <f t="shared" si="310"/>
        <v>1064.1000566467526</v>
      </c>
      <c r="FC94" s="173">
        <f t="shared" si="311"/>
        <v>2.5406490845794631</v>
      </c>
      <c r="FD94" s="5">
        <f t="shared" si="312"/>
        <v>14.24</v>
      </c>
      <c r="FE94" s="173">
        <f t="shared" si="313"/>
        <v>0.84859649517883162</v>
      </c>
      <c r="FF94" s="5">
        <f t="shared" si="314"/>
        <v>84.859649517883156</v>
      </c>
      <c r="FI94" s="562">
        <f t="shared" si="280"/>
        <v>-50</v>
      </c>
      <c r="FJ94">
        <f t="shared" si="281"/>
        <v>-50</v>
      </c>
      <c r="FL94">
        <f t="shared" si="282"/>
        <v>0.59405940594059403</v>
      </c>
    </row>
    <row r="95" spans="5:168">
      <c r="E95" s="170">
        <v>90</v>
      </c>
      <c r="F95" s="217">
        <f t="shared" si="283"/>
        <v>0.9</v>
      </c>
      <c r="G95" s="217"/>
      <c r="H95" s="217">
        <f t="shared" si="183"/>
        <v>14.4</v>
      </c>
      <c r="I95" s="541">
        <f t="shared" si="184"/>
        <v>23.922457523332255</v>
      </c>
      <c r="J95" s="172">
        <f t="shared" si="185"/>
        <v>16.446525486000645</v>
      </c>
      <c r="K95" s="172">
        <f t="shared" si="186"/>
        <v>40.446525486000645</v>
      </c>
      <c r="L95" s="443"/>
      <c r="M95" s="217">
        <f t="shared" si="187"/>
        <v>0.40738921110772686</v>
      </c>
      <c r="N95" s="172">
        <f t="shared" si="188"/>
        <v>24.65675027841673</v>
      </c>
      <c r="O95" s="172">
        <f t="shared" si="284"/>
        <v>14.4</v>
      </c>
      <c r="P95" s="217">
        <f t="shared" si="189"/>
        <v>1.5410468924010456</v>
      </c>
      <c r="Q95" s="217">
        <f t="shared" si="190"/>
        <v>16</v>
      </c>
      <c r="R95" s="217">
        <f t="shared" si="191"/>
        <v>1.5227736090919426</v>
      </c>
      <c r="S95" s="172">
        <f t="shared" si="192"/>
        <v>42.750571342589517</v>
      </c>
      <c r="T95" s="172">
        <f t="shared" si="193"/>
        <v>16</v>
      </c>
      <c r="U95" s="217">
        <f t="shared" si="194"/>
        <v>3.0374067326121703</v>
      </c>
      <c r="V95" s="217">
        <f t="shared" si="195"/>
        <v>1.5236261055452354</v>
      </c>
      <c r="W95" s="217">
        <f t="shared" si="196"/>
        <v>2.2162055336473037</v>
      </c>
      <c r="X95" s="197">
        <f t="shared" si="197"/>
        <v>350</v>
      </c>
      <c r="Y95" s="443">
        <f t="shared" si="198"/>
        <v>253.81795253691297</v>
      </c>
      <c r="AA95" s="217">
        <f t="shared" si="199"/>
        <v>2.3205068536706119</v>
      </c>
      <c r="AB95" s="173">
        <f t="shared" si="200"/>
        <v>1.6931285740413713</v>
      </c>
      <c r="AC95" s="173">
        <f t="shared" si="201"/>
        <v>0.6875603805364966</v>
      </c>
      <c r="AD95" s="173"/>
      <c r="AE95" s="173">
        <f t="shared" si="202"/>
        <v>0.72963739424563889</v>
      </c>
      <c r="AF95" s="545">
        <f t="shared" si="203"/>
        <v>2466.9788229000969</v>
      </c>
      <c r="AG95" s="528">
        <f t="shared" si="204"/>
        <v>0.12768654399298682</v>
      </c>
      <c r="AI95" s="173">
        <f t="shared" si="205"/>
        <v>2.6549031851598102</v>
      </c>
      <c r="AJ95" s="173">
        <f t="shared" si="206"/>
        <v>3.0374067326121703</v>
      </c>
      <c r="AK95" s="173">
        <f t="shared" si="207"/>
        <v>2.7091901723053113</v>
      </c>
      <c r="AM95" s="545">
        <f t="shared" si="208"/>
        <v>900</v>
      </c>
      <c r="AN95" s="460">
        <f t="shared" si="209"/>
        <v>253.81795253691297</v>
      </c>
      <c r="AP95">
        <f t="shared" si="210"/>
        <v>900</v>
      </c>
      <c r="AQ95">
        <f t="shared" si="211"/>
        <v>253.81795253691297</v>
      </c>
      <c r="AS95" s="5">
        <f t="shared" si="285"/>
        <v>3.9398316391925396</v>
      </c>
      <c r="AT95" s="5">
        <f t="shared" si="212"/>
        <v>1.5236261055452354</v>
      </c>
      <c r="AU95" s="5">
        <f t="shared" si="286"/>
        <v>2.4162055336473043</v>
      </c>
      <c r="AV95" s="5">
        <f t="shared" si="213"/>
        <v>2.2162055336473037</v>
      </c>
      <c r="AW95" s="173">
        <f t="shared" si="287"/>
        <v>0.3867236585412821</v>
      </c>
      <c r="AX95" s="173">
        <f t="shared" si="214"/>
        <v>14.050102396571278</v>
      </c>
      <c r="AY95" s="173">
        <f t="shared" si="215"/>
        <v>0.93138484424923496</v>
      </c>
      <c r="AZ95" s="173">
        <f t="shared" si="288"/>
        <v>15.085173957169873</v>
      </c>
      <c r="BA95" s="460">
        <f t="shared" si="216"/>
        <v>8.5703968436919489</v>
      </c>
      <c r="BB95" s="5">
        <f t="shared" si="217"/>
        <v>1.2120187223862147</v>
      </c>
      <c r="BC95" s="5"/>
      <c r="BD95" s="173">
        <f t="shared" si="289"/>
        <v>1.090542749607829</v>
      </c>
      <c r="BE95" s="173">
        <f t="shared" si="218"/>
        <v>1.3733158404813668</v>
      </c>
      <c r="BF95" s="173"/>
      <c r="BG95" s="528">
        <f t="shared" si="219"/>
        <v>2.3785669774444084E-2</v>
      </c>
      <c r="BH95" s="528">
        <f t="shared" si="220"/>
        <v>0.56907482890818617</v>
      </c>
      <c r="BI95" s="528">
        <f t="shared" si="221"/>
        <v>0.13965483132913964</v>
      </c>
      <c r="BJ95" s="528">
        <f t="shared" si="222"/>
        <v>0.2044989164640553</v>
      </c>
      <c r="BK95">
        <f t="shared" si="223"/>
        <v>1.0765105885499514E-2</v>
      </c>
      <c r="BL95" s="460">
        <f t="shared" si="290"/>
        <v>150.41993721463913</v>
      </c>
      <c r="BM95" s="528">
        <f t="shared" si="224"/>
        <v>0.80834991543600621</v>
      </c>
      <c r="BN95" s="460">
        <f t="shared" si="291"/>
        <v>808.3499154360062</v>
      </c>
      <c r="BO95" s="528">
        <f t="shared" si="225"/>
        <v>0.55912499999999998</v>
      </c>
      <c r="BP95" s="528"/>
      <c r="BR95" s="460">
        <f t="shared" si="292"/>
        <v>559.125</v>
      </c>
      <c r="BS95" s="528">
        <f t="shared" si="226"/>
        <v>3.5678504661666124E-2</v>
      </c>
      <c r="BT95" s="528">
        <f t="shared" si="227"/>
        <v>5.6579891931511285E-2</v>
      </c>
      <c r="BU95" s="528">
        <f t="shared" si="228"/>
        <v>0.216</v>
      </c>
      <c r="BV95" s="528">
        <f t="shared" si="229"/>
        <v>0.33285712091717523</v>
      </c>
      <c r="BW95" s="528">
        <f t="shared" si="230"/>
        <v>1.17084186638094E-2</v>
      </c>
      <c r="BX95" s="460">
        <f t="shared" si="293"/>
        <v>344.56553958098465</v>
      </c>
      <c r="BY95" s="173">
        <f t="shared" si="231"/>
        <v>1.8624603922316301</v>
      </c>
      <c r="BZ95" s="5">
        <f t="shared" si="294"/>
        <v>14.4</v>
      </c>
      <c r="CA95" s="173">
        <f t="shared" si="295"/>
        <v>0.88547486989599034</v>
      </c>
      <c r="CB95" s="5">
        <f t="shared" si="296"/>
        <v>88.547486989599037</v>
      </c>
      <c r="CE95" s="562">
        <f t="shared" si="232"/>
        <v>-50</v>
      </c>
      <c r="CF95">
        <f t="shared" si="233"/>
        <v>-50</v>
      </c>
      <c r="CG95" s="173">
        <f t="shared" si="234"/>
        <v>0.5803270921151521</v>
      </c>
      <c r="CI95" s="170">
        <v>90</v>
      </c>
      <c r="CJ95" s="217">
        <f t="shared" si="297"/>
        <v>0.9</v>
      </c>
      <c r="CK95" s="217"/>
      <c r="CL95" s="217">
        <f t="shared" si="235"/>
        <v>14.4</v>
      </c>
      <c r="CM95" s="541">
        <f t="shared" si="236"/>
        <v>24</v>
      </c>
      <c r="CN95" s="172">
        <f t="shared" si="237"/>
        <v>16.399999999999999</v>
      </c>
      <c r="CO95" s="443">
        <f t="shared" si="238"/>
        <v>40.4</v>
      </c>
      <c r="CP95" s="443"/>
      <c r="CQ95" s="217">
        <f t="shared" si="239"/>
        <v>0.40594059405940591</v>
      </c>
      <c r="CR95" s="172">
        <f t="shared" si="240"/>
        <v>24.648712871287128</v>
      </c>
      <c r="CS95" s="172">
        <f t="shared" si="298"/>
        <v>14.4</v>
      </c>
      <c r="CT95" s="217">
        <f t="shared" si="241"/>
        <v>1.5405445544554455</v>
      </c>
      <c r="CU95" s="217">
        <f t="shared" si="242"/>
        <v>16</v>
      </c>
      <c r="CV95" s="217">
        <f t="shared" si="243"/>
        <v>1.5222772277227721</v>
      </c>
      <c r="CW95" s="172">
        <f t="shared" si="244"/>
        <v>42.888434906170097</v>
      </c>
      <c r="CX95" s="172">
        <f t="shared" si="245"/>
        <v>16</v>
      </c>
      <c r="CY95" s="217">
        <f t="shared" si="246"/>
        <v>2.9560975609756097</v>
      </c>
      <c r="CZ95" s="217">
        <f t="shared" si="247"/>
        <v>1.4780487804878051</v>
      </c>
      <c r="DA95" s="217">
        <f t="shared" si="248"/>
        <v>2.1629982153480074</v>
      </c>
      <c r="DB95" s="197">
        <f t="shared" si="249"/>
        <v>350</v>
      </c>
      <c r="DC95" s="443">
        <f t="shared" si="299"/>
        <v>274.64627650883898</v>
      </c>
      <c r="DE95" s="217">
        <f t="shared" si="250"/>
        <v>2.3196605374823194</v>
      </c>
      <c r="DF95" s="173">
        <f t="shared" si="251"/>
        <v>1.6973125884016973</v>
      </c>
      <c r="DG95" s="173">
        <f t="shared" si="252"/>
        <v>0.68900808044029282</v>
      </c>
      <c r="DH95" s="173"/>
      <c r="DI95" s="173">
        <f t="shared" si="253"/>
        <v>0.73170731707317083</v>
      </c>
      <c r="DJ95" s="545">
        <f t="shared" si="300"/>
        <v>2459.9999999999995</v>
      </c>
      <c r="DK95" s="528">
        <f t="shared" si="254"/>
        <v>0.12804878048780488</v>
      </c>
      <c r="DM95" s="173">
        <f t="shared" si="255"/>
        <v>2.6511453050656102</v>
      </c>
      <c r="DN95" s="173">
        <f t="shared" si="256"/>
        <v>2.9560975609756097</v>
      </c>
      <c r="DO95" s="173">
        <f t="shared" si="257"/>
        <v>2.6489611562782294</v>
      </c>
      <c r="DQ95" s="545">
        <f t="shared" si="258"/>
        <v>900</v>
      </c>
      <c r="DR95" s="460">
        <f t="shared" si="259"/>
        <v>274.64627650883898</v>
      </c>
      <c r="DT95">
        <f t="shared" si="260"/>
        <v>900</v>
      </c>
      <c r="DU95">
        <f t="shared" si="261"/>
        <v>274.64627650883898</v>
      </c>
      <c r="DW95" s="5">
        <f t="shared" si="301"/>
        <v>3.6410469958358123</v>
      </c>
      <c r="DX95" s="5">
        <f t="shared" si="262"/>
        <v>1.4780487804878051</v>
      </c>
      <c r="DY95" s="5">
        <f t="shared" si="302"/>
        <v>2.162998215348007</v>
      </c>
      <c r="DZ95" s="5">
        <f t="shared" si="263"/>
        <v>2.1629982153480074</v>
      </c>
      <c r="EA95" s="173">
        <f t="shared" si="303"/>
        <v>0.40594059405940597</v>
      </c>
      <c r="EB95" s="173">
        <f t="shared" si="264"/>
        <v>14.399999999999999</v>
      </c>
      <c r="EC95" s="173">
        <f t="shared" si="265"/>
        <v>0.87804878048780488</v>
      </c>
      <c r="ED95" s="173">
        <f t="shared" si="304"/>
        <v>16.399999999999999</v>
      </c>
      <c r="EE95" s="460">
        <f t="shared" si="266"/>
        <v>8.3140243902439046</v>
      </c>
      <c r="EF95" s="5">
        <f t="shared" si="267"/>
        <v>1.0814991076740033</v>
      </c>
      <c r="EG95" s="5"/>
      <c r="EH95" s="173">
        <f t="shared" si="305"/>
        <v>1.0874001215699047</v>
      </c>
      <c r="EI95" s="173">
        <f t="shared" si="268"/>
        <v>1.3154461495167356</v>
      </c>
      <c r="EJ95" s="173"/>
      <c r="EK95" s="528">
        <f t="shared" si="269"/>
        <v>2.3648780487804874E-2</v>
      </c>
      <c r="EL95" s="528">
        <f t="shared" si="270"/>
        <v>0.62319999999999987</v>
      </c>
      <c r="EM95" s="528">
        <f t="shared" si="271"/>
        <v>3.1584321798516488E-2</v>
      </c>
      <c r="EN95" s="528">
        <f t="shared" si="272"/>
        <v>0.22077133333333329</v>
      </c>
      <c r="EO95">
        <f t="shared" si="273"/>
        <v>1.0800000000000001E-2</v>
      </c>
      <c r="EP95" s="460">
        <f t="shared" si="306"/>
        <v>42.384321798516488</v>
      </c>
      <c r="EQ95" s="528">
        <f t="shared" si="274"/>
        <v>0.92156785024828725</v>
      </c>
      <c r="ER95" s="460">
        <f t="shared" si="307"/>
        <v>921.5678502482873</v>
      </c>
      <c r="ES95" s="528">
        <f t="shared" si="308"/>
        <v>0.55912499999999998</v>
      </c>
      <c r="ET95" s="528"/>
      <c r="EV95" s="460">
        <f t="shared" si="309"/>
        <v>559.125</v>
      </c>
      <c r="EW95" s="528">
        <f t="shared" si="275"/>
        <v>3.5473170731707304E-2</v>
      </c>
      <c r="EX95" s="528">
        <f t="shared" si="276"/>
        <v>5.1911957168352174E-2</v>
      </c>
      <c r="EY95" s="528">
        <f t="shared" si="277"/>
        <v>0.93907699342693296</v>
      </c>
      <c r="EZ95" s="528">
        <f t="shared" si="278"/>
        <v>1.054808518204879</v>
      </c>
      <c r="FA95" s="528">
        <f t="shared" si="279"/>
        <v>1.2E-2</v>
      </c>
      <c r="FB95" s="460">
        <f t="shared" si="310"/>
        <v>1066.808518204879</v>
      </c>
      <c r="FC95" s="173">
        <f t="shared" si="311"/>
        <v>2.5475013684531662</v>
      </c>
      <c r="FD95" s="5">
        <f t="shared" si="312"/>
        <v>14.4</v>
      </c>
      <c r="FE95" s="173">
        <f t="shared" si="313"/>
        <v>0.84968277546829418</v>
      </c>
      <c r="FF95" s="5">
        <f t="shared" si="314"/>
        <v>84.968277546829412</v>
      </c>
      <c r="FI95" s="562">
        <f t="shared" si="280"/>
        <v>-50</v>
      </c>
      <c r="FJ95">
        <f t="shared" si="281"/>
        <v>-50</v>
      </c>
      <c r="FL95">
        <f t="shared" si="282"/>
        <v>0.59405940594059403</v>
      </c>
    </row>
    <row r="96" spans="5:168">
      <c r="E96" s="170">
        <v>91</v>
      </c>
      <c r="F96" s="217">
        <f t="shared" si="283"/>
        <v>0.91</v>
      </c>
      <c r="G96" s="217"/>
      <c r="H96" s="217">
        <f t="shared" si="183"/>
        <v>14.56</v>
      </c>
      <c r="I96" s="541">
        <f t="shared" si="184"/>
        <v>23.921616322648593</v>
      </c>
      <c r="J96" s="172">
        <f t="shared" si="185"/>
        <v>16.447030206410844</v>
      </c>
      <c r="K96" s="172">
        <f t="shared" si="186"/>
        <v>40.447030206410844</v>
      </c>
      <c r="L96" s="443"/>
      <c r="M96" s="217">
        <f t="shared" si="187"/>
        <v>0.40740511408405805</v>
      </c>
      <c r="N96" s="172">
        <f t="shared" si="188"/>
        <v>24.656845732319397</v>
      </c>
      <c r="O96" s="172">
        <f t="shared" si="284"/>
        <v>14.56</v>
      </c>
      <c r="P96" s="217">
        <f t="shared" si="189"/>
        <v>1.5410528582699623</v>
      </c>
      <c r="Q96" s="217">
        <f t="shared" si="190"/>
        <v>16</v>
      </c>
      <c r="R96" s="217">
        <f t="shared" si="191"/>
        <v>1.5227795042193304</v>
      </c>
      <c r="S96" s="172">
        <f t="shared" si="192"/>
        <v>42.022664893843569</v>
      </c>
      <c r="T96" s="217">
        <f t="shared" si="193"/>
        <v>16</v>
      </c>
      <c r="U96" s="217">
        <f t="shared" si="194"/>
        <v>3.0712381143602414</v>
      </c>
      <c r="V96" s="217">
        <f t="shared" si="195"/>
        <v>1.5406508019873777</v>
      </c>
      <c r="W96" s="217">
        <f t="shared" si="196"/>
        <v>2.2408214072566937</v>
      </c>
      <c r="X96" s="197">
        <f t="shared" si="197"/>
        <v>350</v>
      </c>
      <c r="Y96" s="443">
        <f t="shared" si="198"/>
        <v>251.16337561724728</v>
      </c>
      <c r="AA96" s="217">
        <f t="shared" si="199"/>
        <v>2.3205158085198265</v>
      </c>
      <c r="AB96" s="173">
        <f t="shared" si="200"/>
        <v>1.6930831495271301</v>
      </c>
      <c r="AC96" s="173">
        <f t="shared" si="201"/>
        <v>0.68754458738284241</v>
      </c>
      <c r="AD96" s="173"/>
      <c r="AE96" s="173">
        <f t="shared" si="202"/>
        <v>0.72961500340180274</v>
      </c>
      <c r="AF96" s="545">
        <f t="shared" si="203"/>
        <v>2494.4662479723115</v>
      </c>
      <c r="AG96" s="528">
        <f t="shared" si="204"/>
        <v>0.12768262559531549</v>
      </c>
      <c r="AI96" s="173">
        <f t="shared" si="205"/>
        <v>2.6696528655947072</v>
      </c>
      <c r="AJ96" s="173">
        <f t="shared" si="206"/>
        <v>3.0712381143602414</v>
      </c>
      <c r="AK96" s="173">
        <f t="shared" si="207"/>
        <v>2.7342504550816606</v>
      </c>
      <c r="AM96" s="545">
        <f t="shared" si="208"/>
        <v>910</v>
      </c>
      <c r="AN96" s="460">
        <f t="shared" si="209"/>
        <v>251.16337561724728</v>
      </c>
      <c r="AP96">
        <f t="shared" si="210"/>
        <v>910</v>
      </c>
      <c r="AQ96">
        <f t="shared" si="211"/>
        <v>251.16337561724728</v>
      </c>
      <c r="AS96" s="5">
        <f t="shared" si="285"/>
        <v>3.9814722092440715</v>
      </c>
      <c r="AT96" s="5">
        <f t="shared" si="212"/>
        <v>1.5406508019873777</v>
      </c>
      <c r="AU96" s="5">
        <f t="shared" si="286"/>
        <v>2.4408214072566938</v>
      </c>
      <c r="AV96" s="5">
        <f t="shared" si="213"/>
        <v>2.2408214072566937</v>
      </c>
      <c r="AW96" s="173">
        <f t="shared" si="287"/>
        <v>0.38695505607456898</v>
      </c>
      <c r="AX96" s="173">
        <f t="shared" si="214"/>
        <v>14.21459660052218</v>
      </c>
      <c r="AY96" s="173">
        <f t="shared" si="215"/>
        <v>0.94140349879981045</v>
      </c>
      <c r="AZ96" s="173">
        <f t="shared" si="288"/>
        <v>15.099366656958766</v>
      </c>
      <c r="BA96" s="460">
        <f t="shared" si="216"/>
        <v>8.7624514363032091</v>
      </c>
      <c r="BB96" s="5">
        <f t="shared" si="217"/>
        <v>1.2380141601611567</v>
      </c>
      <c r="BC96" s="5"/>
      <c r="BD96" s="173">
        <f t="shared" si="289"/>
        <v>1.1030193322704314</v>
      </c>
      <c r="BE96" s="173">
        <f t="shared" si="218"/>
        <v>1.3883501735287735</v>
      </c>
      <c r="BF96" s="173"/>
      <c r="BG96" s="528">
        <f t="shared" si="219"/>
        <v>2.4333032947246168E-2</v>
      </c>
      <c r="BH96" s="528">
        <f t="shared" si="220"/>
        <v>0.56940241954195159</v>
      </c>
      <c r="BI96" s="528">
        <f t="shared" si="221"/>
        <v>0.13818937983379243</v>
      </c>
      <c r="BJ96" s="528">
        <f t="shared" si="222"/>
        <v>0.20236519734951058</v>
      </c>
      <c r="BK96">
        <f t="shared" si="223"/>
        <v>1.0764727345191866E-2</v>
      </c>
      <c r="BL96" s="460">
        <f t="shared" si="290"/>
        <v>148.95410717898432</v>
      </c>
      <c r="BM96" s="528">
        <f t="shared" si="224"/>
        <v>0.80733821775309733</v>
      </c>
      <c r="BN96" s="460">
        <f t="shared" si="291"/>
        <v>807.3382177530973</v>
      </c>
      <c r="BO96" s="528">
        <f t="shared" si="225"/>
        <v>0.56533749999999994</v>
      </c>
      <c r="BP96" s="528"/>
      <c r="BR96" s="460">
        <f t="shared" si="292"/>
        <v>565.33749999999998</v>
      </c>
      <c r="BS96" s="528">
        <f t="shared" si="226"/>
        <v>3.6499549420869248E-2</v>
      </c>
      <c r="BT96" s="528">
        <f t="shared" si="227"/>
        <v>5.782548613012127E-2</v>
      </c>
      <c r="BU96" s="528">
        <f t="shared" si="228"/>
        <v>0.21840000000000001</v>
      </c>
      <c r="BV96" s="528">
        <f t="shared" si="229"/>
        <v>0.33791293605978656</v>
      </c>
      <c r="BW96" s="528">
        <f t="shared" si="230"/>
        <v>1.1845497167101818E-2</v>
      </c>
      <c r="BX96" s="460">
        <f t="shared" si="293"/>
        <v>349.75843322688837</v>
      </c>
      <c r="BY96" s="173">
        <f t="shared" si="231"/>
        <v>1.8713882581589698</v>
      </c>
      <c r="BZ96" s="5">
        <f t="shared" si="294"/>
        <v>14.56</v>
      </c>
      <c r="CA96" s="173">
        <f t="shared" si="295"/>
        <v>0.88610893804242397</v>
      </c>
      <c r="CB96" s="5">
        <f t="shared" si="296"/>
        <v>88.610893804242394</v>
      </c>
      <c r="CE96" s="562">
        <f t="shared" si="232"/>
        <v>-50</v>
      </c>
      <c r="CF96">
        <f t="shared" si="233"/>
        <v>-50</v>
      </c>
      <c r="CG96" s="173">
        <f t="shared" si="234"/>
        <v>0.58047799666268451</v>
      </c>
      <c r="CI96" s="170">
        <v>91</v>
      </c>
      <c r="CJ96" s="217">
        <f t="shared" si="297"/>
        <v>0.91</v>
      </c>
      <c r="CK96" s="217"/>
      <c r="CL96" s="217">
        <f t="shared" si="235"/>
        <v>14.56</v>
      </c>
      <c r="CM96" s="541">
        <f t="shared" si="236"/>
        <v>24</v>
      </c>
      <c r="CN96" s="172">
        <f t="shared" si="237"/>
        <v>16.399999999999999</v>
      </c>
      <c r="CO96" s="443">
        <f t="shared" si="238"/>
        <v>40.4</v>
      </c>
      <c r="CP96" s="443"/>
      <c r="CQ96" s="217">
        <f t="shared" si="239"/>
        <v>0.40594059405940591</v>
      </c>
      <c r="CR96" s="172">
        <f t="shared" si="240"/>
        <v>24.648712871287128</v>
      </c>
      <c r="CS96" s="172">
        <f t="shared" si="298"/>
        <v>14.56</v>
      </c>
      <c r="CT96" s="217">
        <f t="shared" si="241"/>
        <v>1.5405445544554455</v>
      </c>
      <c r="CU96" s="217">
        <f t="shared" si="242"/>
        <v>16</v>
      </c>
      <c r="CV96" s="217">
        <f t="shared" si="243"/>
        <v>1.5222772277227721</v>
      </c>
      <c r="CW96" s="172">
        <f t="shared" si="244"/>
        <v>42.159631795306744</v>
      </c>
      <c r="CX96" s="217">
        <f t="shared" si="245"/>
        <v>16</v>
      </c>
      <c r="CY96" s="217">
        <f t="shared" si="246"/>
        <v>2.9889430894308946</v>
      </c>
      <c r="CZ96" s="217">
        <f t="shared" si="247"/>
        <v>1.4944715447154473</v>
      </c>
      <c r="DA96" s="217">
        <f t="shared" si="248"/>
        <v>2.1870315288518745</v>
      </c>
      <c r="DB96" s="197">
        <f t="shared" si="249"/>
        <v>350</v>
      </c>
      <c r="DC96" s="443">
        <f t="shared" si="299"/>
        <v>271.62818555819234</v>
      </c>
      <c r="DE96" s="217">
        <f t="shared" si="250"/>
        <v>2.3196605374823194</v>
      </c>
      <c r="DF96" s="173">
        <f t="shared" si="251"/>
        <v>1.6973125884016973</v>
      </c>
      <c r="DG96" s="173">
        <f t="shared" si="252"/>
        <v>0.68900808044029282</v>
      </c>
      <c r="DH96" s="173"/>
      <c r="DI96" s="173">
        <f t="shared" si="253"/>
        <v>0.73170731707317083</v>
      </c>
      <c r="DJ96" s="545">
        <f t="shared" si="300"/>
        <v>2487.333333333333</v>
      </c>
      <c r="DK96" s="528">
        <f t="shared" si="254"/>
        <v>0.12804878048780488</v>
      </c>
      <c r="DM96" s="173">
        <f t="shared" si="255"/>
        <v>2.6658332030842939</v>
      </c>
      <c r="DN96" s="173">
        <f t="shared" si="256"/>
        <v>2.9889430894308946</v>
      </c>
      <c r="DO96" s="173">
        <f t="shared" si="257"/>
        <v>2.6732911773562185</v>
      </c>
      <c r="DQ96" s="545">
        <f t="shared" si="258"/>
        <v>910</v>
      </c>
      <c r="DR96" s="460">
        <f t="shared" si="259"/>
        <v>271.62818555819234</v>
      </c>
      <c r="DT96">
        <f t="shared" si="260"/>
        <v>910</v>
      </c>
      <c r="DU96">
        <f t="shared" si="261"/>
        <v>271.62818555819234</v>
      </c>
      <c r="DW96" s="5">
        <f t="shared" si="301"/>
        <v>3.6815030735673218</v>
      </c>
      <c r="DX96" s="5">
        <f t="shared" si="262"/>
        <v>1.4944715447154473</v>
      </c>
      <c r="DY96" s="5">
        <f t="shared" si="302"/>
        <v>2.1870315288518745</v>
      </c>
      <c r="DZ96" s="5">
        <f t="shared" si="263"/>
        <v>2.1870315288518745</v>
      </c>
      <c r="EA96" s="173">
        <f t="shared" si="303"/>
        <v>0.40594059405940591</v>
      </c>
      <c r="EB96" s="173">
        <f t="shared" si="264"/>
        <v>14.56</v>
      </c>
      <c r="EC96" s="173">
        <f t="shared" si="265"/>
        <v>0.88780487804878072</v>
      </c>
      <c r="ED96" s="173">
        <f t="shared" si="304"/>
        <v>16.399999999999995</v>
      </c>
      <c r="EE96" s="460">
        <f t="shared" si="266"/>
        <v>8.4998069105691059</v>
      </c>
      <c r="EF96" s="5">
        <f t="shared" si="267"/>
        <v>1.1056659395862252</v>
      </c>
      <c r="EG96" s="5"/>
      <c r="EH96" s="173">
        <f t="shared" si="305"/>
        <v>1.0994823451429039</v>
      </c>
      <c r="EI96" s="173">
        <f t="shared" si="268"/>
        <v>1.3300622178446995</v>
      </c>
      <c r="EJ96" s="173"/>
      <c r="EK96" s="528">
        <f t="shared" si="269"/>
        <v>2.4177228545618795E-2</v>
      </c>
      <c r="EL96" s="528">
        <f t="shared" si="270"/>
        <v>0.62319999999999987</v>
      </c>
      <c r="EM96" s="528">
        <f t="shared" si="271"/>
        <v>3.1237241339192121E-2</v>
      </c>
      <c r="EN96" s="528">
        <f t="shared" si="272"/>
        <v>0.21834527472527465</v>
      </c>
      <c r="EO96">
        <f t="shared" si="273"/>
        <v>1.0800000000000001E-2</v>
      </c>
      <c r="EP96" s="460">
        <f t="shared" si="306"/>
        <v>42.037241339192121</v>
      </c>
      <c r="EQ96" s="528">
        <f t="shared" si="274"/>
        <v>0.91957007535342883</v>
      </c>
      <c r="ER96" s="460">
        <f t="shared" si="307"/>
        <v>919.57007535342882</v>
      </c>
      <c r="ES96" s="528">
        <f t="shared" si="308"/>
        <v>0.56533749999999994</v>
      </c>
      <c r="ET96" s="528"/>
      <c r="EV96" s="460">
        <f t="shared" si="309"/>
        <v>565.33749999999998</v>
      </c>
      <c r="EW96" s="528">
        <f t="shared" si="275"/>
        <v>3.6265842818428193E-2</v>
      </c>
      <c r="EX96" s="528">
        <f t="shared" si="276"/>
        <v>5.307196510013882E-2</v>
      </c>
      <c r="EY96" s="528">
        <f t="shared" si="277"/>
        <v>0.93907699342693107</v>
      </c>
      <c r="EZ96" s="528">
        <f t="shared" si="278"/>
        <v>1.0574132336748014</v>
      </c>
      <c r="FA96" s="528">
        <f t="shared" si="279"/>
        <v>1.2133333333333333E-2</v>
      </c>
      <c r="FB96" s="460">
        <f t="shared" si="310"/>
        <v>1069.5465670081348</v>
      </c>
      <c r="FC96" s="173">
        <f t="shared" si="311"/>
        <v>2.5544541423615637</v>
      </c>
      <c r="FD96" s="5">
        <f t="shared" si="312"/>
        <v>14.56</v>
      </c>
      <c r="FE96" s="173">
        <f t="shared" si="313"/>
        <v>0.85074287960848272</v>
      </c>
      <c r="FF96" s="5">
        <f t="shared" si="314"/>
        <v>85.074287960848267</v>
      </c>
      <c r="FI96" s="562">
        <f t="shared" si="280"/>
        <v>-50</v>
      </c>
      <c r="FJ96">
        <f t="shared" si="281"/>
        <v>-50</v>
      </c>
      <c r="FL96">
        <f t="shared" si="282"/>
        <v>0.59405940594059414</v>
      </c>
    </row>
    <row r="97" spans="5:168" ht="13">
      <c r="E97" s="170">
        <v>92</v>
      </c>
      <c r="F97" s="217">
        <f t="shared" si="283"/>
        <v>0.92</v>
      </c>
      <c r="G97" s="217"/>
      <c r="H97" s="217">
        <f t="shared" si="183"/>
        <v>14.72</v>
      </c>
      <c r="I97" s="541">
        <f t="shared" si="184"/>
        <v>23.920775111600488</v>
      </c>
      <c r="J97" s="172">
        <f t="shared" si="185"/>
        <v>16.447534933039705</v>
      </c>
      <c r="K97" s="172">
        <f t="shared" si="186"/>
        <v>40.447534933039705</v>
      </c>
      <c r="L97" s="443"/>
      <c r="M97" s="217">
        <f t="shared" si="187"/>
        <v>0.40742101742989367</v>
      </c>
      <c r="N97" s="172">
        <f t="shared" si="188"/>
        <v>24.656941130210271</v>
      </c>
      <c r="O97" s="172">
        <f t="shared" si="284"/>
        <v>14.72</v>
      </c>
      <c r="P97" s="217">
        <f t="shared" si="189"/>
        <v>1.5410588206381419</v>
      </c>
      <c r="Q97" s="217">
        <f t="shared" si="190"/>
        <v>16</v>
      </c>
      <c r="R97" s="217">
        <f t="shared" si="191"/>
        <v>1.5227853958874922</v>
      </c>
      <c r="S97" s="172">
        <f t="shared" si="192"/>
        <v>41.310728030071886</v>
      </c>
      <c r="T97" s="532">
        <f t="shared" si="193"/>
        <v>16</v>
      </c>
      <c r="U97" s="217">
        <f t="shared" si="194"/>
        <v>3.1050713139025565</v>
      </c>
      <c r="V97" s="217">
        <f t="shared" si="195"/>
        <v>1.5576776083965966</v>
      </c>
      <c r="W97" s="217">
        <f t="shared" si="196"/>
        <v>2.2654370954994176</v>
      </c>
      <c r="X97" s="197">
        <f t="shared" si="197"/>
        <v>350</v>
      </c>
      <c r="Y97" s="443">
        <f t="shared" si="198"/>
        <v>248.5636313157049</v>
      </c>
      <c r="AA97" s="217">
        <f t="shared" si="199"/>
        <v>2.3205247586202629</v>
      </c>
      <c r="AB97" s="173">
        <f t="shared" si="200"/>
        <v>1.6930377236959497</v>
      </c>
      <c r="AC97" s="173">
        <f t="shared" si="201"/>
        <v>0.68752879214504503</v>
      </c>
      <c r="AD97" s="173"/>
      <c r="AE97" s="173">
        <f t="shared" si="202"/>
        <v>0.72959261365631611</v>
      </c>
      <c r="AF97" s="545">
        <f t="shared" si="203"/>
        <v>2521.9553563994209</v>
      </c>
      <c r="AG97" s="528">
        <f t="shared" si="204"/>
        <v>0.12767870738985532</v>
      </c>
      <c r="AI97" s="173">
        <f t="shared" si="205"/>
        <v>2.6843223972857237</v>
      </c>
      <c r="AJ97" s="173">
        <f t="shared" si="206"/>
        <v>3.1050713139025565</v>
      </c>
      <c r="AK97" s="173">
        <f t="shared" si="207"/>
        <v>2.7593120843722643</v>
      </c>
      <c r="AM97" s="545">
        <f t="shared" si="208"/>
        <v>920</v>
      </c>
      <c r="AN97" s="460">
        <f t="shared" si="209"/>
        <v>248.5636313157049</v>
      </c>
      <c r="AP97">
        <f t="shared" si="210"/>
        <v>920</v>
      </c>
      <c r="AQ97">
        <f t="shared" si="211"/>
        <v>248.5636313157049</v>
      </c>
      <c r="AS97" s="5">
        <f t="shared" si="285"/>
        <v>4.023114703896014</v>
      </c>
      <c r="AT97" s="5">
        <f t="shared" si="212"/>
        <v>1.5576776083965966</v>
      </c>
      <c r="AU97" s="5">
        <f t="shared" si="286"/>
        <v>2.4654370954994174</v>
      </c>
      <c r="AV97" s="5">
        <f t="shared" si="213"/>
        <v>2.2654370954994176</v>
      </c>
      <c r="AW97" s="173">
        <f t="shared" si="287"/>
        <v>0.38718200276222053</v>
      </c>
      <c r="AX97" s="173">
        <f t="shared" si="214"/>
        <v>14.379109581564276</v>
      </c>
      <c r="AY97" s="173">
        <f t="shared" si="215"/>
        <v>0.95142179193312248</v>
      </c>
      <c r="AZ97" s="173">
        <f t="shared" si="288"/>
        <v>15.113285930048377</v>
      </c>
      <c r="BA97" s="460">
        <f t="shared" si="216"/>
        <v>8.9566462482804319</v>
      </c>
      <c r="BB97" s="5">
        <f t="shared" si="217"/>
        <v>1.2642857473067355</v>
      </c>
      <c r="BC97" s="5"/>
      <c r="BD97" s="173">
        <f t="shared" si="289"/>
        <v>1.1154973236653891</v>
      </c>
      <c r="BE97" s="173">
        <f t="shared" si="218"/>
        <v>1.4033846024411378</v>
      </c>
      <c r="BF97" s="173"/>
      <c r="BG97" s="528">
        <f t="shared" si="219"/>
        <v>2.4886685582092918E-2</v>
      </c>
      <c r="BH97" s="528">
        <f t="shared" si="220"/>
        <v>0.56972344481895332</v>
      </c>
      <c r="BI97" s="528">
        <f t="shared" si="221"/>
        <v>0.13675419868939234</v>
      </c>
      <c r="BJ97" s="528">
        <f t="shared" si="222"/>
        <v>0.20027555197053207</v>
      </c>
      <c r="BK97">
        <f t="shared" si="223"/>
        <v>1.076434880022022E-2</v>
      </c>
      <c r="BL97" s="460">
        <f t="shared" si="290"/>
        <v>147.51854748961256</v>
      </c>
      <c r="BM97" s="528">
        <f t="shared" si="224"/>
        <v>0.80637323409490691</v>
      </c>
      <c r="BN97" s="460">
        <f t="shared" si="291"/>
        <v>806.37323409490693</v>
      </c>
      <c r="BO97" s="528">
        <f t="shared" si="225"/>
        <v>0.57155</v>
      </c>
      <c r="BP97" s="528"/>
      <c r="BR97" s="460">
        <f t="shared" si="292"/>
        <v>571.54999999999995</v>
      </c>
      <c r="BS97" s="528">
        <f t="shared" si="226"/>
        <v>3.7330028373139375E-2</v>
      </c>
      <c r="BT97" s="528">
        <f t="shared" si="227"/>
        <v>5.908465027106611E-2</v>
      </c>
      <c r="BU97" s="528">
        <f t="shared" si="228"/>
        <v>0.2208</v>
      </c>
      <c r="BV97" s="528">
        <f t="shared" si="229"/>
        <v>0.34299981890398668</v>
      </c>
      <c r="BW97" s="528">
        <f t="shared" si="230"/>
        <v>1.1982591317970229E-2</v>
      </c>
      <c r="BX97" s="460">
        <f t="shared" si="293"/>
        <v>354.98241022195691</v>
      </c>
      <c r="BY97" s="173">
        <f t="shared" si="231"/>
        <v>1.8804241918064766</v>
      </c>
      <c r="BZ97" s="5">
        <f t="shared" si="294"/>
        <v>14.72</v>
      </c>
      <c r="CA97" s="173">
        <f t="shared" si="295"/>
        <v>0.88672432884368069</v>
      </c>
      <c r="CB97" s="5">
        <f t="shared" si="296"/>
        <v>88.672432884368064</v>
      </c>
      <c r="CE97" s="562">
        <f t="shared" si="232"/>
        <v>-50</v>
      </c>
      <c r="CF97">
        <f t="shared" si="233"/>
        <v>-50</v>
      </c>
      <c r="CG97" s="173">
        <f t="shared" si="234"/>
        <v>0.58062562067657486</v>
      </c>
      <c r="CI97" s="170">
        <v>92</v>
      </c>
      <c r="CJ97" s="217">
        <f t="shared" si="297"/>
        <v>0.92</v>
      </c>
      <c r="CK97" s="217"/>
      <c r="CL97" s="217">
        <f t="shared" si="235"/>
        <v>14.72</v>
      </c>
      <c r="CM97" s="541">
        <f t="shared" si="236"/>
        <v>24</v>
      </c>
      <c r="CN97" s="172">
        <f t="shared" si="237"/>
        <v>16.399999999999999</v>
      </c>
      <c r="CO97" s="443">
        <f t="shared" si="238"/>
        <v>40.4</v>
      </c>
      <c r="CP97" s="443"/>
      <c r="CQ97" s="217">
        <f t="shared" si="239"/>
        <v>0.40594059405940591</v>
      </c>
      <c r="CR97" s="172">
        <f t="shared" si="240"/>
        <v>24.648712871287128</v>
      </c>
      <c r="CS97" s="172">
        <f t="shared" si="298"/>
        <v>14.72</v>
      </c>
      <c r="CT97" s="217">
        <f t="shared" si="241"/>
        <v>1.5405445544554455</v>
      </c>
      <c r="CU97" s="217">
        <f t="shared" si="242"/>
        <v>16</v>
      </c>
      <c r="CV97" s="217">
        <f t="shared" si="243"/>
        <v>1.5222772277227721</v>
      </c>
      <c r="CW97" s="172">
        <f t="shared" si="244"/>
        <v>41.446799529301273</v>
      </c>
      <c r="CX97" s="532">
        <f t="shared" si="245"/>
        <v>16</v>
      </c>
      <c r="CY97" s="217">
        <f t="shared" si="246"/>
        <v>3.021788617886179</v>
      </c>
      <c r="CZ97" s="217">
        <f t="shared" si="247"/>
        <v>1.5108943089430895</v>
      </c>
      <c r="DA97" s="217">
        <f t="shared" si="248"/>
        <v>2.2110648423557411</v>
      </c>
      <c r="DB97" s="197">
        <f t="shared" si="249"/>
        <v>350</v>
      </c>
      <c r="DC97" s="443">
        <f t="shared" si="299"/>
        <v>268.67570528038596</v>
      </c>
      <c r="DE97" s="217">
        <f t="shared" si="250"/>
        <v>2.3196605374823194</v>
      </c>
      <c r="DF97" s="173">
        <f t="shared" si="251"/>
        <v>1.6973125884016973</v>
      </c>
      <c r="DG97" s="173">
        <f t="shared" si="252"/>
        <v>0.68900808044029282</v>
      </c>
      <c r="DH97" s="173"/>
      <c r="DI97" s="173">
        <f t="shared" si="253"/>
        <v>0.73170731707317083</v>
      </c>
      <c r="DJ97" s="545">
        <f t="shared" si="300"/>
        <v>2514.6666666666665</v>
      </c>
      <c r="DK97" s="528">
        <f t="shared" si="254"/>
        <v>0.12804878048780488</v>
      </c>
      <c r="DM97" s="173">
        <f t="shared" si="255"/>
        <v>2.6804406176526099</v>
      </c>
      <c r="DN97" s="173">
        <f t="shared" si="256"/>
        <v>3.021788617886179</v>
      </c>
      <c r="DO97" s="173">
        <f t="shared" si="257"/>
        <v>2.6976211984342067</v>
      </c>
      <c r="DQ97" s="545">
        <f t="shared" si="258"/>
        <v>920</v>
      </c>
      <c r="DR97" s="460">
        <f t="shared" si="259"/>
        <v>268.67570528038596</v>
      </c>
      <c r="DT97">
        <f t="shared" si="260"/>
        <v>920</v>
      </c>
      <c r="DU97">
        <f t="shared" si="261"/>
        <v>268.67570528038596</v>
      </c>
      <c r="DW97" s="5">
        <f t="shared" si="301"/>
        <v>3.7219591512988308</v>
      </c>
      <c r="DX97" s="5">
        <f t="shared" si="262"/>
        <v>1.5108943089430895</v>
      </c>
      <c r="DY97" s="5">
        <f t="shared" si="302"/>
        <v>2.2110648423557411</v>
      </c>
      <c r="DZ97" s="5">
        <f t="shared" si="263"/>
        <v>2.2110648423557411</v>
      </c>
      <c r="EA97" s="173">
        <f t="shared" si="303"/>
        <v>0.40594059405940586</v>
      </c>
      <c r="EB97" s="173">
        <f t="shared" si="264"/>
        <v>14.720000000000002</v>
      </c>
      <c r="EC97" s="173">
        <f t="shared" si="265"/>
        <v>0.89756097560975623</v>
      </c>
      <c r="ED97" s="173">
        <f t="shared" si="304"/>
        <v>16.399999999999999</v>
      </c>
      <c r="EE97" s="460">
        <f t="shared" si="266"/>
        <v>8.6876422764227659</v>
      </c>
      <c r="EF97" s="5">
        <f t="shared" si="267"/>
        <v>1.1300998083151566</v>
      </c>
      <c r="EG97" s="5"/>
      <c r="EH97" s="173">
        <f t="shared" si="305"/>
        <v>1.1115645687159026</v>
      </c>
      <c r="EI97" s="173">
        <f t="shared" si="268"/>
        <v>1.3446782861726632</v>
      </c>
      <c r="EJ97" s="173"/>
      <c r="EK97" s="528">
        <f t="shared" si="269"/>
        <v>2.4711515808491413E-2</v>
      </c>
      <c r="EL97" s="528">
        <f t="shared" si="270"/>
        <v>0.62320000000000009</v>
      </c>
      <c r="EM97" s="528">
        <f t="shared" si="271"/>
        <v>3.0897706107244391E-2</v>
      </c>
      <c r="EN97" s="528">
        <f t="shared" si="272"/>
        <v>0.21597195652173909</v>
      </c>
      <c r="EO97">
        <f t="shared" si="273"/>
        <v>1.0800000000000001E-2</v>
      </c>
      <c r="EP97" s="460">
        <f t="shared" si="306"/>
        <v>41.697706107244393</v>
      </c>
      <c r="EQ97" s="528">
        <f t="shared" si="274"/>
        <v>0.91764117764735376</v>
      </c>
      <c r="ER97" s="460">
        <f t="shared" si="307"/>
        <v>917.64117764735374</v>
      </c>
      <c r="ES97" s="528">
        <f t="shared" si="308"/>
        <v>0.57155</v>
      </c>
      <c r="ET97" s="528"/>
      <c r="EV97" s="460">
        <f t="shared" si="309"/>
        <v>571.54999999999995</v>
      </c>
      <c r="EW97" s="528">
        <f t="shared" si="275"/>
        <v>3.7067273712737117E-2</v>
      </c>
      <c r="EX97" s="528">
        <f t="shared" si="276"/>
        <v>5.4244790799127515E-2</v>
      </c>
      <c r="EY97" s="528">
        <f t="shared" si="277"/>
        <v>0.93907699342693296</v>
      </c>
      <c r="EZ97" s="528">
        <f t="shared" si="278"/>
        <v>1.060047563945214</v>
      </c>
      <c r="FA97" s="528">
        <f t="shared" si="279"/>
        <v>1.2266666666666669E-2</v>
      </c>
      <c r="FB97" s="460">
        <f t="shared" si="310"/>
        <v>1072.3142306118807</v>
      </c>
      <c r="FC97" s="173">
        <f t="shared" si="311"/>
        <v>2.5615054082592343</v>
      </c>
      <c r="FD97" s="5">
        <f t="shared" si="312"/>
        <v>14.72</v>
      </c>
      <c r="FE97" s="173">
        <f t="shared" si="313"/>
        <v>0.85177764623242647</v>
      </c>
      <c r="FF97" s="5">
        <f t="shared" si="314"/>
        <v>85.177764623242652</v>
      </c>
      <c r="FI97" s="562">
        <f t="shared" si="280"/>
        <v>-50</v>
      </c>
      <c r="FJ97">
        <f t="shared" si="281"/>
        <v>-50</v>
      </c>
      <c r="FL97">
        <f t="shared" si="282"/>
        <v>0.59405940594059414</v>
      </c>
    </row>
    <row r="98" spans="5:168" ht="13">
      <c r="E98" s="170">
        <v>93</v>
      </c>
      <c r="F98" s="217">
        <f t="shared" si="283"/>
        <v>0.93</v>
      </c>
      <c r="G98" s="217"/>
      <c r="H98" s="217">
        <f t="shared" si="183"/>
        <v>14.88</v>
      </c>
      <c r="I98" s="541">
        <f t="shared" si="184"/>
        <v>23.919933890529926</v>
      </c>
      <c r="J98" s="172">
        <f t="shared" si="185"/>
        <v>16.448039665682042</v>
      </c>
      <c r="K98" s="172">
        <f t="shared" si="186"/>
        <v>40.448039665682046</v>
      </c>
      <c r="L98" s="443"/>
      <c r="M98" s="217">
        <f t="shared" si="187"/>
        <v>0.40743692114180358</v>
      </c>
      <c r="N98" s="172">
        <f t="shared" si="188"/>
        <v>24.657036472230676</v>
      </c>
      <c r="O98" s="172">
        <f t="shared" si="284"/>
        <v>14.88</v>
      </c>
      <c r="P98" s="217">
        <f t="shared" si="189"/>
        <v>1.5410647795144172</v>
      </c>
      <c r="Q98" s="217">
        <f t="shared" si="190"/>
        <v>16</v>
      </c>
      <c r="R98" s="217">
        <f t="shared" si="191"/>
        <v>1.5227912841051556</v>
      </c>
      <c r="S98" s="172">
        <f t="shared" si="192"/>
        <v>40.614247805369743</v>
      </c>
      <c r="T98" s="532">
        <f t="shared" si="193"/>
        <v>16</v>
      </c>
      <c r="U98" s="217">
        <f t="shared" si="194"/>
        <v>3.1389063314305958</v>
      </c>
      <c r="V98" s="217">
        <f t="shared" si="195"/>
        <v>1.5747065250911809</v>
      </c>
      <c r="W98" s="217">
        <f t="shared" si="196"/>
        <v>2.2900525985328866</v>
      </c>
      <c r="X98" s="197">
        <f t="shared" si="197"/>
        <v>350</v>
      </c>
      <c r="Y98" s="443">
        <f t="shared" si="198"/>
        <v>246.01703805474642</v>
      </c>
      <c r="AA98" s="217">
        <f t="shared" si="199"/>
        <v>2.3205337039679841</v>
      </c>
      <c r="AB98" s="173">
        <f t="shared" si="200"/>
        <v>1.6929922965662496</v>
      </c>
      <c r="AC98" s="173">
        <f t="shared" si="201"/>
        <v>0.68751299482952499</v>
      </c>
      <c r="AD98" s="173"/>
      <c r="AE98" s="173">
        <f t="shared" si="202"/>
        <v>0.72957022501820445</v>
      </c>
      <c r="AF98" s="545">
        <f t="shared" si="203"/>
        <v>2549.4461481807166</v>
      </c>
      <c r="AG98" s="528">
        <f t="shared" si="204"/>
        <v>0.1276747893781858</v>
      </c>
      <c r="AI98" s="173">
        <f t="shared" si="205"/>
        <v>2.6989130871417299</v>
      </c>
      <c r="AJ98" s="173">
        <f t="shared" si="206"/>
        <v>3.1389063314305958</v>
      </c>
      <c r="AK98" s="173">
        <f t="shared" si="207"/>
        <v>2.7843750603189599</v>
      </c>
      <c r="AM98" s="545">
        <f t="shared" si="208"/>
        <v>930</v>
      </c>
      <c r="AN98" s="460">
        <f t="shared" si="209"/>
        <v>246.01703805474642</v>
      </c>
      <c r="AP98">
        <f t="shared" si="210"/>
        <v>930</v>
      </c>
      <c r="AQ98">
        <f t="shared" si="211"/>
        <v>246.01703805474642</v>
      </c>
      <c r="AS98" s="5">
        <f t="shared" si="285"/>
        <v>4.0647591236240679</v>
      </c>
      <c r="AT98" s="5">
        <f t="shared" si="212"/>
        <v>1.5747065250911809</v>
      </c>
      <c r="AU98" s="5">
        <f t="shared" si="286"/>
        <v>2.4900525985328867</v>
      </c>
      <c r="AV98" s="5">
        <f t="shared" si="213"/>
        <v>2.2900525985328866</v>
      </c>
      <c r="AW98" s="173">
        <f t="shared" si="287"/>
        <v>0.38740463510841455</v>
      </c>
      <c r="AX98" s="173">
        <f t="shared" si="214"/>
        <v>14.543641073683931</v>
      </c>
      <c r="AY98" s="173">
        <f t="shared" si="215"/>
        <v>0.96143973473161681</v>
      </c>
      <c r="AZ98" s="173">
        <f t="shared" si="288"/>
        <v>15.126939888482712</v>
      </c>
      <c r="BA98" s="460">
        <f t="shared" si="216"/>
        <v>9.1529816770924892</v>
      </c>
      <c r="BB98" s="5">
        <f t="shared" si="217"/>
        <v>1.290833509955146</v>
      </c>
      <c r="BC98" s="5"/>
      <c r="BD98" s="173">
        <f t="shared" si="289"/>
        <v>1.1279767161041094</v>
      </c>
      <c r="BE98" s="173">
        <f t="shared" si="218"/>
        <v>1.4184191366066718</v>
      </c>
      <c r="BF98" s="173"/>
      <c r="BG98" s="528">
        <f t="shared" si="219"/>
        <v>2.5446629441460217E-2</v>
      </c>
      <c r="BH98" s="528">
        <f t="shared" si="220"/>
        <v>0.5700381060451275</v>
      </c>
      <c r="BI98" s="528">
        <f t="shared" si="221"/>
        <v>0.13534835958291094</v>
      </c>
      <c r="BJ98" s="528">
        <f t="shared" si="222"/>
        <v>0.19822862869520438</v>
      </c>
      <c r="BK98">
        <f t="shared" si="223"/>
        <v>1.0763970250738466E-2</v>
      </c>
      <c r="BL98" s="460">
        <f t="shared" si="290"/>
        <v>146.11232983364943</v>
      </c>
      <c r="BM98" s="528">
        <f t="shared" si="224"/>
        <v>0.80545382392451881</v>
      </c>
      <c r="BN98" s="460">
        <f t="shared" si="291"/>
        <v>805.45382392451882</v>
      </c>
      <c r="BO98" s="528">
        <f t="shared" si="225"/>
        <v>0.57776249999999996</v>
      </c>
      <c r="BP98" s="528"/>
      <c r="BR98" s="460">
        <f t="shared" si="292"/>
        <v>577.76249999999993</v>
      </c>
      <c r="BS98" s="528">
        <f t="shared" si="226"/>
        <v>3.8169944162190321E-2</v>
      </c>
      <c r="BT98" s="528">
        <f t="shared" si="227"/>
        <v>6.0357385412760485E-2</v>
      </c>
      <c r="BU98" s="528">
        <f t="shared" si="228"/>
        <v>0.22320000000000001</v>
      </c>
      <c r="BV98" s="528">
        <f t="shared" si="229"/>
        <v>0.34811781819326221</v>
      </c>
      <c r="BW98" s="528">
        <f t="shared" si="230"/>
        <v>1.211970089473661E-2</v>
      </c>
      <c r="BX98" s="460">
        <f t="shared" si="293"/>
        <v>360.23751908799886</v>
      </c>
      <c r="BY98" s="173">
        <f t="shared" si="231"/>
        <v>1.8895661728461672</v>
      </c>
      <c r="BZ98" s="5">
        <f t="shared" si="294"/>
        <v>14.88</v>
      </c>
      <c r="CA98" s="173">
        <f t="shared" si="295"/>
        <v>0.88732170210188177</v>
      </c>
      <c r="CB98" s="5">
        <f t="shared" si="296"/>
        <v>88.732170210188173</v>
      </c>
      <c r="CE98" s="562">
        <f t="shared" si="232"/>
        <v>-50</v>
      </c>
      <c r="CF98">
        <f t="shared" si="233"/>
        <v>-50</v>
      </c>
      <c r="CG98" s="173">
        <f t="shared" si="234"/>
        <v>0.58077006998048908</v>
      </c>
      <c r="CI98" s="170">
        <v>93</v>
      </c>
      <c r="CJ98" s="217">
        <f t="shared" si="297"/>
        <v>0.93</v>
      </c>
      <c r="CK98" s="217"/>
      <c r="CL98" s="217">
        <f t="shared" si="235"/>
        <v>14.88</v>
      </c>
      <c r="CM98" s="541">
        <f t="shared" si="236"/>
        <v>24</v>
      </c>
      <c r="CN98" s="172">
        <f t="shared" si="237"/>
        <v>16.399999999999999</v>
      </c>
      <c r="CO98" s="443">
        <f t="shared" si="238"/>
        <v>40.4</v>
      </c>
      <c r="CP98" s="443"/>
      <c r="CQ98" s="217">
        <f t="shared" si="239"/>
        <v>0.40594059405940591</v>
      </c>
      <c r="CR98" s="172">
        <f t="shared" si="240"/>
        <v>24.648712871287128</v>
      </c>
      <c r="CS98" s="172">
        <f t="shared" si="298"/>
        <v>14.88</v>
      </c>
      <c r="CT98" s="217">
        <f t="shared" si="241"/>
        <v>1.5405445544554455</v>
      </c>
      <c r="CU98" s="217">
        <f t="shared" si="242"/>
        <v>16</v>
      </c>
      <c r="CV98" s="217">
        <f t="shared" si="243"/>
        <v>1.5222772277227721</v>
      </c>
      <c r="CW98" s="172">
        <f t="shared" si="244"/>
        <v>40.749425122577748</v>
      </c>
      <c r="CX98" s="532">
        <f t="shared" si="245"/>
        <v>16</v>
      </c>
      <c r="CY98" s="217">
        <f t="shared" si="246"/>
        <v>3.0546341463414635</v>
      </c>
      <c r="CZ98" s="217">
        <f t="shared" si="247"/>
        <v>1.5273170731707317</v>
      </c>
      <c r="DA98" s="217">
        <f t="shared" si="248"/>
        <v>2.2350981558596077</v>
      </c>
      <c r="DB98" s="197">
        <f t="shared" si="249"/>
        <v>350</v>
      </c>
      <c r="DC98" s="443">
        <f t="shared" si="299"/>
        <v>265.78671920210223</v>
      </c>
      <c r="DE98" s="217">
        <f t="shared" si="250"/>
        <v>2.3196605374823194</v>
      </c>
      <c r="DF98" s="173">
        <f t="shared" si="251"/>
        <v>1.6973125884016973</v>
      </c>
      <c r="DG98" s="173">
        <f t="shared" si="252"/>
        <v>0.68900808044029282</v>
      </c>
      <c r="DH98" s="173"/>
      <c r="DI98" s="173">
        <f t="shared" si="253"/>
        <v>0.73170731707317083</v>
      </c>
      <c r="DJ98" s="545">
        <f t="shared" si="300"/>
        <v>2542</v>
      </c>
      <c r="DK98" s="528">
        <f t="shared" si="254"/>
        <v>0.12804878048780488</v>
      </c>
      <c r="DM98" s="173">
        <f t="shared" si="255"/>
        <v>2.6949688574930031</v>
      </c>
      <c r="DN98" s="173">
        <f t="shared" si="256"/>
        <v>3.0546341463414635</v>
      </c>
      <c r="DO98" s="173">
        <f t="shared" si="257"/>
        <v>2.7219512195121949</v>
      </c>
      <c r="DQ98" s="545">
        <f t="shared" si="258"/>
        <v>930</v>
      </c>
      <c r="DR98" s="460">
        <f t="shared" si="259"/>
        <v>265.78671920210223</v>
      </c>
      <c r="DT98">
        <f t="shared" si="260"/>
        <v>930</v>
      </c>
      <c r="DU98">
        <f t="shared" si="261"/>
        <v>265.78671920210223</v>
      </c>
      <c r="DW98" s="5">
        <f t="shared" si="301"/>
        <v>3.7624152290303394</v>
      </c>
      <c r="DX98" s="5">
        <f t="shared" si="262"/>
        <v>1.5273170731707317</v>
      </c>
      <c r="DY98" s="5">
        <f t="shared" si="302"/>
        <v>2.2350981558596077</v>
      </c>
      <c r="DZ98" s="5">
        <f t="shared" si="263"/>
        <v>2.2350981558596077</v>
      </c>
      <c r="EA98" s="173">
        <f t="shared" si="303"/>
        <v>0.40594059405940591</v>
      </c>
      <c r="EB98" s="173">
        <f t="shared" si="264"/>
        <v>14.88</v>
      </c>
      <c r="EC98" s="173">
        <f t="shared" si="265"/>
        <v>0.90731707317073185</v>
      </c>
      <c r="ED98" s="173">
        <f t="shared" si="304"/>
        <v>16.399999999999999</v>
      </c>
      <c r="EE98" s="460">
        <f t="shared" si="266"/>
        <v>8.8775304878048775</v>
      </c>
      <c r="EF98" s="5">
        <f t="shared" si="267"/>
        <v>1.154800713860797</v>
      </c>
      <c r="EG98" s="5"/>
      <c r="EH98" s="173">
        <f t="shared" si="305"/>
        <v>1.1236467922889017</v>
      </c>
      <c r="EI98" s="173">
        <f t="shared" si="268"/>
        <v>1.3592943545006269</v>
      </c>
      <c r="EJ98" s="173"/>
      <c r="EK98" s="528">
        <f t="shared" si="269"/>
        <v>2.5251642276422768E-2</v>
      </c>
      <c r="EL98" s="528">
        <f t="shared" si="270"/>
        <v>0.62319999999999987</v>
      </c>
      <c r="EM98" s="528">
        <f t="shared" si="271"/>
        <v>3.056547270824176E-2</v>
      </c>
      <c r="EN98" s="528">
        <f t="shared" si="272"/>
        <v>0.21364967741935478</v>
      </c>
      <c r="EO98">
        <f t="shared" si="273"/>
        <v>1.0800000000000001E-2</v>
      </c>
      <c r="EP98" s="460">
        <f t="shared" si="306"/>
        <v>41.365472708241754</v>
      </c>
      <c r="EQ98" s="528">
        <f t="shared" si="274"/>
        <v>0.91577921900668047</v>
      </c>
      <c r="ER98" s="460">
        <f t="shared" si="307"/>
        <v>915.77921900668048</v>
      </c>
      <c r="ES98" s="528">
        <f t="shared" si="308"/>
        <v>0.57776249999999996</v>
      </c>
      <c r="ET98" s="528"/>
      <c r="EV98" s="460">
        <f t="shared" si="309"/>
        <v>577.76249999999993</v>
      </c>
      <c r="EW98" s="528">
        <f t="shared" si="275"/>
        <v>3.7877463414634154E-2</v>
      </c>
      <c r="EX98" s="528">
        <f t="shared" si="276"/>
        <v>5.5430434265318275E-2</v>
      </c>
      <c r="EY98" s="528">
        <f t="shared" si="277"/>
        <v>0.93907699342693196</v>
      </c>
      <c r="EZ98" s="528">
        <f t="shared" si="278"/>
        <v>1.0627115368979272</v>
      </c>
      <c r="FA98" s="528">
        <f t="shared" si="279"/>
        <v>1.24E-2</v>
      </c>
      <c r="FB98" s="460">
        <f t="shared" si="310"/>
        <v>1075.1115368979272</v>
      </c>
      <c r="FC98" s="173">
        <f t="shared" si="311"/>
        <v>2.5686532559046076</v>
      </c>
      <c r="FD98" s="5">
        <f t="shared" si="312"/>
        <v>14.88</v>
      </c>
      <c r="FE98" s="173">
        <f t="shared" si="313"/>
        <v>0.8527878789134985</v>
      </c>
      <c r="FF98" s="5">
        <f t="shared" si="314"/>
        <v>85.27878789134985</v>
      </c>
      <c r="FI98" s="562">
        <f t="shared" si="280"/>
        <v>-50</v>
      </c>
      <c r="FJ98">
        <f t="shared" si="281"/>
        <v>-50</v>
      </c>
      <c r="FL98">
        <f t="shared" si="282"/>
        <v>0.59405940594059414</v>
      </c>
    </row>
    <row r="99" spans="5:168" ht="13">
      <c r="E99" s="170">
        <v>94</v>
      </c>
      <c r="F99" s="217">
        <f t="shared" si="283"/>
        <v>0.94</v>
      </c>
      <c r="G99" s="217"/>
      <c r="H99" s="217">
        <f t="shared" si="183"/>
        <v>15.04</v>
      </c>
      <c r="I99" s="541">
        <f t="shared" si="184"/>
        <v>23.919092659764019</v>
      </c>
      <c r="J99" s="172">
        <f t="shared" si="185"/>
        <v>16.44854440414159</v>
      </c>
      <c r="K99" s="172">
        <f t="shared" si="186"/>
        <v>40.448544404141586</v>
      </c>
      <c r="L99" s="443"/>
      <c r="M99" s="217">
        <f t="shared" si="187"/>
        <v>0.40745282521650689</v>
      </c>
      <c r="N99" s="172">
        <f t="shared" si="188"/>
        <v>24.657131758515739</v>
      </c>
      <c r="O99" s="172">
        <f t="shared" si="284"/>
        <v>15.04</v>
      </c>
      <c r="P99" s="217">
        <f t="shared" si="189"/>
        <v>1.5410707349072337</v>
      </c>
      <c r="Q99" s="217">
        <f t="shared" si="190"/>
        <v>16</v>
      </c>
      <c r="R99" s="217">
        <f t="shared" si="191"/>
        <v>1.5227971688806656</v>
      </c>
      <c r="S99" s="172">
        <f t="shared" si="192"/>
        <v>39.932733149923195</v>
      </c>
      <c r="T99" s="532">
        <f t="shared" si="193"/>
        <v>16</v>
      </c>
      <c r="U99" s="217">
        <f t="shared" si="194"/>
        <v>3.172743167135883</v>
      </c>
      <c r="V99" s="217">
        <f t="shared" si="195"/>
        <v>1.5917375523895068</v>
      </c>
      <c r="W99" s="217">
        <f t="shared" si="196"/>
        <v>2.3146679165144968</v>
      </c>
      <c r="X99" s="197">
        <f t="shared" si="197"/>
        <v>350</v>
      </c>
      <c r="Y99" s="443">
        <f t="shared" si="198"/>
        <v>243.5219823206838</v>
      </c>
      <c r="AA99" s="217">
        <f t="shared" si="199"/>
        <v>2.3205426445592194</v>
      </c>
      <c r="AB99" s="173">
        <f t="shared" si="200"/>
        <v>1.6929468681556492</v>
      </c>
      <c r="AC99" s="173">
        <f t="shared" si="201"/>
        <v>0.68749719544242771</v>
      </c>
      <c r="AD99" s="173"/>
      <c r="AE99" s="173">
        <f t="shared" si="202"/>
        <v>0.72954783749609553</v>
      </c>
      <c r="AF99" s="545">
        <f t="shared" si="203"/>
        <v>2576.9386233155155</v>
      </c>
      <c r="AG99" s="528">
        <f t="shared" si="204"/>
        <v>0.12767087156181672</v>
      </c>
      <c r="AI99" s="173">
        <f t="shared" si="205"/>
        <v>2.713426207012358</v>
      </c>
      <c r="AJ99" s="173">
        <f t="shared" si="206"/>
        <v>3.172743167135883</v>
      </c>
      <c r="AK99" s="173">
        <f t="shared" si="207"/>
        <v>2.8094393830636166</v>
      </c>
      <c r="AM99" s="545">
        <f t="shared" si="208"/>
        <v>940</v>
      </c>
      <c r="AN99" s="460">
        <f t="shared" si="209"/>
        <v>243.5219823206838</v>
      </c>
      <c r="AP99">
        <f t="shared" si="210"/>
        <v>940</v>
      </c>
      <c r="AQ99">
        <f t="shared" si="211"/>
        <v>243.5219823206838</v>
      </c>
      <c r="AS99" s="5">
        <f t="shared" si="285"/>
        <v>4.1064054689040042</v>
      </c>
      <c r="AT99" s="5">
        <f t="shared" si="212"/>
        <v>1.5917375523895068</v>
      </c>
      <c r="AU99" s="5">
        <f t="shared" si="286"/>
        <v>2.5146679165144974</v>
      </c>
      <c r="AV99" s="5">
        <f t="shared" si="213"/>
        <v>2.3146679165144968</v>
      </c>
      <c r="AW99" s="173">
        <f t="shared" si="287"/>
        <v>0.38762308409216589</v>
      </c>
      <c r="AX99" s="173">
        <f t="shared" si="214"/>
        <v>14.70819082163475</v>
      </c>
      <c r="AY99" s="173">
        <f t="shared" si="215"/>
        <v>0.97145733782916288</v>
      </c>
      <c r="AZ99" s="173">
        <f t="shared" si="288"/>
        <v>15.140336326556506</v>
      </c>
      <c r="BA99" s="460">
        <f t="shared" si="216"/>
        <v>9.3514581202883527</v>
      </c>
      <c r="BB99" s="5">
        <f t="shared" si="217"/>
        <v>1.317657474245763</v>
      </c>
      <c r="BC99" s="5"/>
      <c r="BD99" s="173">
        <f t="shared" si="289"/>
        <v>1.1404575022163181</v>
      </c>
      <c r="BE99" s="173">
        <f t="shared" si="218"/>
        <v>1.4334537850384275</v>
      </c>
      <c r="BF99" s="173"/>
      <c r="BG99" s="528">
        <f t="shared" si="219"/>
        <v>2.6012866287229666E-2</v>
      </c>
      <c r="BH99" s="528">
        <f t="shared" si="220"/>
        <v>0.57034659637831431</v>
      </c>
      <c r="BI99" s="528">
        <f t="shared" si="221"/>
        <v>0.13397097177581058</v>
      </c>
      <c r="BJ99" s="528">
        <f t="shared" si="222"/>
        <v>0.1962231306006085</v>
      </c>
      <c r="BK99">
        <f t="shared" si="223"/>
        <v>1.0763591696893808E-2</v>
      </c>
      <c r="BL99" s="460">
        <f t="shared" si="290"/>
        <v>144.73456347270439</v>
      </c>
      <c r="BM99" s="528">
        <f t="shared" si="224"/>
        <v>0.80457889335699684</v>
      </c>
      <c r="BN99" s="460">
        <f t="shared" si="291"/>
        <v>804.57889335699679</v>
      </c>
      <c r="BO99" s="528">
        <f t="shared" si="225"/>
        <v>0.58397499999999991</v>
      </c>
      <c r="BP99" s="528"/>
      <c r="BR99" s="460">
        <f t="shared" si="292"/>
        <v>583.97499999999991</v>
      </c>
      <c r="BS99" s="528">
        <f t="shared" si="226"/>
        <v>3.9019299430844499E-2</v>
      </c>
      <c r="BT99" s="528">
        <f t="shared" si="227"/>
        <v>6.1643692615229818E-2</v>
      </c>
      <c r="BU99" s="528">
        <f t="shared" si="228"/>
        <v>0.22559999999999997</v>
      </c>
      <c r="BV99" s="528">
        <f t="shared" si="229"/>
        <v>0.35326698305758542</v>
      </c>
      <c r="BW99" s="528">
        <f t="shared" si="230"/>
        <v>1.2256825684695626E-2</v>
      </c>
      <c r="BX99" s="460">
        <f t="shared" si="293"/>
        <v>365.52380874228101</v>
      </c>
      <c r="BY99" s="173">
        <f t="shared" si="231"/>
        <v>1.8988122655719821</v>
      </c>
      <c r="BZ99" s="5">
        <f t="shared" si="294"/>
        <v>15.04</v>
      </c>
      <c r="CA99" s="173">
        <f t="shared" si="295"/>
        <v>0.88790168780420886</v>
      </c>
      <c r="CB99" s="5">
        <f t="shared" si="296"/>
        <v>88.790168780420885</v>
      </c>
      <c r="CE99" s="562">
        <f t="shared" si="232"/>
        <v>-50</v>
      </c>
      <c r="CF99">
        <f t="shared" si="233"/>
        <v>-50</v>
      </c>
      <c r="CG99" s="173">
        <f t="shared" si="234"/>
        <v>0.58091144589495824</v>
      </c>
      <c r="CI99" s="170">
        <v>94</v>
      </c>
      <c r="CJ99" s="217">
        <f t="shared" si="297"/>
        <v>0.94</v>
      </c>
      <c r="CK99" s="217"/>
      <c r="CL99" s="217">
        <f t="shared" si="235"/>
        <v>15.04</v>
      </c>
      <c r="CM99" s="541">
        <f t="shared" si="236"/>
        <v>24</v>
      </c>
      <c r="CN99" s="172">
        <f t="shared" si="237"/>
        <v>16.399999999999999</v>
      </c>
      <c r="CO99" s="443">
        <f t="shared" si="238"/>
        <v>40.4</v>
      </c>
      <c r="CP99" s="443"/>
      <c r="CQ99" s="217">
        <f t="shared" si="239"/>
        <v>0.40594059405940591</v>
      </c>
      <c r="CR99" s="172">
        <f t="shared" si="240"/>
        <v>24.648712871287128</v>
      </c>
      <c r="CS99" s="172">
        <f t="shared" si="298"/>
        <v>15.04</v>
      </c>
      <c r="CT99" s="217">
        <f t="shared" si="241"/>
        <v>1.5405445544554455</v>
      </c>
      <c r="CU99" s="217">
        <f t="shared" si="242"/>
        <v>16</v>
      </c>
      <c r="CV99" s="217">
        <f t="shared" si="243"/>
        <v>1.5222772277227721</v>
      </c>
      <c r="CW99" s="172">
        <f t="shared" si="244"/>
        <v>40.067017467471963</v>
      </c>
      <c r="CX99" s="532">
        <f t="shared" si="245"/>
        <v>16</v>
      </c>
      <c r="CY99" s="217">
        <f t="shared" si="246"/>
        <v>3.0874796747967479</v>
      </c>
      <c r="CZ99" s="217">
        <f t="shared" si="247"/>
        <v>1.5437398373983739</v>
      </c>
      <c r="DA99" s="217">
        <f t="shared" si="248"/>
        <v>2.2591314693634743</v>
      </c>
      <c r="DB99" s="197">
        <f t="shared" si="249"/>
        <v>350</v>
      </c>
      <c r="DC99" s="443">
        <f t="shared" si="299"/>
        <v>262.95920091271819</v>
      </c>
      <c r="DE99" s="217">
        <f t="shared" si="250"/>
        <v>2.3196605374823194</v>
      </c>
      <c r="DF99" s="173">
        <f t="shared" si="251"/>
        <v>1.6973125884016973</v>
      </c>
      <c r="DG99" s="173">
        <f t="shared" si="252"/>
        <v>0.68900808044029282</v>
      </c>
      <c r="DH99" s="173"/>
      <c r="DI99" s="173">
        <f t="shared" si="253"/>
        <v>0.73170731707317083</v>
      </c>
      <c r="DJ99" s="545">
        <f t="shared" si="300"/>
        <v>2569.333333333333</v>
      </c>
      <c r="DK99" s="528">
        <f t="shared" si="254"/>
        <v>0.12804878048780488</v>
      </c>
      <c r="DM99" s="173">
        <f t="shared" si="255"/>
        <v>2.7094191962397365</v>
      </c>
      <c r="DN99" s="173">
        <f t="shared" si="256"/>
        <v>3.0874796747967479</v>
      </c>
      <c r="DO99" s="173">
        <f t="shared" si="257"/>
        <v>2.746281240590184</v>
      </c>
      <c r="DQ99" s="545">
        <f t="shared" si="258"/>
        <v>940</v>
      </c>
      <c r="DR99" s="460">
        <f t="shared" si="259"/>
        <v>262.95920091271819</v>
      </c>
      <c r="DT99">
        <f t="shared" si="260"/>
        <v>940</v>
      </c>
      <c r="DU99">
        <f t="shared" si="261"/>
        <v>262.95920091271819</v>
      </c>
      <c r="DW99" s="5">
        <f t="shared" si="301"/>
        <v>3.8028713067618485</v>
      </c>
      <c r="DX99" s="5">
        <f t="shared" si="262"/>
        <v>1.5437398373983739</v>
      </c>
      <c r="DY99" s="5">
        <f t="shared" si="302"/>
        <v>2.2591314693634743</v>
      </c>
      <c r="DZ99" s="5">
        <f t="shared" si="263"/>
        <v>2.2591314693634743</v>
      </c>
      <c r="EA99" s="173">
        <f t="shared" si="303"/>
        <v>0.40594059405940591</v>
      </c>
      <c r="EB99" s="173">
        <f t="shared" si="264"/>
        <v>15.04</v>
      </c>
      <c r="EC99" s="173">
        <f t="shared" si="265"/>
        <v>0.91707317073170747</v>
      </c>
      <c r="ED99" s="173">
        <f t="shared" si="304"/>
        <v>16.399999999999995</v>
      </c>
      <c r="EE99" s="460">
        <f t="shared" si="266"/>
        <v>9.0694715447154461</v>
      </c>
      <c r="EF99" s="5">
        <f t="shared" si="267"/>
        <v>1.1797686562231475</v>
      </c>
      <c r="EG99" s="5"/>
      <c r="EH99" s="173">
        <f t="shared" si="305"/>
        <v>1.1357290158619007</v>
      </c>
      <c r="EI99" s="173">
        <f t="shared" si="268"/>
        <v>1.3739104228285905</v>
      </c>
      <c r="EJ99" s="173"/>
      <c r="EK99" s="528">
        <f t="shared" si="269"/>
        <v>2.579760794941283E-2</v>
      </c>
      <c r="EL99" s="528">
        <f t="shared" si="270"/>
        <v>0.62319999999999987</v>
      </c>
      <c r="EM99" s="528">
        <f t="shared" si="271"/>
        <v>3.0240308104962595E-2</v>
      </c>
      <c r="EN99" s="528">
        <f t="shared" si="272"/>
        <v>0.21137680851063828</v>
      </c>
      <c r="EO99">
        <f t="shared" si="273"/>
        <v>1.0800000000000001E-2</v>
      </c>
      <c r="EP99" s="460">
        <f t="shared" si="306"/>
        <v>41.040308104962591</v>
      </c>
      <c r="EQ99" s="528">
        <f t="shared" si="274"/>
        <v>0.91398234413651946</v>
      </c>
      <c r="ER99" s="460">
        <f t="shared" si="307"/>
        <v>913.98234413651949</v>
      </c>
      <c r="ES99" s="528">
        <f t="shared" si="308"/>
        <v>0.58397499999999991</v>
      </c>
      <c r="ET99" s="528"/>
      <c r="EV99" s="460">
        <f t="shared" si="309"/>
        <v>583.97499999999991</v>
      </c>
      <c r="EW99" s="528">
        <f t="shared" si="275"/>
        <v>3.8696411924119239E-2</v>
      </c>
      <c r="EX99" s="528">
        <f t="shared" si="276"/>
        <v>5.6628895498711092E-2</v>
      </c>
      <c r="EY99" s="528">
        <f t="shared" si="277"/>
        <v>0.93907699342693274</v>
      </c>
      <c r="EZ99" s="528">
        <f t="shared" si="278"/>
        <v>1.0654051807419707</v>
      </c>
      <c r="FA99" s="528">
        <f t="shared" si="279"/>
        <v>1.2533333333333332E-2</v>
      </c>
      <c r="FB99" s="460">
        <f t="shared" si="310"/>
        <v>1077.9385140753041</v>
      </c>
      <c r="FC99" s="173">
        <f t="shared" si="311"/>
        <v>2.575895858211823</v>
      </c>
      <c r="FD99" s="5">
        <f t="shared" si="312"/>
        <v>15.04</v>
      </c>
      <c r="FE99" s="173">
        <f t="shared" si="313"/>
        <v>0.85377434795568208</v>
      </c>
      <c r="FF99" s="5">
        <f t="shared" si="314"/>
        <v>85.377434795568206</v>
      </c>
      <c r="FI99" s="562">
        <f t="shared" si="280"/>
        <v>-50</v>
      </c>
      <c r="FJ99">
        <f t="shared" si="281"/>
        <v>-50</v>
      </c>
      <c r="FL99">
        <f t="shared" si="282"/>
        <v>0.59405940594059414</v>
      </c>
    </row>
    <row r="100" spans="5:168" ht="13">
      <c r="E100" s="170">
        <v>95</v>
      </c>
      <c r="F100" s="217">
        <f t="shared" si="283"/>
        <v>0.95</v>
      </c>
      <c r="G100" s="217"/>
      <c r="H100" s="217">
        <f t="shared" si="183"/>
        <v>15.2</v>
      </c>
      <c r="I100" s="541">
        <f t="shared" si="184"/>
        <v>23.918251419615782</v>
      </c>
      <c r="J100" s="172">
        <f t="shared" si="185"/>
        <v>16.449049148230529</v>
      </c>
      <c r="K100" s="172">
        <f t="shared" si="186"/>
        <v>40.449049148230529</v>
      </c>
      <c r="L100" s="443"/>
      <c r="M100" s="217">
        <f t="shared" si="187"/>
        <v>0.40746872965086428</v>
      </c>
      <c r="N100" s="172">
        <f t="shared" si="188"/>
        <v>24.657226989194683</v>
      </c>
      <c r="O100" s="172">
        <f t="shared" si="284"/>
        <v>15.2</v>
      </c>
      <c r="P100" s="217">
        <f t="shared" si="189"/>
        <v>1.5410766868246677</v>
      </c>
      <c r="Q100" s="217">
        <f t="shared" si="190"/>
        <v>16</v>
      </c>
      <c r="R100" s="217">
        <f t="shared" si="191"/>
        <v>1.5228030502220038</v>
      </c>
      <c r="S100" s="172">
        <f t="shared" si="192"/>
        <v>39.265713719914949</v>
      </c>
      <c r="T100" s="532">
        <f t="shared" si="193"/>
        <v>16</v>
      </c>
      <c r="U100" s="217">
        <f t="shared" si="194"/>
        <v>3.2065818212099888</v>
      </c>
      <c r="V100" s="217">
        <f t="shared" si="195"/>
        <v>1.6087706906100407</v>
      </c>
      <c r="W100" s="217">
        <f t="shared" si="196"/>
        <v>2.3392830496016339</v>
      </c>
      <c r="X100" s="197">
        <f t="shared" si="197"/>
        <v>350</v>
      </c>
      <c r="Y100" s="443">
        <f t="shared" si="198"/>
        <v>241.07691525447063</v>
      </c>
      <c r="AA100" s="217">
        <f t="shared" si="199"/>
        <v>2.3205515803903549</v>
      </c>
      <c r="AB100" s="173">
        <f t="shared" si="200"/>
        <v>1.6929014384810079</v>
      </c>
      <c r="AC100" s="173">
        <f t="shared" si="201"/>
        <v>0.68748139398963648</v>
      </c>
      <c r="AD100" s="173"/>
      <c r="AE100" s="173">
        <f t="shared" si="202"/>
        <v>0.72952545109824019</v>
      </c>
      <c r="AF100" s="545">
        <f t="shared" si="203"/>
        <v>2604.432781803167</v>
      </c>
      <c r="AG100" s="528">
        <f t="shared" si="204"/>
        <v>0.12766695394219202</v>
      </c>
      <c r="AI100" s="173">
        <f t="shared" si="205"/>
        <v>2.727862994990331</v>
      </c>
      <c r="AJ100" s="173">
        <f t="shared" si="206"/>
        <v>3.2065818212099888</v>
      </c>
      <c r="AK100" s="173">
        <f t="shared" si="207"/>
        <v>2.8345050527481401</v>
      </c>
      <c r="AM100" s="545">
        <f t="shared" si="208"/>
        <v>950</v>
      </c>
      <c r="AN100" s="460">
        <f t="shared" si="209"/>
        <v>241.07691525447063</v>
      </c>
      <c r="AP100">
        <f t="shared" si="210"/>
        <v>950</v>
      </c>
      <c r="AQ100">
        <f t="shared" si="211"/>
        <v>241.07691525447063</v>
      </c>
      <c r="AS100" s="5">
        <f t="shared" si="285"/>
        <v>4.1480537402116751</v>
      </c>
      <c r="AT100" s="5">
        <f t="shared" si="212"/>
        <v>1.6087706906100407</v>
      </c>
      <c r="AU100" s="5">
        <f t="shared" si="286"/>
        <v>2.5392830496016341</v>
      </c>
      <c r="AV100" s="5">
        <f t="shared" si="213"/>
        <v>2.3392830496016339</v>
      </c>
      <c r="AW100" s="173">
        <f t="shared" si="287"/>
        <v>0.38783747544407299</v>
      </c>
      <c r="AX100" s="173">
        <f t="shared" si="214"/>
        <v>14.872758580398241</v>
      </c>
      <c r="AY100" s="173">
        <f t="shared" si="215"/>
        <v>0.98147461143352444</v>
      </c>
      <c r="AZ100" s="173">
        <f t="shared" si="288"/>
        <v>15.153482736222134</v>
      </c>
      <c r="BA100" s="460">
        <f t="shared" si="216"/>
        <v>9.5520759754971181</v>
      </c>
      <c r="BB100" s="5">
        <f t="shared" si="217"/>
        <v>1.3447576663251486</v>
      </c>
      <c r="BC100" s="5"/>
      <c r="BD100" s="173">
        <f t="shared" si="289"/>
        <v>1.15293967493398</v>
      </c>
      <c r="BE100" s="173">
        <f t="shared" si="218"/>
        <v>1.4484885563929222</v>
      </c>
      <c r="BF100" s="173"/>
      <c r="BG100" s="528">
        <f t="shared" si="219"/>
        <v>2.6585397880737431E-2</v>
      </c>
      <c r="BH100" s="528">
        <f t="shared" si="220"/>
        <v>0.57064910123638168</v>
      </c>
      <c r="BI100" s="528">
        <f t="shared" si="221"/>
        <v>0.13262118022200223</v>
      </c>
      <c r="BJ100" s="528">
        <f t="shared" si="222"/>
        <v>0.19425781273253107</v>
      </c>
      <c r="BK100">
        <f t="shared" si="223"/>
        <v>1.0763213138827101E-2</v>
      </c>
      <c r="BL100" s="460">
        <f t="shared" si="290"/>
        <v>143.38439336082934</v>
      </c>
      <c r="BM100" s="528">
        <f t="shared" si="224"/>
        <v>0.80374739282742924</v>
      </c>
      <c r="BN100" s="460">
        <f t="shared" si="291"/>
        <v>803.74739282742928</v>
      </c>
      <c r="BO100" s="528">
        <f t="shared" si="225"/>
        <v>0.59018749999999986</v>
      </c>
      <c r="BP100" s="528"/>
      <c r="BR100" s="460">
        <f t="shared" si="292"/>
        <v>590.18749999999989</v>
      </c>
      <c r="BS100" s="528">
        <f t="shared" si="226"/>
        <v>3.9878096821106143E-2</v>
      </c>
      <c r="BT100" s="528">
        <f t="shared" si="227"/>
        <v>6.2943572940037551E-2</v>
      </c>
      <c r="BU100" s="528">
        <f t="shared" si="228"/>
        <v>0.22799999999999998</v>
      </c>
      <c r="BV100" s="528">
        <f t="shared" si="229"/>
        <v>0.35844736301475055</v>
      </c>
      <c r="BW100" s="528">
        <f t="shared" si="230"/>
        <v>1.2393965483665201E-2</v>
      </c>
      <c r="BX100" s="460">
        <f t="shared" si="293"/>
        <v>370.84132849841581</v>
      </c>
      <c r="BY100" s="173">
        <f t="shared" si="231"/>
        <v>1.9081606146866743</v>
      </c>
      <c r="BZ100" s="5">
        <f t="shared" si="294"/>
        <v>15.2</v>
      </c>
      <c r="CA100" s="173">
        <f t="shared" si="295"/>
        <v>0.88846488774201737</v>
      </c>
      <c r="CB100" s="5">
        <f t="shared" si="296"/>
        <v>88.846488774201731</v>
      </c>
      <c r="CE100" s="562">
        <f t="shared" si="232"/>
        <v>-50</v>
      </c>
      <c r="CF100">
        <f t="shared" si="233"/>
        <v>-50</v>
      </c>
      <c r="CG100" s="173">
        <f t="shared" si="234"/>
        <v>0.58104984547438587</v>
      </c>
      <c r="CI100" s="170">
        <v>95</v>
      </c>
      <c r="CJ100" s="217">
        <f t="shared" si="297"/>
        <v>0.95</v>
      </c>
      <c r="CK100" s="217"/>
      <c r="CL100" s="217">
        <f t="shared" si="235"/>
        <v>15.2</v>
      </c>
      <c r="CM100" s="541">
        <f t="shared" si="236"/>
        <v>24</v>
      </c>
      <c r="CN100" s="172">
        <f t="shared" si="237"/>
        <v>16.399999999999999</v>
      </c>
      <c r="CO100" s="443">
        <f t="shared" si="238"/>
        <v>40.4</v>
      </c>
      <c r="CP100" s="443"/>
      <c r="CQ100" s="217">
        <f t="shared" si="239"/>
        <v>0.40594059405940591</v>
      </c>
      <c r="CR100" s="172">
        <f t="shared" si="240"/>
        <v>24.648712871287128</v>
      </c>
      <c r="CS100" s="172">
        <f t="shared" si="298"/>
        <v>15.2</v>
      </c>
      <c r="CT100" s="217">
        <f t="shared" si="241"/>
        <v>1.5405445544554455</v>
      </c>
      <c r="CU100" s="217">
        <f t="shared" si="242"/>
        <v>16</v>
      </c>
      <c r="CV100" s="217">
        <f t="shared" si="243"/>
        <v>1.5222772277227721</v>
      </c>
      <c r="CW100" s="172">
        <f t="shared" si="244"/>
        <v>39.399106184044122</v>
      </c>
      <c r="CX100" s="532">
        <f t="shared" si="245"/>
        <v>16</v>
      </c>
      <c r="CY100" s="217">
        <f t="shared" si="246"/>
        <v>3.1203252032520323</v>
      </c>
      <c r="CZ100" s="217">
        <f t="shared" si="247"/>
        <v>1.5601626016260162</v>
      </c>
      <c r="DA100" s="217">
        <f t="shared" si="248"/>
        <v>2.2831647828673409</v>
      </c>
      <c r="DB100" s="197">
        <f t="shared" si="249"/>
        <v>350</v>
      </c>
      <c r="DC100" s="443">
        <f t="shared" si="299"/>
        <v>260.19120932416331</v>
      </c>
      <c r="DE100" s="217">
        <f t="shared" si="250"/>
        <v>2.3196605374823194</v>
      </c>
      <c r="DF100" s="173">
        <f t="shared" si="251"/>
        <v>1.6973125884016973</v>
      </c>
      <c r="DG100" s="173">
        <f t="shared" si="252"/>
        <v>0.68900808044029282</v>
      </c>
      <c r="DH100" s="173"/>
      <c r="DI100" s="173">
        <f t="shared" si="253"/>
        <v>0.73170731707317083</v>
      </c>
      <c r="DJ100" s="545">
        <f t="shared" si="300"/>
        <v>2596.6666666666661</v>
      </c>
      <c r="DK100" s="528">
        <f t="shared" si="254"/>
        <v>0.12804878048780488</v>
      </c>
      <c r="DM100" s="173">
        <f t="shared" si="255"/>
        <v>2.7237928737419845</v>
      </c>
      <c r="DN100" s="173">
        <f t="shared" si="256"/>
        <v>3.1203252032520323</v>
      </c>
      <c r="DO100" s="173">
        <f t="shared" si="257"/>
        <v>2.7706112616681722</v>
      </c>
      <c r="DQ100" s="545">
        <f t="shared" si="258"/>
        <v>950</v>
      </c>
      <c r="DR100" s="460">
        <f t="shared" si="259"/>
        <v>260.19120932416331</v>
      </c>
      <c r="DT100">
        <f t="shared" si="260"/>
        <v>950</v>
      </c>
      <c r="DU100">
        <f t="shared" si="261"/>
        <v>260.19120932416331</v>
      </c>
      <c r="DW100" s="5">
        <f t="shared" si="301"/>
        <v>3.8433273844933566</v>
      </c>
      <c r="DX100" s="5">
        <f t="shared" si="262"/>
        <v>1.5601626016260162</v>
      </c>
      <c r="DY100" s="5">
        <f t="shared" si="302"/>
        <v>2.2831647828673405</v>
      </c>
      <c r="DZ100" s="5">
        <f t="shared" si="263"/>
        <v>2.2831647828673409</v>
      </c>
      <c r="EA100" s="173">
        <f t="shared" si="303"/>
        <v>0.40594059405940597</v>
      </c>
      <c r="EB100" s="173">
        <f t="shared" si="264"/>
        <v>15.200000000000001</v>
      </c>
      <c r="EC100" s="173">
        <f t="shared" si="265"/>
        <v>0.92682926829268286</v>
      </c>
      <c r="ED100" s="173">
        <f t="shared" si="304"/>
        <v>16.400000000000002</v>
      </c>
      <c r="EE100" s="460">
        <f t="shared" si="266"/>
        <v>9.26346544715447</v>
      </c>
      <c r="EF100" s="5">
        <f t="shared" si="267"/>
        <v>1.2050036354022071</v>
      </c>
      <c r="EG100" s="5"/>
      <c r="EH100" s="173">
        <f t="shared" si="305"/>
        <v>1.1478112394348996</v>
      </c>
      <c r="EI100" s="173">
        <f t="shared" si="268"/>
        <v>1.388526491156554</v>
      </c>
      <c r="EJ100" s="173"/>
      <c r="EK100" s="528">
        <f t="shared" si="269"/>
        <v>2.6349412827461609E-2</v>
      </c>
      <c r="EL100" s="528">
        <f t="shared" si="270"/>
        <v>0.62320000000000009</v>
      </c>
      <c r="EM100" s="528">
        <f t="shared" si="271"/>
        <v>2.9921989072278783E-2</v>
      </c>
      <c r="EN100" s="528">
        <f t="shared" si="272"/>
        <v>0.20915178947368424</v>
      </c>
      <c r="EO100">
        <f t="shared" si="273"/>
        <v>1.0800000000000001E-2</v>
      </c>
      <c r="EP100" s="460">
        <f t="shared" si="306"/>
        <v>40.721989072278781</v>
      </c>
      <c r="EQ100" s="528">
        <f t="shared" si="274"/>
        <v>0.91224877621518707</v>
      </c>
      <c r="ER100" s="460">
        <f t="shared" si="307"/>
        <v>912.24877621518704</v>
      </c>
      <c r="ES100" s="528">
        <f t="shared" si="308"/>
        <v>0.59018749999999986</v>
      </c>
      <c r="ET100" s="528"/>
      <c r="EV100" s="460">
        <f t="shared" si="309"/>
        <v>590.18749999999989</v>
      </c>
      <c r="EW100" s="528">
        <f t="shared" si="275"/>
        <v>3.952411924119241E-2</v>
      </c>
      <c r="EX100" s="528">
        <f t="shared" si="276"/>
        <v>5.7840174499305952E-2</v>
      </c>
      <c r="EY100" s="528">
        <f t="shared" si="277"/>
        <v>0.93907699342693174</v>
      </c>
      <c r="EZ100" s="528">
        <f t="shared" si="278"/>
        <v>1.0681285240143286</v>
      </c>
      <c r="FA100" s="528">
        <f t="shared" si="279"/>
        <v>1.2666666666666668E-2</v>
      </c>
      <c r="FB100" s="460">
        <f t="shared" si="310"/>
        <v>1080.7951906809951</v>
      </c>
      <c r="FC100" s="173">
        <f t="shared" si="311"/>
        <v>2.5832314668961822</v>
      </c>
      <c r="FD100" s="5">
        <f t="shared" si="312"/>
        <v>15.2</v>
      </c>
      <c r="FE100" s="173">
        <f t="shared" si="313"/>
        <v>0.8547377920764897</v>
      </c>
      <c r="FF100" s="5">
        <f t="shared" si="314"/>
        <v>85.473779207648974</v>
      </c>
      <c r="FI100" s="562">
        <f t="shared" si="280"/>
        <v>-50</v>
      </c>
      <c r="FJ100">
        <f t="shared" si="281"/>
        <v>-50</v>
      </c>
      <c r="FL100">
        <f t="shared" si="282"/>
        <v>0.59405940594059403</v>
      </c>
    </row>
    <row r="101" spans="5:168" ht="13">
      <c r="E101" s="170">
        <v>96</v>
      </c>
      <c r="F101" s="217">
        <f t="shared" si="283"/>
        <v>0.96</v>
      </c>
      <c r="G101" s="217"/>
      <c r="H101" s="217">
        <f>F101*Vout</f>
        <v>15.36</v>
      </c>
      <c r="I101" s="541">
        <f t="shared" si="184"/>
        <v>23.917410170384915</v>
      </c>
      <c r="J101" s="172">
        <f t="shared" si="185"/>
        <v>16.44955389776905</v>
      </c>
      <c r="K101" s="172">
        <f t="shared" si="186"/>
        <v>40.44955389776905</v>
      </c>
      <c r="L101" s="443"/>
      <c r="M101" s="217">
        <f t="shared" si="187"/>
        <v>0.40748463444187072</v>
      </c>
      <c r="N101" s="172">
        <f>M101*I101*(Isw_max+VIN_nom/Lmag*ILIM_delay)*0.5*Efficiency</f>
        <v>24.657322164391211</v>
      </c>
      <c r="O101" s="172">
        <f t="shared" si="284"/>
        <v>15.36</v>
      </c>
      <c r="P101" s="217">
        <f>N101/Vout</f>
        <v>1.5410826352744507</v>
      </c>
      <c r="Q101" s="217">
        <f t="shared" si="190"/>
        <v>16</v>
      </c>
      <c r="R101" s="217">
        <f>Isw_max/2*I101*Nps*(Q101+Vfwd1+F101/FL101*Rdcr_sec)/Q101/(I101+Nps*(Q101+Vfwd1+F101/FL101*Rdcr_sec))</f>
        <v>1.5228089281368089</v>
      </c>
      <c r="S101" s="172">
        <f t="shared" si="192"/>
        <v>38.612738819348678</v>
      </c>
      <c r="T101" s="532">
        <f>MIN(Vout, S101)</f>
        <v>16</v>
      </c>
      <c r="U101" s="217">
        <f t="shared" si="194"/>
        <v>3.240422293844524</v>
      </c>
      <c r="V101" s="217">
        <f t="shared" si="195"/>
        <v>1.6258059400713321</v>
      </c>
      <c r="W101" s="217">
        <f t="shared" si="196"/>
        <v>2.3638979979516663</v>
      </c>
      <c r="X101" s="197">
        <f t="shared" si="197"/>
        <v>350</v>
      </c>
      <c r="Y101" s="443">
        <f t="shared" si="198"/>
        <v>238.68034944537666</v>
      </c>
      <c r="AA101" s="217">
        <f t="shared" si="199"/>
        <v>2.3205605114579262</v>
      </c>
      <c r="AB101" s="173">
        <f>L*AA101/J101*1000000</f>
        <v>1.6928560075584658</v>
      </c>
      <c r="AC101" s="173">
        <f>0.5*AB101*AA101*Nps*X101/1000</f>
        <v>0.6874655904767869</v>
      </c>
      <c r="AD101" s="173"/>
      <c r="AE101" s="173">
        <f t="shared" si="202"/>
        <v>0.7295030658325321</v>
      </c>
      <c r="AF101" s="545">
        <f>MAX(12, F101/(0.5*AE101/1000000*Isw_min*Nps)/1000)</f>
        <v>2631.9286236430476</v>
      </c>
      <c r="AG101" s="528">
        <f t="shared" si="204"/>
        <v>0.12766303652069314</v>
      </c>
      <c r="AI101" s="173">
        <f t="shared" si="205"/>
        <v>2.7422246566522523</v>
      </c>
      <c r="AJ101" s="173">
        <f>MAX(IF(F101&gt;AC101,U101,AI101),Isw_min)</f>
        <v>3.240422293844524</v>
      </c>
      <c r="AK101" s="173">
        <f>IF(F101&gt;AG101, (AJ101-Isw_min)/1.08*0.8+1.2, AF101*0.2/350+1)</f>
        <v>2.8595720695144622</v>
      </c>
      <c r="AM101" s="545">
        <f t="shared" si="208"/>
        <v>960</v>
      </c>
      <c r="AN101" s="460">
        <f t="shared" si="209"/>
        <v>238.68034944537666</v>
      </c>
      <c r="AP101">
        <f t="shared" si="210"/>
        <v>960</v>
      </c>
      <c r="AQ101">
        <f t="shared" si="211"/>
        <v>238.68034944537666</v>
      </c>
      <c r="AS101" s="5">
        <f t="shared" si="285"/>
        <v>4.1897039380229986</v>
      </c>
      <c r="AT101" s="5">
        <f t="shared" si="212"/>
        <v>1.6258059400713321</v>
      </c>
      <c r="AU101" s="5">
        <f t="shared" si="286"/>
        <v>2.5638979979516665</v>
      </c>
      <c r="AV101" s="5">
        <f t="shared" si="213"/>
        <v>2.3638979979516663</v>
      </c>
      <c r="AW101" s="173">
        <f t="shared" si="287"/>
        <v>0.38804792990659465</v>
      </c>
      <c r="AX101" s="173">
        <f t="shared" si="214"/>
        <v>15.03734411467663</v>
      </c>
      <c r="AY101" s="173">
        <f t="shared" si="215"/>
        <v>0.99149156534748872</v>
      </c>
      <c r="AZ101" s="173">
        <f t="shared" si="288"/>
        <v>15.16638632160878</v>
      </c>
      <c r="BA101" s="460">
        <f t="shared" si="216"/>
        <v>9.7548356404279914</v>
      </c>
      <c r="BB101" s="5">
        <f t="shared" si="217"/>
        <v>1.3721341123470463</v>
      </c>
      <c r="BC101" s="5"/>
      <c r="BD101" s="173">
        <f t="shared" si="289"/>
        <v>1.1654232274761807</v>
      </c>
      <c r="BE101" s="173">
        <f t="shared" si="218"/>
        <v>1.46352345898766</v>
      </c>
      <c r="BF101" s="173"/>
      <c r="BG101" s="528">
        <f t="shared" si="219"/>
        <v>2.7164225982819951E-2</v>
      </c>
      <c r="BH101" s="528">
        <f t="shared" si="220"/>
        <v>0.5709457986810631</v>
      </c>
      <c r="BI101" s="528">
        <f t="shared" si="221"/>
        <v>0.13129816379780521</v>
      </c>
      <c r="BJ101" s="528">
        <f t="shared" si="222"/>
        <v>0.19233147952824975</v>
      </c>
      <c r="BK101">
        <f t="shared" si="223"/>
        <v>1.0762834576673212E-2</v>
      </c>
      <c r="BL101" s="460">
        <f t="shared" si="290"/>
        <v>142.0609983744784</v>
      </c>
      <c r="BM101" s="528">
        <f t="shared" si="224"/>
        <v>0.80295831489776481</v>
      </c>
      <c r="BN101" s="460">
        <f t="shared" si="291"/>
        <v>802.95831489776481</v>
      </c>
      <c r="BO101" s="528">
        <f t="shared" si="225"/>
        <v>0.59639999999999993</v>
      </c>
      <c r="BP101" s="528"/>
      <c r="BR101" s="460">
        <f t="shared" si="292"/>
        <v>596.4</v>
      </c>
      <c r="BS101" s="528">
        <f t="shared" si="226"/>
        <v>4.0746338974229926E-2</v>
      </c>
      <c r="BT101" s="528">
        <f t="shared" si="227"/>
        <v>6.4257027450216136E-2</v>
      </c>
      <c r="BU101" s="528">
        <f t="shared" si="228"/>
        <v>0.23039999999999999</v>
      </c>
      <c r="BV101" s="528">
        <f>(BU101+(BS101+BT101)*(1+Ltc*(Ta-25)))/(1-(BS101+BT101)*Ltc*ThetaCa)</f>
        <v>0.36365900797172152</v>
      </c>
      <c r="BW101" s="528">
        <f t="shared" si="230"/>
        <v>1.253112009556386E-2</v>
      </c>
      <c r="BX101" s="460">
        <f t="shared" si="293"/>
        <v>376.19012806728534</v>
      </c>
      <c r="BY101" s="173">
        <f t="shared" si="231"/>
        <v>1.9176094413395284</v>
      </c>
      <c r="BZ101" s="5">
        <f t="shared" si="294"/>
        <v>15.36</v>
      </c>
      <c r="CA101" s="173">
        <f t="shared" si="295"/>
        <v>0.8890118770278872</v>
      </c>
      <c r="CB101" s="5">
        <f t="shared" si="296"/>
        <v>88.901187702788718</v>
      </c>
      <c r="CE101" s="562">
        <f t="shared" si="232"/>
        <v>-50</v>
      </c>
      <c r="CF101">
        <f t="shared" si="233"/>
        <v>-50</v>
      </c>
      <c r="CG101" s="173">
        <f t="shared" si="234"/>
        <v>0.58118536172924229</v>
      </c>
      <c r="CI101" s="170">
        <v>96</v>
      </c>
      <c r="CJ101" s="217">
        <f t="shared" si="297"/>
        <v>0.96</v>
      </c>
      <c r="CK101" s="217"/>
      <c r="CL101" s="217">
        <f t="shared" si="235"/>
        <v>15.36</v>
      </c>
      <c r="CM101" s="541">
        <f t="shared" si="236"/>
        <v>24</v>
      </c>
      <c r="CN101" s="172">
        <f t="shared" si="237"/>
        <v>16.399999999999999</v>
      </c>
      <c r="CO101" s="443">
        <f t="shared" si="238"/>
        <v>40.4</v>
      </c>
      <c r="CP101" s="443"/>
      <c r="CQ101" s="217">
        <f t="shared" si="239"/>
        <v>0.40594059405940591</v>
      </c>
      <c r="CR101" s="172">
        <f t="shared" si="240"/>
        <v>24.648712871287128</v>
      </c>
      <c r="CS101" s="172">
        <f t="shared" si="298"/>
        <v>15.36</v>
      </c>
      <c r="CT101" s="217">
        <f t="shared" si="241"/>
        <v>1.5405445544554455</v>
      </c>
      <c r="CU101" s="217">
        <f t="shared" si="242"/>
        <v>16</v>
      </c>
      <c r="CV101" s="217">
        <f t="shared" si="243"/>
        <v>1.5222772277227721</v>
      </c>
      <c r="CW101" s="172">
        <f t="shared" si="244"/>
        <v>38.745240541816187</v>
      </c>
      <c r="CX101" s="532">
        <f t="shared" si="245"/>
        <v>16</v>
      </c>
      <c r="CY101" s="217">
        <f t="shared" si="246"/>
        <v>3.1531707317073172</v>
      </c>
      <c r="CZ101" s="217">
        <f t="shared" si="247"/>
        <v>1.5765853658536586</v>
      </c>
      <c r="DA101" s="217">
        <f t="shared" si="248"/>
        <v>2.307198096371208</v>
      </c>
      <c r="DB101" s="197">
        <f t="shared" si="249"/>
        <v>350</v>
      </c>
      <c r="DC101" s="443">
        <f t="shared" si="299"/>
        <v>257.48088422703654</v>
      </c>
      <c r="DE101" s="217">
        <f t="shared" si="250"/>
        <v>2.3196605374823194</v>
      </c>
      <c r="DF101" s="173">
        <f t="shared" si="251"/>
        <v>1.6973125884016973</v>
      </c>
      <c r="DG101" s="173">
        <f t="shared" si="252"/>
        <v>0.68900808044029282</v>
      </c>
      <c r="DH101" s="173"/>
      <c r="DI101" s="173">
        <f t="shared" si="253"/>
        <v>0.73170731707317083</v>
      </c>
      <c r="DJ101" s="545">
        <f t="shared" si="300"/>
        <v>2623.9999999999995</v>
      </c>
      <c r="DK101" s="528">
        <f t="shared" si="254"/>
        <v>0.12804878048780488</v>
      </c>
      <c r="DM101" s="173">
        <f t="shared" si="255"/>
        <v>2.7380910973053574</v>
      </c>
      <c r="DN101" s="173">
        <f t="shared" si="256"/>
        <v>3.1531707317073172</v>
      </c>
      <c r="DO101" s="173">
        <f t="shared" si="257"/>
        <v>2.7949412827461608</v>
      </c>
      <c r="DQ101" s="545">
        <f t="shared" si="258"/>
        <v>960</v>
      </c>
      <c r="DR101" s="460">
        <f t="shared" si="259"/>
        <v>257.48088422703654</v>
      </c>
      <c r="DT101">
        <f t="shared" si="260"/>
        <v>960</v>
      </c>
      <c r="DU101">
        <f t="shared" si="261"/>
        <v>257.48088422703654</v>
      </c>
      <c r="DW101" s="5">
        <f t="shared" si="301"/>
        <v>3.8837834622248666</v>
      </c>
      <c r="DX101" s="5">
        <f t="shared" si="262"/>
        <v>1.5765853658536586</v>
      </c>
      <c r="DY101" s="5">
        <f t="shared" si="302"/>
        <v>2.307198096371208</v>
      </c>
      <c r="DZ101" s="5">
        <f t="shared" si="263"/>
        <v>2.307198096371208</v>
      </c>
      <c r="EA101" s="173">
        <f t="shared" si="303"/>
        <v>0.40594059405940591</v>
      </c>
      <c r="EB101" s="173">
        <f t="shared" si="264"/>
        <v>15.36</v>
      </c>
      <c r="EC101" s="173">
        <f t="shared" si="265"/>
        <v>0.9365853658536587</v>
      </c>
      <c r="ED101" s="173">
        <f t="shared" si="304"/>
        <v>16.399999999999995</v>
      </c>
      <c r="EE101" s="460">
        <f t="shared" si="266"/>
        <v>9.4595121951219507</v>
      </c>
      <c r="EF101" s="5">
        <f t="shared" si="267"/>
        <v>1.2305056513979775</v>
      </c>
      <c r="EG101" s="5"/>
      <c r="EH101" s="173">
        <f t="shared" si="305"/>
        <v>1.1598934630078985</v>
      </c>
      <c r="EI101" s="173">
        <f t="shared" si="268"/>
        <v>1.4031425594845182</v>
      </c>
      <c r="EJ101" s="173"/>
      <c r="EK101" s="528">
        <f t="shared" si="269"/>
        <v>2.6907056910569108E-2</v>
      </c>
      <c r="EL101" s="528">
        <f t="shared" si="270"/>
        <v>0.62320000000000009</v>
      </c>
      <c r="EM101" s="528">
        <f t="shared" si="271"/>
        <v>2.9610301686109206E-2</v>
      </c>
      <c r="EN101" s="528">
        <f t="shared" si="272"/>
        <v>0.20697312499999995</v>
      </c>
      <c r="EO101">
        <f t="shared" si="273"/>
        <v>1.0800000000000001E-2</v>
      </c>
      <c r="EP101" s="460">
        <f t="shared" si="306"/>
        <v>40.410301686109207</v>
      </c>
      <c r="EQ101" s="528">
        <f t="shared" si="274"/>
        <v>0.91057681281113589</v>
      </c>
      <c r="ER101" s="460">
        <f t="shared" si="307"/>
        <v>910.57681281113594</v>
      </c>
      <c r="ES101" s="528">
        <f t="shared" si="308"/>
        <v>0.59639999999999993</v>
      </c>
      <c r="ET101" s="528"/>
      <c r="EV101" s="460">
        <f t="shared" si="309"/>
        <v>596.4</v>
      </c>
      <c r="EW101" s="528">
        <f t="shared" si="275"/>
        <v>4.0360585365853657E-2</v>
      </c>
      <c r="EX101" s="528">
        <f t="shared" si="276"/>
        <v>5.9064271267102932E-2</v>
      </c>
      <c r="EY101" s="528">
        <f t="shared" si="277"/>
        <v>0.93907699342693141</v>
      </c>
      <c r="EZ101" s="528">
        <f t="shared" si="278"/>
        <v>1.0708815955807165</v>
      </c>
      <c r="FA101" s="528">
        <f t="shared" si="279"/>
        <v>1.2799999999999999E-2</v>
      </c>
      <c r="FB101" s="460">
        <f t="shared" si="310"/>
        <v>1083.6815955807165</v>
      </c>
      <c r="FC101" s="173">
        <f t="shared" si="311"/>
        <v>2.5906584083918522</v>
      </c>
      <c r="FD101" s="5">
        <f t="shared" si="312"/>
        <v>15.36</v>
      </c>
      <c r="FE101" s="173">
        <f t="shared" si="313"/>
        <v>0.85567891998987999</v>
      </c>
      <c r="FF101" s="5">
        <f t="shared" si="314"/>
        <v>85.567891998988003</v>
      </c>
      <c r="FI101" s="562">
        <f t="shared" si="280"/>
        <v>-50</v>
      </c>
      <c r="FJ101">
        <f t="shared" si="281"/>
        <v>-50</v>
      </c>
      <c r="FL101">
        <f t="shared" si="282"/>
        <v>0.59405940594059414</v>
      </c>
    </row>
    <row r="102" spans="5:168" ht="13">
      <c r="E102" s="170">
        <v>97</v>
      </c>
      <c r="F102" s="217">
        <f>IF(PLOT_TYPE=1, E102/100*Iout_max, min_I*EXP(N102*rr/100))</f>
        <v>0.97</v>
      </c>
      <c r="G102" s="217"/>
      <c r="H102" s="217">
        <f>F102*Vout</f>
        <v>15.52</v>
      </c>
      <c r="I102" s="541">
        <f t="shared" si="184"/>
        <v>23.916568912358475</v>
      </c>
      <c r="J102" s="172">
        <f t="shared" si="185"/>
        <v>16.450058652584914</v>
      </c>
      <c r="K102" s="172">
        <f t="shared" si="186"/>
        <v>40.450058652584914</v>
      </c>
      <c r="L102" s="443"/>
      <c r="M102" s="217">
        <f t="shared" si="187"/>
        <v>0.40750053958664773</v>
      </c>
      <c r="N102" s="172">
        <f>M102*I102*(Isw_max+VIN_nom/Lmag*ILIM_delay)*0.5*Efficiency</f>
        <v>24.657417284223726</v>
      </c>
      <c r="O102" s="172">
        <f t="shared" si="284"/>
        <v>15.52</v>
      </c>
      <c r="P102" s="217">
        <f>N102/Vout</f>
        <v>1.5410885802639829</v>
      </c>
      <c r="Q102" s="217">
        <f t="shared" si="190"/>
        <v>16</v>
      </c>
      <c r="R102" s="217">
        <f>Isw_max/2*I102*Nps*(Q102+Vfwd1+F102/FL102*Rdcr_sec)/Q102/(I102+Nps*(Q102+Vfwd1+F102/FL102*Rdcr_sec))</f>
        <v>1.5228148026323942</v>
      </c>
      <c r="S102" s="172">
        <f t="shared" si="192"/>
        <v>37.973376388602929</v>
      </c>
      <c r="T102" s="532">
        <f>MIN(Vout, S102)</f>
        <v>16</v>
      </c>
      <c r="U102" s="217">
        <f t="shared" si="194"/>
        <v>3.2742645852311414</v>
      </c>
      <c r="V102" s="217">
        <f t="shared" si="195"/>
        <v>1.6428433010920167</v>
      </c>
      <c r="W102" s="217">
        <f t="shared" si="196"/>
        <v>2.388512761721953</v>
      </c>
      <c r="X102" s="197">
        <f t="shared" si="197"/>
        <v>350</v>
      </c>
      <c r="Y102" s="443">
        <f t="shared" si="198"/>
        <v>236.33085591359381</v>
      </c>
      <c r="AA102" s="217">
        <f t="shared" si="199"/>
        <v>2.3205694377586097</v>
      </c>
      <c r="AB102" s="173">
        <f>L*AA102/J102*1000000</f>
        <v>1.6928105754034832</v>
      </c>
      <c r="AC102" s="173">
        <f>0.5*AB102*AA102*Nps*X102/1000</f>
        <v>0.68744978490928077</v>
      </c>
      <c r="AD102" s="173"/>
      <c r="AE102" s="173">
        <f t="shared" si="202"/>
        <v>0.72948068170652725</v>
      </c>
      <c r="AF102" s="545">
        <f>MAX(12, F102/(0.5*AE102/1000000*Isw_min*Nps)/1000)</f>
        <v>2659.426148834561</v>
      </c>
      <c r="AG102" s="528">
        <f t="shared" si="204"/>
        <v>0.12765911929864227</v>
      </c>
      <c r="AI102" s="173">
        <f t="shared" si="205"/>
        <v>2.7565123662413713</v>
      </c>
      <c r="AJ102" s="173">
        <f>MAX(IF(F102&gt;AC102,U102,AI102),Isw_min)</f>
        <v>3.2742645852311414</v>
      </c>
      <c r="AK102" s="173">
        <f>IF(F102&gt;AG102, (AJ102-Isw_min)/1.08*0.8+1.2, AF102*0.2/350+1)</f>
        <v>2.8846404335045492</v>
      </c>
      <c r="AM102" s="545">
        <f t="shared" si="208"/>
        <v>970</v>
      </c>
      <c r="AN102" s="460">
        <f t="shared" si="209"/>
        <v>236.33085591359381</v>
      </c>
      <c r="AP102">
        <f t="shared" si="210"/>
        <v>970</v>
      </c>
      <c r="AQ102">
        <f t="shared" si="211"/>
        <v>236.33085591359381</v>
      </c>
      <c r="AS102" s="5">
        <f t="shared" si="285"/>
        <v>4.2313560628139708</v>
      </c>
      <c r="AT102" s="5">
        <f t="shared" si="212"/>
        <v>1.6428433010920167</v>
      </c>
      <c r="AU102" s="5">
        <f t="shared" si="286"/>
        <v>2.5885127617219541</v>
      </c>
      <c r="AV102" s="5">
        <f t="shared" si="213"/>
        <v>2.388512761721953</v>
      </c>
      <c r="AW102" s="173">
        <f t="shared" si="287"/>
        <v>0.38825456347899018</v>
      </c>
      <c r="AX102" s="173">
        <f t="shared" si="214"/>
        <v>15.201947198415469</v>
      </c>
      <c r="AY102" s="173">
        <f t="shared" si="215"/>
        <v>1.0015082089887537</v>
      </c>
      <c r="AZ102" s="173">
        <f t="shared" si="288"/>
        <v>15.179054012712719</v>
      </c>
      <c r="BA102" s="460">
        <f t="shared" si="216"/>
        <v>9.9597375128703494</v>
      </c>
      <c r="BB102" s="5">
        <f t="shared" si="217"/>
        <v>1.3997868384723879</v>
      </c>
      <c r="BC102" s="5"/>
      <c r="BD102" s="173">
        <f t="shared" si="289"/>
        <v>1.1779081533349092</v>
      </c>
      <c r="BE102" s="173">
        <f t="shared" si="218"/>
        <v>1.4785585008176365</v>
      </c>
      <c r="BF102" s="173"/>
      <c r="BG102" s="528">
        <f t="shared" si="219"/>
        <v>2.7749352353857119E-2</v>
      </c>
      <c r="BH102" s="528">
        <f t="shared" si="220"/>
        <v>0.57123685977917671</v>
      </c>
      <c r="BI102" s="528">
        <f t="shared" si="221"/>
        <v>0.13000113363620494</v>
      </c>
      <c r="BJ102" s="528">
        <f t="shared" si="222"/>
        <v>0.19044298239118104</v>
      </c>
      <c r="BK102">
        <f t="shared" si="223"/>
        <v>1.0762456010561314E-2</v>
      </c>
      <c r="BL102" s="460">
        <f t="shared" si="290"/>
        <v>140.76358964676623</v>
      </c>
      <c r="BM102" s="528">
        <f t="shared" si="224"/>
        <v>0.80221069219289931</v>
      </c>
      <c r="BN102" s="460">
        <f t="shared" si="291"/>
        <v>802.21069219289927</v>
      </c>
      <c r="BO102" s="528">
        <f t="shared" si="225"/>
        <v>0.60261249999999988</v>
      </c>
      <c r="BP102" s="528"/>
      <c r="BR102" s="460">
        <f t="shared" si="292"/>
        <v>602.61249999999984</v>
      </c>
      <c r="BS102" s="528">
        <f t="shared" si="226"/>
        <v>4.162402853078568E-2</v>
      </c>
      <c r="BT102" s="528">
        <f t="shared" si="227"/>
        <v>6.5584057210202898E-2</v>
      </c>
      <c r="BU102" s="528">
        <f t="shared" si="228"/>
        <v>0.23279999999999998</v>
      </c>
      <c r="BV102" s="528">
        <f>(BU102+(BS102+BT102)*(1+Ltc*(Ta-25)))/(1-(BS102+BT102)*Ltc*ThetaCa)</f>
        <v>0.36890196822599314</v>
      </c>
      <c r="BW102" s="528">
        <f t="shared" si="230"/>
        <v>1.2668289332012894E-2</v>
      </c>
      <c r="BX102" s="460">
        <f t="shared" si="293"/>
        <v>381.57025755800606</v>
      </c>
      <c r="BY102" s="173">
        <f t="shared" si="231"/>
        <v>1.9271570393976716</v>
      </c>
      <c r="BZ102" s="5">
        <f t="shared" si="294"/>
        <v>15.52</v>
      </c>
      <c r="CA102" s="173">
        <f t="shared" si="295"/>
        <v>0.88954320551790012</v>
      </c>
      <c r="CB102" s="5">
        <f t="shared" si="296"/>
        <v>88.954320551790005</v>
      </c>
      <c r="CE102" s="562">
        <f t="shared" si="232"/>
        <v>-50</v>
      </c>
      <c r="CF102">
        <f t="shared" si="233"/>
        <v>-50</v>
      </c>
      <c r="CG102" s="173">
        <f t="shared" si="234"/>
        <v>0.581318083834514</v>
      </c>
      <c r="CI102" s="170">
        <v>97</v>
      </c>
      <c r="CJ102" s="217">
        <f t="shared" si="297"/>
        <v>0.97</v>
      </c>
      <c r="CK102" s="217"/>
      <c r="CL102" s="217">
        <f t="shared" si="235"/>
        <v>15.52</v>
      </c>
      <c r="CM102" s="541">
        <f t="shared" si="236"/>
        <v>24</v>
      </c>
      <c r="CN102" s="172">
        <f t="shared" si="237"/>
        <v>16.399999999999999</v>
      </c>
      <c r="CO102" s="443">
        <f t="shared" si="238"/>
        <v>40.4</v>
      </c>
      <c r="CP102" s="443"/>
      <c r="CQ102" s="217">
        <f t="shared" si="239"/>
        <v>0.40594059405940591</v>
      </c>
      <c r="CR102" s="172">
        <f t="shared" si="240"/>
        <v>24.648712871287128</v>
      </c>
      <c r="CS102" s="172">
        <f t="shared" si="298"/>
        <v>15.52</v>
      </c>
      <c r="CT102" s="217">
        <f t="shared" si="241"/>
        <v>1.5405445544554455</v>
      </c>
      <c r="CU102" s="217">
        <f t="shared" si="242"/>
        <v>16</v>
      </c>
      <c r="CV102" s="217">
        <f t="shared" si="243"/>
        <v>1.5222772277227721</v>
      </c>
      <c r="CW102" s="172">
        <f t="shared" si="244"/>
        <v>38.104988448244441</v>
      </c>
      <c r="CX102" s="532">
        <f t="shared" si="245"/>
        <v>16</v>
      </c>
      <c r="CY102" s="217">
        <f t="shared" si="246"/>
        <v>3.1860162601626016</v>
      </c>
      <c r="CZ102" s="217">
        <f t="shared" si="247"/>
        <v>1.5930081300813008</v>
      </c>
      <c r="DA102" s="217">
        <f t="shared" si="248"/>
        <v>2.3312314098750746</v>
      </c>
      <c r="DB102" s="197">
        <f t="shared" si="249"/>
        <v>350</v>
      </c>
      <c r="DC102" s="443">
        <f t="shared" si="299"/>
        <v>254.82644212160315</v>
      </c>
      <c r="DE102" s="217">
        <f t="shared" si="250"/>
        <v>2.3196605374823194</v>
      </c>
      <c r="DF102" s="173">
        <f t="shared" si="251"/>
        <v>1.6973125884016973</v>
      </c>
      <c r="DG102" s="173">
        <f t="shared" si="252"/>
        <v>0.68900808044029282</v>
      </c>
      <c r="DH102" s="173"/>
      <c r="DI102" s="173">
        <f t="shared" si="253"/>
        <v>0.73170731707317083</v>
      </c>
      <c r="DJ102" s="545">
        <f t="shared" si="300"/>
        <v>2651.333333333333</v>
      </c>
      <c r="DK102" s="528">
        <f t="shared" si="254"/>
        <v>0.12804878048780488</v>
      </c>
      <c r="DM102" s="173">
        <f t="shared" si="255"/>
        <v>2.7523150428753782</v>
      </c>
      <c r="DN102" s="173">
        <f t="shared" si="256"/>
        <v>3.1860162601626016</v>
      </c>
      <c r="DO102" s="173">
        <f t="shared" si="257"/>
        <v>2.8192713038241495</v>
      </c>
      <c r="DQ102" s="545">
        <f t="shared" si="258"/>
        <v>970</v>
      </c>
      <c r="DR102" s="460">
        <f t="shared" si="259"/>
        <v>254.82644212160315</v>
      </c>
      <c r="DT102">
        <f t="shared" si="260"/>
        <v>970</v>
      </c>
      <c r="DU102">
        <f t="shared" si="261"/>
        <v>254.82644212160315</v>
      </c>
      <c r="DW102" s="5">
        <f t="shared" si="301"/>
        <v>3.9242395399563761</v>
      </c>
      <c r="DX102" s="5">
        <f t="shared" si="262"/>
        <v>1.5930081300813008</v>
      </c>
      <c r="DY102" s="5">
        <f t="shared" si="302"/>
        <v>2.331231409875075</v>
      </c>
      <c r="DZ102" s="5">
        <f t="shared" si="263"/>
        <v>2.3312314098750746</v>
      </c>
      <c r="EA102" s="173">
        <f t="shared" si="303"/>
        <v>0.40594059405940586</v>
      </c>
      <c r="EB102" s="173">
        <f t="shared" si="264"/>
        <v>15.52</v>
      </c>
      <c r="EC102" s="173">
        <f t="shared" si="265"/>
        <v>0.94634146341463432</v>
      </c>
      <c r="ED102" s="173">
        <f t="shared" si="304"/>
        <v>16.399999999999995</v>
      </c>
      <c r="EE102" s="460">
        <f t="shared" si="266"/>
        <v>9.6576117886178867</v>
      </c>
      <c r="EF102" s="5">
        <f t="shared" si="267"/>
        <v>1.2562747042104567</v>
      </c>
      <c r="EG102" s="5"/>
      <c r="EH102" s="173">
        <f t="shared" si="305"/>
        <v>1.1719756865808972</v>
      </c>
      <c r="EI102" s="173">
        <f t="shared" si="268"/>
        <v>1.4177586278124819</v>
      </c>
      <c r="EJ102" s="173"/>
      <c r="EK102" s="528">
        <f t="shared" si="269"/>
        <v>2.7470540198735311E-2</v>
      </c>
      <c r="EL102" s="528">
        <f t="shared" si="270"/>
        <v>0.62319999999999987</v>
      </c>
      <c r="EM102" s="528">
        <f t="shared" si="271"/>
        <v>2.9305040843984366E-2</v>
      </c>
      <c r="EN102" s="528">
        <f t="shared" si="272"/>
        <v>0.20483938144329891</v>
      </c>
      <c r="EO102">
        <f t="shared" si="273"/>
        <v>1.0800000000000001E-2</v>
      </c>
      <c r="EP102" s="460">
        <f t="shared" si="306"/>
        <v>40.105040843984362</v>
      </c>
      <c r="EQ102" s="528">
        <f t="shared" si="274"/>
        <v>0.90896482205245965</v>
      </c>
      <c r="ER102" s="460">
        <f t="shared" si="307"/>
        <v>908.96482205245968</v>
      </c>
      <c r="ES102" s="528">
        <f t="shared" si="308"/>
        <v>0.60261249999999988</v>
      </c>
      <c r="ET102" s="528"/>
      <c r="EV102" s="460">
        <f t="shared" si="309"/>
        <v>602.61249999999984</v>
      </c>
      <c r="EW102" s="528">
        <f t="shared" si="275"/>
        <v>4.1205810298102968E-2</v>
      </c>
      <c r="EX102" s="528">
        <f t="shared" si="276"/>
        <v>6.0301185802101941E-2</v>
      </c>
      <c r="EY102" s="528">
        <f t="shared" si="277"/>
        <v>0.93907699342693118</v>
      </c>
      <c r="EZ102" s="528">
        <f t="shared" si="278"/>
        <v>1.0736644246363445</v>
      </c>
      <c r="FA102" s="528">
        <f t="shared" si="279"/>
        <v>1.293333333333333E-2</v>
      </c>
      <c r="FB102" s="460">
        <f t="shared" si="310"/>
        <v>1086.5977579696778</v>
      </c>
      <c r="FC102" s="173">
        <f t="shared" si="311"/>
        <v>2.5981750800221373</v>
      </c>
      <c r="FD102" s="5">
        <f t="shared" si="312"/>
        <v>15.52</v>
      </c>
      <c r="FE102" s="173">
        <f t="shared" si="313"/>
        <v>0.85659841189596431</v>
      </c>
      <c r="FF102" s="5">
        <f t="shared" si="314"/>
        <v>85.659841189596435</v>
      </c>
      <c r="FI102" s="562">
        <f t="shared" si="280"/>
        <v>-50</v>
      </c>
      <c r="FJ102">
        <f t="shared" si="281"/>
        <v>-50</v>
      </c>
      <c r="FL102">
        <f t="shared" si="282"/>
        <v>0.59405940594059414</v>
      </c>
    </row>
    <row r="103" spans="5:168" ht="13">
      <c r="E103" s="170">
        <v>98</v>
      </c>
      <c r="F103" s="217">
        <f>IF(PLOT_TYPE=1, E103/100*Iout_max, min_I*EXP(N103*rr/100))</f>
        <v>0.98</v>
      </c>
      <c r="G103" s="217"/>
      <c r="H103" s="217">
        <f>F103*Vout</f>
        <v>15.68</v>
      </c>
      <c r="I103" s="541">
        <f t="shared" si="184"/>
        <v>23.915727645811561</v>
      </c>
      <c r="J103" s="172">
        <f t="shared" si="185"/>
        <v>16.450563412513063</v>
      </c>
      <c r="K103" s="172">
        <f t="shared" si="186"/>
        <v>40.450563412513063</v>
      </c>
      <c r="L103" s="443"/>
      <c r="M103" s="217">
        <f t="shared" si="187"/>
        <v>0.4075164450824374</v>
      </c>
      <c r="N103" s="172">
        <f>M103*I103*(Isw_max+VIN_nom/Lmag*ILIM_delay)*0.5*Efficiency</f>
        <v>24.657512348805668</v>
      </c>
      <c r="O103" s="172">
        <f t="shared" si="284"/>
        <v>15.68</v>
      </c>
      <c r="P103" s="217">
        <f>N103/Vout</f>
        <v>1.5410945218003542</v>
      </c>
      <c r="Q103" s="217">
        <f t="shared" si="190"/>
        <v>16</v>
      </c>
      <c r="R103" s="217">
        <f>Isw_max/2*I103*Nps*(Q103+Vfwd1+F103/FL103*Rdcr_sec)/Q103/(I103+Nps*(Q103+Vfwd1+F103/FL103*Rdcr_sec))</f>
        <v>1.522820673715765</v>
      </c>
      <c r="S103" s="172">
        <f t="shared" si="192"/>
        <v>37.347212054949452</v>
      </c>
      <c r="T103" s="532">
        <f>MIN(Vout, S103)</f>
        <v>16</v>
      </c>
      <c r="U103" s="217">
        <f t="shared" si="194"/>
        <v>3.3081086955615362</v>
      </c>
      <c r="V103" s="217">
        <f t="shared" si="195"/>
        <v>1.6598827739908115</v>
      </c>
      <c r="W103" s="217">
        <f t="shared" si="196"/>
        <v>2.4131273410698397</v>
      </c>
      <c r="X103" s="197">
        <f t="shared" si="197"/>
        <v>350</v>
      </c>
      <c r="Y103" s="443">
        <f t="shared" si="198"/>
        <v>234.02706126891675</v>
      </c>
      <c r="AA103" s="217">
        <f t="shared" si="199"/>
        <v>2.3205783592892133</v>
      </c>
      <c r="AB103" s="173">
        <f>L*AA103/J103*1000000</f>
        <v>1.6927651420308731</v>
      </c>
      <c r="AC103" s="173">
        <f>0.5*AB103*AA103*Nps*X103/1000</f>
        <v>0.68743397729229572</v>
      </c>
      <c r="AD103" s="173"/>
      <c r="AE103" s="173">
        <f t="shared" si="202"/>
        <v>0.72945829872746137</v>
      </c>
      <c r="AF103" s="545">
        <f>MAX(12, F103/(0.5*AE103/1000000*Isw_min*Nps)/1000)</f>
        <v>2686.9253573771334</v>
      </c>
      <c r="AG103" s="528">
        <f t="shared" si="204"/>
        <v>0.12765520227730576</v>
      </c>
      <c r="AI103" s="173">
        <f t="shared" si="205"/>
        <v>2.7707272677956043</v>
      </c>
      <c r="AJ103" s="173">
        <f>MAX(IF(F103&gt;AC103,U103,AI103),Isw_min)</f>
        <v>3.3081086955615362</v>
      </c>
      <c r="AK103" s="173">
        <f>IF(F103&gt;AG103, (AJ103-Isw_min)/1.08*0.8+1.2, AF103*0.2/350+1)</f>
        <v>2.909710144860397</v>
      </c>
      <c r="AM103" s="545">
        <f t="shared" si="208"/>
        <v>980</v>
      </c>
      <c r="AN103" s="460">
        <f t="shared" si="209"/>
        <v>234.02706126891675</v>
      </c>
      <c r="AP103">
        <f t="shared" si="210"/>
        <v>980</v>
      </c>
      <c r="AQ103">
        <f t="shared" si="211"/>
        <v>234.02706126891675</v>
      </c>
      <c r="AS103" s="5">
        <f t="shared" si="285"/>
        <v>4.273010115060651</v>
      </c>
      <c r="AT103" s="5">
        <f t="shared" si="212"/>
        <v>1.6598827739908115</v>
      </c>
      <c r="AU103" s="5">
        <f t="shared" si="286"/>
        <v>2.6131273410698395</v>
      </c>
      <c r="AV103" s="5">
        <f t="shared" si="213"/>
        <v>2.4131273410698397</v>
      </c>
      <c r="AW103" s="173">
        <f t="shared" si="287"/>
        <v>0.38845748764796717</v>
      </c>
      <c r="AX103" s="173">
        <f t="shared" si="214"/>
        <v>15.36656761435424</v>
      </c>
      <c r="AY103" s="173">
        <f t="shared" si="215"/>
        <v>1.0115245514086539</v>
      </c>
      <c r="AZ103" s="173">
        <f t="shared" si="288"/>
        <v>15.191492478313734</v>
      </c>
      <c r="BA103" s="460">
        <f t="shared" si="216"/>
        <v>10.166781990693719</v>
      </c>
      <c r="BB103" s="5">
        <f t="shared" si="217"/>
        <v>1.4277158708692881</v>
      </c>
      <c r="BC103" s="5"/>
      <c r="BD103" s="173">
        <f t="shared" si="289"/>
        <v>1.1903944462616791</v>
      </c>
      <c r="BE103" s="173">
        <f t="shared" si="218"/>
        <v>1.4935936895708843</v>
      </c>
      <c r="BF103" s="173"/>
      <c r="BG103" s="528">
        <f t="shared" si="219"/>
        <v>2.8340778753812992E-2</v>
      </c>
      <c r="BH103" s="528">
        <f t="shared" si="220"/>
        <v>0.5715224489427686</v>
      </c>
      <c r="BI103" s="528">
        <f t="shared" si="221"/>
        <v>0.12872933155831257</v>
      </c>
      <c r="BJ103" s="528">
        <f t="shared" si="222"/>
        <v>0.1885912174070547</v>
      </c>
      <c r="BK103">
        <f t="shared" si="223"/>
        <v>1.0762077440615202E-2</v>
      </c>
      <c r="BL103" s="460">
        <f t="shared" si="290"/>
        <v>139.49140899892777</v>
      </c>
      <c r="BM103" s="528">
        <f t="shared" si="224"/>
        <v>0.80150359545721694</v>
      </c>
      <c r="BN103" s="460">
        <f t="shared" si="291"/>
        <v>801.50359545721699</v>
      </c>
      <c r="BO103" s="528">
        <f t="shared" si="225"/>
        <v>0.60882499999999995</v>
      </c>
      <c r="BP103" s="528"/>
      <c r="BR103" s="460">
        <f t="shared" si="292"/>
        <v>608.82499999999993</v>
      </c>
      <c r="BS103" s="528">
        <f t="shared" si="226"/>
        <v>4.2511168130719486E-2</v>
      </c>
      <c r="BT103" s="528">
        <f t="shared" si="227"/>
        <v>6.6924663285779021E-2</v>
      </c>
      <c r="BU103" s="528">
        <f t="shared" si="228"/>
        <v>0.23519999999999999</v>
      </c>
      <c r="BV103" s="528">
        <f>(BU103+(BS103+BT103)*(1+Ltc*(Ta-25)))/(1-(BS103+BT103)*Ltc*ThetaCa)</f>
        <v>0.3741762944669651</v>
      </c>
      <c r="BW103" s="528">
        <f t="shared" si="230"/>
        <v>1.2805473011961869E-2</v>
      </c>
      <c r="BX103" s="460">
        <f t="shared" si="293"/>
        <v>386.981767478927</v>
      </c>
      <c r="BY103" s="173">
        <f t="shared" si="231"/>
        <v>1.9368017719350714</v>
      </c>
      <c r="BZ103" s="5">
        <f t="shared" si="294"/>
        <v>15.68</v>
      </c>
      <c r="CA103" s="173">
        <f t="shared" si="295"/>
        <v>0.89005939914584564</v>
      </c>
      <c r="CB103" s="5">
        <f t="shared" si="296"/>
        <v>89.005939914584559</v>
      </c>
      <c r="CE103" s="562">
        <f t="shared" si="232"/>
        <v>-50</v>
      </c>
      <c r="CF103">
        <f t="shared" si="233"/>
        <v>-50</v>
      </c>
      <c r="CG103" s="173">
        <f t="shared" si="234"/>
        <v>0.58144809732539238</v>
      </c>
      <c r="CI103" s="170">
        <v>98</v>
      </c>
      <c r="CJ103" s="217">
        <f t="shared" si="297"/>
        <v>0.98</v>
      </c>
      <c r="CK103" s="217"/>
      <c r="CL103" s="217">
        <f t="shared" si="235"/>
        <v>15.68</v>
      </c>
      <c r="CM103" s="541">
        <f t="shared" si="236"/>
        <v>24</v>
      </c>
      <c r="CN103" s="172">
        <f t="shared" si="237"/>
        <v>16.399999999999999</v>
      </c>
      <c r="CO103" s="443">
        <f t="shared" si="238"/>
        <v>40.4</v>
      </c>
      <c r="CP103" s="443"/>
      <c r="CQ103" s="217">
        <f t="shared" si="239"/>
        <v>0.40594059405940591</v>
      </c>
      <c r="CR103" s="172">
        <f t="shared" si="240"/>
        <v>24.648712871287128</v>
      </c>
      <c r="CS103" s="172">
        <f t="shared" si="298"/>
        <v>15.68</v>
      </c>
      <c r="CT103" s="217">
        <f t="shared" si="241"/>
        <v>1.5405445544554455</v>
      </c>
      <c r="CU103" s="217">
        <f t="shared" si="242"/>
        <v>16</v>
      </c>
      <c r="CV103" s="217">
        <f t="shared" si="243"/>
        <v>1.5222772277227721</v>
      </c>
      <c r="CW103" s="172">
        <f t="shared" si="244"/>
        <v>37.477935499161944</v>
      </c>
      <c r="CX103" s="532">
        <f t="shared" si="245"/>
        <v>16</v>
      </c>
      <c r="CY103" s="217">
        <f t="shared" si="246"/>
        <v>3.2188617886178861</v>
      </c>
      <c r="CZ103" s="217">
        <f t="shared" si="247"/>
        <v>1.609430894308943</v>
      </c>
      <c r="DA103" s="217">
        <f t="shared" si="248"/>
        <v>2.3552647233789412</v>
      </c>
      <c r="DB103" s="197">
        <f t="shared" si="249"/>
        <v>350</v>
      </c>
      <c r="DC103" s="443">
        <f t="shared" si="299"/>
        <v>252.22617230403583</v>
      </c>
      <c r="DE103" s="217">
        <f t="shared" si="250"/>
        <v>2.3196605374823194</v>
      </c>
      <c r="DF103" s="173">
        <f t="shared" si="251"/>
        <v>1.6973125884016973</v>
      </c>
      <c r="DG103" s="173">
        <f t="shared" si="252"/>
        <v>0.68900808044029282</v>
      </c>
      <c r="DH103" s="173"/>
      <c r="DI103" s="173">
        <f t="shared" si="253"/>
        <v>0.73170731707317083</v>
      </c>
      <c r="DJ103" s="545">
        <f t="shared" si="300"/>
        <v>2678.6666666666665</v>
      </c>
      <c r="DK103" s="528">
        <f t="shared" si="254"/>
        <v>0.12804878048780488</v>
      </c>
      <c r="DM103" s="173">
        <f t="shared" si="255"/>
        <v>2.7664658561661906</v>
      </c>
      <c r="DN103" s="173">
        <f t="shared" si="256"/>
        <v>3.2188617886178861</v>
      </c>
      <c r="DO103" s="173">
        <f t="shared" si="257"/>
        <v>2.8436013249021377</v>
      </c>
      <c r="DQ103" s="545">
        <f t="shared" si="258"/>
        <v>980</v>
      </c>
      <c r="DR103" s="460">
        <f t="shared" si="259"/>
        <v>252.22617230403583</v>
      </c>
      <c r="DT103">
        <f t="shared" si="260"/>
        <v>980</v>
      </c>
      <c r="DU103">
        <f t="shared" si="261"/>
        <v>252.22617230403583</v>
      </c>
      <c r="DW103" s="5">
        <f t="shared" si="301"/>
        <v>3.9646956176878843</v>
      </c>
      <c r="DX103" s="5">
        <f t="shared" si="262"/>
        <v>1.609430894308943</v>
      </c>
      <c r="DY103" s="5">
        <f t="shared" si="302"/>
        <v>2.3552647233789412</v>
      </c>
      <c r="DZ103" s="5">
        <f t="shared" si="263"/>
        <v>2.3552647233789412</v>
      </c>
      <c r="EA103" s="173">
        <f t="shared" si="303"/>
        <v>0.40594059405940591</v>
      </c>
      <c r="EB103" s="173">
        <f t="shared" si="264"/>
        <v>15.68</v>
      </c>
      <c r="EC103" s="173">
        <f t="shared" si="265"/>
        <v>0.95609756097560983</v>
      </c>
      <c r="ED103" s="173">
        <f t="shared" si="304"/>
        <v>16.399999999999999</v>
      </c>
      <c r="EE103" s="460">
        <f t="shared" si="266"/>
        <v>9.8577642276422743</v>
      </c>
      <c r="EF103" s="5">
        <f t="shared" si="267"/>
        <v>1.2823107938396454</v>
      </c>
      <c r="EG103" s="5"/>
      <c r="EH103" s="173">
        <f t="shared" si="305"/>
        <v>1.1840579101538964</v>
      </c>
      <c r="EI103" s="173">
        <f t="shared" si="268"/>
        <v>1.4323746961404455</v>
      </c>
      <c r="EJ103" s="173"/>
      <c r="EK103" s="528">
        <f t="shared" si="269"/>
        <v>2.8039862691960252E-2</v>
      </c>
      <c r="EL103" s="528">
        <f t="shared" si="270"/>
        <v>0.62320000000000009</v>
      </c>
      <c r="EM103" s="528">
        <f t="shared" si="271"/>
        <v>2.9006009814964123E-2</v>
      </c>
      <c r="EN103" s="528">
        <f t="shared" si="272"/>
        <v>0.20274918367346939</v>
      </c>
      <c r="EO103">
        <f t="shared" si="273"/>
        <v>1.0800000000000001E-2</v>
      </c>
      <c r="EP103" s="460">
        <f t="shared" si="306"/>
        <v>39.806009814964128</v>
      </c>
      <c r="EQ103" s="528">
        <f t="shared" si="274"/>
        <v>0.90741123903092535</v>
      </c>
      <c r="ER103" s="460">
        <f t="shared" si="307"/>
        <v>907.41123903092534</v>
      </c>
      <c r="ES103" s="528">
        <f t="shared" si="308"/>
        <v>0.60882499999999995</v>
      </c>
      <c r="ET103" s="528"/>
      <c r="EV103" s="460">
        <f t="shared" si="309"/>
        <v>608.82499999999993</v>
      </c>
      <c r="EW103" s="528">
        <f t="shared" si="275"/>
        <v>4.2059794037940378E-2</v>
      </c>
      <c r="EX103" s="528">
        <f t="shared" si="276"/>
        <v>6.1550918104303007E-2</v>
      </c>
      <c r="EY103" s="528">
        <f t="shared" si="277"/>
        <v>0.93907699342693063</v>
      </c>
      <c r="EZ103" s="528">
        <f t="shared" si="278"/>
        <v>1.0764770407067041</v>
      </c>
      <c r="FA103" s="528">
        <f t="shared" si="279"/>
        <v>1.3066666666666666E-2</v>
      </c>
      <c r="FB103" s="460">
        <f t="shared" si="310"/>
        <v>1089.5437073733708</v>
      </c>
      <c r="FC103" s="173">
        <f t="shared" si="311"/>
        <v>2.6057799464042959</v>
      </c>
      <c r="FD103" s="5">
        <f t="shared" si="312"/>
        <v>15.68</v>
      </c>
      <c r="FE103" s="173">
        <f t="shared" si="313"/>
        <v>0.85749692088377694</v>
      </c>
      <c r="FF103" s="5">
        <f t="shared" si="314"/>
        <v>85.749692088377699</v>
      </c>
      <c r="FI103" s="562">
        <f t="shared" si="280"/>
        <v>-50</v>
      </c>
      <c r="FJ103">
        <f t="shared" si="281"/>
        <v>-50</v>
      </c>
      <c r="FL103">
        <f t="shared" si="282"/>
        <v>0.59405940594059414</v>
      </c>
    </row>
    <row r="104" spans="5:168" ht="13">
      <c r="E104" s="170">
        <v>99</v>
      </c>
      <c r="F104" s="217">
        <f>IF(PLOT_TYPE=1, E104/100*Iout_max, min_I*EXP(N104*rr/100))</f>
        <v>0.99</v>
      </c>
      <c r="G104" s="217"/>
      <c r="H104" s="217">
        <f>F104*Vout</f>
        <v>15.84</v>
      </c>
      <c r="I104" s="541">
        <f t="shared" si="184"/>
        <v>23.914886371007903</v>
      </c>
      <c r="J104" s="172">
        <f t="shared" si="185"/>
        <v>16.451068177395257</v>
      </c>
      <c r="K104" s="172">
        <f t="shared" si="186"/>
        <v>40.451068177395257</v>
      </c>
      <c r="L104" s="443"/>
      <c r="M104" s="217">
        <f t="shared" si="187"/>
        <v>0.40753235092659573</v>
      </c>
      <c r="N104" s="172">
        <f>M104*I104*(Isw_max+VIN_nom/Lmag*ILIM_delay)*0.5*Efficiency</f>
        <v>24.657607358245709</v>
      </c>
      <c r="O104" s="172">
        <f t="shared" si="284"/>
        <v>15.84</v>
      </c>
      <c r="P104" s="217">
        <f>N104/Vout</f>
        <v>1.5411004598903568</v>
      </c>
      <c r="Q104" s="217">
        <f t="shared" si="190"/>
        <v>16</v>
      </c>
      <c r="R104" s="217">
        <f>Isw_max/2*I104*Nps*(Q104+Vfwd1+F104/FL104*Rdcr_sec)/Q104/(I104+Nps*(Q104+Vfwd1+F104/FL104*Rdcr_sec))</f>
        <v>1.5228265413936333</v>
      </c>
      <c r="S104" s="172">
        <f t="shared" si="192"/>
        <v>36.733848240655838</v>
      </c>
      <c r="T104" s="532">
        <f>MIN(Vout, S104)</f>
        <v>16</v>
      </c>
      <c r="U104" s="217">
        <f t="shared" si="194"/>
        <v>3.3419546250274439</v>
      </c>
      <c r="V104" s="217">
        <f t="shared" si="195"/>
        <v>1.6769243590865177</v>
      </c>
      <c r="W104" s="217">
        <f t="shared" si="196"/>
        <v>2.4377417361526623</v>
      </c>
      <c r="X104" s="197">
        <f t="shared" si="197"/>
        <v>350</v>
      </c>
      <c r="Y104" s="443">
        <f t="shared" si="198"/>
        <v>231.76764503362244</v>
      </c>
      <c r="AA104" s="217">
        <f t="shared" si="199"/>
        <v>2.320587276046675</v>
      </c>
      <c r="AB104" s="173">
        <f>L*AA104/J104*1000000</f>
        <v>1.6927197074548384</v>
      </c>
      <c r="AC104" s="173">
        <f>0.5*AB104*AA104*Nps*X104/1000</f>
        <v>0.68741816763080088</v>
      </c>
      <c r="AD104" s="173"/>
      <c r="AE104" s="173">
        <f t="shared" si="202"/>
        <v>0.72943591690226606</v>
      </c>
      <c r="AF104" s="545">
        <f>MAX(12, F104/(0.5*AE104/1000000*Isw_min*Nps)/1000)</f>
        <v>2714.4262492702173</v>
      </c>
      <c r="AG104" s="528">
        <f t="shared" si="204"/>
        <v>0.12765128545789656</v>
      </c>
      <c r="AI104" s="173">
        <f t="shared" si="205"/>
        <v>2.7848704762238903</v>
      </c>
      <c r="AJ104" s="173">
        <f>MAX(IF(F104&gt;AC104,U104,AI104),Isw_min)</f>
        <v>3.3419546250274439</v>
      </c>
      <c r="AK104" s="173">
        <f>IF(F104&gt;AG104, (AJ104-Isw_min)/1.08*0.8+1.2, AF104*0.2/350+1)</f>
        <v>2.9347812037240324</v>
      </c>
      <c r="AM104" s="545">
        <f t="shared" si="208"/>
        <v>990</v>
      </c>
      <c r="AN104" s="460">
        <f t="shared" si="209"/>
        <v>231.76764503362244</v>
      </c>
      <c r="AP104">
        <f t="shared" si="210"/>
        <v>990</v>
      </c>
      <c r="AQ104">
        <f t="shared" si="211"/>
        <v>231.76764503362244</v>
      </c>
      <c r="AS104" s="5">
        <f t="shared" si="285"/>
        <v>4.3146660952391791</v>
      </c>
      <c r="AT104" s="5">
        <f t="shared" si="212"/>
        <v>1.6769243590865177</v>
      </c>
      <c r="AU104" s="5">
        <f t="shared" si="286"/>
        <v>2.6377417361526616</v>
      </c>
      <c r="AV104" s="5">
        <f t="shared" si="213"/>
        <v>2.4377417361526623</v>
      </c>
      <c r="AW104" s="173">
        <f t="shared" si="287"/>
        <v>0.38865680960499893</v>
      </c>
      <c r="AX104" s="173">
        <f t="shared" si="214"/>
        <v>15.53120515360278</v>
      </c>
      <c r="AY104" s="173">
        <f t="shared" si="215"/>
        <v>1.0215406013098036</v>
      </c>
      <c r="AZ104" s="173">
        <f t="shared" si="288"/>
        <v>15.203708138167888</v>
      </c>
      <c r="BA104" s="460">
        <f t="shared" si="216"/>
        <v>10.375969471847826</v>
      </c>
      <c r="BB104" s="5">
        <f t="shared" si="217"/>
        <v>1.4559212357130551</v>
      </c>
      <c r="BC104" s="5"/>
      <c r="BD104" s="173">
        <f t="shared" si="289"/>
        <v>1.2028821002549246</v>
      </c>
      <c r="BE104" s="173">
        <f t="shared" si="218"/>
        <v>1.5086290326431289</v>
      </c>
      <c r="BF104" s="173"/>
      <c r="BG104" s="528">
        <f t="shared" si="219"/>
        <v>2.893850694227397E-2</v>
      </c>
      <c r="BH104" s="528">
        <f t="shared" si="220"/>
        <v>0.57180272424959477</v>
      </c>
      <c r="BI104" s="528">
        <f t="shared" si="221"/>
        <v>0.12748202859546903</v>
      </c>
      <c r="BJ104" s="528">
        <f t="shared" si="222"/>
        <v>0.18677512319207049</v>
      </c>
      <c r="BK104">
        <f t="shared" si="223"/>
        <v>1.0761698866953556E-2</v>
      </c>
      <c r="BL104" s="460">
        <f t="shared" si="290"/>
        <v>138.24372746242258</v>
      </c>
      <c r="BM104" s="528">
        <f t="shared" si="224"/>
        <v>0.80083613172345591</v>
      </c>
      <c r="BN104" s="460">
        <f t="shared" si="291"/>
        <v>800.83613172345588</v>
      </c>
      <c r="BO104" s="528">
        <f t="shared" si="225"/>
        <v>0.6150374999999999</v>
      </c>
      <c r="BP104" s="528"/>
      <c r="BR104" s="460">
        <f t="shared" si="292"/>
        <v>615.03749999999991</v>
      </c>
      <c r="BS104" s="528">
        <f t="shared" si="226"/>
        <v>4.3407760413410955E-2</v>
      </c>
      <c r="BT104" s="528">
        <f t="shared" si="227"/>
        <v>6.8278846744012286E-2</v>
      </c>
      <c r="BU104" s="528">
        <f t="shared" si="228"/>
        <v>0.23759999999999998</v>
      </c>
      <c r="BV104" s="528">
        <f>(BU104+(BS104+BT104)*(1+Ltc*(Ta-25)))/(1-(BS104+BT104)*Ltc*ThetaCa)</f>
        <v>0.37948203777732753</v>
      </c>
      <c r="BW104" s="528">
        <f t="shared" si="230"/>
        <v>1.2942670961335653E-2</v>
      </c>
      <c r="BX104" s="460">
        <f t="shared" si="293"/>
        <v>392.42470873866318</v>
      </c>
      <c r="BY104" s="173">
        <f t="shared" si="231"/>
        <v>1.9465420679245415</v>
      </c>
      <c r="BZ104" s="5">
        <f t="shared" si="294"/>
        <v>15.84</v>
      </c>
      <c r="CA104" s="173">
        <f t="shared" si="295"/>
        <v>0.89056096117553674</v>
      </c>
      <c r="CB104" s="5">
        <f t="shared" si="296"/>
        <v>89.056096117553679</v>
      </c>
      <c r="CE104" s="562">
        <f t="shared" si="232"/>
        <v>-50</v>
      </c>
      <c r="CF104">
        <f t="shared" si="233"/>
        <v>-50</v>
      </c>
      <c r="CG104" s="173">
        <f t="shared" si="234"/>
        <v>0.58157548428110128</v>
      </c>
      <c r="CI104" s="170">
        <v>99</v>
      </c>
      <c r="CJ104" s="217">
        <f t="shared" si="297"/>
        <v>0.99</v>
      </c>
      <c r="CK104" s="217"/>
      <c r="CL104" s="217">
        <f t="shared" si="235"/>
        <v>15.84</v>
      </c>
      <c r="CM104" s="541">
        <f t="shared" si="236"/>
        <v>24</v>
      </c>
      <c r="CN104" s="172">
        <f t="shared" si="237"/>
        <v>16.399999999999999</v>
      </c>
      <c r="CO104" s="443">
        <f t="shared" si="238"/>
        <v>40.4</v>
      </c>
      <c r="CP104" s="443"/>
      <c r="CQ104" s="217">
        <f t="shared" si="239"/>
        <v>0.40594059405940591</v>
      </c>
      <c r="CR104" s="172">
        <f t="shared" si="240"/>
        <v>24.648712871287128</v>
      </c>
      <c r="CS104" s="172">
        <f t="shared" si="298"/>
        <v>15.84</v>
      </c>
      <c r="CT104" s="217">
        <f t="shared" si="241"/>
        <v>1.5405445544554455</v>
      </c>
      <c r="CU104" s="217">
        <f t="shared" si="242"/>
        <v>16</v>
      </c>
      <c r="CV104" s="217">
        <f t="shared" si="243"/>
        <v>1.5222772277227721</v>
      </c>
      <c r="CW104" s="172">
        <f t="shared" si="244"/>
        <v>36.863684086810281</v>
      </c>
      <c r="CX104" s="532">
        <f t="shared" si="245"/>
        <v>16</v>
      </c>
      <c r="CY104" s="217">
        <f t="shared" si="246"/>
        <v>3.251707317073171</v>
      </c>
      <c r="CZ104" s="217">
        <f t="shared" si="247"/>
        <v>1.6258536585365855</v>
      </c>
      <c r="DA104" s="217">
        <f t="shared" si="248"/>
        <v>2.3792980368828083</v>
      </c>
      <c r="DB104" s="197">
        <f t="shared" si="249"/>
        <v>350</v>
      </c>
      <c r="DC104" s="443">
        <f t="shared" si="299"/>
        <v>249.67843318985362</v>
      </c>
      <c r="DE104" s="217">
        <f t="shared" si="250"/>
        <v>2.3196605374823194</v>
      </c>
      <c r="DF104" s="173">
        <f t="shared" si="251"/>
        <v>1.6973125884016973</v>
      </c>
      <c r="DG104" s="173">
        <f t="shared" si="252"/>
        <v>0.68900808044029282</v>
      </c>
      <c r="DH104" s="173"/>
      <c r="DI104" s="173">
        <f t="shared" si="253"/>
        <v>0.73170731707317083</v>
      </c>
      <c r="DJ104" s="545">
        <f t="shared" si="300"/>
        <v>2705.9999999999995</v>
      </c>
      <c r="DK104" s="528">
        <f t="shared" si="254"/>
        <v>0.12804878048780488</v>
      </c>
      <c r="DM104" s="173">
        <f t="shared" si="255"/>
        <v>2.780544653737568</v>
      </c>
      <c r="DN104" s="173">
        <f t="shared" si="256"/>
        <v>3.251707317073171</v>
      </c>
      <c r="DO104" s="173">
        <f t="shared" si="257"/>
        <v>2.8679313459801268</v>
      </c>
      <c r="DQ104" s="545">
        <f t="shared" si="258"/>
        <v>990</v>
      </c>
      <c r="DR104" s="460">
        <f t="shared" si="259"/>
        <v>249.67843318985362</v>
      </c>
      <c r="DT104">
        <f t="shared" si="260"/>
        <v>990</v>
      </c>
      <c r="DU104">
        <f t="shared" si="261"/>
        <v>249.67843318985362</v>
      </c>
      <c r="DW104" s="5">
        <f t="shared" si="301"/>
        <v>4.0051516954193929</v>
      </c>
      <c r="DX104" s="5">
        <f t="shared" si="262"/>
        <v>1.6258536585365855</v>
      </c>
      <c r="DY104" s="5">
        <f t="shared" si="302"/>
        <v>2.3792980368828074</v>
      </c>
      <c r="DZ104" s="5">
        <f t="shared" si="263"/>
        <v>2.3792980368828083</v>
      </c>
      <c r="EA104" s="173">
        <f t="shared" si="303"/>
        <v>0.40594059405940602</v>
      </c>
      <c r="EB104" s="173">
        <f t="shared" si="264"/>
        <v>15.84</v>
      </c>
      <c r="EC104" s="173">
        <f t="shared" si="265"/>
        <v>0.96585365853658522</v>
      </c>
      <c r="ED104" s="173">
        <f t="shared" si="304"/>
        <v>16.400000000000002</v>
      </c>
      <c r="EE104" s="460">
        <f t="shared" si="266"/>
        <v>10.059969512195122</v>
      </c>
      <c r="EF104" s="5">
        <f t="shared" si="267"/>
        <v>1.308613920285544</v>
      </c>
      <c r="EG104" s="5"/>
      <c r="EH104" s="173">
        <f t="shared" si="305"/>
        <v>1.1961401337268955</v>
      </c>
      <c r="EI104" s="173">
        <f t="shared" si="268"/>
        <v>1.446990764468409</v>
      </c>
      <c r="EJ104" s="173"/>
      <c r="EK104" s="528">
        <f t="shared" si="269"/>
        <v>2.8615024390243913E-2</v>
      </c>
      <c r="EL104" s="528">
        <f t="shared" si="270"/>
        <v>0.62319999999999987</v>
      </c>
      <c r="EM104" s="528">
        <f t="shared" si="271"/>
        <v>2.871301981683317E-2</v>
      </c>
      <c r="EN104" s="528">
        <f t="shared" si="272"/>
        <v>0.20070121212121211</v>
      </c>
      <c r="EO104">
        <f t="shared" si="273"/>
        <v>1.0800000000000001E-2</v>
      </c>
      <c r="EP104" s="460">
        <f t="shared" si="306"/>
        <v>39.513019816833165</v>
      </c>
      <c r="EQ104" s="528">
        <f t="shared" si="274"/>
        <v>0.90591456242395407</v>
      </c>
      <c r="ER104" s="460">
        <f t="shared" si="307"/>
        <v>905.91456242395407</v>
      </c>
      <c r="ES104" s="528">
        <f t="shared" si="308"/>
        <v>0.6150374999999999</v>
      </c>
      <c r="ET104" s="528"/>
      <c r="EV104" s="460">
        <f t="shared" si="309"/>
        <v>615.03749999999991</v>
      </c>
      <c r="EW104" s="528">
        <f t="shared" si="275"/>
        <v>4.2922536585365864E-2</v>
      </c>
      <c r="EX104" s="528">
        <f t="shared" si="276"/>
        <v>6.281346817370613E-2</v>
      </c>
      <c r="EY104" s="528">
        <f t="shared" si="277"/>
        <v>0.93907699342693107</v>
      </c>
      <c r="EZ104" s="528">
        <f t="shared" si="278"/>
        <v>1.0793194736483596</v>
      </c>
      <c r="FA104" s="528">
        <f t="shared" si="279"/>
        <v>1.32E-2</v>
      </c>
      <c r="FB104" s="460">
        <f t="shared" si="310"/>
        <v>1092.5194736483597</v>
      </c>
      <c r="FC104" s="173">
        <f t="shared" si="311"/>
        <v>2.6134715360723133</v>
      </c>
      <c r="FD104" s="5">
        <f t="shared" si="312"/>
        <v>15.84</v>
      </c>
      <c r="FE104" s="173">
        <f t="shared" si="313"/>
        <v>0.85837507425290815</v>
      </c>
      <c r="FF104" s="5">
        <f t="shared" si="314"/>
        <v>85.837507425290809</v>
      </c>
      <c r="FI104" s="562">
        <f t="shared" si="280"/>
        <v>-50</v>
      </c>
      <c r="FJ104">
        <f t="shared" si="281"/>
        <v>-50</v>
      </c>
      <c r="FL104">
        <f t="shared" si="282"/>
        <v>0.59405940594059392</v>
      </c>
    </row>
    <row r="105" spans="5:168" ht="13">
      <c r="E105" s="170">
        <v>100</v>
      </c>
      <c r="F105" s="217">
        <f>IF(PLOT_TYPE=1, E105/100*Iout_max, min_I*EXP(N105*rr/100))</f>
        <v>1</v>
      </c>
      <c r="G105" s="217"/>
      <c r="H105" s="217">
        <f>F105*Vout</f>
        <v>16</v>
      </c>
      <c r="I105" s="541">
        <f t="shared" si="184"/>
        <v>23.914045088200474</v>
      </c>
      <c r="J105" s="172">
        <f t="shared" si="185"/>
        <v>16.451572947079715</v>
      </c>
      <c r="K105" s="172">
        <f t="shared" si="186"/>
        <v>40.451572947079711</v>
      </c>
      <c r="L105" s="443"/>
      <c r="M105" s="217">
        <f t="shared" si="187"/>
        <v>0.4075482571165871</v>
      </c>
      <c r="N105" s="172">
        <f>M105*I105*(Isw_max+VIN_nom/Lmag*ILIM_delay)*0.5*Efficiency</f>
        <v>24.657702312648063</v>
      </c>
      <c r="O105" s="172">
        <f t="shared" si="284"/>
        <v>16</v>
      </c>
      <c r="P105" s="217">
        <f>N105/Vout</f>
        <v>1.5411063945405039</v>
      </c>
      <c r="Q105" s="217">
        <f t="shared" si="190"/>
        <v>16</v>
      </c>
      <c r="R105" s="217">
        <f>Isw_max/2*I105*Nps*(Q105+Vfwd1+F105/FL105*Rdcr_sec)/Q105/(I105+Nps*(Q105+Vfwd1+F105/FL105*Rdcr_sec))</f>
        <v>1.5228324056724349</v>
      </c>
      <c r="S105" s="172">
        <f t="shared" si="192"/>
        <v>36.132903324642953</v>
      </c>
      <c r="T105" s="532">
        <f>MIN(Vout, S105)</f>
        <v>16</v>
      </c>
      <c r="U105" s="217">
        <f t="shared" si="194"/>
        <v>3.3758023738206386</v>
      </c>
      <c r="V105" s="217">
        <f>L*U105/I105*1000000</f>
        <v>1.6939680566980149</v>
      </c>
      <c r="W105" s="217">
        <f t="shared" si="196"/>
        <v>2.4623559471277452</v>
      </c>
      <c r="X105" s="197">
        <f t="shared" si="197"/>
        <v>350</v>
      </c>
      <c r="Y105" s="443">
        <f>MIN(1/(V105+W105+0.2)*1000, 350)</f>
        <v>229.55133711858704</v>
      </c>
      <c r="AA105" s="217">
        <f t="shared" si="199"/>
        <v>2.3205961880280492</v>
      </c>
      <c r="AB105" s="173">
        <f>L*AA105/J105*1000000</f>
        <v>1.6926742716889989</v>
      </c>
      <c r="AC105" s="173">
        <f>0.5*AB105*AA105*Nps*X105/1000</f>
        <v>0.68740235592956289</v>
      </c>
      <c r="AD105" s="173"/>
      <c r="AE105" s="173">
        <f t="shared" si="202"/>
        <v>0.72941353623758487</v>
      </c>
      <c r="AF105" s="545">
        <f>MAX(12, F105/(0.5*AE105/1000000*Isw_min*Nps)/1000)</f>
        <v>2741.9288245132857</v>
      </c>
      <c r="AG105" s="528">
        <f t="shared" si="204"/>
        <v>0.12764736884157735</v>
      </c>
      <c r="AI105" s="173">
        <f t="shared" si="205"/>
        <v>2.7989430783337208</v>
      </c>
      <c r="AJ105" s="173">
        <f>MAX(IF(F105&gt;AC105,U105,AI105),Isw_min)</f>
        <v>3.3758023738206386</v>
      </c>
      <c r="AK105" s="173">
        <f>IF(F105&gt;AG105, (AJ105-Isw_min)/1.08*0.8+1.2, AF105*0.2/350+1)</f>
        <v>2.9598536102375101</v>
      </c>
      <c r="AM105" s="545">
        <f t="shared" si="208"/>
        <v>1000</v>
      </c>
      <c r="AN105" s="460">
        <f t="shared" si="209"/>
        <v>229.55133711858704</v>
      </c>
      <c r="AP105">
        <f t="shared" si="210"/>
        <v>1000</v>
      </c>
      <c r="AQ105" s="3">
        <f t="shared" si="211"/>
        <v>229.55133711858704</v>
      </c>
      <c r="AS105" s="5">
        <f t="shared" si="285"/>
        <v>4.3563240038257609</v>
      </c>
      <c r="AT105" s="5">
        <f t="shared" si="212"/>
        <v>1.6939680566980149</v>
      </c>
      <c r="AU105" s="5">
        <f t="shared" si="286"/>
        <v>2.6623559471277458</v>
      </c>
      <c r="AV105" s="5">
        <f t="shared" si="213"/>
        <v>2.4623559471277452</v>
      </c>
      <c r="AW105" s="173">
        <f t="shared" si="287"/>
        <v>0.38885263245120372</v>
      </c>
      <c r="AX105" s="173">
        <f t="shared" si="214"/>
        <v>15.695859615242062</v>
      </c>
      <c r="AY105" s="173">
        <f t="shared" si="215"/>
        <v>1.0315563670627304</v>
      </c>
      <c r="AZ105" s="173">
        <f t="shared" si="288"/>
        <v>15.21570717452377</v>
      </c>
      <c r="BA105" s="460">
        <f t="shared" si="216"/>
        <v>10.587300354362592</v>
      </c>
      <c r="BB105" s="5">
        <f t="shared" si="217"/>
        <v>1.4844029591861836</v>
      </c>
      <c r="BC105" s="5"/>
      <c r="BD105" s="173">
        <f t="shared" si="289"/>
        <v>1.2153711095481274</v>
      </c>
      <c r="BE105" s="173">
        <f t="shared" si="218"/>
        <v>1.5236645371516133</v>
      </c>
      <c r="BF105" s="173"/>
      <c r="BG105" s="528">
        <f t="shared" si="219"/>
        <v>2.9542538678484928E-2</v>
      </c>
      <c r="BH105" s="528">
        <f t="shared" si="220"/>
        <v>0.57207783774526355</v>
      </c>
      <c r="BI105" s="528">
        <f t="shared" si="221"/>
        <v>0.12625852359594375</v>
      </c>
      <c r="BJ105" s="528">
        <f t="shared" si="222"/>
        <v>0.18499367886422527</v>
      </c>
      <c r="BK105">
        <f t="shared" si="223"/>
        <v>1.0761320289690212E-2</v>
      </c>
      <c r="BL105" s="460">
        <f t="shared" si="290"/>
        <v>137.01984388563395</v>
      </c>
      <c r="BM105" s="528">
        <f t="shared" si="224"/>
        <v>0.8002074425864093</v>
      </c>
      <c r="BN105" s="460">
        <f t="shared" si="291"/>
        <v>800.20744258640934</v>
      </c>
      <c r="BO105" s="528">
        <f t="shared" si="225"/>
        <v>0.62124999999999997</v>
      </c>
      <c r="BP105" s="528"/>
      <c r="BR105" s="460">
        <f t="shared" si="292"/>
        <v>621.25</v>
      </c>
      <c r="BS105" s="528">
        <f t="shared" si="226"/>
        <v>4.4313808017727385E-2</v>
      </c>
      <c r="BT105" s="528">
        <f t="shared" si="227"/>
        <v>6.9646608653203199E-2</v>
      </c>
      <c r="BU105" s="528">
        <f t="shared" si="228"/>
        <v>0.24</v>
      </c>
      <c r="BV105" s="528">
        <f>(BU105+(BS105+BT105)*(1+Ltc*(Ta-25)))/(1-(BS105+BT105)*Ltc*ThetaCa)</f>
        <v>0.38481924963446096</v>
      </c>
      <c r="BW105" s="528">
        <f t="shared" si="230"/>
        <v>1.3079883012701717E-2</v>
      </c>
      <c r="BX105" s="460">
        <f t="shared" si="293"/>
        <v>397.89913264716267</v>
      </c>
      <c r="BY105" s="173">
        <f>SUM(BM105,BO105:BQ105,BV105, BW105)+BK105+BI105</f>
        <v>1.9563764191192057</v>
      </c>
      <c r="BZ105" s="5">
        <f t="shared" si="294"/>
        <v>16</v>
      </c>
      <c r="CA105" s="173">
        <f>BZ105/(BZ105+BY105)</f>
        <v>0.89104837337692822</v>
      </c>
      <c r="CB105" s="5">
        <f>CA105*100</f>
        <v>89.104837337692828</v>
      </c>
      <c r="CE105" s="562">
        <f t="shared" si="232"/>
        <v>-50</v>
      </c>
      <c r="CF105">
        <f t="shared" si="233"/>
        <v>-50</v>
      </c>
      <c r="CG105" s="173">
        <f t="shared" si="234"/>
        <v>0.58170032349769629</v>
      </c>
      <c r="CI105" s="170">
        <v>100</v>
      </c>
      <c r="CJ105" s="217">
        <f t="shared" si="297"/>
        <v>1</v>
      </c>
      <c r="CK105" s="217"/>
      <c r="CL105" s="217">
        <f t="shared" si="235"/>
        <v>16</v>
      </c>
      <c r="CM105" s="541">
        <f t="shared" si="236"/>
        <v>24</v>
      </c>
      <c r="CN105" s="172">
        <f t="shared" si="237"/>
        <v>16.399999999999999</v>
      </c>
      <c r="CO105" s="443">
        <f t="shared" si="238"/>
        <v>40.4</v>
      </c>
      <c r="CP105" s="443"/>
      <c r="CQ105" s="217">
        <f t="shared" si="239"/>
        <v>0.40594059405940591</v>
      </c>
      <c r="CR105" s="172">
        <f t="shared" si="240"/>
        <v>24.648712871287128</v>
      </c>
      <c r="CS105" s="172">
        <f t="shared" si="298"/>
        <v>16</v>
      </c>
      <c r="CT105" s="217">
        <f t="shared" si="241"/>
        <v>1.5405445544554455</v>
      </c>
      <c r="CU105" s="217">
        <f t="shared" si="242"/>
        <v>16</v>
      </c>
      <c r="CV105" s="217">
        <f t="shared" si="243"/>
        <v>1.5222772277227721</v>
      </c>
      <c r="CW105" s="172">
        <f t="shared" si="244"/>
        <v>36.261852561430558</v>
      </c>
      <c r="CX105" s="532">
        <f t="shared" si="245"/>
        <v>16</v>
      </c>
      <c r="CY105" s="217">
        <f t="shared" si="246"/>
        <v>3.2845528455284554</v>
      </c>
      <c r="CZ105" s="217">
        <f t="shared" si="247"/>
        <v>1.6422764227642277</v>
      </c>
      <c r="DA105" s="217">
        <f t="shared" si="248"/>
        <v>2.4033313503866753</v>
      </c>
      <c r="DB105" s="197">
        <f t="shared" si="249"/>
        <v>350</v>
      </c>
      <c r="DC105" s="443">
        <f t="shared" si="299"/>
        <v>247.18164885795508</v>
      </c>
      <c r="DE105" s="217">
        <f t="shared" si="250"/>
        <v>2.3196605374823194</v>
      </c>
      <c r="DF105" s="173">
        <f t="shared" si="251"/>
        <v>1.6973125884016973</v>
      </c>
      <c r="DG105" s="173">
        <f t="shared" si="252"/>
        <v>0.68900808044029282</v>
      </c>
      <c r="DH105" s="173"/>
      <c r="DI105" s="173">
        <f t="shared" si="253"/>
        <v>0.73170731707317083</v>
      </c>
      <c r="DJ105" s="545">
        <f t="shared" si="300"/>
        <v>2733.333333333333</v>
      </c>
      <c r="DK105" s="528">
        <f t="shared" si="254"/>
        <v>0.12804878048780488</v>
      </c>
      <c r="DM105" s="173">
        <f t="shared" si="255"/>
        <v>2.7945525240230875</v>
      </c>
      <c r="DN105" s="173">
        <f t="shared" si="256"/>
        <v>3.2845528455284554</v>
      </c>
      <c r="DO105" s="173">
        <f t="shared" si="257"/>
        <v>2.892261367058115</v>
      </c>
      <c r="DQ105" s="545">
        <f t="shared" si="258"/>
        <v>1000</v>
      </c>
      <c r="DR105" s="460">
        <f t="shared" si="259"/>
        <v>247.18164885795508</v>
      </c>
      <c r="DT105">
        <f t="shared" si="260"/>
        <v>1000</v>
      </c>
      <c r="DU105" s="3">
        <f t="shared" si="261"/>
        <v>247.18164885795508</v>
      </c>
      <c r="DW105" s="5">
        <f t="shared" si="301"/>
        <v>4.0456077731509019</v>
      </c>
      <c r="DX105" s="5">
        <f t="shared" si="262"/>
        <v>1.6422764227642277</v>
      </c>
      <c r="DY105" s="5">
        <f t="shared" si="302"/>
        <v>2.403331350386674</v>
      </c>
      <c r="DZ105" s="5">
        <f t="shared" si="263"/>
        <v>2.4033313503866753</v>
      </c>
      <c r="EA105" s="173">
        <f t="shared" si="303"/>
        <v>0.40594059405940597</v>
      </c>
      <c r="EB105" s="173">
        <f t="shared" si="264"/>
        <v>16</v>
      </c>
      <c r="EC105" s="173">
        <f t="shared" si="265"/>
        <v>0.97560975609756095</v>
      </c>
      <c r="ED105" s="173">
        <f t="shared" si="304"/>
        <v>16.400000000000002</v>
      </c>
      <c r="EE105" s="460">
        <f t="shared" si="266"/>
        <v>10.264227642276424</v>
      </c>
      <c r="EF105" s="5">
        <f t="shared" si="267"/>
        <v>1.3351840835481519</v>
      </c>
      <c r="EG105" s="5"/>
      <c r="EH105" s="173">
        <f t="shared" si="305"/>
        <v>1.2082223572998942</v>
      </c>
      <c r="EI105" s="173">
        <f t="shared" si="268"/>
        <v>1.4616068327963727</v>
      </c>
      <c r="EJ105" s="173"/>
      <c r="EK105" s="528">
        <f t="shared" si="269"/>
        <v>2.9196025293586267E-2</v>
      </c>
      <c r="EL105" s="528">
        <f t="shared" si="270"/>
        <v>0.62319999999999987</v>
      </c>
      <c r="EM105" s="528">
        <f t="shared" si="271"/>
        <v>2.8425889618664837E-2</v>
      </c>
      <c r="EN105" s="528">
        <f t="shared" si="272"/>
        <v>0.19869419999999999</v>
      </c>
      <c r="EO105">
        <f t="shared" si="273"/>
        <v>1.0800000000000001E-2</v>
      </c>
      <c r="EP105" s="460">
        <f t="shared" si="306"/>
        <v>39.225889618664844</v>
      </c>
      <c r="EQ105" s="528">
        <f t="shared" si="274"/>
        <v>0.90447335131929563</v>
      </c>
      <c r="ER105" s="460">
        <f t="shared" si="307"/>
        <v>904.4733513192956</v>
      </c>
      <c r="ES105" s="528">
        <f t="shared" si="308"/>
        <v>0.62124999999999997</v>
      </c>
      <c r="ET105" s="528"/>
      <c r="EV105" s="460">
        <f t="shared" si="309"/>
        <v>621.25</v>
      </c>
      <c r="EW105" s="528">
        <f t="shared" si="275"/>
        <v>4.3794037940379393E-2</v>
      </c>
      <c r="EX105" s="528">
        <f t="shared" si="276"/>
        <v>6.4088836010311317E-2</v>
      </c>
      <c r="EY105" s="528">
        <f t="shared" si="277"/>
        <v>0.93907699342693063</v>
      </c>
      <c r="EZ105" s="528">
        <f t="shared" si="278"/>
        <v>1.082191753649745</v>
      </c>
      <c r="FA105" s="528">
        <f t="shared" si="279"/>
        <v>1.3333333333333332E-2</v>
      </c>
      <c r="FB105" s="460">
        <f t="shared" si="310"/>
        <v>1095.5250869830784</v>
      </c>
      <c r="FC105" s="173">
        <f t="shared" si="311"/>
        <v>2.621248438302374</v>
      </c>
      <c r="FD105" s="5">
        <f t="shared" si="312"/>
        <v>16</v>
      </c>
      <c r="FE105" s="173">
        <f t="shared" si="313"/>
        <v>0.85923347475936784</v>
      </c>
      <c r="FF105" s="5">
        <f t="shared" si="314"/>
        <v>85.923347475936779</v>
      </c>
      <c r="FI105" s="562">
        <f t="shared" si="280"/>
        <v>-50</v>
      </c>
      <c r="FJ105">
        <f t="shared" si="281"/>
        <v>-50</v>
      </c>
      <c r="FL105">
        <f t="shared" si="282"/>
        <v>0.59405940594059403</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1.3884188881855068</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1.3884188881855068</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1.6000000000000001E-8</v>
      </c>
      <c r="I110" s="541">
        <f t="shared" ref="I110:I141" si="316">VIN_min-F110*(Rdcr_pri+RON/1000)/CG110/Nps</f>
        <v>18.999988214886979</v>
      </c>
      <c r="J110" s="172">
        <f t="shared" ref="J110:J141" si="317">(T110+Vfwd1+F110/CG110*Rdcr_sec)*Nps</f>
        <v>16.400007071067812</v>
      </c>
      <c r="K110" s="172">
        <f t="shared" ref="K110:K141" si="318">(Vout+Vfwd1+F110/CG110*Rdcr_sec)*Nps++I110</f>
        <v>35.399995285954788</v>
      </c>
      <c r="L110" s="443"/>
      <c r="M110" s="217">
        <f t="shared" ref="M110:M141" si="319">(Vout+Vfwd1+F110/FL110*Rdcr_sec)*Nps/((Vout+Vfwd1+F110/FL110*Rdcr_sec)*Nps+I110)</f>
        <v>0.46327709893006214</v>
      </c>
      <c r="N110" s="172">
        <f>M110*I110*(Isw_max+VIN_min/Lmag*ILIM_delay)*0.5*Efficiency</f>
        <v>22.21470221096811</v>
      </c>
      <c r="O110" s="172">
        <f t="shared" si="284"/>
        <v>1.6000000000000001E-8</v>
      </c>
      <c r="P110" s="217">
        <f t="shared" ref="P110:P141" si="320">N110/Vout</f>
        <v>1.3884188881855068</v>
      </c>
      <c r="Q110" s="217">
        <f t="shared" ref="Q110:Q141" si="321">MIN(Vout,N110/F110)</f>
        <v>16</v>
      </c>
      <c r="R110" s="217"/>
      <c r="S110" s="172">
        <f t="shared" ref="S110:S141" si="322">(SQRT(Isw_max^2*Nps^2*I110^2+4*Isw_max*F110/Efficiency*(Nps^2*Vfwd1*I110-Nps*I110^2)+4*(F110/Efficiency)^2*Nps^2*Vfwd1^2+8*(F110/Efficiency)^2*Nps*Vfwd1*I110+4*(F110/Efficiency)^2*I110^2)-2*F110/Efficiency*I110-2*F110/Efficiency*Nps*Vfwd1+Isw_max*Nps*I110)/(4*F110/Efficiency*Nps)</f>
        <v>47499970518.217453</v>
      </c>
      <c r="T110" s="172">
        <f t="shared" ref="T110:T141" si="323">MIN(Vout, S110)</f>
        <v>16</v>
      </c>
      <c r="U110" s="217">
        <f t="shared" ref="U110:U141" si="324">MIN(2*(Vout+Vfwd1+F110/FL110*Rdcr_sec)*F110/(I110*M110), Isw_max)</f>
        <v>3.7263176138246978E-9</v>
      </c>
      <c r="V110" s="217">
        <f t="shared" ref="V110:V141" si="325">L*U110/I110*1000000</f>
        <v>2.3534652158815752E-9</v>
      </c>
      <c r="W110" s="217">
        <f t="shared" ref="W110:W141" si="326">L*U110/J110*1000000</f>
        <v>2.7265726881778049E-9</v>
      </c>
      <c r="X110" s="197">
        <f t="shared" ref="X110:X141" si="327">IF(1/((350000*L)*(1/I110+1/J110))&gt;Isw_min, 350, 0.001/((Isw_min*L)*(1/I110+1/J110)))</f>
        <v>350</v>
      </c>
      <c r="Y110" s="443">
        <f t="shared" ref="Y110:Y173" si="328">MIN(1/(V110+W110+0.2)*1000, 350)</f>
        <v>350</v>
      </c>
      <c r="AA110" s="217">
        <f t="shared" ref="AA110:AA141" si="329">1/((X110*1000*L)*(1/I110+1/J110))</f>
        <v>2.095776046331721</v>
      </c>
      <c r="AB110" s="173">
        <f t="shared" ref="AB110:AB141" si="330">L*AA110/J110*1000000</f>
        <v>1.5334940068622283</v>
      </c>
      <c r="AC110" s="173">
        <f t="shared" ref="AC110:AC141" si="331">0.5*AB110*AA110*Nps*X110/1000</f>
        <v>0.56242550118564416</v>
      </c>
      <c r="AD110" s="173"/>
      <c r="AE110" s="173">
        <f t="shared" ref="AE110:AE141" si="332">L*Isw_min/J110*1000000</f>
        <v>0.73170700158842517</v>
      </c>
      <c r="AF110" s="545">
        <f t="shared" ref="AF110:AF141" si="333">MAX(12000,F110/(0.5*AE110/1000000*Isw_min*Nps))/1000</f>
        <v>12</v>
      </c>
      <c r="AG110" s="528">
        <f t="shared" ref="AG110:AG141" si="334">0.5*AE110/1000000*Isw_min*Nps*X110*1000</f>
        <v>0.12804872527797442</v>
      </c>
      <c r="AI110" s="173">
        <f t="shared" ref="AI110:AI141" si="335">SQRT(F110/(0.5*L/J110*Fsw_DCM*Nps))</f>
        <v>8.8371529220099829E-5</v>
      </c>
      <c r="AJ110" s="173">
        <f t="shared" ref="AJ110:AJ141" si="336">MAX(IF(F110&gt;AC110,U110,AI110),Isw_min)</f>
        <v>1</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0.63157933911757325</v>
      </c>
      <c r="AU110" s="5">
        <f t="shared" ref="AU110:AU169" si="343">AS110-AT110</f>
        <v>82.70175399421575</v>
      </c>
      <c r="AV110" s="5"/>
      <c r="AW110" s="173">
        <f t="shared" ref="AW110:AW169" si="344">AT110/AS110</f>
        <v>7.5789520694108797E-3</v>
      </c>
      <c r="AX110" s="173">
        <f t="shared" si="214"/>
        <v>7.2000000000000008E-2</v>
      </c>
      <c r="AY110" s="173">
        <f t="shared" si="215"/>
        <v>0.49621052396529458</v>
      </c>
      <c r="AZ110" s="173">
        <f t="shared" si="288"/>
        <v>0.14509970369962519</v>
      </c>
      <c r="BA110" s="460">
        <f t="shared" ref="BA110:BA116" si="345">F110*AT110/Vout_ripple*1000</f>
        <v>3.9473708694848329E-9</v>
      </c>
      <c r="BB110" s="5">
        <f t="shared" ref="BB110:BB116" si="346">H110/Efficiency/I110*AU110/Vinripple1</f>
        <v>5.8036354590589896E-8</v>
      </c>
      <c r="BD110" s="173">
        <f t="shared" si="289"/>
        <v>5.0262484583139075E-2</v>
      </c>
      <c r="BE110" s="173">
        <f t="shared" si="218"/>
        <v>0.57515825298509193</v>
      </c>
      <c r="BG110" s="528">
        <f t="shared" ref="BG110:BG169" si="347">Rdson*BD110^2</f>
        <v>5.0526347129405865E-5</v>
      </c>
      <c r="BH110" s="528">
        <f t="shared" ref="BH110:BH141" si="348">0.5*K110*AJ110*AN110*1000*Tfall</f>
        <v>7.7525989676240992E-3</v>
      </c>
      <c r="BI110" s="528">
        <f t="shared" ref="BI110:BI141" si="349">Qg*Vdd*AN110*1000*0+Qg*I110*AN110*1000</f>
        <v>5.2439967473088068E-3</v>
      </c>
      <c r="BJ110" s="528">
        <f t="shared" ref="BJ110:BJ169" si="350">0.5*(Coss+Csw)*K110^2*AN110*1000</f>
        <v>7.4061736275116211E-3</v>
      </c>
      <c r="BK110">
        <f t="shared" ref="BK110:BK169" si="351">I110*IQ</f>
        <v>8.5499946966991411E-3</v>
      </c>
      <c r="BL110" s="460">
        <f>(BK110+BI110)*1000</f>
        <v>13.793991444007947</v>
      </c>
      <c r="BM110" s="528">
        <f t="shared" ref="BM110:BM141" si="352">(BH110+BI110*0+BJ110+BK110*0+BG110*(1+RdsonTC*(Ta-25)))/(1-BG110*RdsonTC*ThetaJA)</f>
        <v>1.5223123810505983E-2</v>
      </c>
      <c r="BN110" s="460">
        <f t="shared" ref="BN110:BN173" si="353">BM110*1000</f>
        <v>15.223123810505983</v>
      </c>
      <c r="BO110" s="528">
        <f t="shared" ref="BO110:BO169" si="354">Vfwd2*F110</f>
        <v>6.9999999999999996E-10</v>
      </c>
      <c r="BR110" s="460">
        <f t="shared" ref="BR110:BR169" si="355">SUM(BO110:BQ110)*1000</f>
        <v>6.9999999999999997E-7</v>
      </c>
      <c r="BS110" s="528">
        <f t="shared" ref="BS110:BS169" si="356">Rdcr_pri*BD110^2</f>
        <v>7.578952069410879E-5</v>
      </c>
      <c r="BT110" s="528">
        <f t="shared" ref="BT110:BT169" si="357">Rdcr_sec*BE110^2</f>
        <v>9.9242104793058894E-3</v>
      </c>
      <c r="BU110" s="528">
        <f t="shared" ref="BU110:BU169" si="358">AJ110^2.5*AN110^2.5*k_core</f>
        <v>2.494153162899183E-5</v>
      </c>
      <c r="BV110" s="528"/>
      <c r="BW110" s="528">
        <f t="shared" ref="BW110:BW169" si="359">0.5*Lleak*0.000000001*AJ110^2*AN110*1000</f>
        <v>6.0000000000000008E-5</v>
      </c>
      <c r="BX110" s="460">
        <f t="shared" ref="BX110:BX169" si="360">SUM(BS110:BW110)*1000</f>
        <v>10.084941531628989</v>
      </c>
      <c r="BY110" s="173">
        <f t="shared" ref="BY110:BY169" si="361">SUM(BG110:BK110,BO110:BQ110,BS110:BW110)</f>
        <v>3.9088232617902056E-2</v>
      </c>
      <c r="BZ110" s="5">
        <f t="shared" ref="BZ110:BZ169" si="362">MIN(H110,O110)</f>
        <v>1.6000000000000001E-8</v>
      </c>
      <c r="CA110" s="173">
        <f t="shared" ref="CA110:CA169" si="363">BZ110/(BZ110+BY110)</f>
        <v>4.093301840254912E-7</v>
      </c>
      <c r="CB110" s="5">
        <f t="shared" ref="CB110:CB169" si="364">CA110*100</f>
        <v>4.093301840254912E-5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4.2426406871192857E-6</v>
      </c>
      <c r="CI110" s="170">
        <v>0.1</v>
      </c>
      <c r="CJ110" s="217">
        <v>1.0000000000000001E-9</v>
      </c>
      <c r="CK110" s="217"/>
      <c r="CL110" s="217">
        <f t="shared" ref="CL110:CL173" si="368">CJ110*Vout</f>
        <v>1.6000000000000001E-8</v>
      </c>
      <c r="CM110" s="541">
        <f t="shared" ref="CM110:CM173" si="369">VIN_min</f>
        <v>19</v>
      </c>
      <c r="CN110" s="443">
        <f t="shared" ref="CN110:CN173" si="370">(CX110+Vfwd1)*Nps</f>
        <v>16.399999999999999</v>
      </c>
      <c r="CO110" s="443">
        <f t="shared" ref="CO110:CO173" si="371">(Vout+Vfwd1)*Nps+CM110</f>
        <v>35.4</v>
      </c>
      <c r="CP110" s="443"/>
      <c r="CQ110" s="217">
        <f t="shared" ref="CQ110:CQ173" si="372">(Vout+Vfwd1)*Nps/((Vout+Vfwd1)*Nps+CM110)</f>
        <v>0.4632768361581921</v>
      </c>
      <c r="CR110" s="172">
        <f>CQ110*CM110*(Isw_max+VIN_min/Lmag*ILIM_delay)*0.5*Efficiency</f>
        <v>22.214703389830511</v>
      </c>
      <c r="CS110" s="172">
        <f t="shared" ref="CS110:CS173" si="373">CX110*CJ110</f>
        <v>1.6000000000000001E-8</v>
      </c>
      <c r="CT110" s="217">
        <f t="shared" ref="CT110:CT173" si="374">CR110/Vout</f>
        <v>1.3884189618644069</v>
      </c>
      <c r="CU110" s="217">
        <f t="shared" ref="CU110:CU173" si="375">MIN(Vout,CR110/CJ110)</f>
        <v>16</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47499999981</v>
      </c>
      <c r="CX110" s="172">
        <f t="shared" ref="CX110:CX173" si="377">MIN(Vout, CW110)</f>
        <v>16</v>
      </c>
      <c r="CY110" s="217">
        <f t="shared" ref="CY110:CY173" si="378">MIN(2*Vout*CJ110/(Efficiency*CM110*CQ110), Isw_max)</f>
        <v>3.6354300385109114E-9</v>
      </c>
      <c r="CZ110" s="217">
        <f t="shared" ref="CZ110:CZ173" si="379">L*CY110/CM110*1000000</f>
        <v>2.2960610769542601E-9</v>
      </c>
      <c r="DA110" s="217">
        <f t="shared" ref="DA110:DA173" si="380">L*CY110/CN110*1000000</f>
        <v>2.6600707598860331E-9</v>
      </c>
      <c r="DB110" s="197">
        <f t="shared" ref="DB110:DB173" si="381">IF(1/((350000*L)*(1/CM110+1/CN110))&gt;Isw_min, 350, 0.001/((Isw_min*L)*(1/CM110+1/CN110)))</f>
        <v>350</v>
      </c>
      <c r="DC110" s="443">
        <f t="shared" ref="DC110:DC173" si="382">MIN(1/(CZ110+DA110)*1000, 350)</f>
        <v>350</v>
      </c>
      <c r="DE110" s="217">
        <f t="shared" ref="DE110:DE173" si="383">1/((DB110*1000*L)*(1/CM110+1/CN110))</f>
        <v>2.0957761635727734</v>
      </c>
      <c r="DF110" s="173">
        <f t="shared" ref="DF110:DF173" si="384">L*DE110/CN110*1000000</f>
        <v>1.5334947538337369</v>
      </c>
      <c r="DG110" s="173">
        <f t="shared" ref="DG110:DG173" si="385">0.5*DF110*DE110*Nps*DB110/1000</f>
        <v>0.5624258066085126</v>
      </c>
      <c r="DH110" s="173"/>
      <c r="DI110" s="173">
        <f t="shared" ref="DI110:DI173" si="386">L*Isw_min/CN110*1000000</f>
        <v>0.73170731707317083</v>
      </c>
      <c r="DJ110" s="545">
        <f t="shared" ref="DJ110:DJ173" si="387">MAX(12000,CJ110/(0.5*DI110/1000000*Isw_min*Nps))/1000</f>
        <v>12</v>
      </c>
      <c r="DK110" s="528">
        <f t="shared" ref="DK110:DK173" si="388">0.5*DI110/1000000*Isw_min*Nps*DB110*1000</f>
        <v>0.12804878048780488</v>
      </c>
      <c r="DM110" s="173">
        <f t="shared" ref="DM110:DM173" si="389">SQRT(CJ110/(0.5*L/CN110*Fsw_DCM*Nps))</f>
        <v>8.837151016885368E-5</v>
      </c>
      <c r="DN110" s="173">
        <f t="shared" ref="DN110:DN173" si="390">MAX(IF(CJ110&gt;DG110,CY110,DM110),Isw_min)</f>
        <v>1</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0.63157894736842113</v>
      </c>
      <c r="DY110" s="5">
        <f t="shared" ref="DY110:DY173" si="396">DW110-DX110</f>
        <v>82.701754385964904</v>
      </c>
      <c r="DZ110" s="5"/>
      <c r="EA110" s="173">
        <f t="shared" ref="EA110:EA173" si="397">DX110/DW110</f>
        <v>7.578947368421054E-3</v>
      </c>
      <c r="EB110" s="173">
        <f t="shared" ref="EB110:EB173" si="398">0.5*L*DN110^2*DR110*1000</f>
        <v>7.2000000000000008E-2</v>
      </c>
      <c r="EC110" s="173">
        <f t="shared" ref="EC110:EC173" si="399">DN110*Nps/2*(1-EA110)</f>
        <v>0.49621052631578949</v>
      </c>
      <c r="ED110" s="173">
        <f t="shared" ref="ED110:ED173" si="400">EB110/EC110</f>
        <v>0.14509970301230379</v>
      </c>
      <c r="EE110" s="460">
        <f t="shared" ref="EE110:EE173" si="401">CJ110*DX110/Vout_ripple*1000</f>
        <v>3.9473684210526322E-9</v>
      </c>
      <c r="EF110" s="5">
        <f t="shared" ref="EF110:EF173" si="402">CL110/Efficiency/CM110*DY110/Vinripple1</f>
        <v>5.8036318867343791E-8</v>
      </c>
      <c r="EH110" s="173">
        <f t="shared" ref="EH110:EH173" si="403">DN110*SQRT(EA110/3)</f>
        <v>5.0262468995003466E-2</v>
      </c>
      <c r="EI110" s="173">
        <f t="shared" ref="EI110:EI173" si="404">DN110*Nps*SQRT((1-EA110)/3)</f>
        <v>0.57515825434732282</v>
      </c>
      <c r="EK110" s="528">
        <f t="shared" ref="EK110:EK173" si="405">Rdson*EH110^2</f>
        <v>5.0526315789473696E-5</v>
      </c>
      <c r="EL110" s="528">
        <f t="shared" ref="EL110:EL173" si="406">0.5*CO110*DN110*DR110*1000*Trise</f>
        <v>8.0711999999999989E-3</v>
      </c>
      <c r="EM110" s="528">
        <f t="shared" ref="EM110:EM173" si="407">Qg*Vdd*DR110*1000</f>
        <v>1.3800000000000002E-3</v>
      </c>
      <c r="EN110" s="528">
        <f t="shared" ref="EN110:EN173" si="408">0.5*(Coss+Csw)*CO110^2*DR110*1000</f>
        <v>7.4061755999999994E-3</v>
      </c>
      <c r="EO110">
        <f t="shared" ref="EO110:EO173" si="409">CM110*IQ</f>
        <v>8.5500000000000003E-3</v>
      </c>
      <c r="EP110" s="460">
        <f t="shared" ref="EP110:EP173" si="410">(EO110+EM110)*1000</f>
        <v>9.9300000000000015</v>
      </c>
      <c r="EQ110" s="460"/>
      <c r="ER110" s="460">
        <f>SUM(EK110:EO110)*1000</f>
        <v>25.457901915789471</v>
      </c>
      <c r="ES110" s="528">
        <f t="shared" ref="ES110:ES173" si="411">Vfwd2*CJ110</f>
        <v>6.9999999999999996E-10</v>
      </c>
      <c r="EV110" s="460">
        <f t="shared" ref="EV110:EV169" si="412">SUM(ES110:EU110)*1000</f>
        <v>6.9999999999999997E-7</v>
      </c>
      <c r="EW110" s="528">
        <f t="shared" ref="EW110:EW173" si="413">Rdcr_pri*EH110^2</f>
        <v>7.5789473684210538E-5</v>
      </c>
      <c r="EX110" s="528">
        <f t="shared" ref="EX110:EX173" si="414">Rdcr_sec*EI110^2</f>
        <v>9.9242105263157888E-3</v>
      </c>
      <c r="EY110" s="528">
        <f t="shared" ref="EY110:EY173" si="415">DN110^2.5*DR110^2.5*k_core</f>
        <v>2.494153162899183E-5</v>
      </c>
      <c r="EZ110" s="528"/>
      <c r="FA110" s="528">
        <f t="shared" ref="FA110:FA173" si="416">0.5*Lleak*0.000000001*DN110^2*DR110*1000</f>
        <v>6.0000000000000008E-5</v>
      </c>
      <c r="FB110" s="460">
        <f t="shared" ref="FB110:FB173" si="417">SUM(EW110:FA110)*1000</f>
        <v>10.08494153162899</v>
      </c>
      <c r="FC110" s="173">
        <f t="shared" ref="FC110:FC173" si="418">SUM(EK110:EO110,ES110:EU110,EW110:FA110)</f>
        <v>3.5542844147418456E-2</v>
      </c>
      <c r="FD110" s="5">
        <f t="shared" ref="FD110:FD173" si="419">MIN(CL110,CS110)</f>
        <v>1.6000000000000001E-8</v>
      </c>
      <c r="FE110" s="173">
        <f t="shared" ref="FE110:FE173" si="420">FD110/(FD110+FC110)</f>
        <v>4.5016073365052788E-7</v>
      </c>
      <c r="FF110" s="5">
        <f t="shared" ref="FF110:FF173" si="421">FE110*100</f>
        <v>4.5016073365052786E-5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4.1905817746174696E-6</v>
      </c>
    </row>
    <row r="111" spans="5:168">
      <c r="E111" s="170">
        <v>1</v>
      </c>
      <c r="F111" s="217">
        <f t="shared" ref="F111:F142" si="425">IF(PLOT_TYPE=1, E111/100*Iout_max, min_I*EXP(N111*rr/100))</f>
        <v>0.01</v>
      </c>
      <c r="G111" s="217"/>
      <c r="H111" s="217">
        <f t="shared" si="315"/>
        <v>0.16</v>
      </c>
      <c r="I111" s="541">
        <f t="shared" si="316"/>
        <v>18.975306760083761</v>
      </c>
      <c r="J111" s="172">
        <f t="shared" si="317"/>
        <v>16.414815943949744</v>
      </c>
      <c r="K111" s="172">
        <f t="shared" si="318"/>
        <v>35.390122704033502</v>
      </c>
      <c r="L111" s="443"/>
      <c r="M111" s="217">
        <f t="shared" si="319"/>
        <v>0.46382757039320865</v>
      </c>
      <c r="N111" s="172">
        <f t="shared" ref="N111:N141" si="426">M111*I111*(Isw_max+VIN_min/Lmag*ILIM_delay)*0.5*Efficiency</f>
        <v>22.21220625274859</v>
      </c>
      <c r="O111" s="172">
        <f t="shared" si="284"/>
        <v>0.16</v>
      </c>
      <c r="P111" s="217">
        <f t="shared" si="320"/>
        <v>1.3882628907967869</v>
      </c>
      <c r="Q111" s="217">
        <f t="shared" si="321"/>
        <v>16</v>
      </c>
      <c r="R111" s="217"/>
      <c r="S111" s="172">
        <f t="shared" si="322"/>
        <v>4724.8529895500269</v>
      </c>
      <c r="T111" s="172">
        <f t="shared" si="323"/>
        <v>16</v>
      </c>
      <c r="U111" s="217">
        <f t="shared" si="324"/>
        <v>3.7301433075675391E-2</v>
      </c>
      <c r="V111" s="217">
        <f t="shared" si="325"/>
        <v>2.3589457739345069E-2</v>
      </c>
      <c r="W111" s="217">
        <f t="shared" si="326"/>
        <v>2.7269096311316833E-2</v>
      </c>
      <c r="X111" s="197">
        <f t="shared" si="327"/>
        <v>350</v>
      </c>
      <c r="Y111" s="443">
        <f t="shared" si="328"/>
        <v>350</v>
      </c>
      <c r="AA111" s="217">
        <f t="shared" si="329"/>
        <v>2.0955279807442979</v>
      </c>
      <c r="AB111" s="173">
        <f t="shared" si="330"/>
        <v>1.5319291946249411</v>
      </c>
      <c r="AC111" s="173">
        <f t="shared" si="331"/>
        <v>0.56178508607473721</v>
      </c>
      <c r="AD111" s="173"/>
      <c r="AE111" s="173">
        <f t="shared" si="332"/>
        <v>0.7310468811210169</v>
      </c>
      <c r="AF111" s="545">
        <f t="shared" si="333"/>
        <v>27.358026573249571</v>
      </c>
      <c r="AG111" s="528">
        <f t="shared" si="334"/>
        <v>0.12793320419617796</v>
      </c>
      <c r="AI111" s="173">
        <f t="shared" si="335"/>
        <v>0.27958145541019791</v>
      </c>
      <c r="AJ111" s="173">
        <f t="shared" si="336"/>
        <v>1</v>
      </c>
      <c r="AK111" s="173">
        <f t="shared" si="337"/>
        <v>1.0156331580418569</v>
      </c>
      <c r="AM111" s="545">
        <f t="shared" si="338"/>
        <v>10</v>
      </c>
      <c r="AN111" s="460">
        <f t="shared" si="339"/>
        <v>27.358026573249571</v>
      </c>
      <c r="AP111" s="460">
        <f t="shared" si="340"/>
        <v>10</v>
      </c>
      <c r="AQ111" s="460">
        <f t="shared" si="341"/>
        <v>27.358026573249571</v>
      </c>
      <c r="AS111" s="5">
        <f t="shared" si="285"/>
        <v>36.552344056050842</v>
      </c>
      <c r="AT111" s="5">
        <f t="shared" si="342"/>
        <v>0.63240084346056857</v>
      </c>
      <c r="AU111" s="5">
        <f t="shared" si="343"/>
        <v>35.919943212590276</v>
      </c>
      <c r="AV111" s="5"/>
      <c r="AW111" s="173">
        <f t="shared" si="344"/>
        <v>1.7301239080339679E-2</v>
      </c>
      <c r="AX111" s="173">
        <f t="shared" si="214"/>
        <v>0.16414815943949745</v>
      </c>
      <c r="AY111" s="173">
        <f t="shared" si="215"/>
        <v>0.49134938045983018</v>
      </c>
      <c r="AZ111" s="173">
        <f t="shared" si="288"/>
        <v>0.33407625198566265</v>
      </c>
      <c r="BA111" s="460">
        <f t="shared" si="345"/>
        <v>3.9525052716285529E-2</v>
      </c>
      <c r="BB111" s="5">
        <f t="shared" si="346"/>
        <v>0.25239780427442016</v>
      </c>
      <c r="BD111" s="173">
        <f t="shared" si="289"/>
        <v>7.5941291096784491E-2</v>
      </c>
      <c r="BE111" s="173">
        <f t="shared" si="218"/>
        <v>0.57233404025960821</v>
      </c>
      <c r="BG111" s="528">
        <f t="shared" si="347"/>
        <v>1.1534159386893118E-4</v>
      </c>
      <c r="BH111" s="528">
        <f t="shared" si="348"/>
        <v>1.7669721491957086E-2</v>
      </c>
      <c r="BI111" s="528">
        <f t="shared" si="349"/>
        <v>1.1939919771292476E-2</v>
      </c>
      <c r="BJ111" s="528">
        <f t="shared" si="350"/>
        <v>1.6875441303294859E-2</v>
      </c>
      <c r="BK111">
        <f t="shared" si="351"/>
        <v>8.5388880420376925E-3</v>
      </c>
      <c r="BL111" s="460">
        <f t="shared" ref="BL111:BL174" si="427">(BK111+BI111)*1000</f>
        <v>20.478807813330167</v>
      </c>
      <c r="BM111" s="528">
        <f t="shared" si="352"/>
        <v>3.4692597375741166E-2</v>
      </c>
      <c r="BN111" s="460">
        <f t="shared" si="353"/>
        <v>34.692597375741165</v>
      </c>
      <c r="BO111" s="528">
        <f t="shared" si="354"/>
        <v>6.9999999999999993E-3</v>
      </c>
      <c r="BR111" s="460">
        <f t="shared" si="355"/>
        <v>6.9999999999999991</v>
      </c>
      <c r="BS111" s="528">
        <f t="shared" si="356"/>
        <v>1.7301239080339678E-4</v>
      </c>
      <c r="BT111" s="528">
        <f t="shared" si="357"/>
        <v>9.8269876091966052E-3</v>
      </c>
      <c r="BU111" s="528">
        <f t="shared" si="358"/>
        <v>1.9574105375034479E-4</v>
      </c>
      <c r="BV111" s="528"/>
      <c r="BW111" s="528">
        <f t="shared" si="359"/>
        <v>1.3679013286624787E-4</v>
      </c>
      <c r="BX111" s="460">
        <f t="shared" si="360"/>
        <v>10.332531186616595</v>
      </c>
      <c r="BY111" s="173">
        <f t="shared" si="361"/>
        <v>7.2471843389067633E-2</v>
      </c>
      <c r="BZ111" s="5">
        <f t="shared" si="362"/>
        <v>0.16</v>
      </c>
      <c r="CA111" s="173">
        <f t="shared" si="363"/>
        <v>0.68825539328744478</v>
      </c>
      <c r="CB111" s="5">
        <f t="shared" si="364"/>
        <v>68.825539328744483</v>
      </c>
      <c r="CE111" s="562">
        <f t="shared" si="365"/>
        <v>-50</v>
      </c>
      <c r="CF111">
        <f t="shared" si="366"/>
        <v>-50</v>
      </c>
      <c r="CG111" s="173">
        <f t="shared" si="367"/>
        <v>2.0248456731316589E-2</v>
      </c>
      <c r="CI111" s="170">
        <v>1</v>
      </c>
      <c r="CJ111" s="217">
        <f t="shared" ref="CJ111:CJ174" si="428">IF(PLOT_TYPE=1, CI111/100*Iout_max, min_I*EXP(CR111*rr/100))</f>
        <v>0.01</v>
      </c>
      <c r="CK111" s="217"/>
      <c r="CL111" s="217">
        <f t="shared" si="368"/>
        <v>0.16</v>
      </c>
      <c r="CM111" s="541">
        <f t="shared" si="369"/>
        <v>19</v>
      </c>
      <c r="CN111" s="443">
        <f t="shared" si="370"/>
        <v>16.399999999999999</v>
      </c>
      <c r="CO111" s="443">
        <f t="shared" si="371"/>
        <v>35.4</v>
      </c>
      <c r="CP111" s="443"/>
      <c r="CQ111" s="217">
        <f t="shared" si="372"/>
        <v>0.4632768361581921</v>
      </c>
      <c r="CR111" s="172">
        <f t="shared" ref="CR111:CR174" si="429">CQ111*CM111*(Isw_max+VIN_min/Lmag*ILIM_delay)*0.5*Efficiency</f>
        <v>22.214703389830511</v>
      </c>
      <c r="CS111" s="172">
        <f t="shared" si="373"/>
        <v>0.16</v>
      </c>
      <c r="CT111" s="217">
        <f t="shared" si="374"/>
        <v>1.3884189618644069</v>
      </c>
      <c r="CU111" s="217">
        <f t="shared" si="375"/>
        <v>16</v>
      </c>
      <c r="CV111" s="217"/>
      <c r="CW111" s="172">
        <f t="shared" si="376"/>
        <v>4731.0016062893483</v>
      </c>
      <c r="CX111" s="172">
        <f t="shared" si="377"/>
        <v>16</v>
      </c>
      <c r="CY111" s="217">
        <f t="shared" si="378"/>
        <v>3.635430038510911E-2</v>
      </c>
      <c r="CZ111" s="217">
        <f t="shared" si="379"/>
        <v>2.2960610769542599E-2</v>
      </c>
      <c r="DA111" s="217">
        <f t="shared" si="380"/>
        <v>2.6600707598860327E-2</v>
      </c>
      <c r="DB111" s="197">
        <f t="shared" si="381"/>
        <v>350</v>
      </c>
      <c r="DC111" s="443">
        <f t="shared" si="382"/>
        <v>350</v>
      </c>
      <c r="DE111" s="217">
        <f t="shared" si="383"/>
        <v>2.0957761635727734</v>
      </c>
      <c r="DF111" s="173">
        <f t="shared" si="384"/>
        <v>1.5334947538337369</v>
      </c>
      <c r="DG111" s="173">
        <f t="shared" si="385"/>
        <v>0.5624258066085126</v>
      </c>
      <c r="DH111" s="173"/>
      <c r="DI111" s="173">
        <f t="shared" si="386"/>
        <v>0.73170731707317083</v>
      </c>
      <c r="DJ111" s="545">
        <f t="shared" si="387"/>
        <v>27.333333333333332</v>
      </c>
      <c r="DK111" s="528">
        <f t="shared" si="388"/>
        <v>0.12804878048780488</v>
      </c>
      <c r="DM111" s="173">
        <f t="shared" si="389"/>
        <v>0.27945525240230873</v>
      </c>
      <c r="DN111" s="173">
        <f t="shared" si="390"/>
        <v>1</v>
      </c>
      <c r="DO111" s="173">
        <f t="shared" si="391"/>
        <v>1.0156190476190476</v>
      </c>
      <c r="DQ111" s="545">
        <f t="shared" si="392"/>
        <v>10</v>
      </c>
      <c r="DR111" s="460">
        <f t="shared" si="393"/>
        <v>27.333333333333332</v>
      </c>
      <c r="DT111">
        <f t="shared" ref="DT111:DT174" si="430">IF(CL111&gt;CR111, " ",DQ111)</f>
        <v>10</v>
      </c>
      <c r="DU111">
        <f t="shared" ref="DU111:DU174" si="431">IF(CL111&gt;CR111, " ",DR111)</f>
        <v>27.333333333333332</v>
      </c>
      <c r="DW111" s="5">
        <f t="shared" si="394"/>
        <v>36.585365853658544</v>
      </c>
      <c r="DX111" s="5">
        <f t="shared" si="395"/>
        <v>0.63157894736842113</v>
      </c>
      <c r="DY111" s="5">
        <f t="shared" si="396"/>
        <v>35.953786906290127</v>
      </c>
      <c r="DZ111" s="5"/>
      <c r="EA111" s="173">
        <f t="shared" si="397"/>
        <v>1.7263157894736841E-2</v>
      </c>
      <c r="EB111" s="173">
        <f t="shared" si="398"/>
        <v>0.16400000000000001</v>
      </c>
      <c r="EC111" s="173">
        <f t="shared" si="399"/>
        <v>0.49136842105263157</v>
      </c>
      <c r="ED111" s="173">
        <f t="shared" si="400"/>
        <v>0.3337617823479006</v>
      </c>
      <c r="EE111" s="460">
        <f t="shared" si="401"/>
        <v>3.9473684210526321E-2</v>
      </c>
      <c r="EF111" s="5">
        <f t="shared" si="402"/>
        <v>0.25230727653536927</v>
      </c>
      <c r="EH111" s="173">
        <f t="shared" si="403"/>
        <v>7.5857669123907831E-2</v>
      </c>
      <c r="EI111" s="173">
        <f t="shared" si="404"/>
        <v>0.5723451295926445</v>
      </c>
      <c r="EK111" s="528">
        <f t="shared" si="405"/>
        <v>1.1508771929824559E-4</v>
      </c>
      <c r="EL111" s="528">
        <f t="shared" si="406"/>
        <v>1.8384399999999999E-2</v>
      </c>
      <c r="EM111" s="528">
        <f t="shared" si="407"/>
        <v>3.1433333333333335E-3</v>
      </c>
      <c r="EN111" s="528">
        <f t="shared" si="408"/>
        <v>1.68696222E-2</v>
      </c>
      <c r="EO111">
        <f t="shared" si="409"/>
        <v>8.5500000000000003E-3</v>
      </c>
      <c r="EP111" s="460">
        <f t="shared" si="410"/>
        <v>11.693333333333333</v>
      </c>
      <c r="EQ111" s="460"/>
      <c r="ER111" s="460">
        <f t="shared" ref="ER111:ER174" si="432">SUM(EK111:EO111)*1000</f>
        <v>47.062443252631574</v>
      </c>
      <c r="ES111" s="528">
        <f t="shared" si="411"/>
        <v>6.9999999999999993E-3</v>
      </c>
      <c r="EV111" s="460">
        <f t="shared" si="412"/>
        <v>6.9999999999999991</v>
      </c>
      <c r="EW111" s="528">
        <f t="shared" si="413"/>
        <v>1.7263157894736837E-4</v>
      </c>
      <c r="EX111" s="528">
        <f t="shared" si="414"/>
        <v>9.8273684210526298E-3</v>
      </c>
      <c r="EY111" s="528">
        <f t="shared" si="415"/>
        <v>1.9529966507128129E-4</v>
      </c>
      <c r="EZ111" s="528"/>
      <c r="FA111" s="528">
        <f t="shared" si="416"/>
        <v>1.3666666666666666E-4</v>
      </c>
      <c r="FB111" s="460">
        <f t="shared" si="417"/>
        <v>10.331966331737945</v>
      </c>
      <c r="FC111" s="173">
        <f t="shared" si="418"/>
        <v>6.4394409584369525E-2</v>
      </c>
      <c r="FD111" s="5">
        <f t="shared" si="419"/>
        <v>0.16</v>
      </c>
      <c r="FE111" s="173">
        <f t="shared" si="420"/>
        <v>0.71303024124512326</v>
      </c>
      <c r="FF111" s="5">
        <f t="shared" si="421"/>
        <v>71.303024124512319</v>
      </c>
      <c r="FI111" s="562">
        <f t="shared" si="422"/>
        <v>-50</v>
      </c>
      <c r="FJ111">
        <f t="shared" si="423"/>
        <v>-50</v>
      </c>
      <c r="FL111">
        <f t="shared" si="424"/>
        <v>2.0000000000000004E-2</v>
      </c>
    </row>
    <row r="112" spans="5:168">
      <c r="E112" s="170">
        <v>2</v>
      </c>
      <c r="F112" s="217">
        <f t="shared" si="425"/>
        <v>0.02</v>
      </c>
      <c r="G112" s="217"/>
      <c r="H112" s="217">
        <f t="shared" si="315"/>
        <v>0.32</v>
      </c>
      <c r="I112" s="541">
        <f t="shared" si="316"/>
        <v>18.975306760083761</v>
      </c>
      <c r="J112" s="172">
        <f t="shared" si="317"/>
        <v>16.414815943949744</v>
      </c>
      <c r="K112" s="172">
        <f t="shared" si="318"/>
        <v>35.390122704033502</v>
      </c>
      <c r="L112" s="443"/>
      <c r="M112" s="217">
        <f t="shared" si="319"/>
        <v>0.46382757039320865</v>
      </c>
      <c r="N112" s="172">
        <f t="shared" si="426"/>
        <v>22.21220625274859</v>
      </c>
      <c r="O112" s="172">
        <f t="shared" si="284"/>
        <v>0.32</v>
      </c>
      <c r="P112" s="217">
        <f t="shared" si="320"/>
        <v>1.3882628907967869</v>
      </c>
      <c r="Q112" s="217">
        <f t="shared" si="321"/>
        <v>16</v>
      </c>
      <c r="R112" s="217"/>
      <c r="S112" s="172">
        <f t="shared" si="322"/>
        <v>2352.9412635041231</v>
      </c>
      <c r="T112" s="172">
        <f t="shared" si="323"/>
        <v>16</v>
      </c>
      <c r="U112" s="217">
        <f t="shared" si="324"/>
        <v>7.4602866151350783E-2</v>
      </c>
      <c r="V112" s="217">
        <f t="shared" si="325"/>
        <v>4.7178915478690138E-2</v>
      </c>
      <c r="W112" s="217">
        <f t="shared" si="326"/>
        <v>5.4538192622633666E-2</v>
      </c>
      <c r="X112" s="197">
        <f t="shared" si="327"/>
        <v>350</v>
      </c>
      <c r="Y112" s="443">
        <f t="shared" si="328"/>
        <v>350</v>
      </c>
      <c r="AA112" s="217">
        <f t="shared" si="329"/>
        <v>2.0955279807442979</v>
      </c>
      <c r="AB112" s="173">
        <f t="shared" si="330"/>
        <v>1.5319291946249411</v>
      </c>
      <c r="AC112" s="173">
        <f t="shared" si="331"/>
        <v>0.56178508607473721</v>
      </c>
      <c r="AD112" s="173"/>
      <c r="AE112" s="173">
        <f t="shared" si="332"/>
        <v>0.7310468811210169</v>
      </c>
      <c r="AF112" s="545">
        <f t="shared" si="333"/>
        <v>54.716053146499142</v>
      </c>
      <c r="AG112" s="528">
        <f t="shared" si="334"/>
        <v>0.12793320419617796</v>
      </c>
      <c r="AI112" s="173">
        <f t="shared" si="335"/>
        <v>0.39538788602911062</v>
      </c>
      <c r="AJ112" s="173">
        <f t="shared" si="336"/>
        <v>1</v>
      </c>
      <c r="AK112" s="173">
        <f t="shared" si="337"/>
        <v>1.0312663160837139</v>
      </c>
      <c r="AM112" s="545">
        <f t="shared" si="338"/>
        <v>20</v>
      </c>
      <c r="AN112" s="460">
        <f t="shared" si="339"/>
        <v>54.716053146499142</v>
      </c>
      <c r="AP112" s="460">
        <f t="shared" si="340"/>
        <v>20</v>
      </c>
      <c r="AQ112" s="460">
        <f t="shared" si="341"/>
        <v>54.716053146499142</v>
      </c>
      <c r="AS112" s="5">
        <f t="shared" si="285"/>
        <v>18.276172028025421</v>
      </c>
      <c r="AT112" s="5">
        <f t="shared" si="342"/>
        <v>0.63240084346056857</v>
      </c>
      <c r="AU112" s="5">
        <f t="shared" si="343"/>
        <v>17.643771184564851</v>
      </c>
      <c r="AV112" s="5"/>
      <c r="AW112" s="173">
        <f t="shared" si="344"/>
        <v>3.4602478160679358E-2</v>
      </c>
      <c r="AX112" s="173">
        <f t="shared" si="214"/>
        <v>0.32829631887899491</v>
      </c>
      <c r="AY112" s="173">
        <f t="shared" si="215"/>
        <v>0.4826987609196603</v>
      </c>
      <c r="AZ112" s="173">
        <f t="shared" si="288"/>
        <v>0.6801267072936118</v>
      </c>
      <c r="BA112" s="460">
        <f t="shared" si="345"/>
        <v>7.9050105432571058E-2</v>
      </c>
      <c r="BB112" s="5">
        <f t="shared" si="346"/>
        <v>0.24795412842097969</v>
      </c>
      <c r="BD112" s="173">
        <f t="shared" si="289"/>
        <v>0.1073972038131958</v>
      </c>
      <c r="BE112" s="173">
        <f t="shared" si="218"/>
        <v>0.56727345605663604</v>
      </c>
      <c r="BG112" s="528">
        <f t="shared" si="347"/>
        <v>2.3068318773786237E-4</v>
      </c>
      <c r="BH112" s="528">
        <f t="shared" si="348"/>
        <v>3.5339442983914171E-2</v>
      </c>
      <c r="BI112" s="528">
        <f t="shared" si="349"/>
        <v>2.3879839542584953E-2</v>
      </c>
      <c r="BJ112" s="528">
        <f t="shared" si="350"/>
        <v>3.3750882606589719E-2</v>
      </c>
      <c r="BK112">
        <f t="shared" si="351"/>
        <v>8.5388880420376925E-3</v>
      </c>
      <c r="BL112" s="460">
        <f t="shared" si="427"/>
        <v>32.418727584622644</v>
      </c>
      <c r="BM112" s="528">
        <f t="shared" si="352"/>
        <v>6.938709636826193E-2</v>
      </c>
      <c r="BN112" s="460">
        <f t="shared" si="353"/>
        <v>69.387096368261936</v>
      </c>
      <c r="BO112" s="528">
        <f t="shared" si="354"/>
        <v>1.3999999999999999E-2</v>
      </c>
      <c r="BR112" s="460">
        <f t="shared" si="355"/>
        <v>13.999999999999998</v>
      </c>
      <c r="BS112" s="528">
        <f t="shared" si="356"/>
        <v>3.4602478160679356E-4</v>
      </c>
      <c r="BT112" s="528">
        <f t="shared" si="357"/>
        <v>9.653975218393205E-3</v>
      </c>
      <c r="BU112" s="528">
        <f t="shared" si="358"/>
        <v>1.1072786117077556E-3</v>
      </c>
      <c r="BV112" s="528"/>
      <c r="BW112" s="528">
        <f t="shared" si="359"/>
        <v>2.7358026573249573E-4</v>
      </c>
      <c r="BX112" s="460">
        <f t="shared" si="360"/>
        <v>11.38085887744025</v>
      </c>
      <c r="BY112" s="173">
        <f>SUM(BG112:BK112,BO112:BQ112,BS112:BW112)</f>
        <v>0.12712059524030464</v>
      </c>
      <c r="BZ112" s="5">
        <f t="shared" si="362"/>
        <v>0.32</v>
      </c>
      <c r="CA112" s="173">
        <f t="shared" si="363"/>
        <v>0.71569058416559006</v>
      </c>
      <c r="CB112" s="5">
        <f t="shared" si="364"/>
        <v>71.569058416559002</v>
      </c>
      <c r="CE112" s="562">
        <f t="shared" si="365"/>
        <v>-50</v>
      </c>
      <c r="CF112">
        <f t="shared" si="366"/>
        <v>-50</v>
      </c>
      <c r="CG112" s="173">
        <f t="shared" si="367"/>
        <v>4.0496913462633177E-2</v>
      </c>
      <c r="CI112" s="170">
        <v>2</v>
      </c>
      <c r="CJ112" s="217">
        <f t="shared" si="428"/>
        <v>0.02</v>
      </c>
      <c r="CK112" s="217"/>
      <c r="CL112" s="217">
        <f t="shared" si="368"/>
        <v>0.32</v>
      </c>
      <c r="CM112" s="541">
        <f t="shared" si="369"/>
        <v>19</v>
      </c>
      <c r="CN112" s="443">
        <f t="shared" si="370"/>
        <v>16.399999999999999</v>
      </c>
      <c r="CO112" s="443">
        <f t="shared" si="371"/>
        <v>35.4</v>
      </c>
      <c r="CP112" s="443"/>
      <c r="CQ112" s="217">
        <f t="shared" si="372"/>
        <v>0.4632768361581921</v>
      </c>
      <c r="CR112" s="172">
        <f t="shared" si="429"/>
        <v>22.214703389830511</v>
      </c>
      <c r="CS112" s="172">
        <f t="shared" si="373"/>
        <v>0.32</v>
      </c>
      <c r="CT112" s="217">
        <f t="shared" si="374"/>
        <v>1.3884189618644069</v>
      </c>
      <c r="CU112" s="217">
        <f t="shared" si="375"/>
        <v>16</v>
      </c>
      <c r="CV112" s="217"/>
      <c r="CW112" s="172">
        <f t="shared" si="376"/>
        <v>2356.0032252544547</v>
      </c>
      <c r="CX112" s="172">
        <f t="shared" si="377"/>
        <v>16</v>
      </c>
      <c r="CY112" s="217">
        <f t="shared" si="378"/>
        <v>7.2708600770218221E-2</v>
      </c>
      <c r="CZ112" s="217">
        <f t="shared" si="379"/>
        <v>4.5921221539085198E-2</v>
      </c>
      <c r="DA112" s="217">
        <f t="shared" si="380"/>
        <v>5.3201415197720654E-2</v>
      </c>
      <c r="DB112" s="197">
        <f t="shared" si="381"/>
        <v>350</v>
      </c>
      <c r="DC112" s="443">
        <f t="shared" si="382"/>
        <v>350</v>
      </c>
      <c r="DE112" s="217">
        <f t="shared" si="383"/>
        <v>2.0957761635727734</v>
      </c>
      <c r="DF112" s="173">
        <f t="shared" si="384"/>
        <v>1.5334947538337369</v>
      </c>
      <c r="DG112" s="173">
        <f t="shared" si="385"/>
        <v>0.5624258066085126</v>
      </c>
      <c r="DH112" s="173"/>
      <c r="DI112" s="173">
        <f t="shared" si="386"/>
        <v>0.73170731707317083</v>
      </c>
      <c r="DJ112" s="545">
        <f t="shared" si="387"/>
        <v>54.666666666666664</v>
      </c>
      <c r="DK112" s="528">
        <f t="shared" si="388"/>
        <v>0.12804878048780488</v>
      </c>
      <c r="DM112" s="173">
        <f t="shared" si="389"/>
        <v>0.39520940802374149</v>
      </c>
      <c r="DN112" s="173">
        <f t="shared" si="390"/>
        <v>1</v>
      </c>
      <c r="DO112" s="173">
        <f t="shared" si="391"/>
        <v>1.0312380952380953</v>
      </c>
      <c r="DQ112" s="545">
        <f t="shared" si="392"/>
        <v>20</v>
      </c>
      <c r="DR112" s="460">
        <f t="shared" si="393"/>
        <v>54.666666666666664</v>
      </c>
      <c r="DT112">
        <f t="shared" si="430"/>
        <v>20</v>
      </c>
      <c r="DU112">
        <f t="shared" si="431"/>
        <v>54.666666666666664</v>
      </c>
      <c r="DW112" s="5">
        <f t="shared" si="394"/>
        <v>18.292682926829272</v>
      </c>
      <c r="DX112" s="5">
        <f t="shared" si="395"/>
        <v>0.63157894736842113</v>
      </c>
      <c r="DY112" s="5">
        <f t="shared" si="396"/>
        <v>17.661103979460851</v>
      </c>
      <c r="DZ112" s="5"/>
      <c r="EA112" s="173">
        <f t="shared" si="397"/>
        <v>3.4526315789473683E-2</v>
      </c>
      <c r="EB112" s="173">
        <f t="shared" si="398"/>
        <v>0.32800000000000001</v>
      </c>
      <c r="EC112" s="173">
        <f t="shared" si="399"/>
        <v>0.48273684210526313</v>
      </c>
      <c r="ED112" s="173">
        <f t="shared" si="400"/>
        <v>0.67945922372437861</v>
      </c>
      <c r="EE112" s="460">
        <f t="shared" si="401"/>
        <v>7.8947368421052641E-2</v>
      </c>
      <c r="EF112" s="5">
        <f t="shared" si="402"/>
        <v>0.24787514357138035</v>
      </c>
      <c r="EH112" s="173">
        <f t="shared" si="403"/>
        <v>0.10727894448504124</v>
      </c>
      <c r="EI112" s="173">
        <f t="shared" si="404"/>
        <v>0.56729583235161241</v>
      </c>
      <c r="EK112" s="528">
        <f t="shared" si="405"/>
        <v>2.3017543859649124E-4</v>
      </c>
      <c r="EL112" s="528">
        <f t="shared" si="406"/>
        <v>3.6768799999999997E-2</v>
      </c>
      <c r="EM112" s="528">
        <f t="shared" si="407"/>
        <v>6.286666666666667E-3</v>
      </c>
      <c r="EN112" s="528">
        <f t="shared" si="408"/>
        <v>3.37392444E-2</v>
      </c>
      <c r="EO112">
        <f t="shared" si="409"/>
        <v>8.5500000000000003E-3</v>
      </c>
      <c r="EP112" s="460">
        <f t="shared" si="410"/>
        <v>14.836666666666668</v>
      </c>
      <c r="EQ112" s="460"/>
      <c r="ER112" s="460">
        <f t="shared" si="432"/>
        <v>85.574886505263152</v>
      </c>
      <c r="ES112" s="528">
        <f t="shared" si="411"/>
        <v>1.3999999999999999E-2</v>
      </c>
      <c r="EV112" s="460">
        <f t="shared" si="412"/>
        <v>13.999999999999998</v>
      </c>
      <c r="EW112" s="528">
        <f t="shared" si="413"/>
        <v>3.4526315789473684E-4</v>
      </c>
      <c r="EX112" s="528">
        <f t="shared" si="414"/>
        <v>9.6547368421052611E-3</v>
      </c>
      <c r="EY112" s="528">
        <f t="shared" si="415"/>
        <v>1.1047817402829174E-3</v>
      </c>
      <c r="EZ112" s="528"/>
      <c r="FA112" s="528">
        <f t="shared" si="416"/>
        <v>2.7333333333333333E-4</v>
      </c>
      <c r="FB112" s="460">
        <f t="shared" si="417"/>
        <v>11.37811507361625</v>
      </c>
      <c r="FC112" s="173">
        <f t="shared" si="418"/>
        <v>0.1109530015788794</v>
      </c>
      <c r="FD112" s="5">
        <f t="shared" si="419"/>
        <v>0.32</v>
      </c>
      <c r="FE112" s="173">
        <f t="shared" si="420"/>
        <v>0.74254036711107319</v>
      </c>
      <c r="FF112" s="5">
        <f t="shared" si="421"/>
        <v>74.254036711107318</v>
      </c>
      <c r="FI112" s="562">
        <f t="shared" si="422"/>
        <v>-50</v>
      </c>
      <c r="FJ112">
        <f t="shared" si="423"/>
        <v>-50</v>
      </c>
      <c r="FL112">
        <f t="shared" si="424"/>
        <v>4.0000000000000008E-2</v>
      </c>
    </row>
    <row r="113" spans="5:168">
      <c r="E113" s="170">
        <v>3</v>
      </c>
      <c r="F113" s="217">
        <f t="shared" si="425"/>
        <v>0.03</v>
      </c>
      <c r="G113" s="217"/>
      <c r="H113" s="217">
        <f t="shared" si="315"/>
        <v>0.48</v>
      </c>
      <c r="I113" s="541">
        <f t="shared" si="316"/>
        <v>18.975306760083761</v>
      </c>
      <c r="J113" s="172">
        <f t="shared" si="317"/>
        <v>16.414815943949744</v>
      </c>
      <c r="K113" s="172">
        <f t="shared" si="318"/>
        <v>35.390122704033502</v>
      </c>
      <c r="L113" s="443"/>
      <c r="M113" s="217">
        <f t="shared" si="319"/>
        <v>0.46382757039320865</v>
      </c>
      <c r="N113" s="172">
        <f t="shared" si="426"/>
        <v>22.21220625274859</v>
      </c>
      <c r="O113" s="172">
        <f t="shared" si="284"/>
        <v>0.48</v>
      </c>
      <c r="P113" s="217">
        <f t="shared" si="320"/>
        <v>1.3882628907967869</v>
      </c>
      <c r="Q113" s="217">
        <f t="shared" si="321"/>
        <v>16</v>
      </c>
      <c r="R113" s="217"/>
      <c r="S113" s="172">
        <f t="shared" si="322"/>
        <v>1562.3051136211634</v>
      </c>
      <c r="T113" s="172">
        <f t="shared" si="323"/>
        <v>16</v>
      </c>
      <c r="U113" s="217">
        <f t="shared" si="324"/>
        <v>0.11190429922702617</v>
      </c>
      <c r="V113" s="217">
        <f t="shared" si="325"/>
        <v>7.0768373218035224E-2</v>
      </c>
      <c r="W113" s="217">
        <f t="shared" si="326"/>
        <v>8.1807288933950506E-2</v>
      </c>
      <c r="X113" s="197">
        <f t="shared" si="327"/>
        <v>350</v>
      </c>
      <c r="Y113" s="443">
        <f t="shared" si="328"/>
        <v>350</v>
      </c>
      <c r="AA113" s="217">
        <f t="shared" si="329"/>
        <v>2.0955279807442979</v>
      </c>
      <c r="AB113" s="173">
        <f t="shared" si="330"/>
        <v>1.5319291946249411</v>
      </c>
      <c r="AC113" s="173">
        <f t="shared" si="331"/>
        <v>0.56178508607473721</v>
      </c>
      <c r="AD113" s="173"/>
      <c r="AE113" s="173">
        <f t="shared" si="332"/>
        <v>0.7310468811210169</v>
      </c>
      <c r="AF113" s="545">
        <f t="shared" si="333"/>
        <v>82.07407971974871</v>
      </c>
      <c r="AG113" s="528">
        <f t="shared" si="334"/>
        <v>0.12793320419617796</v>
      </c>
      <c r="AI113" s="173">
        <f t="shared" si="335"/>
        <v>0.48424928562451536</v>
      </c>
      <c r="AJ113" s="173">
        <f t="shared" si="336"/>
        <v>1</v>
      </c>
      <c r="AK113" s="173">
        <f t="shared" si="337"/>
        <v>1.0468994741255706</v>
      </c>
      <c r="AM113" s="545">
        <f t="shared" si="338"/>
        <v>30</v>
      </c>
      <c r="AN113" s="460">
        <f t="shared" si="339"/>
        <v>82.07407971974871</v>
      </c>
      <c r="AP113" s="460">
        <f t="shared" si="340"/>
        <v>30</v>
      </c>
      <c r="AQ113" s="460">
        <f t="shared" si="341"/>
        <v>82.07407971974871</v>
      </c>
      <c r="AS113" s="5">
        <f t="shared" si="285"/>
        <v>12.184114685350281</v>
      </c>
      <c r="AT113" s="5">
        <f t="shared" si="342"/>
        <v>0.63240084346056857</v>
      </c>
      <c r="AU113" s="5">
        <f t="shared" si="343"/>
        <v>11.551713841889711</v>
      </c>
      <c r="AV113" s="5"/>
      <c r="AW113" s="173">
        <f t="shared" si="344"/>
        <v>5.1903717241019033E-2</v>
      </c>
      <c r="AX113" s="173">
        <f t="shared" si="214"/>
        <v>0.49244447831849231</v>
      </c>
      <c r="AY113" s="173">
        <f t="shared" si="215"/>
        <v>0.47404814137949047</v>
      </c>
      <c r="AZ113" s="173">
        <f t="shared" si="288"/>
        <v>1.0388068960369048</v>
      </c>
      <c r="BA113" s="460">
        <f t="shared" si="345"/>
        <v>0.11857515814885659</v>
      </c>
      <c r="BB113" s="5">
        <f t="shared" si="346"/>
        <v>0.24351045256753923</v>
      </c>
      <c r="BD113" s="173">
        <f t="shared" si="289"/>
        <v>0.13153417457200878</v>
      </c>
      <c r="BE113" s="173">
        <f t="shared" si="218"/>
        <v>0.56216731873437265</v>
      </c>
      <c r="BG113" s="528">
        <f t="shared" si="347"/>
        <v>3.4602478160679356E-4</v>
      </c>
      <c r="BH113" s="528">
        <f t="shared" si="348"/>
        <v>5.3009164475871257E-2</v>
      </c>
      <c r="BI113" s="528">
        <f t="shared" si="349"/>
        <v>3.5819759313877431E-2</v>
      </c>
      <c r="BJ113" s="528">
        <f t="shared" si="350"/>
        <v>5.0626323909884571E-2</v>
      </c>
      <c r="BK113">
        <f t="shared" si="351"/>
        <v>8.5388880420376925E-3</v>
      </c>
      <c r="BL113" s="460">
        <f t="shared" si="427"/>
        <v>44.358647355915124</v>
      </c>
      <c r="BM113" s="528">
        <f t="shared" si="352"/>
        <v>0.1040834971339175</v>
      </c>
      <c r="BN113" s="460">
        <f t="shared" si="353"/>
        <v>104.0834971339175</v>
      </c>
      <c r="BO113" s="528">
        <f t="shared" si="354"/>
        <v>2.0999999999999998E-2</v>
      </c>
      <c r="BR113" s="460">
        <f t="shared" si="355"/>
        <v>20.999999999999996</v>
      </c>
      <c r="BS113" s="528">
        <f t="shared" si="356"/>
        <v>5.1903717241019037E-4</v>
      </c>
      <c r="BT113" s="528">
        <f t="shared" si="357"/>
        <v>9.4809628275898117E-3</v>
      </c>
      <c r="BU113" s="528">
        <f t="shared" si="358"/>
        <v>3.0513010520040076E-3</v>
      </c>
      <c r="BV113" s="528"/>
      <c r="BW113" s="528">
        <f t="shared" si="359"/>
        <v>4.1037039859874355E-4</v>
      </c>
      <c r="BX113" s="460">
        <f t="shared" si="360"/>
        <v>13.461671450602752</v>
      </c>
      <c r="BY113" s="173">
        <f t="shared" si="361"/>
        <v>0.1828018319738805</v>
      </c>
      <c r="BZ113" s="5">
        <f t="shared" si="362"/>
        <v>0.48</v>
      </c>
      <c r="CA113" s="173">
        <f t="shared" si="363"/>
        <v>0.72419836042172514</v>
      </c>
      <c r="CB113" s="5">
        <f t="shared" si="364"/>
        <v>72.41983604217252</v>
      </c>
      <c r="CE113" s="562">
        <f t="shared" si="365"/>
        <v>-50</v>
      </c>
      <c r="CF113">
        <f t="shared" si="366"/>
        <v>-50</v>
      </c>
      <c r="CG113" s="173">
        <f t="shared" si="367"/>
        <v>6.0745370193949752E-2</v>
      </c>
      <c r="CI113" s="170">
        <v>3</v>
      </c>
      <c r="CJ113" s="217">
        <f t="shared" si="428"/>
        <v>0.03</v>
      </c>
      <c r="CK113" s="217"/>
      <c r="CL113" s="217">
        <f t="shared" si="368"/>
        <v>0.48</v>
      </c>
      <c r="CM113" s="541">
        <f t="shared" si="369"/>
        <v>19</v>
      </c>
      <c r="CN113" s="443">
        <f t="shared" si="370"/>
        <v>16.399999999999999</v>
      </c>
      <c r="CO113" s="443">
        <f t="shared" si="371"/>
        <v>35.4</v>
      </c>
      <c r="CP113" s="443"/>
      <c r="CQ113" s="217">
        <f t="shared" si="372"/>
        <v>0.4632768361581921</v>
      </c>
      <c r="CR113" s="172">
        <f t="shared" si="429"/>
        <v>22.214703389830511</v>
      </c>
      <c r="CS113" s="172">
        <f t="shared" si="373"/>
        <v>0.48</v>
      </c>
      <c r="CT113" s="217">
        <f t="shared" si="374"/>
        <v>1.3884189618644069</v>
      </c>
      <c r="CU113" s="217">
        <f t="shared" si="375"/>
        <v>16</v>
      </c>
      <c r="CV113" s="217"/>
      <c r="CW113" s="172">
        <f t="shared" si="376"/>
        <v>1564.3381903759025</v>
      </c>
      <c r="CX113" s="172">
        <f t="shared" si="377"/>
        <v>16</v>
      </c>
      <c r="CY113" s="217">
        <f t="shared" si="378"/>
        <v>0.10906290115532732</v>
      </c>
      <c r="CZ113" s="217">
        <f t="shared" si="379"/>
        <v>6.888183230862778E-2</v>
      </c>
      <c r="DA113" s="217">
        <f t="shared" si="380"/>
        <v>7.9802122796580971E-2</v>
      </c>
      <c r="DB113" s="197">
        <f t="shared" si="381"/>
        <v>350</v>
      </c>
      <c r="DC113" s="443">
        <f t="shared" si="382"/>
        <v>350</v>
      </c>
      <c r="DE113" s="217">
        <f t="shared" si="383"/>
        <v>2.0957761635727734</v>
      </c>
      <c r="DF113" s="173">
        <f t="shared" si="384"/>
        <v>1.5334947538337369</v>
      </c>
      <c r="DG113" s="173">
        <f t="shared" si="385"/>
        <v>0.5624258066085126</v>
      </c>
      <c r="DH113" s="173"/>
      <c r="DI113" s="173">
        <f t="shared" si="386"/>
        <v>0.73170731707317083</v>
      </c>
      <c r="DJ113" s="545">
        <f t="shared" si="387"/>
        <v>81.999999999999986</v>
      </c>
      <c r="DK113" s="528">
        <f t="shared" si="388"/>
        <v>0.12804878048780488</v>
      </c>
      <c r="DM113" s="173">
        <f t="shared" si="389"/>
        <v>0.48403069560278328</v>
      </c>
      <c r="DN113" s="173">
        <f t="shared" si="390"/>
        <v>1</v>
      </c>
      <c r="DO113" s="173">
        <f t="shared" si="391"/>
        <v>1.0468571428571429</v>
      </c>
      <c r="DQ113" s="545">
        <f t="shared" si="392"/>
        <v>30</v>
      </c>
      <c r="DR113" s="460">
        <f t="shared" si="393"/>
        <v>81.999999999999986</v>
      </c>
      <c r="DT113">
        <f t="shared" si="430"/>
        <v>30</v>
      </c>
      <c r="DU113">
        <f t="shared" si="431"/>
        <v>81.999999999999986</v>
      </c>
      <c r="DW113" s="5">
        <f t="shared" si="394"/>
        <v>12.195121951219514</v>
      </c>
      <c r="DX113" s="5">
        <f t="shared" si="395"/>
        <v>0.63157894736842113</v>
      </c>
      <c r="DY113" s="5">
        <f t="shared" si="396"/>
        <v>11.563543003851093</v>
      </c>
      <c r="DZ113" s="5"/>
      <c r="EA113" s="173">
        <f t="shared" si="397"/>
        <v>5.1789473684210524E-2</v>
      </c>
      <c r="EB113" s="173">
        <f t="shared" si="398"/>
        <v>0.49199999999999994</v>
      </c>
      <c r="EC113" s="173">
        <f t="shared" si="399"/>
        <v>0.47410526315789475</v>
      </c>
      <c r="ED113" s="173">
        <f t="shared" si="400"/>
        <v>1.0377442273534634</v>
      </c>
      <c r="EE113" s="460">
        <f t="shared" si="401"/>
        <v>0.11842105263157895</v>
      </c>
      <c r="EF113" s="5">
        <f t="shared" si="402"/>
        <v>0.2434430106073914</v>
      </c>
      <c r="EH113" s="173">
        <f t="shared" si="403"/>
        <v>0.13138933706635725</v>
      </c>
      <c r="EI113" s="173">
        <f t="shared" si="404"/>
        <v>0.5622011876887103</v>
      </c>
      <c r="EK113" s="528">
        <f t="shared" si="405"/>
        <v>3.4526315789473679E-4</v>
      </c>
      <c r="EL113" s="528">
        <f t="shared" si="406"/>
        <v>5.5153199999999986E-2</v>
      </c>
      <c r="EM113" s="528">
        <f t="shared" si="407"/>
        <v>9.4299999999999991E-3</v>
      </c>
      <c r="EN113" s="528">
        <f t="shared" si="408"/>
        <v>5.0608866599999983E-2</v>
      </c>
      <c r="EO113">
        <f t="shared" si="409"/>
        <v>8.5500000000000003E-3</v>
      </c>
      <c r="EP113" s="460">
        <f t="shared" si="410"/>
        <v>17.98</v>
      </c>
      <c r="EQ113" s="460"/>
      <c r="ER113" s="460">
        <f t="shared" si="432"/>
        <v>124.08732975789471</v>
      </c>
      <c r="ES113" s="528">
        <f t="shared" si="411"/>
        <v>2.0999999999999998E-2</v>
      </c>
      <c r="EV113" s="460">
        <f t="shared" si="412"/>
        <v>20.999999999999996</v>
      </c>
      <c r="EW113" s="528">
        <f t="shared" si="413"/>
        <v>5.178947368421051E-4</v>
      </c>
      <c r="EX113" s="528">
        <f t="shared" si="414"/>
        <v>9.4821052631578924E-3</v>
      </c>
      <c r="EY113" s="528">
        <f t="shared" si="415"/>
        <v>3.0444204834418E-3</v>
      </c>
      <c r="EZ113" s="528"/>
      <c r="FA113" s="528">
        <f t="shared" si="416"/>
        <v>4.0999999999999994E-4</v>
      </c>
      <c r="FB113" s="460">
        <f t="shared" si="417"/>
        <v>13.454420483441798</v>
      </c>
      <c r="FC113" s="173">
        <f t="shared" si="418"/>
        <v>0.15854175024133652</v>
      </c>
      <c r="FD113" s="5">
        <f t="shared" si="419"/>
        <v>0.48</v>
      </c>
      <c r="FE113" s="173">
        <f t="shared" si="420"/>
        <v>0.75171278905190497</v>
      </c>
      <c r="FF113" s="5">
        <f t="shared" si="421"/>
        <v>75.171278905190491</v>
      </c>
      <c r="FI113" s="562">
        <f t="shared" si="422"/>
        <v>-50</v>
      </c>
      <c r="FJ113">
        <f t="shared" si="423"/>
        <v>-50</v>
      </c>
      <c r="FL113">
        <f t="shared" si="424"/>
        <v>0.06</v>
      </c>
    </row>
    <row r="114" spans="5:168">
      <c r="E114" s="170">
        <v>4</v>
      </c>
      <c r="F114" s="217">
        <f t="shared" si="425"/>
        <v>0.04</v>
      </c>
      <c r="G114" s="217"/>
      <c r="H114" s="217">
        <f t="shared" si="315"/>
        <v>0.64</v>
      </c>
      <c r="I114" s="541">
        <f t="shared" si="316"/>
        <v>18.975306760083761</v>
      </c>
      <c r="J114" s="172">
        <f t="shared" si="317"/>
        <v>16.414815943949744</v>
      </c>
      <c r="K114" s="172">
        <f t="shared" si="318"/>
        <v>35.390122704033502</v>
      </c>
      <c r="L114" s="443"/>
      <c r="M114" s="217">
        <f t="shared" si="319"/>
        <v>0.46382757039320865</v>
      </c>
      <c r="N114" s="172">
        <f t="shared" si="426"/>
        <v>22.21220625274859</v>
      </c>
      <c r="O114" s="172">
        <f t="shared" si="284"/>
        <v>0.64</v>
      </c>
      <c r="P114" s="217">
        <f t="shared" si="320"/>
        <v>1.3882628907967869</v>
      </c>
      <c r="Q114" s="217">
        <f t="shared" si="321"/>
        <v>16</v>
      </c>
      <c r="R114" s="217"/>
      <c r="S114" s="172">
        <f t="shared" si="322"/>
        <v>1166.9878675453799</v>
      </c>
      <c r="T114" s="172">
        <f t="shared" si="323"/>
        <v>16</v>
      </c>
      <c r="U114" s="217">
        <f t="shared" si="324"/>
        <v>0.14920573230270157</v>
      </c>
      <c r="V114" s="217">
        <f t="shared" si="325"/>
        <v>9.4357830957380276E-2</v>
      </c>
      <c r="W114" s="217">
        <f t="shared" si="326"/>
        <v>0.10907638524526733</v>
      </c>
      <c r="X114" s="197">
        <f t="shared" si="327"/>
        <v>350</v>
      </c>
      <c r="Y114" s="443">
        <f t="shared" si="328"/>
        <v>350</v>
      </c>
      <c r="AA114" s="217">
        <f t="shared" si="329"/>
        <v>2.0955279807442979</v>
      </c>
      <c r="AB114" s="173">
        <f t="shared" si="330"/>
        <v>1.5319291946249411</v>
      </c>
      <c r="AC114" s="173">
        <f t="shared" si="331"/>
        <v>0.56178508607473721</v>
      </c>
      <c r="AD114" s="173"/>
      <c r="AE114" s="173">
        <f t="shared" si="332"/>
        <v>0.7310468811210169</v>
      </c>
      <c r="AF114" s="545">
        <f t="shared" si="333"/>
        <v>109.43210629299828</v>
      </c>
      <c r="AG114" s="528">
        <f t="shared" si="334"/>
        <v>0.12793320419617796</v>
      </c>
      <c r="AI114" s="173">
        <f t="shared" si="335"/>
        <v>0.55916291082039582</v>
      </c>
      <c r="AJ114" s="173">
        <f t="shared" si="336"/>
        <v>1</v>
      </c>
      <c r="AK114" s="173">
        <f t="shared" si="337"/>
        <v>1.0625326321674275</v>
      </c>
      <c r="AM114" s="545">
        <f t="shared" si="338"/>
        <v>40</v>
      </c>
      <c r="AN114" s="460">
        <f t="shared" si="339"/>
        <v>109.43210629299828</v>
      </c>
      <c r="AP114" s="460">
        <f t="shared" si="340"/>
        <v>40</v>
      </c>
      <c r="AQ114" s="460">
        <f t="shared" si="341"/>
        <v>109.43210629299828</v>
      </c>
      <c r="AS114" s="5">
        <f t="shared" si="285"/>
        <v>9.1380860140127105</v>
      </c>
      <c r="AT114" s="5">
        <f t="shared" si="342"/>
        <v>0.63240084346056857</v>
      </c>
      <c r="AU114" s="5">
        <f t="shared" si="343"/>
        <v>8.505685170552141</v>
      </c>
      <c r="AV114" s="5"/>
      <c r="AW114" s="173">
        <f t="shared" si="344"/>
        <v>6.9204956321358715E-2</v>
      </c>
      <c r="AX114" s="173">
        <f t="shared" si="214"/>
        <v>0.65659263775798982</v>
      </c>
      <c r="AY114" s="173">
        <f t="shared" si="215"/>
        <v>0.46539752183932065</v>
      </c>
      <c r="AZ114" s="173">
        <f t="shared" si="288"/>
        <v>1.4108210872353542</v>
      </c>
      <c r="BA114" s="460">
        <f t="shared" si="345"/>
        <v>0.15810021086514212</v>
      </c>
      <c r="BB114" s="5">
        <f t="shared" si="346"/>
        <v>0.23906677671409884</v>
      </c>
      <c r="BD114" s="173">
        <f t="shared" si="289"/>
        <v>0.15188258219356898</v>
      </c>
      <c r="BE114" s="173">
        <f t="shared" si="218"/>
        <v>0.55701437554119471</v>
      </c>
      <c r="BG114" s="528">
        <f t="shared" si="347"/>
        <v>4.6136637547572473E-4</v>
      </c>
      <c r="BH114" s="528">
        <f t="shared" si="348"/>
        <v>7.0678885967828342E-2</v>
      </c>
      <c r="BI114" s="528">
        <f t="shared" si="349"/>
        <v>4.7759679085169905E-2</v>
      </c>
      <c r="BJ114" s="528">
        <f t="shared" si="350"/>
        <v>6.7501765213179438E-2</v>
      </c>
      <c r="BK114">
        <f t="shared" si="351"/>
        <v>8.5388880420376925E-3</v>
      </c>
      <c r="BL114" s="460">
        <f t="shared" si="427"/>
        <v>56.298567127207598</v>
      </c>
      <c r="BM114" s="528">
        <f t="shared" si="352"/>
        <v>0.1387817998290802</v>
      </c>
      <c r="BN114" s="460">
        <f t="shared" si="353"/>
        <v>138.7817998290802</v>
      </c>
      <c r="BO114" s="528">
        <f t="shared" si="354"/>
        <v>2.7999999999999997E-2</v>
      </c>
      <c r="BR114" s="460">
        <f t="shared" si="355"/>
        <v>27.999999999999996</v>
      </c>
      <c r="BS114" s="528">
        <f t="shared" si="356"/>
        <v>6.9204956321358712E-4</v>
      </c>
      <c r="BT114" s="528">
        <f t="shared" si="357"/>
        <v>9.3079504367864115E-3</v>
      </c>
      <c r="BU114" s="528">
        <f t="shared" si="358"/>
        <v>6.2637137200110471E-3</v>
      </c>
      <c r="BV114" s="528"/>
      <c r="BW114" s="528">
        <f t="shared" si="359"/>
        <v>5.4716053146499147E-4</v>
      </c>
      <c r="BX114" s="460">
        <f t="shared" si="360"/>
        <v>16.810874251476037</v>
      </c>
      <c r="BY114" s="173">
        <f t="shared" si="361"/>
        <v>0.23975145893516717</v>
      </c>
      <c r="BZ114" s="5">
        <f t="shared" si="362"/>
        <v>0.64</v>
      </c>
      <c r="CA114" s="173">
        <f t="shared" si="363"/>
        <v>0.7274781911412147</v>
      </c>
      <c r="CB114" s="5">
        <f t="shared" si="364"/>
        <v>72.747819114121469</v>
      </c>
      <c r="CE114" s="562">
        <f t="shared" si="365"/>
        <v>-50</v>
      </c>
      <c r="CF114">
        <f t="shared" si="366"/>
        <v>-50</v>
      </c>
      <c r="CG114" s="173">
        <f t="shared" si="367"/>
        <v>8.0993826925266355E-2</v>
      </c>
      <c r="CI114" s="170">
        <v>4</v>
      </c>
      <c r="CJ114" s="217">
        <f t="shared" si="428"/>
        <v>0.04</v>
      </c>
      <c r="CK114" s="217"/>
      <c r="CL114" s="217">
        <f t="shared" si="368"/>
        <v>0.64</v>
      </c>
      <c r="CM114" s="541">
        <f t="shared" si="369"/>
        <v>19</v>
      </c>
      <c r="CN114" s="443">
        <f t="shared" si="370"/>
        <v>16.399999999999999</v>
      </c>
      <c r="CO114" s="443">
        <f t="shared" si="371"/>
        <v>35.4</v>
      </c>
      <c r="CP114" s="443"/>
      <c r="CQ114" s="217">
        <f t="shared" si="372"/>
        <v>0.4632768361581921</v>
      </c>
      <c r="CR114" s="172">
        <f t="shared" si="429"/>
        <v>22.214703389830511</v>
      </c>
      <c r="CS114" s="172">
        <f t="shared" si="373"/>
        <v>0.64</v>
      </c>
      <c r="CT114" s="217">
        <f t="shared" si="374"/>
        <v>1.3884189618644069</v>
      </c>
      <c r="CU114" s="217">
        <f t="shared" si="375"/>
        <v>16</v>
      </c>
      <c r="CV114" s="217"/>
      <c r="CW114" s="172">
        <f t="shared" si="376"/>
        <v>1168.506501803171</v>
      </c>
      <c r="CX114" s="172">
        <f t="shared" si="377"/>
        <v>16</v>
      </c>
      <c r="CY114" s="217">
        <f t="shared" si="378"/>
        <v>0.14541720154043644</v>
      </c>
      <c r="CZ114" s="217">
        <f t="shared" si="379"/>
        <v>9.1842443078170397E-2</v>
      </c>
      <c r="DA114" s="217">
        <f t="shared" si="380"/>
        <v>0.10640283039544131</v>
      </c>
      <c r="DB114" s="197">
        <f t="shared" si="381"/>
        <v>350</v>
      </c>
      <c r="DC114" s="443">
        <f t="shared" si="382"/>
        <v>350</v>
      </c>
      <c r="DE114" s="217">
        <f t="shared" si="383"/>
        <v>2.0957761635727734</v>
      </c>
      <c r="DF114" s="173">
        <f t="shared" si="384"/>
        <v>1.5334947538337369</v>
      </c>
      <c r="DG114" s="173">
        <f t="shared" si="385"/>
        <v>0.5624258066085126</v>
      </c>
      <c r="DH114" s="173"/>
      <c r="DI114" s="173">
        <f t="shared" si="386"/>
        <v>0.73170731707317083</v>
      </c>
      <c r="DJ114" s="545">
        <f t="shared" si="387"/>
        <v>109.33333333333333</v>
      </c>
      <c r="DK114" s="528">
        <f t="shared" si="388"/>
        <v>0.12804878048780488</v>
      </c>
      <c r="DM114" s="173">
        <f t="shared" si="389"/>
        <v>0.55891050480461746</v>
      </c>
      <c r="DN114" s="173">
        <f t="shared" si="390"/>
        <v>1</v>
      </c>
      <c r="DO114" s="173">
        <f t="shared" si="391"/>
        <v>1.0624761904761906</v>
      </c>
      <c r="DQ114" s="545">
        <f t="shared" si="392"/>
        <v>40</v>
      </c>
      <c r="DR114" s="460">
        <f t="shared" si="393"/>
        <v>109.33333333333333</v>
      </c>
      <c r="DT114">
        <f t="shared" si="430"/>
        <v>40</v>
      </c>
      <c r="DU114">
        <f t="shared" si="431"/>
        <v>109.33333333333333</v>
      </c>
      <c r="DW114" s="5">
        <f t="shared" si="394"/>
        <v>9.1463414634146361</v>
      </c>
      <c r="DX114" s="5">
        <f t="shared" si="395"/>
        <v>0.63157894736842113</v>
      </c>
      <c r="DY114" s="5">
        <f t="shared" si="396"/>
        <v>8.5147625160462148</v>
      </c>
      <c r="DZ114" s="5"/>
      <c r="EA114" s="173">
        <f t="shared" si="397"/>
        <v>6.9052631578947365E-2</v>
      </c>
      <c r="EB114" s="173">
        <f t="shared" si="398"/>
        <v>0.65600000000000003</v>
      </c>
      <c r="EC114" s="173">
        <f t="shared" si="399"/>
        <v>0.46547368421052632</v>
      </c>
      <c r="ED114" s="173">
        <f t="shared" si="400"/>
        <v>1.4093170511080959</v>
      </c>
      <c r="EE114" s="460">
        <f t="shared" si="401"/>
        <v>0.15789473684210528</v>
      </c>
      <c r="EF114" s="5">
        <f t="shared" si="402"/>
        <v>0.23901087764340245</v>
      </c>
      <c r="EH114" s="173">
        <f t="shared" si="403"/>
        <v>0.15171533824781566</v>
      </c>
      <c r="EI114" s="173">
        <f t="shared" si="404"/>
        <v>0.55705995141787401</v>
      </c>
      <c r="EK114" s="528">
        <f t="shared" si="405"/>
        <v>4.6035087719298236E-4</v>
      </c>
      <c r="EL114" s="528">
        <f t="shared" si="406"/>
        <v>7.3537599999999995E-2</v>
      </c>
      <c r="EM114" s="528">
        <f t="shared" si="407"/>
        <v>1.2573333333333334E-2</v>
      </c>
      <c r="EN114" s="528">
        <f t="shared" si="408"/>
        <v>6.74784888E-2</v>
      </c>
      <c r="EO114">
        <f t="shared" si="409"/>
        <v>8.5500000000000003E-3</v>
      </c>
      <c r="EP114" s="460">
        <f t="shared" si="410"/>
        <v>21.123333333333335</v>
      </c>
      <c r="EQ114" s="460"/>
      <c r="ER114" s="460">
        <f t="shared" si="432"/>
        <v>162.59977301052629</v>
      </c>
      <c r="ES114" s="528">
        <f t="shared" si="411"/>
        <v>2.7999999999999997E-2</v>
      </c>
      <c r="EV114" s="460">
        <f t="shared" si="412"/>
        <v>27.999999999999996</v>
      </c>
      <c r="EW114" s="528">
        <f t="shared" si="413"/>
        <v>6.9052631578947346E-4</v>
      </c>
      <c r="EX114" s="528">
        <f t="shared" si="414"/>
        <v>9.3094736842105237E-3</v>
      </c>
      <c r="EY114" s="528">
        <f t="shared" si="415"/>
        <v>6.2495892822810144E-3</v>
      </c>
      <c r="EZ114" s="528"/>
      <c r="FA114" s="528">
        <f t="shared" si="416"/>
        <v>5.4666666666666665E-4</v>
      </c>
      <c r="FB114" s="460">
        <f t="shared" si="417"/>
        <v>16.796255948947682</v>
      </c>
      <c r="FC114" s="173">
        <f t="shared" si="418"/>
        <v>0.20739602895947398</v>
      </c>
      <c r="FD114" s="5">
        <f t="shared" si="419"/>
        <v>0.64</v>
      </c>
      <c r="FE114" s="173">
        <f t="shared" si="420"/>
        <v>0.75525489632735521</v>
      </c>
      <c r="FF114" s="5">
        <f t="shared" si="421"/>
        <v>75.525489632735514</v>
      </c>
      <c r="FI114" s="562">
        <f t="shared" si="422"/>
        <v>-50</v>
      </c>
      <c r="FJ114">
        <f t="shared" si="423"/>
        <v>-50</v>
      </c>
      <c r="FL114">
        <f t="shared" si="424"/>
        <v>8.0000000000000016E-2</v>
      </c>
    </row>
    <row r="115" spans="5:168">
      <c r="E115" s="170">
        <v>5</v>
      </c>
      <c r="F115" s="217">
        <f t="shared" si="425"/>
        <v>0.05</v>
      </c>
      <c r="G115" s="217"/>
      <c r="H115" s="217">
        <f t="shared" si="315"/>
        <v>0.8</v>
      </c>
      <c r="I115" s="541">
        <f t="shared" si="316"/>
        <v>18.975306760083761</v>
      </c>
      <c r="J115" s="172">
        <f t="shared" si="317"/>
        <v>16.414815943949744</v>
      </c>
      <c r="K115" s="172">
        <f t="shared" si="318"/>
        <v>35.390122704033502</v>
      </c>
      <c r="L115" s="443"/>
      <c r="M115" s="217">
        <f t="shared" si="319"/>
        <v>0.46382757039320865</v>
      </c>
      <c r="N115" s="172">
        <f t="shared" si="426"/>
        <v>22.21220625274859</v>
      </c>
      <c r="O115" s="172">
        <f t="shared" si="284"/>
        <v>0.8</v>
      </c>
      <c r="P115" s="217">
        <f t="shared" si="320"/>
        <v>1.3882628907967869</v>
      </c>
      <c r="Q115" s="217">
        <f t="shared" si="321"/>
        <v>16</v>
      </c>
      <c r="R115" s="217"/>
      <c r="S115" s="172">
        <f t="shared" si="322"/>
        <v>929.79819092746845</v>
      </c>
      <c r="T115" s="172">
        <f t="shared" si="323"/>
        <v>16</v>
      </c>
      <c r="U115" s="217">
        <f t="shared" si="324"/>
        <v>0.18650716537837697</v>
      </c>
      <c r="V115" s="217">
        <f t="shared" si="325"/>
        <v>0.11794728869672537</v>
      </c>
      <c r="W115" s="217">
        <f t="shared" si="326"/>
        <v>0.13634548155658419</v>
      </c>
      <c r="X115" s="197">
        <f t="shared" si="327"/>
        <v>350</v>
      </c>
      <c r="Y115" s="443">
        <f t="shared" si="328"/>
        <v>350</v>
      </c>
      <c r="AA115" s="217">
        <f t="shared" si="329"/>
        <v>2.0955279807442979</v>
      </c>
      <c r="AB115" s="173">
        <f t="shared" si="330"/>
        <v>1.5319291946249411</v>
      </c>
      <c r="AC115" s="173">
        <f t="shared" si="331"/>
        <v>0.56178508607473721</v>
      </c>
      <c r="AD115" s="173"/>
      <c r="AE115" s="173">
        <f t="shared" si="332"/>
        <v>0.7310468811210169</v>
      </c>
      <c r="AF115" s="545">
        <f t="shared" si="333"/>
        <v>136.79013286624789</v>
      </c>
      <c r="AG115" s="528">
        <f t="shared" si="334"/>
        <v>0.12793320419617796</v>
      </c>
      <c r="AI115" s="173">
        <f t="shared" si="335"/>
        <v>0.62516313954552893</v>
      </c>
      <c r="AJ115" s="173">
        <f t="shared" si="336"/>
        <v>1</v>
      </c>
      <c r="AK115" s="173">
        <f t="shared" si="337"/>
        <v>1.0781657902092845</v>
      </c>
      <c r="AM115" s="545">
        <f t="shared" si="338"/>
        <v>50</v>
      </c>
      <c r="AN115" s="460">
        <f t="shared" si="339"/>
        <v>136.79013286624789</v>
      </c>
      <c r="AP115" s="460">
        <f t="shared" si="340"/>
        <v>50</v>
      </c>
      <c r="AQ115" s="460">
        <f t="shared" si="341"/>
        <v>136.79013286624789</v>
      </c>
      <c r="AS115" s="5">
        <f t="shared" si="285"/>
        <v>7.3104688112101677</v>
      </c>
      <c r="AT115" s="5">
        <f t="shared" si="342"/>
        <v>0.63240084346056857</v>
      </c>
      <c r="AU115" s="5">
        <f t="shared" si="343"/>
        <v>6.6780679677495991</v>
      </c>
      <c r="AV115" s="5"/>
      <c r="AW115" s="173">
        <f t="shared" si="344"/>
        <v>8.6506195401698405E-2</v>
      </c>
      <c r="AX115" s="173">
        <f t="shared" si="214"/>
        <v>0.82074079719748727</v>
      </c>
      <c r="AY115" s="173">
        <f t="shared" si="215"/>
        <v>0.45674690229915083</v>
      </c>
      <c r="AZ115" s="173">
        <f t="shared" si="288"/>
        <v>1.7969269043010063</v>
      </c>
      <c r="BA115" s="460">
        <f t="shared" si="345"/>
        <v>0.19762526358142771</v>
      </c>
      <c r="BB115" s="5">
        <f t="shared" si="346"/>
        <v>0.23462310086065841</v>
      </c>
      <c r="BD115" s="173">
        <f t="shared" si="289"/>
        <v>0.16980988919150969</v>
      </c>
      <c r="BE115" s="173">
        <f t="shared" si="218"/>
        <v>0.55181331523088539</v>
      </c>
      <c r="BG115" s="528">
        <f t="shared" si="347"/>
        <v>5.7670796934465595E-4</v>
      </c>
      <c r="BH115" s="528">
        <f t="shared" si="348"/>
        <v>8.8348607459785455E-2</v>
      </c>
      <c r="BI115" s="528">
        <f t="shared" si="349"/>
        <v>5.9699598856462401E-2</v>
      </c>
      <c r="BJ115" s="528">
        <f t="shared" si="350"/>
        <v>8.4377206516474304E-2</v>
      </c>
      <c r="BK115">
        <f t="shared" si="351"/>
        <v>8.5388880420376925E-3</v>
      </c>
      <c r="BL115" s="460">
        <f t="shared" si="427"/>
        <v>68.238486898500099</v>
      </c>
      <c r="BM115" s="528">
        <f t="shared" si="352"/>
        <v>0.1734820046101396</v>
      </c>
      <c r="BN115" s="460">
        <f t="shared" si="353"/>
        <v>173.4820046101396</v>
      </c>
      <c r="BO115" s="528">
        <f t="shared" si="354"/>
        <v>3.4999999999999996E-2</v>
      </c>
      <c r="BR115" s="460">
        <f t="shared" si="355"/>
        <v>34.999999999999993</v>
      </c>
      <c r="BS115" s="528">
        <f t="shared" si="356"/>
        <v>8.6506195401698399E-4</v>
      </c>
      <c r="BT115" s="528">
        <f t="shared" si="357"/>
        <v>9.1349380459830147E-3</v>
      </c>
      <c r="BU115" s="528">
        <f t="shared" si="358"/>
        <v>1.0942257554330297E-2</v>
      </c>
      <c r="BV115" s="528"/>
      <c r="BW115" s="528">
        <f t="shared" si="359"/>
        <v>6.8395066433123944E-4</v>
      </c>
      <c r="BX115" s="460">
        <f t="shared" si="360"/>
        <v>21.626208218661535</v>
      </c>
      <c r="BY115" s="173">
        <f t="shared" si="361"/>
        <v>0.29816721706276611</v>
      </c>
      <c r="BZ115" s="5">
        <f t="shared" si="362"/>
        <v>0.8</v>
      </c>
      <c r="CA115" s="173">
        <f t="shared" si="363"/>
        <v>0.72848650694539518</v>
      </c>
      <c r="CB115" s="5">
        <f t="shared" si="364"/>
        <v>72.848650694539515</v>
      </c>
      <c r="CE115" s="562">
        <f t="shared" si="365"/>
        <v>-50</v>
      </c>
      <c r="CF115">
        <f t="shared" si="366"/>
        <v>-50</v>
      </c>
      <c r="CG115" s="173">
        <f t="shared" si="367"/>
        <v>0.10124228365658294</v>
      </c>
      <c r="CI115" s="170">
        <v>5</v>
      </c>
      <c r="CJ115" s="217">
        <f t="shared" si="428"/>
        <v>0.05</v>
      </c>
      <c r="CK115" s="217"/>
      <c r="CL115" s="217">
        <f t="shared" si="368"/>
        <v>0.8</v>
      </c>
      <c r="CM115" s="541">
        <f t="shared" si="369"/>
        <v>19</v>
      </c>
      <c r="CN115" s="443">
        <f t="shared" si="370"/>
        <v>16.399999999999999</v>
      </c>
      <c r="CO115" s="443">
        <f t="shared" si="371"/>
        <v>35.4</v>
      </c>
      <c r="CP115" s="443"/>
      <c r="CQ115" s="217">
        <f t="shared" si="372"/>
        <v>0.4632768361581921</v>
      </c>
      <c r="CR115" s="172">
        <f t="shared" si="429"/>
        <v>22.214703389830511</v>
      </c>
      <c r="CS115" s="172">
        <f t="shared" si="373"/>
        <v>0.8</v>
      </c>
      <c r="CT115" s="217">
        <f t="shared" si="374"/>
        <v>1.3884189618644069</v>
      </c>
      <c r="CU115" s="217">
        <f t="shared" si="375"/>
        <v>16</v>
      </c>
      <c r="CV115" s="217"/>
      <c r="CW115" s="172">
        <f t="shared" si="376"/>
        <v>931.00815968801749</v>
      </c>
      <c r="CX115" s="172">
        <f t="shared" si="377"/>
        <v>16</v>
      </c>
      <c r="CY115" s="217">
        <f t="shared" si="378"/>
        <v>0.18177150192554556</v>
      </c>
      <c r="CZ115" s="217">
        <f t="shared" si="379"/>
        <v>0.11480305384771297</v>
      </c>
      <c r="DA115" s="217">
        <f t="shared" si="380"/>
        <v>0.13300353799430165</v>
      </c>
      <c r="DB115" s="197">
        <f t="shared" si="381"/>
        <v>350</v>
      </c>
      <c r="DC115" s="443">
        <f t="shared" si="382"/>
        <v>350</v>
      </c>
      <c r="DE115" s="217">
        <f t="shared" si="383"/>
        <v>2.0957761635727734</v>
      </c>
      <c r="DF115" s="173">
        <f t="shared" si="384"/>
        <v>1.5334947538337369</v>
      </c>
      <c r="DG115" s="173">
        <f t="shared" si="385"/>
        <v>0.5624258066085126</v>
      </c>
      <c r="DH115" s="173"/>
      <c r="DI115" s="173">
        <f t="shared" si="386"/>
        <v>0.73170731707317083</v>
      </c>
      <c r="DJ115" s="545">
        <f t="shared" si="387"/>
        <v>136.66666666666666</v>
      </c>
      <c r="DK115" s="528">
        <f t="shared" si="388"/>
        <v>0.12804878048780488</v>
      </c>
      <c r="DM115" s="173">
        <f t="shared" si="389"/>
        <v>0.62488094104092384</v>
      </c>
      <c r="DN115" s="173">
        <f t="shared" si="390"/>
        <v>1</v>
      </c>
      <c r="DO115" s="173">
        <f t="shared" si="391"/>
        <v>1.078095238095238</v>
      </c>
      <c r="DQ115" s="545">
        <f t="shared" si="392"/>
        <v>50</v>
      </c>
      <c r="DR115" s="460">
        <f t="shared" si="393"/>
        <v>136.66666666666666</v>
      </c>
      <c r="DT115">
        <f t="shared" si="430"/>
        <v>50</v>
      </c>
      <c r="DU115">
        <f t="shared" si="431"/>
        <v>136.66666666666666</v>
      </c>
      <c r="DW115" s="5">
        <f t="shared" si="394"/>
        <v>7.3170731707317076</v>
      </c>
      <c r="DX115" s="5">
        <f t="shared" si="395"/>
        <v>0.63157894736842113</v>
      </c>
      <c r="DY115" s="5">
        <f t="shared" si="396"/>
        <v>6.6854942233632864</v>
      </c>
      <c r="DZ115" s="5"/>
      <c r="EA115" s="173">
        <f t="shared" si="397"/>
        <v>8.6315789473684221E-2</v>
      </c>
      <c r="EB115" s="173">
        <f t="shared" si="398"/>
        <v>0.82</v>
      </c>
      <c r="EC115" s="173">
        <f t="shared" si="399"/>
        <v>0.45684210526315788</v>
      </c>
      <c r="ED115" s="173">
        <f t="shared" si="400"/>
        <v>1.7949308755760367</v>
      </c>
      <c r="EE115" s="460">
        <f t="shared" si="401"/>
        <v>0.19736842105263164</v>
      </c>
      <c r="EF115" s="5">
        <f t="shared" si="402"/>
        <v>0.23457874467941353</v>
      </c>
      <c r="EH115" s="173">
        <f t="shared" si="403"/>
        <v>0.16962290477574485</v>
      </c>
      <c r="EI115" s="173">
        <f t="shared" si="404"/>
        <v>0.5518708213964314</v>
      </c>
      <c r="EK115" s="528">
        <f t="shared" si="405"/>
        <v>5.754385964912281E-4</v>
      </c>
      <c r="EL115" s="528">
        <f t="shared" si="406"/>
        <v>9.192199999999999E-2</v>
      </c>
      <c r="EM115" s="528">
        <f t="shared" si="407"/>
        <v>1.5716666666666667E-2</v>
      </c>
      <c r="EN115" s="528">
        <f t="shared" si="408"/>
        <v>8.434811099999999E-2</v>
      </c>
      <c r="EO115">
        <f t="shared" si="409"/>
        <v>8.5500000000000003E-3</v>
      </c>
      <c r="EP115" s="460">
        <f t="shared" si="410"/>
        <v>24.266666666666666</v>
      </c>
      <c r="EQ115" s="460"/>
      <c r="ER115" s="460">
        <f t="shared" si="432"/>
        <v>201.1122162631579</v>
      </c>
      <c r="ES115" s="528">
        <f t="shared" si="411"/>
        <v>3.4999999999999996E-2</v>
      </c>
      <c r="EV115" s="460">
        <f t="shared" si="412"/>
        <v>34.999999999999993</v>
      </c>
      <c r="EW115" s="528">
        <f t="shared" si="413"/>
        <v>8.6315789473684205E-4</v>
      </c>
      <c r="EX115" s="528">
        <f t="shared" si="414"/>
        <v>9.136842105263155E-3</v>
      </c>
      <c r="EY115" s="528">
        <f t="shared" si="415"/>
        <v>1.0917583177058173E-2</v>
      </c>
      <c r="EZ115" s="528"/>
      <c r="FA115" s="528">
        <f t="shared" si="416"/>
        <v>6.8333333333333332E-4</v>
      </c>
      <c r="FB115" s="460">
        <f t="shared" si="417"/>
        <v>21.600916510391503</v>
      </c>
      <c r="FC115" s="173">
        <f t="shared" si="418"/>
        <v>0.2577131327735494</v>
      </c>
      <c r="FD115" s="5">
        <f t="shared" si="419"/>
        <v>0.8</v>
      </c>
      <c r="FE115" s="173">
        <f t="shared" si="420"/>
        <v>0.75634874448635181</v>
      </c>
      <c r="FF115" s="5">
        <f t="shared" si="421"/>
        <v>75.634874448635188</v>
      </c>
      <c r="FI115" s="562">
        <f t="shared" si="422"/>
        <v>-50</v>
      </c>
      <c r="FJ115">
        <f t="shared" si="423"/>
        <v>-50</v>
      </c>
      <c r="FL115">
        <f t="shared" si="424"/>
        <v>0.1</v>
      </c>
    </row>
    <row r="116" spans="5:168">
      <c r="E116" s="170">
        <v>6</v>
      </c>
      <c r="F116" s="217">
        <f t="shared" si="425"/>
        <v>0.06</v>
      </c>
      <c r="G116" s="217"/>
      <c r="H116" s="217">
        <f t="shared" si="315"/>
        <v>0.96</v>
      </c>
      <c r="I116" s="541">
        <f t="shared" si="316"/>
        <v>18.975306760083761</v>
      </c>
      <c r="J116" s="172">
        <f t="shared" si="317"/>
        <v>16.414815943949744</v>
      </c>
      <c r="K116" s="172">
        <f t="shared" si="318"/>
        <v>35.390122704033502</v>
      </c>
      <c r="L116" s="443"/>
      <c r="M116" s="217">
        <f t="shared" si="319"/>
        <v>0.46382757039320865</v>
      </c>
      <c r="N116" s="172">
        <f t="shared" si="426"/>
        <v>22.21220625274859</v>
      </c>
      <c r="O116" s="172">
        <f t="shared" si="284"/>
        <v>0.96</v>
      </c>
      <c r="P116" s="217">
        <f t="shared" si="320"/>
        <v>1.3882628907967869</v>
      </c>
      <c r="Q116" s="217">
        <f t="shared" si="321"/>
        <v>16</v>
      </c>
      <c r="R116" s="217"/>
      <c r="S116" s="172">
        <f t="shared" si="322"/>
        <v>771.67230575447377</v>
      </c>
      <c r="T116" s="172">
        <f t="shared" si="323"/>
        <v>16</v>
      </c>
      <c r="U116" s="217">
        <f t="shared" si="324"/>
        <v>0.22380859845405235</v>
      </c>
      <c r="V116" s="217">
        <f t="shared" si="325"/>
        <v>0.14153674643607045</v>
      </c>
      <c r="W116" s="217">
        <f t="shared" si="326"/>
        <v>0.16361457786790101</v>
      </c>
      <c r="X116" s="197">
        <f t="shared" si="327"/>
        <v>350</v>
      </c>
      <c r="Y116" s="443">
        <f t="shared" si="328"/>
        <v>350</v>
      </c>
      <c r="AA116" s="217">
        <f t="shared" si="329"/>
        <v>2.0955279807442979</v>
      </c>
      <c r="AB116" s="173">
        <f t="shared" si="330"/>
        <v>1.5319291946249411</v>
      </c>
      <c r="AC116" s="173">
        <f t="shared" si="331"/>
        <v>0.56178508607473721</v>
      </c>
      <c r="AD116" s="173"/>
      <c r="AE116" s="173">
        <f t="shared" si="332"/>
        <v>0.7310468811210169</v>
      </c>
      <c r="AF116" s="545">
        <f t="shared" si="333"/>
        <v>164.14815943949742</v>
      </c>
      <c r="AG116" s="528">
        <f t="shared" si="334"/>
        <v>0.12793320419617796</v>
      </c>
      <c r="AI116" s="173">
        <f t="shared" si="335"/>
        <v>0.68483190729967225</v>
      </c>
      <c r="AJ116" s="173">
        <f t="shared" si="336"/>
        <v>1</v>
      </c>
      <c r="AK116" s="173">
        <f t="shared" si="337"/>
        <v>1.0937989482511414</v>
      </c>
      <c r="AM116" s="545">
        <f t="shared" si="338"/>
        <v>60</v>
      </c>
      <c r="AN116" s="460">
        <f t="shared" si="339"/>
        <v>164.14815943949742</v>
      </c>
      <c r="AP116" s="460">
        <f t="shared" si="340"/>
        <v>60</v>
      </c>
      <c r="AQ116" s="460">
        <f t="shared" si="341"/>
        <v>164.14815943949742</v>
      </c>
      <c r="AS116" s="5">
        <f t="shared" si="285"/>
        <v>6.0920573426751403</v>
      </c>
      <c r="AT116" s="5">
        <f t="shared" si="342"/>
        <v>0.63240084346056857</v>
      </c>
      <c r="AU116" s="5">
        <f t="shared" si="343"/>
        <v>5.4596564992145717</v>
      </c>
      <c r="AV116" s="5"/>
      <c r="AW116" s="173">
        <f t="shared" si="344"/>
        <v>0.10380743448203807</v>
      </c>
      <c r="AX116" s="173">
        <f t="shared" si="214"/>
        <v>0.98488895663698461</v>
      </c>
      <c r="AY116" s="173">
        <f t="shared" si="215"/>
        <v>0.44809628275898095</v>
      </c>
      <c r="AZ116" s="173">
        <f t="shared" si="288"/>
        <v>2.1979404751427722</v>
      </c>
      <c r="BA116" s="460">
        <f t="shared" si="345"/>
        <v>0.23715031629771319</v>
      </c>
      <c r="BB116" s="5">
        <f t="shared" si="346"/>
        <v>0.23017942500721797</v>
      </c>
      <c r="BD116" s="173">
        <f t="shared" si="289"/>
        <v>0.18601741359528509</v>
      </c>
      <c r="BE116" s="173">
        <f t="shared" si="218"/>
        <v>0.54656276416588601</v>
      </c>
      <c r="BG116" s="528">
        <f t="shared" si="347"/>
        <v>6.9204956321358712E-4</v>
      </c>
      <c r="BH116" s="528">
        <f t="shared" si="348"/>
        <v>0.10601832895174251</v>
      </c>
      <c r="BI116" s="528">
        <f t="shared" si="349"/>
        <v>7.1639518627754861E-2</v>
      </c>
      <c r="BJ116" s="528">
        <f t="shared" si="350"/>
        <v>0.10125264781976914</v>
      </c>
      <c r="BK116">
        <f t="shared" si="351"/>
        <v>8.5388880420376925E-3</v>
      </c>
      <c r="BL116" s="460">
        <f t="shared" si="427"/>
        <v>80.178406669792551</v>
      </c>
      <c r="BM116" s="528">
        <f t="shared" si="352"/>
        <v>0.2081841116335022</v>
      </c>
      <c r="BN116" s="460">
        <f t="shared" si="353"/>
        <v>208.1841116335022</v>
      </c>
      <c r="BO116" s="528">
        <f t="shared" si="354"/>
        <v>4.1999999999999996E-2</v>
      </c>
      <c r="BR116" s="460">
        <f t="shared" si="355"/>
        <v>41.999999999999993</v>
      </c>
      <c r="BS116" s="528">
        <f t="shared" si="356"/>
        <v>1.0380743448203807E-3</v>
      </c>
      <c r="BT116" s="528">
        <f t="shared" si="357"/>
        <v>8.9619256551796162E-3</v>
      </c>
      <c r="BU116" s="528">
        <f t="shared" si="358"/>
        <v>1.726076532250943E-2</v>
      </c>
      <c r="BV116" s="528"/>
      <c r="BW116" s="528">
        <f t="shared" si="359"/>
        <v>8.2074079719748709E-4</v>
      </c>
      <c r="BX116" s="460">
        <f t="shared" si="360"/>
        <v>28.081506119706912</v>
      </c>
      <c r="BY116" s="173">
        <f t="shared" si="361"/>
        <v>0.35822293912422465</v>
      </c>
      <c r="BZ116" s="5">
        <f t="shared" si="362"/>
        <v>0.96</v>
      </c>
      <c r="CA116" s="173">
        <f t="shared" si="363"/>
        <v>0.72825314406816966</v>
      </c>
      <c r="CB116" s="5">
        <f t="shared" si="364"/>
        <v>72.825314406816972</v>
      </c>
      <c r="CE116" s="562">
        <f t="shared" si="365"/>
        <v>-50</v>
      </c>
      <c r="CF116">
        <f t="shared" si="366"/>
        <v>-50</v>
      </c>
      <c r="CG116" s="173">
        <f t="shared" si="367"/>
        <v>0.1214907403878995</v>
      </c>
      <c r="CI116" s="170">
        <v>6</v>
      </c>
      <c r="CJ116" s="217">
        <f t="shared" si="428"/>
        <v>0.06</v>
      </c>
      <c r="CK116" s="217"/>
      <c r="CL116" s="217">
        <f t="shared" si="368"/>
        <v>0.96</v>
      </c>
      <c r="CM116" s="541">
        <f t="shared" si="369"/>
        <v>19</v>
      </c>
      <c r="CN116" s="443">
        <f t="shared" si="370"/>
        <v>16.399999999999999</v>
      </c>
      <c r="CO116" s="443">
        <f t="shared" si="371"/>
        <v>35.4</v>
      </c>
      <c r="CP116" s="443"/>
      <c r="CQ116" s="217">
        <f t="shared" si="372"/>
        <v>0.4632768361581921</v>
      </c>
      <c r="CR116" s="172">
        <f t="shared" si="429"/>
        <v>22.214703389830511</v>
      </c>
      <c r="CS116" s="172">
        <f t="shared" si="373"/>
        <v>0.96</v>
      </c>
      <c r="CT116" s="217">
        <f t="shared" si="374"/>
        <v>1.3884189618644069</v>
      </c>
      <c r="CU116" s="217">
        <f t="shared" si="375"/>
        <v>16</v>
      </c>
      <c r="CV116" s="217"/>
      <c r="CW116" s="172">
        <f t="shared" si="376"/>
        <v>772.6764975178495</v>
      </c>
      <c r="CX116" s="172">
        <f t="shared" si="377"/>
        <v>16</v>
      </c>
      <c r="CY116" s="217">
        <f t="shared" si="378"/>
        <v>0.21812580231065465</v>
      </c>
      <c r="CZ116" s="217">
        <f t="shared" si="379"/>
        <v>0.13776366461725556</v>
      </c>
      <c r="DA116" s="217">
        <f t="shared" si="380"/>
        <v>0.15960424559316194</v>
      </c>
      <c r="DB116" s="197">
        <f t="shared" si="381"/>
        <v>350</v>
      </c>
      <c r="DC116" s="443">
        <f t="shared" si="382"/>
        <v>350</v>
      </c>
      <c r="DE116" s="217">
        <f t="shared" si="383"/>
        <v>2.0957761635727734</v>
      </c>
      <c r="DF116" s="173">
        <f t="shared" si="384"/>
        <v>1.5334947538337369</v>
      </c>
      <c r="DG116" s="173">
        <f t="shared" si="385"/>
        <v>0.5624258066085126</v>
      </c>
      <c r="DH116" s="173"/>
      <c r="DI116" s="173">
        <f t="shared" si="386"/>
        <v>0.73170731707317083</v>
      </c>
      <c r="DJ116" s="545">
        <f t="shared" si="387"/>
        <v>163.99999999999997</v>
      </c>
      <c r="DK116" s="528">
        <f t="shared" si="388"/>
        <v>0.12804878048780488</v>
      </c>
      <c r="DM116" s="173">
        <f t="shared" si="389"/>
        <v>0.68452277432633934</v>
      </c>
      <c r="DN116" s="173">
        <f t="shared" si="390"/>
        <v>1</v>
      </c>
      <c r="DO116" s="173">
        <f t="shared" si="391"/>
        <v>1.0937142857142856</v>
      </c>
      <c r="DQ116" s="545">
        <f t="shared" si="392"/>
        <v>60</v>
      </c>
      <c r="DR116" s="460">
        <f t="shared" si="393"/>
        <v>163.99999999999997</v>
      </c>
      <c r="DT116">
        <f t="shared" si="430"/>
        <v>60</v>
      </c>
      <c r="DU116">
        <f t="shared" si="431"/>
        <v>163.99999999999997</v>
      </c>
      <c r="DW116" s="5">
        <f t="shared" si="394"/>
        <v>6.0975609756097571</v>
      </c>
      <c r="DX116" s="5">
        <f t="shared" si="395"/>
        <v>0.63157894736842113</v>
      </c>
      <c r="DY116" s="5">
        <f t="shared" si="396"/>
        <v>5.4659820282413358</v>
      </c>
      <c r="DZ116" s="5"/>
      <c r="EA116" s="173">
        <f t="shared" si="397"/>
        <v>0.10357894736842105</v>
      </c>
      <c r="EB116" s="173">
        <f t="shared" si="398"/>
        <v>0.98399999999999987</v>
      </c>
      <c r="EC116" s="173">
        <f t="shared" si="399"/>
        <v>0.4482105263157895</v>
      </c>
      <c r="ED116" s="173">
        <f t="shared" si="400"/>
        <v>2.1953968999530291</v>
      </c>
      <c r="EE116" s="460">
        <f t="shared" si="401"/>
        <v>0.23684210526315791</v>
      </c>
      <c r="EF116" s="5">
        <f t="shared" si="402"/>
        <v>0.23014661171542464</v>
      </c>
      <c r="EH116" s="173">
        <f t="shared" si="403"/>
        <v>0.18581258243045243</v>
      </c>
      <c r="EI116" s="173">
        <f t="shared" si="404"/>
        <v>0.54663243367354231</v>
      </c>
      <c r="EK116" s="528">
        <f t="shared" si="405"/>
        <v>6.9052631578947357E-4</v>
      </c>
      <c r="EL116" s="528">
        <f t="shared" si="406"/>
        <v>0.11030639999999997</v>
      </c>
      <c r="EM116" s="528">
        <f t="shared" si="407"/>
        <v>1.8859999999999998E-2</v>
      </c>
      <c r="EN116" s="528">
        <f t="shared" si="408"/>
        <v>0.10121773319999997</v>
      </c>
      <c r="EO116">
        <f t="shared" si="409"/>
        <v>8.5500000000000003E-3</v>
      </c>
      <c r="EP116" s="460">
        <f t="shared" si="410"/>
        <v>27.409999999999997</v>
      </c>
      <c r="EQ116" s="460"/>
      <c r="ER116" s="460">
        <f t="shared" si="432"/>
        <v>239.6246595157894</v>
      </c>
      <c r="ES116" s="528">
        <f t="shared" si="411"/>
        <v>4.1999999999999996E-2</v>
      </c>
      <c r="EV116" s="460">
        <f t="shared" si="412"/>
        <v>41.999999999999993</v>
      </c>
      <c r="EW116" s="528">
        <f t="shared" si="413"/>
        <v>1.0357894736842102E-3</v>
      </c>
      <c r="EX116" s="528">
        <f t="shared" si="414"/>
        <v>8.9642105263157881E-3</v>
      </c>
      <c r="EY116" s="528">
        <f t="shared" si="415"/>
        <v>1.7221842948999349E-2</v>
      </c>
      <c r="EZ116" s="528"/>
      <c r="FA116" s="528">
        <f t="shared" si="416"/>
        <v>8.1999999999999987E-4</v>
      </c>
      <c r="FB116" s="460">
        <f t="shared" si="417"/>
        <v>28.041842948999349</v>
      </c>
      <c r="FC116" s="173">
        <f t="shared" si="418"/>
        <v>0.30966650246478877</v>
      </c>
      <c r="FD116" s="5">
        <f t="shared" si="419"/>
        <v>0.96</v>
      </c>
      <c r="FE116" s="173">
        <f t="shared" si="420"/>
        <v>0.75610406207958003</v>
      </c>
      <c r="FF116" s="5">
        <f t="shared" si="421"/>
        <v>75.610406207958007</v>
      </c>
      <c r="FI116" s="562">
        <f t="shared" si="422"/>
        <v>-50</v>
      </c>
      <c r="FJ116">
        <f t="shared" si="423"/>
        <v>-50</v>
      </c>
      <c r="FL116">
        <f t="shared" si="424"/>
        <v>0.12</v>
      </c>
    </row>
    <row r="117" spans="5:168">
      <c r="E117" s="170">
        <v>7</v>
      </c>
      <c r="F117" s="217">
        <f t="shared" si="425"/>
        <v>7.0000000000000007E-2</v>
      </c>
      <c r="G117" s="217"/>
      <c r="H117" s="217">
        <f t="shared" si="315"/>
        <v>1.1200000000000001</v>
      </c>
      <c r="I117" s="541">
        <f t="shared" si="316"/>
        <v>18.975306760083761</v>
      </c>
      <c r="J117" s="172">
        <f t="shared" si="317"/>
        <v>16.414815943949744</v>
      </c>
      <c r="K117" s="172">
        <f t="shared" si="318"/>
        <v>35.390122704033502</v>
      </c>
      <c r="L117" s="443"/>
      <c r="M117" s="217">
        <f t="shared" si="319"/>
        <v>0.46382757039320865</v>
      </c>
      <c r="N117" s="172">
        <f t="shared" si="426"/>
        <v>22.21220625274859</v>
      </c>
      <c r="O117" s="172">
        <f t="shared" si="284"/>
        <v>1.1200000000000001</v>
      </c>
      <c r="P117" s="217">
        <f t="shared" si="320"/>
        <v>1.3882628907967869</v>
      </c>
      <c r="Q117" s="217">
        <f t="shared" si="321"/>
        <v>16</v>
      </c>
      <c r="R117" s="217"/>
      <c r="S117" s="172">
        <f t="shared" si="322"/>
        <v>658.72573582552309</v>
      </c>
      <c r="T117" s="172">
        <f t="shared" si="323"/>
        <v>16</v>
      </c>
      <c r="U117" s="217">
        <f t="shared" si="324"/>
        <v>0.26111003152972778</v>
      </c>
      <c r="V117" s="217">
        <f t="shared" si="325"/>
        <v>0.16512620417541554</v>
      </c>
      <c r="W117" s="217">
        <f t="shared" si="326"/>
        <v>0.19088367417921787</v>
      </c>
      <c r="X117" s="197">
        <f t="shared" si="327"/>
        <v>350</v>
      </c>
      <c r="Y117" s="443">
        <f t="shared" si="328"/>
        <v>350</v>
      </c>
      <c r="AA117" s="217">
        <f t="shared" si="329"/>
        <v>2.0955279807442979</v>
      </c>
      <c r="AB117" s="173">
        <f t="shared" si="330"/>
        <v>1.5319291946249411</v>
      </c>
      <c r="AC117" s="173">
        <f t="shared" si="331"/>
        <v>0.56178508607473721</v>
      </c>
      <c r="AD117" s="173"/>
      <c r="AE117" s="173">
        <f t="shared" si="332"/>
        <v>0.7310468811210169</v>
      </c>
      <c r="AF117" s="545">
        <f t="shared" si="333"/>
        <v>191.50618601274704</v>
      </c>
      <c r="AG117" s="528">
        <f t="shared" si="334"/>
        <v>0.12793320419617796</v>
      </c>
      <c r="AI117" s="173">
        <f t="shared" si="335"/>
        <v>0.73970300220087759</v>
      </c>
      <c r="AJ117" s="173">
        <f t="shared" si="336"/>
        <v>1</v>
      </c>
      <c r="AK117" s="173">
        <f t="shared" si="337"/>
        <v>1.1094321062929984</v>
      </c>
      <c r="AM117" s="545">
        <f t="shared" si="338"/>
        <v>70</v>
      </c>
      <c r="AN117" s="460">
        <f t="shared" si="339"/>
        <v>191.50618601274704</v>
      </c>
      <c r="AP117" s="460">
        <f t="shared" si="340"/>
        <v>70</v>
      </c>
      <c r="AQ117" s="460">
        <f t="shared" si="341"/>
        <v>191.50618601274704</v>
      </c>
      <c r="AS117" s="5">
        <f t="shared" si="285"/>
        <v>5.2217634365786907</v>
      </c>
      <c r="AT117" s="5">
        <f t="shared" si="342"/>
        <v>0.63240084346056857</v>
      </c>
      <c r="AU117" s="5">
        <f t="shared" si="343"/>
        <v>4.5893625931181221</v>
      </c>
      <c r="AV117" s="5"/>
      <c r="AW117" s="173">
        <f t="shared" si="344"/>
        <v>0.12110867356237777</v>
      </c>
      <c r="AX117" s="173">
        <f t="shared" si="214"/>
        <v>1.1490371160764823</v>
      </c>
      <c r="AY117" s="173">
        <f t="shared" si="215"/>
        <v>0.43944566321881112</v>
      </c>
      <c r="AZ117" s="173">
        <f t="shared" si="288"/>
        <v>2.6147421905591717</v>
      </c>
      <c r="BA117" s="460">
        <f t="shared" ref="BA117:BA180" si="433">F117*AT117/Vout_ripple*1000</f>
        <v>0.27667536901399881</v>
      </c>
      <c r="BB117" s="5">
        <f t="shared" ref="BB117:BB180" si="434">H117/Efficiency/I117*AU117/Vinripple1</f>
        <v>0.2257357491537775</v>
      </c>
      <c r="BD117" s="173">
        <f t="shared" si="289"/>
        <v>0.2009217704832553</v>
      </c>
      <c r="BE117" s="173">
        <f t="shared" si="218"/>
        <v>0.54126128208029756</v>
      </c>
      <c r="BG117" s="528">
        <f t="shared" si="347"/>
        <v>8.0739115708251829E-4</v>
      </c>
      <c r="BH117" s="528">
        <f t="shared" si="348"/>
        <v>0.12368805044369963</v>
      </c>
      <c r="BI117" s="528">
        <f t="shared" si="349"/>
        <v>8.3579438399047357E-2</v>
      </c>
      <c r="BJ117" s="528">
        <f t="shared" si="350"/>
        <v>0.11812808912306402</v>
      </c>
      <c r="BK117">
        <f t="shared" si="351"/>
        <v>8.5388880420376925E-3</v>
      </c>
      <c r="BL117" s="460">
        <f t="shared" si="427"/>
        <v>92.118326441085046</v>
      </c>
      <c r="BM117" s="528">
        <f t="shared" si="352"/>
        <v>0.24288812105559196</v>
      </c>
      <c r="BN117" s="460">
        <f t="shared" si="353"/>
        <v>242.88812105559197</v>
      </c>
      <c r="BO117" s="528">
        <f t="shared" si="354"/>
        <v>4.9000000000000002E-2</v>
      </c>
      <c r="BR117" s="460">
        <f t="shared" si="355"/>
        <v>49</v>
      </c>
      <c r="BS117" s="528">
        <f t="shared" si="356"/>
        <v>1.2110867356237775E-3</v>
      </c>
      <c r="BT117" s="528">
        <f t="shared" si="357"/>
        <v>8.7889132643762229E-3</v>
      </c>
      <c r="BU117" s="528">
        <f t="shared" si="358"/>
        <v>2.5376225329867854E-2</v>
      </c>
      <c r="BV117" s="528"/>
      <c r="BW117" s="528">
        <f t="shared" si="359"/>
        <v>9.5753093006373507E-4</v>
      </c>
      <c r="BX117" s="460">
        <f t="shared" si="360"/>
        <v>36.333756259931583</v>
      </c>
      <c r="BY117" s="173">
        <f t="shared" si="361"/>
        <v>0.42007561342486266</v>
      </c>
      <c r="BZ117" s="5">
        <f t="shared" si="362"/>
        <v>1.1200000000000001</v>
      </c>
      <c r="CA117" s="173">
        <f t="shared" si="363"/>
        <v>0.72723702020663328</v>
      </c>
      <c r="CB117" s="5">
        <f t="shared" si="364"/>
        <v>72.723702020663325</v>
      </c>
      <c r="CE117" s="562">
        <f t="shared" si="365"/>
        <v>-50</v>
      </c>
      <c r="CF117">
        <f t="shared" si="366"/>
        <v>-50</v>
      </c>
      <c r="CG117" s="173">
        <f t="shared" si="367"/>
        <v>0.14173919711921612</v>
      </c>
      <c r="CI117" s="170">
        <v>7</v>
      </c>
      <c r="CJ117" s="217">
        <f t="shared" si="428"/>
        <v>7.0000000000000007E-2</v>
      </c>
      <c r="CK117" s="217"/>
      <c r="CL117" s="217">
        <f t="shared" si="368"/>
        <v>1.1200000000000001</v>
      </c>
      <c r="CM117" s="541">
        <f t="shared" si="369"/>
        <v>19</v>
      </c>
      <c r="CN117" s="443">
        <f t="shared" si="370"/>
        <v>16.399999999999999</v>
      </c>
      <c r="CO117" s="443">
        <f t="shared" si="371"/>
        <v>35.4</v>
      </c>
      <c r="CP117" s="443"/>
      <c r="CQ117" s="217">
        <f t="shared" si="372"/>
        <v>0.4632768361581921</v>
      </c>
      <c r="CR117" s="172">
        <f t="shared" si="429"/>
        <v>22.214703389830511</v>
      </c>
      <c r="CS117" s="172">
        <f t="shared" si="373"/>
        <v>1.1200000000000001</v>
      </c>
      <c r="CT117" s="217">
        <f t="shared" si="374"/>
        <v>1.3884189618644069</v>
      </c>
      <c r="CU117" s="217">
        <f t="shared" si="375"/>
        <v>16</v>
      </c>
      <c r="CV117" s="217"/>
      <c r="CW117" s="172">
        <f t="shared" si="376"/>
        <v>659.58294402053048</v>
      </c>
      <c r="CX117" s="172">
        <f t="shared" si="377"/>
        <v>16</v>
      </c>
      <c r="CY117" s="217">
        <f t="shared" si="378"/>
        <v>0.25448010269576382</v>
      </c>
      <c r="CZ117" s="217">
        <f t="shared" si="379"/>
        <v>0.1607242753867982</v>
      </c>
      <c r="DA117" s="217">
        <f t="shared" si="380"/>
        <v>0.18620495319202232</v>
      </c>
      <c r="DB117" s="197">
        <f t="shared" si="381"/>
        <v>350</v>
      </c>
      <c r="DC117" s="443">
        <f t="shared" si="382"/>
        <v>350</v>
      </c>
      <c r="DE117" s="217">
        <f t="shared" si="383"/>
        <v>2.0957761635727734</v>
      </c>
      <c r="DF117" s="173">
        <f t="shared" si="384"/>
        <v>1.5334947538337369</v>
      </c>
      <c r="DG117" s="173">
        <f t="shared" si="385"/>
        <v>0.5624258066085126</v>
      </c>
      <c r="DH117" s="173"/>
      <c r="DI117" s="173">
        <f t="shared" si="386"/>
        <v>0.73170731707317083</v>
      </c>
      <c r="DJ117" s="545">
        <f t="shared" si="387"/>
        <v>191.33333333333331</v>
      </c>
      <c r="DK117" s="528">
        <f t="shared" si="388"/>
        <v>0.12804878048780488</v>
      </c>
      <c r="DM117" s="173">
        <f t="shared" si="389"/>
        <v>0.73936910042729453</v>
      </c>
      <c r="DN117" s="173">
        <f t="shared" si="390"/>
        <v>1</v>
      </c>
      <c r="DO117" s="173">
        <f t="shared" si="391"/>
        <v>1.1093333333333333</v>
      </c>
      <c r="DQ117" s="545">
        <f t="shared" si="392"/>
        <v>70</v>
      </c>
      <c r="DR117" s="460">
        <f t="shared" si="393"/>
        <v>191.33333333333331</v>
      </c>
      <c r="DT117">
        <f t="shared" si="430"/>
        <v>70</v>
      </c>
      <c r="DU117">
        <f t="shared" si="431"/>
        <v>191.33333333333331</v>
      </c>
      <c r="DW117" s="5">
        <f t="shared" si="394"/>
        <v>5.2264808362369344</v>
      </c>
      <c r="DX117" s="5">
        <f t="shared" si="395"/>
        <v>0.63157894736842113</v>
      </c>
      <c r="DY117" s="5">
        <f t="shared" si="396"/>
        <v>4.5949018888685131</v>
      </c>
      <c r="DZ117" s="5"/>
      <c r="EA117" s="173">
        <f t="shared" si="397"/>
        <v>0.12084210526315789</v>
      </c>
      <c r="EB117" s="173">
        <f t="shared" si="398"/>
        <v>1.1479999999999999</v>
      </c>
      <c r="EC117" s="173">
        <f t="shared" si="399"/>
        <v>0.43957894736842107</v>
      </c>
      <c r="ED117" s="173">
        <f t="shared" si="400"/>
        <v>2.6115900383141759</v>
      </c>
      <c r="EE117" s="460">
        <f t="shared" si="401"/>
        <v>0.27631578947368429</v>
      </c>
      <c r="EF117" s="5">
        <f t="shared" si="402"/>
        <v>0.22571447875143574</v>
      </c>
      <c r="EH117" s="173">
        <f t="shared" si="403"/>
        <v>0.20070052753888307</v>
      </c>
      <c r="EI117" s="173">
        <f t="shared" si="404"/>
        <v>0.5413433583031636</v>
      </c>
      <c r="EK117" s="528">
        <f t="shared" si="405"/>
        <v>8.0561403508771915E-4</v>
      </c>
      <c r="EL117" s="528">
        <f t="shared" si="406"/>
        <v>0.12869079999999999</v>
      </c>
      <c r="EM117" s="528">
        <f t="shared" si="407"/>
        <v>2.2003333333333333E-2</v>
      </c>
      <c r="EN117" s="528">
        <f t="shared" si="408"/>
        <v>0.11808735539999998</v>
      </c>
      <c r="EO117">
        <f t="shared" si="409"/>
        <v>8.5500000000000003E-3</v>
      </c>
      <c r="EP117" s="460">
        <f t="shared" si="410"/>
        <v>30.553333333333335</v>
      </c>
      <c r="EQ117" s="460"/>
      <c r="ER117" s="460">
        <f t="shared" si="432"/>
        <v>278.13710276842102</v>
      </c>
      <c r="ES117" s="528">
        <f t="shared" si="411"/>
        <v>4.9000000000000002E-2</v>
      </c>
      <c r="EV117" s="460">
        <f t="shared" si="412"/>
        <v>49</v>
      </c>
      <c r="EW117" s="528">
        <f t="shared" si="413"/>
        <v>1.2084210526315787E-3</v>
      </c>
      <c r="EX117" s="528">
        <f t="shared" si="414"/>
        <v>8.7915789473684194E-3</v>
      </c>
      <c r="EY117" s="528">
        <f t="shared" si="415"/>
        <v>2.5319002900728107E-2</v>
      </c>
      <c r="EZ117" s="528"/>
      <c r="FA117" s="528">
        <f t="shared" si="416"/>
        <v>9.5666666666666665E-4</v>
      </c>
      <c r="FB117" s="460">
        <f t="shared" si="417"/>
        <v>36.275669567394772</v>
      </c>
      <c r="FC117" s="173">
        <f t="shared" si="418"/>
        <v>0.36341277233581576</v>
      </c>
      <c r="FD117" s="5">
        <f t="shared" si="419"/>
        <v>1.1200000000000001</v>
      </c>
      <c r="FE117" s="173">
        <f t="shared" si="420"/>
        <v>0.75501574537235672</v>
      </c>
      <c r="FF117" s="5">
        <f t="shared" si="421"/>
        <v>75.501574537235669</v>
      </c>
      <c r="FI117" s="562">
        <f t="shared" si="422"/>
        <v>-50</v>
      </c>
      <c r="FJ117">
        <f t="shared" si="423"/>
        <v>-50</v>
      </c>
      <c r="FL117">
        <f t="shared" si="424"/>
        <v>0.14000000000000001</v>
      </c>
    </row>
    <row r="118" spans="5:168">
      <c r="E118" s="170">
        <v>8</v>
      </c>
      <c r="F118" s="217">
        <f t="shared" si="425"/>
        <v>0.08</v>
      </c>
      <c r="G118" s="217"/>
      <c r="H118" s="217">
        <f t="shared" si="315"/>
        <v>1.28</v>
      </c>
      <c r="I118" s="541">
        <f t="shared" si="316"/>
        <v>18.975306760083761</v>
      </c>
      <c r="J118" s="172">
        <f t="shared" si="317"/>
        <v>16.414815943949744</v>
      </c>
      <c r="K118" s="172">
        <f t="shared" si="318"/>
        <v>35.390122704033502</v>
      </c>
      <c r="L118" s="443"/>
      <c r="M118" s="217">
        <f t="shared" si="319"/>
        <v>0.46382757039320865</v>
      </c>
      <c r="N118" s="172">
        <f t="shared" si="426"/>
        <v>22.21220625274859</v>
      </c>
      <c r="O118" s="172">
        <f t="shared" si="284"/>
        <v>1.28</v>
      </c>
      <c r="P118" s="217">
        <f t="shared" si="320"/>
        <v>1.3882628907967869</v>
      </c>
      <c r="Q118" s="217">
        <f t="shared" si="321"/>
        <v>16</v>
      </c>
      <c r="R118" s="217"/>
      <c r="S118" s="172">
        <f t="shared" si="322"/>
        <v>574.01624312079548</v>
      </c>
      <c r="T118" s="172">
        <f t="shared" si="323"/>
        <v>16</v>
      </c>
      <c r="U118" s="217">
        <f t="shared" si="324"/>
        <v>0.29841146460540313</v>
      </c>
      <c r="V118" s="217">
        <f t="shared" si="325"/>
        <v>0.18871566191476055</v>
      </c>
      <c r="W118" s="217">
        <f t="shared" si="326"/>
        <v>0.21815277049053466</v>
      </c>
      <c r="X118" s="197">
        <f t="shared" si="327"/>
        <v>350</v>
      </c>
      <c r="Y118" s="443">
        <f t="shared" si="328"/>
        <v>350</v>
      </c>
      <c r="AA118" s="217">
        <f t="shared" si="329"/>
        <v>2.0955279807442979</v>
      </c>
      <c r="AB118" s="173">
        <f t="shared" si="330"/>
        <v>1.5319291946249411</v>
      </c>
      <c r="AC118" s="173">
        <f t="shared" si="331"/>
        <v>0.56178508607473721</v>
      </c>
      <c r="AD118" s="173"/>
      <c r="AE118" s="173">
        <f t="shared" si="332"/>
        <v>0.7310468811210169</v>
      </c>
      <c r="AF118" s="545">
        <f t="shared" si="333"/>
        <v>218.86421258599657</v>
      </c>
      <c r="AG118" s="528">
        <f t="shared" si="334"/>
        <v>0.12793320419617796</v>
      </c>
      <c r="AI118" s="173">
        <f t="shared" si="335"/>
        <v>0.79077577205822125</v>
      </c>
      <c r="AJ118" s="173">
        <f t="shared" si="336"/>
        <v>1</v>
      </c>
      <c r="AK118" s="173">
        <f t="shared" si="337"/>
        <v>1.1250652643348551</v>
      </c>
      <c r="AM118" s="545">
        <f t="shared" si="338"/>
        <v>80</v>
      </c>
      <c r="AN118" s="460">
        <f t="shared" si="339"/>
        <v>218.86421258599657</v>
      </c>
      <c r="AP118" s="460">
        <f t="shared" si="340"/>
        <v>80</v>
      </c>
      <c r="AQ118" s="460">
        <f t="shared" si="341"/>
        <v>218.86421258599657</v>
      </c>
      <c r="AS118" s="5">
        <f t="shared" si="285"/>
        <v>4.5690430070063552</v>
      </c>
      <c r="AT118" s="5">
        <f t="shared" si="342"/>
        <v>0.63240084346056857</v>
      </c>
      <c r="AU118" s="5">
        <f t="shared" si="343"/>
        <v>3.9366421635457867</v>
      </c>
      <c r="AV118" s="5"/>
      <c r="AW118" s="173">
        <f t="shared" si="344"/>
        <v>0.13840991264271743</v>
      </c>
      <c r="AX118" s="173">
        <f t="shared" si="214"/>
        <v>1.3131852755159796</v>
      </c>
      <c r="AY118" s="173">
        <f t="shared" si="215"/>
        <v>0.4307950436786413</v>
      </c>
      <c r="AZ118" s="173">
        <f t="shared" si="288"/>
        <v>3.0482831564226909</v>
      </c>
      <c r="BA118" s="460">
        <f t="shared" si="433"/>
        <v>0.31620042173028423</v>
      </c>
      <c r="BB118" s="5">
        <f t="shared" si="434"/>
        <v>0.22129207330033712</v>
      </c>
      <c r="BD118" s="173">
        <f t="shared" si="289"/>
        <v>0.2147944076263916</v>
      </c>
      <c r="BE118" s="173">
        <f t="shared" si="218"/>
        <v>0.53590735746559859</v>
      </c>
      <c r="BG118" s="528">
        <f t="shared" si="347"/>
        <v>9.2273275095144946E-4</v>
      </c>
      <c r="BH118" s="528">
        <f t="shared" si="348"/>
        <v>0.14135777193565668</v>
      </c>
      <c r="BI118" s="528">
        <f t="shared" si="349"/>
        <v>9.551935817033981E-2</v>
      </c>
      <c r="BJ118" s="528">
        <f t="shared" si="350"/>
        <v>0.13500353042635888</v>
      </c>
      <c r="BK118">
        <f t="shared" si="351"/>
        <v>8.5388880420376925E-3</v>
      </c>
      <c r="BL118" s="460">
        <f t="shared" si="427"/>
        <v>104.0582462123775</v>
      </c>
      <c r="BM118" s="528">
        <f t="shared" si="352"/>
        <v>0.27759403303284963</v>
      </c>
      <c r="BN118" s="460">
        <f t="shared" si="353"/>
        <v>277.59403303284961</v>
      </c>
      <c r="BO118" s="528">
        <f t="shared" si="354"/>
        <v>5.5999999999999994E-2</v>
      </c>
      <c r="BR118" s="460">
        <f t="shared" si="355"/>
        <v>55.999999999999993</v>
      </c>
      <c r="BS118" s="528">
        <f t="shared" si="356"/>
        <v>1.3840991264271742E-3</v>
      </c>
      <c r="BT118" s="528">
        <f t="shared" si="357"/>
        <v>8.6159008735728244E-3</v>
      </c>
      <c r="BU118" s="528">
        <f t="shared" si="358"/>
        <v>3.5432915574648192E-2</v>
      </c>
      <c r="BV118" s="528"/>
      <c r="BW118" s="528">
        <f t="shared" si="359"/>
        <v>1.0943210629299829E-3</v>
      </c>
      <c r="BX118" s="460">
        <f t="shared" si="360"/>
        <v>46.527236637578177</v>
      </c>
      <c r="BY118" s="173">
        <f t="shared" si="361"/>
        <v>0.48386951796292266</v>
      </c>
      <c r="BZ118" s="5">
        <f t="shared" si="362"/>
        <v>1.28</v>
      </c>
      <c r="CA118" s="173">
        <f t="shared" si="363"/>
        <v>0.72567726068437344</v>
      </c>
      <c r="CB118" s="5">
        <f t="shared" si="364"/>
        <v>72.567726068437338</v>
      </c>
      <c r="CE118" s="562">
        <f t="shared" si="365"/>
        <v>-50</v>
      </c>
      <c r="CF118">
        <f t="shared" si="366"/>
        <v>-50</v>
      </c>
      <c r="CG118" s="173">
        <f t="shared" si="367"/>
        <v>0.16198765385053271</v>
      </c>
      <c r="CI118" s="170">
        <v>8</v>
      </c>
      <c r="CJ118" s="217">
        <f t="shared" si="428"/>
        <v>0.08</v>
      </c>
      <c r="CK118" s="217"/>
      <c r="CL118" s="217">
        <f t="shared" si="368"/>
        <v>1.28</v>
      </c>
      <c r="CM118" s="541">
        <f t="shared" si="369"/>
        <v>19</v>
      </c>
      <c r="CN118" s="443">
        <f t="shared" si="370"/>
        <v>16.399999999999999</v>
      </c>
      <c r="CO118" s="443">
        <f t="shared" si="371"/>
        <v>35.4</v>
      </c>
      <c r="CP118" s="443"/>
      <c r="CQ118" s="217">
        <f t="shared" si="372"/>
        <v>0.4632768361581921</v>
      </c>
      <c r="CR118" s="172">
        <f t="shared" si="429"/>
        <v>22.214703389830511</v>
      </c>
      <c r="CS118" s="172">
        <f t="shared" si="373"/>
        <v>1.28</v>
      </c>
      <c r="CT118" s="217">
        <f t="shared" si="374"/>
        <v>1.3884189618644069</v>
      </c>
      <c r="CU118" s="217">
        <f t="shared" si="375"/>
        <v>16</v>
      </c>
      <c r="CV118" s="217"/>
      <c r="CW118" s="172">
        <f t="shared" si="376"/>
        <v>574.76321364061494</v>
      </c>
      <c r="CX118" s="172">
        <f t="shared" si="377"/>
        <v>16</v>
      </c>
      <c r="CY118" s="217">
        <f t="shared" si="378"/>
        <v>0.29083440308087288</v>
      </c>
      <c r="CZ118" s="217">
        <f t="shared" si="379"/>
        <v>0.18368488615634079</v>
      </c>
      <c r="DA118" s="217">
        <f t="shared" si="380"/>
        <v>0.21280566079088262</v>
      </c>
      <c r="DB118" s="197">
        <f t="shared" si="381"/>
        <v>350</v>
      </c>
      <c r="DC118" s="443">
        <f t="shared" si="382"/>
        <v>350</v>
      </c>
      <c r="DE118" s="217">
        <f t="shared" si="383"/>
        <v>2.0957761635727734</v>
      </c>
      <c r="DF118" s="173">
        <f t="shared" si="384"/>
        <v>1.5334947538337369</v>
      </c>
      <c r="DG118" s="173">
        <f t="shared" si="385"/>
        <v>0.5624258066085126</v>
      </c>
      <c r="DH118" s="173"/>
      <c r="DI118" s="173">
        <f t="shared" si="386"/>
        <v>0.73170731707317083</v>
      </c>
      <c r="DJ118" s="545">
        <f t="shared" si="387"/>
        <v>218.66666666666666</v>
      </c>
      <c r="DK118" s="528">
        <f t="shared" si="388"/>
        <v>0.12804878048780488</v>
      </c>
      <c r="DM118" s="173">
        <f t="shared" si="389"/>
        <v>0.79041881604748299</v>
      </c>
      <c r="DN118" s="173">
        <f t="shared" si="390"/>
        <v>1</v>
      </c>
      <c r="DO118" s="173">
        <f t="shared" si="391"/>
        <v>1.1249523809523809</v>
      </c>
      <c r="DQ118" s="545">
        <f t="shared" si="392"/>
        <v>80</v>
      </c>
      <c r="DR118" s="460">
        <f t="shared" si="393"/>
        <v>218.66666666666666</v>
      </c>
      <c r="DT118">
        <f t="shared" si="430"/>
        <v>80</v>
      </c>
      <c r="DU118">
        <f t="shared" si="431"/>
        <v>218.66666666666666</v>
      </c>
      <c r="DW118" s="5">
        <f t="shared" si="394"/>
        <v>4.573170731707318</v>
      </c>
      <c r="DX118" s="5">
        <f t="shared" si="395"/>
        <v>0.63157894736842113</v>
      </c>
      <c r="DY118" s="5">
        <f t="shared" si="396"/>
        <v>3.9415917843388968</v>
      </c>
      <c r="DZ118" s="5"/>
      <c r="EA118" s="173">
        <f t="shared" si="397"/>
        <v>0.13810526315789473</v>
      </c>
      <c r="EB118" s="173">
        <f t="shared" si="398"/>
        <v>1.3120000000000001</v>
      </c>
      <c r="EC118" s="173">
        <f t="shared" si="399"/>
        <v>0.43094736842105263</v>
      </c>
      <c r="ED118" s="173">
        <f t="shared" si="400"/>
        <v>3.0444553004396679</v>
      </c>
      <c r="EE118" s="460">
        <f t="shared" si="401"/>
        <v>0.31578947368421056</v>
      </c>
      <c r="EF118" s="5">
        <f t="shared" si="402"/>
        <v>0.22128234578744679</v>
      </c>
      <c r="EH118" s="173">
        <f t="shared" si="403"/>
        <v>0.21455788897008249</v>
      </c>
      <c r="EI118" s="173">
        <f t="shared" si="404"/>
        <v>0.53600209478511851</v>
      </c>
      <c r="EK118" s="528">
        <f t="shared" si="405"/>
        <v>9.2070175438596494E-4</v>
      </c>
      <c r="EL118" s="528">
        <f t="shared" si="406"/>
        <v>0.14707519999999999</v>
      </c>
      <c r="EM118" s="528">
        <f t="shared" si="407"/>
        <v>2.5146666666666668E-2</v>
      </c>
      <c r="EN118" s="528">
        <f t="shared" si="408"/>
        <v>0.1349569776</v>
      </c>
      <c r="EO118">
        <f t="shared" si="409"/>
        <v>8.5500000000000003E-3</v>
      </c>
      <c r="EP118" s="460">
        <f t="shared" si="410"/>
        <v>33.696666666666665</v>
      </c>
      <c r="EQ118" s="460"/>
      <c r="ER118" s="460">
        <f t="shared" si="432"/>
        <v>316.64954602105263</v>
      </c>
      <c r="ES118" s="528">
        <f t="shared" si="411"/>
        <v>5.5999999999999994E-2</v>
      </c>
      <c r="EV118" s="460">
        <f t="shared" si="412"/>
        <v>55.999999999999993</v>
      </c>
      <c r="EW118" s="528">
        <f t="shared" si="413"/>
        <v>1.3810526315789474E-3</v>
      </c>
      <c r="EX118" s="528">
        <f t="shared" si="414"/>
        <v>8.6189473684210541E-3</v>
      </c>
      <c r="EY118" s="528">
        <f t="shared" si="415"/>
        <v>3.5353015689053365E-2</v>
      </c>
      <c r="EZ118" s="528"/>
      <c r="FA118" s="528">
        <f t="shared" si="416"/>
        <v>1.0933333333333333E-3</v>
      </c>
      <c r="FB118" s="460">
        <f t="shared" si="417"/>
        <v>46.446349022386698</v>
      </c>
      <c r="FC118" s="173">
        <f t="shared" si="418"/>
        <v>0.4190958950434393</v>
      </c>
      <c r="FD118" s="5">
        <f t="shared" si="419"/>
        <v>1.28</v>
      </c>
      <c r="FE118" s="173">
        <f t="shared" si="420"/>
        <v>0.75334182357451651</v>
      </c>
      <c r="FF118" s="5">
        <f t="shared" si="421"/>
        <v>75.334182357451652</v>
      </c>
      <c r="FI118" s="562">
        <f t="shared" si="422"/>
        <v>-50</v>
      </c>
      <c r="FJ118">
        <f t="shared" si="423"/>
        <v>-50</v>
      </c>
      <c r="FL118">
        <f t="shared" si="424"/>
        <v>0.16000000000000003</v>
      </c>
    </row>
    <row r="119" spans="5:168">
      <c r="E119" s="170">
        <v>9</v>
      </c>
      <c r="F119" s="217">
        <f t="shared" si="425"/>
        <v>0.09</v>
      </c>
      <c r="G119" s="217"/>
      <c r="H119" s="217">
        <f t="shared" si="315"/>
        <v>1.44</v>
      </c>
      <c r="I119" s="541">
        <f t="shared" si="316"/>
        <v>18.975306760083761</v>
      </c>
      <c r="J119" s="172">
        <f t="shared" si="317"/>
        <v>16.414815943949744</v>
      </c>
      <c r="K119" s="172">
        <f t="shared" si="318"/>
        <v>35.390122704033502</v>
      </c>
      <c r="L119" s="443"/>
      <c r="M119" s="217">
        <f t="shared" si="319"/>
        <v>0.46382757039320865</v>
      </c>
      <c r="N119" s="172">
        <f t="shared" si="426"/>
        <v>22.21220625274859</v>
      </c>
      <c r="O119" s="172">
        <f t="shared" si="284"/>
        <v>1.44</v>
      </c>
      <c r="P119" s="217">
        <f t="shared" si="320"/>
        <v>1.3882628907967869</v>
      </c>
      <c r="Q119" s="217">
        <f t="shared" si="321"/>
        <v>16</v>
      </c>
      <c r="R119" s="217"/>
      <c r="S119" s="172">
        <f t="shared" si="322"/>
        <v>508.13147325787259</v>
      </c>
      <c r="T119" s="172">
        <f t="shared" si="323"/>
        <v>16</v>
      </c>
      <c r="U119" s="217">
        <f t="shared" si="324"/>
        <v>0.33571289768107854</v>
      </c>
      <c r="V119" s="217">
        <f t="shared" si="325"/>
        <v>0.21230511965410565</v>
      </c>
      <c r="W119" s="217">
        <f t="shared" si="326"/>
        <v>0.24542186680185149</v>
      </c>
      <c r="X119" s="197">
        <f t="shared" si="327"/>
        <v>350</v>
      </c>
      <c r="Y119" s="443">
        <f t="shared" si="328"/>
        <v>350</v>
      </c>
      <c r="AA119" s="217">
        <f t="shared" si="329"/>
        <v>2.0955279807442979</v>
      </c>
      <c r="AB119" s="173">
        <f t="shared" si="330"/>
        <v>1.5319291946249411</v>
      </c>
      <c r="AC119" s="173">
        <f t="shared" si="331"/>
        <v>0.56178508607473721</v>
      </c>
      <c r="AD119" s="173"/>
      <c r="AE119" s="173">
        <f t="shared" si="332"/>
        <v>0.7310468811210169</v>
      </c>
      <c r="AF119" s="545">
        <f t="shared" si="333"/>
        <v>246.22223915924616</v>
      </c>
      <c r="AG119" s="528">
        <f t="shared" si="334"/>
        <v>0.12793320419617796</v>
      </c>
      <c r="AI119" s="173">
        <f t="shared" si="335"/>
        <v>0.83874436623059367</v>
      </c>
      <c r="AJ119" s="173">
        <f t="shared" si="336"/>
        <v>1</v>
      </c>
      <c r="AK119" s="173">
        <f t="shared" si="337"/>
        <v>1.140698422376712</v>
      </c>
      <c r="AM119" s="545">
        <f t="shared" si="338"/>
        <v>90</v>
      </c>
      <c r="AN119" s="460">
        <f t="shared" si="339"/>
        <v>246.22223915924616</v>
      </c>
      <c r="AP119" s="460">
        <f t="shared" si="340"/>
        <v>90</v>
      </c>
      <c r="AQ119" s="460">
        <f t="shared" si="341"/>
        <v>246.22223915924616</v>
      </c>
      <c r="AS119" s="5">
        <f t="shared" si="285"/>
        <v>4.0613715617834263</v>
      </c>
      <c r="AT119" s="5">
        <f t="shared" si="342"/>
        <v>0.63240084346056857</v>
      </c>
      <c r="AU119" s="5">
        <f t="shared" si="343"/>
        <v>3.4289707183228577</v>
      </c>
      <c r="AV119" s="5"/>
      <c r="AW119" s="173">
        <f t="shared" si="344"/>
        <v>0.15571115172305713</v>
      </c>
      <c r="AX119" s="173">
        <f t="shared" si="214"/>
        <v>1.477333434955477</v>
      </c>
      <c r="AY119" s="173">
        <f t="shared" si="215"/>
        <v>0.42214442413847142</v>
      </c>
      <c r="AZ119" s="173">
        <f t="shared" si="288"/>
        <v>3.4995924391764168</v>
      </c>
      <c r="BA119" s="460">
        <f t="shared" si="433"/>
        <v>0.35572547444656982</v>
      </c>
      <c r="BB119" s="5">
        <f t="shared" si="434"/>
        <v>0.21684839744689666</v>
      </c>
      <c r="BD119" s="173">
        <f t="shared" si="289"/>
        <v>0.2278238732903535</v>
      </c>
      <c r="BE119" s="173">
        <f t="shared" si="218"/>
        <v>0.53049940253718875</v>
      </c>
      <c r="BG119" s="528">
        <f t="shared" si="347"/>
        <v>1.038074344820381E-3</v>
      </c>
      <c r="BH119" s="528">
        <f t="shared" si="348"/>
        <v>0.15902749342761377</v>
      </c>
      <c r="BI119" s="528">
        <f t="shared" si="349"/>
        <v>0.10745927794163231</v>
      </c>
      <c r="BJ119" s="528">
        <f t="shared" si="350"/>
        <v>0.15187897172965373</v>
      </c>
      <c r="BK119">
        <f t="shared" si="351"/>
        <v>8.5388880420376925E-3</v>
      </c>
      <c r="BL119" s="460">
        <f t="shared" si="427"/>
        <v>115.99816598366999</v>
      </c>
      <c r="BM119" s="528">
        <f t="shared" si="352"/>
        <v>0.31230184772173347</v>
      </c>
      <c r="BN119" s="460">
        <f t="shared" si="353"/>
        <v>312.30184772173345</v>
      </c>
      <c r="BO119" s="528">
        <f t="shared" si="354"/>
        <v>6.3E-2</v>
      </c>
      <c r="BR119" s="460">
        <f t="shared" si="355"/>
        <v>63</v>
      </c>
      <c r="BS119" s="528">
        <f t="shared" si="356"/>
        <v>1.5571115172305714E-3</v>
      </c>
      <c r="BT119" s="528">
        <f t="shared" si="357"/>
        <v>8.442888482769426E-3</v>
      </c>
      <c r="BU119" s="528">
        <f t="shared" si="358"/>
        <v>4.7565076061333818E-2</v>
      </c>
      <c r="BV119" s="528"/>
      <c r="BW119" s="528">
        <f t="shared" si="359"/>
        <v>1.2311111957962308E-3</v>
      </c>
      <c r="BX119" s="460">
        <f t="shared" si="360"/>
        <v>58.796187257130043</v>
      </c>
      <c r="BY119" s="173">
        <f t="shared" si="361"/>
        <v>0.54973889274288801</v>
      </c>
      <c r="BZ119" s="5">
        <f t="shared" si="362"/>
        <v>1.44</v>
      </c>
      <c r="CA119" s="173">
        <f t="shared" si="363"/>
        <v>0.7237130486075668</v>
      </c>
      <c r="CB119" s="5">
        <f t="shared" si="364"/>
        <v>72.37130486075668</v>
      </c>
      <c r="CE119" s="562">
        <f t="shared" si="365"/>
        <v>-50</v>
      </c>
      <c r="CF119">
        <f t="shared" si="366"/>
        <v>-50</v>
      </c>
      <c r="CG119" s="173">
        <f t="shared" si="367"/>
        <v>0.18223611058184927</v>
      </c>
      <c r="CI119" s="170">
        <v>9</v>
      </c>
      <c r="CJ119" s="217">
        <f t="shared" si="428"/>
        <v>0.09</v>
      </c>
      <c r="CK119" s="217"/>
      <c r="CL119" s="217">
        <f t="shared" si="368"/>
        <v>1.44</v>
      </c>
      <c r="CM119" s="541">
        <f t="shared" si="369"/>
        <v>19</v>
      </c>
      <c r="CN119" s="443">
        <f t="shared" si="370"/>
        <v>16.399999999999999</v>
      </c>
      <c r="CO119" s="443">
        <f t="shared" si="371"/>
        <v>35.4</v>
      </c>
      <c r="CP119" s="443"/>
      <c r="CQ119" s="217">
        <f t="shared" si="372"/>
        <v>0.4632768361581921</v>
      </c>
      <c r="CR119" s="172">
        <f t="shared" si="429"/>
        <v>22.214703389830511</v>
      </c>
      <c r="CS119" s="172">
        <f t="shared" si="373"/>
        <v>1.44</v>
      </c>
      <c r="CT119" s="217">
        <f t="shared" si="374"/>
        <v>1.3884189618644069</v>
      </c>
      <c r="CU119" s="217">
        <f t="shared" si="375"/>
        <v>16</v>
      </c>
      <c r="CV119" s="217"/>
      <c r="CW119" s="172">
        <f t="shared" si="376"/>
        <v>508.79270336478999</v>
      </c>
      <c r="CX119" s="172">
        <f t="shared" si="377"/>
        <v>16</v>
      </c>
      <c r="CY119" s="217">
        <f t="shared" si="378"/>
        <v>0.327188703465982</v>
      </c>
      <c r="CZ119" s="217">
        <f t="shared" si="379"/>
        <v>0.20664549692588335</v>
      </c>
      <c r="DA119" s="217">
        <f t="shared" si="380"/>
        <v>0.23940636838974294</v>
      </c>
      <c r="DB119" s="197">
        <f t="shared" si="381"/>
        <v>350</v>
      </c>
      <c r="DC119" s="443">
        <f t="shared" si="382"/>
        <v>350</v>
      </c>
      <c r="DE119" s="217">
        <f t="shared" si="383"/>
        <v>2.0957761635727734</v>
      </c>
      <c r="DF119" s="173">
        <f t="shared" si="384"/>
        <v>1.5334947538337369</v>
      </c>
      <c r="DG119" s="173">
        <f t="shared" si="385"/>
        <v>0.5624258066085126</v>
      </c>
      <c r="DH119" s="173"/>
      <c r="DI119" s="173">
        <f t="shared" si="386"/>
        <v>0.73170731707317083</v>
      </c>
      <c r="DJ119" s="545">
        <f t="shared" si="387"/>
        <v>245.99999999999997</v>
      </c>
      <c r="DK119" s="528">
        <f t="shared" si="388"/>
        <v>0.12804878048780488</v>
      </c>
      <c r="DM119" s="173">
        <f t="shared" si="389"/>
        <v>0.8383657572069263</v>
      </c>
      <c r="DN119" s="173">
        <f t="shared" si="390"/>
        <v>1</v>
      </c>
      <c r="DO119" s="173">
        <f t="shared" si="391"/>
        <v>1.1405714285714286</v>
      </c>
      <c r="DQ119" s="545">
        <f t="shared" si="392"/>
        <v>90</v>
      </c>
      <c r="DR119" s="460">
        <f t="shared" si="393"/>
        <v>245.99999999999997</v>
      </c>
      <c r="DT119">
        <f t="shared" si="430"/>
        <v>90</v>
      </c>
      <c r="DU119">
        <f t="shared" si="431"/>
        <v>245.99999999999997</v>
      </c>
      <c r="DW119" s="5">
        <f t="shared" si="394"/>
        <v>4.0650406504065044</v>
      </c>
      <c r="DX119" s="5">
        <f t="shared" si="395"/>
        <v>0.63157894736842113</v>
      </c>
      <c r="DY119" s="5">
        <f t="shared" si="396"/>
        <v>3.4334617030380832</v>
      </c>
      <c r="DZ119" s="5"/>
      <c r="EA119" s="173">
        <f t="shared" si="397"/>
        <v>0.15536842105263157</v>
      </c>
      <c r="EB119" s="173">
        <f t="shared" si="398"/>
        <v>1.476</v>
      </c>
      <c r="EC119" s="173">
        <f t="shared" si="399"/>
        <v>0.4223157894736842</v>
      </c>
      <c r="ED119" s="173">
        <f t="shared" si="400"/>
        <v>3.4950149551345961</v>
      </c>
      <c r="EE119" s="460">
        <f t="shared" si="401"/>
        <v>0.35526315789473689</v>
      </c>
      <c r="EF119" s="5">
        <f t="shared" si="402"/>
        <v>0.21685021282345782</v>
      </c>
      <c r="EH119" s="173">
        <f t="shared" si="403"/>
        <v>0.22757300737172351</v>
      </c>
      <c r="EI119" s="173">
        <f t="shared" si="404"/>
        <v>0.53060706709308236</v>
      </c>
      <c r="EK119" s="528">
        <f t="shared" si="405"/>
        <v>1.0357894736842104E-3</v>
      </c>
      <c r="EL119" s="528">
        <f t="shared" si="406"/>
        <v>0.16545959999999998</v>
      </c>
      <c r="EM119" s="528">
        <f t="shared" si="407"/>
        <v>2.8289999999999999E-2</v>
      </c>
      <c r="EN119" s="528">
        <f t="shared" si="408"/>
        <v>0.15182659979999996</v>
      </c>
      <c r="EO119">
        <f t="shared" si="409"/>
        <v>8.5500000000000003E-3</v>
      </c>
      <c r="EP119" s="460">
        <f t="shared" si="410"/>
        <v>36.839999999999996</v>
      </c>
      <c r="EQ119" s="460"/>
      <c r="ER119" s="460">
        <f t="shared" si="432"/>
        <v>355.16198927368418</v>
      </c>
      <c r="ES119" s="528">
        <f t="shared" si="411"/>
        <v>6.3E-2</v>
      </c>
      <c r="EV119" s="460">
        <f t="shared" si="412"/>
        <v>63</v>
      </c>
      <c r="EW119" s="528">
        <f t="shared" si="413"/>
        <v>1.5536842105263156E-3</v>
      </c>
      <c r="EX119" s="528">
        <f t="shared" si="414"/>
        <v>8.4463157894736837E-3</v>
      </c>
      <c r="EY119" s="528">
        <f t="shared" si="415"/>
        <v>4.745781861232138E-2</v>
      </c>
      <c r="EZ119" s="528"/>
      <c r="FA119" s="528">
        <f t="shared" si="416"/>
        <v>1.23E-3</v>
      </c>
      <c r="FB119" s="460">
        <f t="shared" si="417"/>
        <v>58.687818612321387</v>
      </c>
      <c r="FC119" s="173">
        <f t="shared" si="418"/>
        <v>0.47684980788600562</v>
      </c>
      <c r="FD119" s="5">
        <f t="shared" si="419"/>
        <v>1.44</v>
      </c>
      <c r="FE119" s="173">
        <f t="shared" si="420"/>
        <v>0.75123256609661104</v>
      </c>
      <c r="FF119" s="5">
        <f t="shared" si="421"/>
        <v>75.123256609661098</v>
      </c>
      <c r="FI119" s="562">
        <f t="shared" si="422"/>
        <v>-50</v>
      </c>
      <c r="FJ119">
        <f t="shared" si="423"/>
        <v>-50</v>
      </c>
      <c r="FL119">
        <f t="shared" si="424"/>
        <v>0.18000000000000002</v>
      </c>
    </row>
    <row r="120" spans="5:168">
      <c r="E120" s="170">
        <v>10</v>
      </c>
      <c r="F120" s="217">
        <f t="shared" si="425"/>
        <v>0.1</v>
      </c>
      <c r="G120" s="217"/>
      <c r="H120" s="217">
        <f t="shared" si="315"/>
        <v>1.6</v>
      </c>
      <c r="I120" s="541">
        <f t="shared" si="316"/>
        <v>18.975306760083761</v>
      </c>
      <c r="J120" s="172">
        <f t="shared" si="317"/>
        <v>16.414815943949744</v>
      </c>
      <c r="K120" s="172">
        <f t="shared" si="318"/>
        <v>35.390122704033502</v>
      </c>
      <c r="L120" s="443"/>
      <c r="M120" s="217">
        <f t="shared" si="319"/>
        <v>0.46382757039320865</v>
      </c>
      <c r="N120" s="172">
        <f t="shared" si="426"/>
        <v>22.21220625274859</v>
      </c>
      <c r="O120" s="172">
        <f t="shared" si="284"/>
        <v>1.6</v>
      </c>
      <c r="P120" s="217">
        <f t="shared" si="320"/>
        <v>1.3882628907967869</v>
      </c>
      <c r="Q120" s="217">
        <f t="shared" si="321"/>
        <v>16</v>
      </c>
      <c r="R120" s="217"/>
      <c r="S120" s="172">
        <f t="shared" si="322"/>
        <v>455.42401367430938</v>
      </c>
      <c r="T120" s="172">
        <f t="shared" si="323"/>
        <v>16</v>
      </c>
      <c r="U120" s="217">
        <f t="shared" si="324"/>
        <v>0.37301433075675394</v>
      </c>
      <c r="V120" s="217">
        <f t="shared" si="325"/>
        <v>0.23589457739345074</v>
      </c>
      <c r="W120" s="217">
        <f t="shared" si="326"/>
        <v>0.27269096311316837</v>
      </c>
      <c r="X120" s="197">
        <f t="shared" si="327"/>
        <v>350</v>
      </c>
      <c r="Y120" s="443">
        <f t="shared" si="328"/>
        <v>350</v>
      </c>
      <c r="AA120" s="217">
        <f t="shared" si="329"/>
        <v>2.0955279807442979</v>
      </c>
      <c r="AB120" s="173">
        <f t="shared" si="330"/>
        <v>1.5319291946249411</v>
      </c>
      <c r="AC120" s="173">
        <f t="shared" si="331"/>
        <v>0.56178508607473721</v>
      </c>
      <c r="AD120" s="173"/>
      <c r="AE120" s="173">
        <f t="shared" si="332"/>
        <v>0.7310468811210169</v>
      </c>
      <c r="AF120" s="545">
        <f t="shared" si="333"/>
        <v>273.58026573249577</v>
      </c>
      <c r="AG120" s="528">
        <f t="shared" si="334"/>
        <v>0.12793320419617796</v>
      </c>
      <c r="AI120" s="173">
        <f t="shared" si="335"/>
        <v>0.88411419064103081</v>
      </c>
      <c r="AJ120" s="173">
        <f t="shared" si="336"/>
        <v>1</v>
      </c>
      <c r="AK120" s="173">
        <f t="shared" si="337"/>
        <v>1.156331580418569</v>
      </c>
      <c r="AM120" s="545">
        <f t="shared" si="338"/>
        <v>100</v>
      </c>
      <c r="AN120" s="460">
        <f t="shared" si="339"/>
        <v>273.58026573249577</v>
      </c>
      <c r="AP120" s="460">
        <f t="shared" si="340"/>
        <v>100</v>
      </c>
      <c r="AQ120" s="460">
        <f t="shared" si="341"/>
        <v>273.58026573249577</v>
      </c>
      <c r="AS120" s="5">
        <f t="shared" si="285"/>
        <v>3.6552344056050838</v>
      </c>
      <c r="AT120" s="5">
        <f t="shared" si="342"/>
        <v>0.63240084346056857</v>
      </c>
      <c r="AU120" s="5">
        <f t="shared" si="343"/>
        <v>3.0228335621445153</v>
      </c>
      <c r="AV120" s="5"/>
      <c r="AW120" s="173">
        <f t="shared" si="344"/>
        <v>0.17301239080339681</v>
      </c>
      <c r="AX120" s="173">
        <f t="shared" si="214"/>
        <v>1.6414815943949745</v>
      </c>
      <c r="AY120" s="173">
        <f t="shared" si="215"/>
        <v>0.4134938045983016</v>
      </c>
      <c r="AZ120" s="173">
        <f t="shared" si="288"/>
        <v>3.9697852208200093</v>
      </c>
      <c r="BA120" s="460">
        <f t="shared" si="433"/>
        <v>0.39525052716285541</v>
      </c>
      <c r="BB120" s="5">
        <f t="shared" si="434"/>
        <v>0.21240472159345627</v>
      </c>
      <c r="BD120" s="173">
        <f t="shared" si="289"/>
        <v>0.24014744831970547</v>
      </c>
      <c r="BE120" s="173">
        <f t="shared" si="218"/>
        <v>0.52503574773425454</v>
      </c>
      <c r="BG120" s="528">
        <f t="shared" si="347"/>
        <v>1.1534159386893123E-3</v>
      </c>
      <c r="BH120" s="528">
        <f t="shared" si="348"/>
        <v>0.17669721491957091</v>
      </c>
      <c r="BI120" s="528">
        <f t="shared" si="349"/>
        <v>0.1193991977129248</v>
      </c>
      <c r="BJ120" s="528">
        <f t="shared" si="350"/>
        <v>0.16875441303294861</v>
      </c>
      <c r="BK120">
        <f t="shared" si="351"/>
        <v>8.5388880420376925E-3</v>
      </c>
      <c r="BL120" s="460">
        <f t="shared" si="427"/>
        <v>127.93808575496249</v>
      </c>
      <c r="BM120" s="528">
        <f t="shared" si="352"/>
        <v>0.34701156527871868</v>
      </c>
      <c r="BN120" s="460">
        <f t="shared" si="353"/>
        <v>347.01156527871871</v>
      </c>
      <c r="BO120" s="528">
        <f t="shared" si="354"/>
        <v>6.9999999999999993E-2</v>
      </c>
      <c r="BR120" s="460">
        <f t="shared" si="355"/>
        <v>69.999999999999986</v>
      </c>
      <c r="BS120" s="528">
        <f t="shared" si="356"/>
        <v>1.7301239080339684E-3</v>
      </c>
      <c r="BT120" s="528">
        <f t="shared" si="357"/>
        <v>8.2698760919660327E-3</v>
      </c>
      <c r="BU120" s="528">
        <f t="shared" si="358"/>
        <v>6.1898756145253392E-2</v>
      </c>
      <c r="BV120" s="528"/>
      <c r="BW120" s="528">
        <f t="shared" si="359"/>
        <v>1.3679013286624789E-3</v>
      </c>
      <c r="BX120" s="460">
        <f t="shared" si="360"/>
        <v>73.266657473915885</v>
      </c>
      <c r="BY120" s="173">
        <f t="shared" si="361"/>
        <v>0.61780978712008727</v>
      </c>
      <c r="BZ120" s="5">
        <f t="shared" si="362"/>
        <v>1.6</v>
      </c>
      <c r="CA120" s="173">
        <f t="shared" si="363"/>
        <v>0.72143247328602633</v>
      </c>
      <c r="CB120" s="5">
        <f t="shared" si="364"/>
        <v>72.143247328602627</v>
      </c>
      <c r="CE120" s="562">
        <f t="shared" si="365"/>
        <v>-50</v>
      </c>
      <c r="CF120">
        <f t="shared" si="366"/>
        <v>-50</v>
      </c>
      <c r="CG120" s="173">
        <f t="shared" si="367"/>
        <v>0.20248456731316589</v>
      </c>
      <c r="CI120" s="170">
        <v>10</v>
      </c>
      <c r="CJ120" s="217">
        <f t="shared" si="428"/>
        <v>0.1</v>
      </c>
      <c r="CK120" s="217"/>
      <c r="CL120" s="217">
        <f t="shared" si="368"/>
        <v>1.6</v>
      </c>
      <c r="CM120" s="541">
        <f t="shared" si="369"/>
        <v>19</v>
      </c>
      <c r="CN120" s="443">
        <f t="shared" si="370"/>
        <v>16.399999999999999</v>
      </c>
      <c r="CO120" s="443">
        <f t="shared" si="371"/>
        <v>35.4</v>
      </c>
      <c r="CP120" s="443"/>
      <c r="CQ120" s="217">
        <f t="shared" si="372"/>
        <v>0.4632768361581921</v>
      </c>
      <c r="CR120" s="172">
        <f t="shared" si="429"/>
        <v>22.214703389830511</v>
      </c>
      <c r="CS120" s="172">
        <f t="shared" si="373"/>
        <v>1.6</v>
      </c>
      <c r="CT120" s="217">
        <f t="shared" si="374"/>
        <v>1.3884189618644069</v>
      </c>
      <c r="CU120" s="217">
        <f t="shared" si="375"/>
        <v>16</v>
      </c>
      <c r="CV120" s="217"/>
      <c r="CW120" s="172">
        <f t="shared" si="376"/>
        <v>456.01665145207966</v>
      </c>
      <c r="CX120" s="172">
        <f t="shared" si="377"/>
        <v>16</v>
      </c>
      <c r="CY120" s="217">
        <f t="shared" si="378"/>
        <v>0.36354300385109112</v>
      </c>
      <c r="CZ120" s="217">
        <f t="shared" si="379"/>
        <v>0.22960610769542594</v>
      </c>
      <c r="DA120" s="217">
        <f t="shared" si="380"/>
        <v>0.26600707598860329</v>
      </c>
      <c r="DB120" s="197">
        <f t="shared" si="381"/>
        <v>350</v>
      </c>
      <c r="DC120" s="443">
        <f t="shared" si="382"/>
        <v>350</v>
      </c>
      <c r="DE120" s="217">
        <f t="shared" si="383"/>
        <v>2.0957761635727734</v>
      </c>
      <c r="DF120" s="173">
        <f t="shared" si="384"/>
        <v>1.5334947538337369</v>
      </c>
      <c r="DG120" s="173">
        <f t="shared" si="385"/>
        <v>0.5624258066085126</v>
      </c>
      <c r="DH120" s="173"/>
      <c r="DI120" s="173">
        <f t="shared" si="386"/>
        <v>0.73170731707317083</v>
      </c>
      <c r="DJ120" s="545">
        <f t="shared" si="387"/>
        <v>273.33333333333331</v>
      </c>
      <c r="DK120" s="528">
        <f t="shared" si="388"/>
        <v>0.12804878048780488</v>
      </c>
      <c r="DM120" s="173">
        <f t="shared" si="389"/>
        <v>0.88371510168853684</v>
      </c>
      <c r="DN120" s="173">
        <f t="shared" si="390"/>
        <v>1</v>
      </c>
      <c r="DO120" s="173">
        <f t="shared" si="391"/>
        <v>1.1561904761904762</v>
      </c>
      <c r="DQ120" s="545">
        <f t="shared" si="392"/>
        <v>100</v>
      </c>
      <c r="DR120" s="460">
        <f t="shared" si="393"/>
        <v>273.33333333333331</v>
      </c>
      <c r="DT120">
        <f t="shared" si="430"/>
        <v>100</v>
      </c>
      <c r="DU120">
        <f t="shared" si="431"/>
        <v>273.33333333333331</v>
      </c>
      <c r="DW120" s="5">
        <f t="shared" si="394"/>
        <v>3.6585365853658538</v>
      </c>
      <c r="DX120" s="5">
        <f t="shared" si="395"/>
        <v>0.63157894736842113</v>
      </c>
      <c r="DY120" s="5">
        <f t="shared" si="396"/>
        <v>3.0269576379974326</v>
      </c>
      <c r="DZ120" s="5"/>
      <c r="EA120" s="173">
        <f t="shared" si="397"/>
        <v>0.17263157894736844</v>
      </c>
      <c r="EB120" s="173">
        <f t="shared" si="398"/>
        <v>1.64</v>
      </c>
      <c r="EC120" s="173">
        <f t="shared" si="399"/>
        <v>0.41368421052631577</v>
      </c>
      <c r="ED120" s="173">
        <f t="shared" si="400"/>
        <v>3.9643765903307888</v>
      </c>
      <c r="EE120" s="460">
        <f t="shared" si="401"/>
        <v>0.39473684210526327</v>
      </c>
      <c r="EF120" s="5">
        <f t="shared" si="402"/>
        <v>0.21241807985946892</v>
      </c>
      <c r="EH120" s="173">
        <f t="shared" si="403"/>
        <v>0.23988301242297841</v>
      </c>
      <c r="EI120" s="173">
        <f t="shared" si="404"/>
        <v>0.52515661824279669</v>
      </c>
      <c r="EK120" s="528">
        <f t="shared" si="405"/>
        <v>1.1508771929824562E-3</v>
      </c>
      <c r="EL120" s="528">
        <f t="shared" si="406"/>
        <v>0.18384399999999998</v>
      </c>
      <c r="EM120" s="528">
        <f t="shared" si="407"/>
        <v>3.1433333333333334E-2</v>
      </c>
      <c r="EN120" s="528">
        <f t="shared" si="408"/>
        <v>0.16869622199999998</v>
      </c>
      <c r="EO120">
        <f t="shared" si="409"/>
        <v>8.5500000000000003E-3</v>
      </c>
      <c r="EP120" s="460">
        <f t="shared" si="410"/>
        <v>39.983333333333334</v>
      </c>
      <c r="EQ120" s="460"/>
      <c r="ER120" s="460">
        <f t="shared" si="432"/>
        <v>393.6744325263158</v>
      </c>
      <c r="ES120" s="528">
        <f t="shared" si="411"/>
        <v>6.9999999999999993E-2</v>
      </c>
      <c r="EV120" s="460">
        <f t="shared" si="412"/>
        <v>69.999999999999986</v>
      </c>
      <c r="EW120" s="528">
        <f t="shared" si="413"/>
        <v>1.7263157894736843E-3</v>
      </c>
      <c r="EX120" s="528">
        <f t="shared" si="414"/>
        <v>8.273684210526315E-3</v>
      </c>
      <c r="EY120" s="528">
        <f t="shared" si="415"/>
        <v>6.1759176789328012E-2</v>
      </c>
      <c r="EZ120" s="528"/>
      <c r="FA120" s="528">
        <f t="shared" si="416"/>
        <v>1.3666666666666666E-3</v>
      </c>
      <c r="FB120" s="460">
        <f t="shared" si="417"/>
        <v>73.125843455994683</v>
      </c>
      <c r="FC120" s="173">
        <f t="shared" si="418"/>
        <v>0.53680027598231039</v>
      </c>
      <c r="FD120" s="5">
        <f t="shared" si="419"/>
        <v>1.6</v>
      </c>
      <c r="FE120" s="173">
        <f t="shared" si="420"/>
        <v>0.74878313054525536</v>
      </c>
      <c r="FF120" s="5">
        <f t="shared" si="421"/>
        <v>74.878313054525535</v>
      </c>
      <c r="FI120" s="562">
        <f t="shared" si="422"/>
        <v>-50</v>
      </c>
      <c r="FJ120">
        <f t="shared" si="423"/>
        <v>-50</v>
      </c>
      <c r="FL120">
        <f t="shared" si="424"/>
        <v>0.2</v>
      </c>
    </row>
    <row r="121" spans="5:168">
      <c r="E121" s="170">
        <v>11</v>
      </c>
      <c r="F121" s="217">
        <f t="shared" si="425"/>
        <v>0.11</v>
      </c>
      <c r="G121" s="217"/>
      <c r="H121" s="217">
        <f t="shared" si="315"/>
        <v>1.76</v>
      </c>
      <c r="I121" s="541">
        <f t="shared" si="316"/>
        <v>18.975306760083761</v>
      </c>
      <c r="J121" s="172">
        <f t="shared" si="317"/>
        <v>16.414815943949744</v>
      </c>
      <c r="K121" s="172">
        <f t="shared" si="318"/>
        <v>35.390122704033502</v>
      </c>
      <c r="L121" s="443"/>
      <c r="M121" s="217">
        <f t="shared" si="319"/>
        <v>0.46382757039320865</v>
      </c>
      <c r="N121" s="172">
        <f t="shared" si="426"/>
        <v>22.21220625274859</v>
      </c>
      <c r="O121" s="172">
        <f t="shared" si="284"/>
        <v>1.76</v>
      </c>
      <c r="P121" s="217">
        <f t="shared" si="320"/>
        <v>1.3882628907967869</v>
      </c>
      <c r="Q121" s="217">
        <f t="shared" si="321"/>
        <v>16</v>
      </c>
      <c r="R121" s="217"/>
      <c r="S121" s="172">
        <f t="shared" si="322"/>
        <v>412.30005643791799</v>
      </c>
      <c r="T121" s="172">
        <f t="shared" si="323"/>
        <v>16</v>
      </c>
      <c r="U121" s="217">
        <f t="shared" si="324"/>
        <v>0.41031576383242935</v>
      </c>
      <c r="V121" s="217">
        <f t="shared" si="325"/>
        <v>0.25948403513279578</v>
      </c>
      <c r="W121" s="217">
        <f t="shared" si="326"/>
        <v>0.29996005942448523</v>
      </c>
      <c r="X121" s="197">
        <f t="shared" si="327"/>
        <v>350</v>
      </c>
      <c r="Y121" s="443">
        <f t="shared" si="328"/>
        <v>350</v>
      </c>
      <c r="AA121" s="217">
        <f t="shared" si="329"/>
        <v>2.0955279807442979</v>
      </c>
      <c r="AB121" s="173">
        <f t="shared" si="330"/>
        <v>1.5319291946249411</v>
      </c>
      <c r="AC121" s="173">
        <f t="shared" si="331"/>
        <v>0.56178508607473721</v>
      </c>
      <c r="AD121" s="173"/>
      <c r="AE121" s="173">
        <f t="shared" si="332"/>
        <v>0.7310468811210169</v>
      </c>
      <c r="AF121" s="545">
        <f t="shared" si="333"/>
        <v>300.93829230574528</v>
      </c>
      <c r="AG121" s="528">
        <f t="shared" si="334"/>
        <v>0.12793320419617796</v>
      </c>
      <c r="AI121" s="173">
        <f t="shared" si="335"/>
        <v>0.92726678593710532</v>
      </c>
      <c r="AJ121" s="173">
        <f t="shared" si="336"/>
        <v>1</v>
      </c>
      <c r="AK121" s="173">
        <f t="shared" si="337"/>
        <v>1.1719647384604259</v>
      </c>
      <c r="AM121" s="545">
        <f t="shared" si="338"/>
        <v>110</v>
      </c>
      <c r="AN121" s="460">
        <f t="shared" si="339"/>
        <v>300.93829230574528</v>
      </c>
      <c r="AP121" s="460">
        <f t="shared" si="340"/>
        <v>110</v>
      </c>
      <c r="AQ121" s="460">
        <f t="shared" si="341"/>
        <v>300.93829230574528</v>
      </c>
      <c r="AS121" s="5">
        <f t="shared" si="285"/>
        <v>3.3229403687318948</v>
      </c>
      <c r="AT121" s="5">
        <f t="shared" si="342"/>
        <v>0.63240084346056857</v>
      </c>
      <c r="AU121" s="5">
        <f t="shared" si="343"/>
        <v>2.6905395252713262</v>
      </c>
      <c r="AV121" s="5"/>
      <c r="AW121" s="173">
        <f t="shared" si="344"/>
        <v>0.19031362988373646</v>
      </c>
      <c r="AX121" s="173">
        <f t="shared" si="214"/>
        <v>1.8056297538344717</v>
      </c>
      <c r="AY121" s="173">
        <f t="shared" si="215"/>
        <v>0.40484318505813177</v>
      </c>
      <c r="AZ121" s="173">
        <f t="shared" si="288"/>
        <v>4.4600719994217011</v>
      </c>
      <c r="BA121" s="460">
        <f t="shared" si="433"/>
        <v>0.43477557987914089</v>
      </c>
      <c r="BB121" s="5">
        <f t="shared" si="434"/>
        <v>0.20796104574001587</v>
      </c>
      <c r="BD121" s="173">
        <f t="shared" si="289"/>
        <v>0.25186876866319124</v>
      </c>
      <c r="BE121" s="173">
        <f t="shared" si="218"/>
        <v>0.51951463569895817</v>
      </c>
      <c r="BG121" s="528">
        <f t="shared" si="347"/>
        <v>1.2687575325582429E-3</v>
      </c>
      <c r="BH121" s="528">
        <f t="shared" si="348"/>
        <v>0.19436693641152794</v>
      </c>
      <c r="BI121" s="528">
        <f t="shared" si="349"/>
        <v>0.13133911748421725</v>
      </c>
      <c r="BJ121" s="528">
        <f t="shared" si="350"/>
        <v>0.18562985433624341</v>
      </c>
      <c r="BK121">
        <f t="shared" si="351"/>
        <v>8.5388880420376925E-3</v>
      </c>
      <c r="BL121" s="460">
        <f t="shared" si="427"/>
        <v>139.87800552625495</v>
      </c>
      <c r="BM121" s="528">
        <f t="shared" si="352"/>
        <v>0.38172318586029752</v>
      </c>
      <c r="BN121" s="460">
        <f t="shared" si="353"/>
        <v>381.72318586029752</v>
      </c>
      <c r="BO121" s="528">
        <f t="shared" si="354"/>
        <v>7.6999999999999999E-2</v>
      </c>
      <c r="BR121" s="460">
        <f t="shared" si="355"/>
        <v>77</v>
      </c>
      <c r="BS121" s="528">
        <f t="shared" si="356"/>
        <v>1.9031362988373643E-3</v>
      </c>
      <c r="BT121" s="528">
        <f t="shared" si="357"/>
        <v>8.0968637011626359E-3</v>
      </c>
      <c r="BU121" s="528">
        <f t="shared" si="358"/>
        <v>7.8553155394400664E-2</v>
      </c>
      <c r="BV121" s="528"/>
      <c r="BW121" s="528">
        <f t="shared" si="359"/>
        <v>1.5046914615287265E-3</v>
      </c>
      <c r="BX121" s="460">
        <f t="shared" si="360"/>
        <v>90.057846855929384</v>
      </c>
      <c r="BY121" s="173">
        <f t="shared" si="361"/>
        <v>0.6882014006625139</v>
      </c>
      <c r="BZ121" s="5">
        <f t="shared" si="362"/>
        <v>1.76</v>
      </c>
      <c r="CA121" s="173">
        <f t="shared" si="363"/>
        <v>0.71889510377852162</v>
      </c>
      <c r="CB121" s="5">
        <f t="shared" si="364"/>
        <v>71.889510377852162</v>
      </c>
      <c r="CE121" s="562">
        <f t="shared" si="365"/>
        <v>-50</v>
      </c>
      <c r="CF121">
        <f t="shared" si="366"/>
        <v>-50</v>
      </c>
      <c r="CG121" s="173">
        <f t="shared" si="367"/>
        <v>0.22273302404448245</v>
      </c>
      <c r="CI121" s="170">
        <v>11</v>
      </c>
      <c r="CJ121" s="217">
        <f t="shared" si="428"/>
        <v>0.11</v>
      </c>
      <c r="CK121" s="217"/>
      <c r="CL121" s="217">
        <f t="shared" si="368"/>
        <v>1.76</v>
      </c>
      <c r="CM121" s="541">
        <f t="shared" si="369"/>
        <v>19</v>
      </c>
      <c r="CN121" s="443">
        <f t="shared" si="370"/>
        <v>16.399999999999999</v>
      </c>
      <c r="CO121" s="443">
        <f t="shared" si="371"/>
        <v>35.4</v>
      </c>
      <c r="CP121" s="443"/>
      <c r="CQ121" s="217">
        <f t="shared" si="372"/>
        <v>0.4632768361581921</v>
      </c>
      <c r="CR121" s="172">
        <f t="shared" si="429"/>
        <v>22.214703389830511</v>
      </c>
      <c r="CS121" s="172">
        <f t="shared" si="373"/>
        <v>1.76</v>
      </c>
      <c r="CT121" s="217">
        <f t="shared" si="374"/>
        <v>1.3884189618644069</v>
      </c>
      <c r="CU121" s="217">
        <f t="shared" si="375"/>
        <v>16</v>
      </c>
      <c r="CV121" s="217"/>
      <c r="CW121" s="172">
        <f t="shared" si="376"/>
        <v>412.83657322032894</v>
      </c>
      <c r="CX121" s="172">
        <f t="shared" si="377"/>
        <v>16</v>
      </c>
      <c r="CY121" s="217">
        <f t="shared" si="378"/>
        <v>0.39989730423620024</v>
      </c>
      <c r="CZ121" s="217">
        <f t="shared" si="379"/>
        <v>0.25256671846496859</v>
      </c>
      <c r="DA121" s="217">
        <f t="shared" si="380"/>
        <v>0.29260778358746359</v>
      </c>
      <c r="DB121" s="197">
        <f t="shared" si="381"/>
        <v>350</v>
      </c>
      <c r="DC121" s="443">
        <f t="shared" si="382"/>
        <v>350</v>
      </c>
      <c r="DE121" s="217">
        <f t="shared" si="383"/>
        <v>2.0957761635727734</v>
      </c>
      <c r="DF121" s="173">
        <f t="shared" si="384"/>
        <v>1.5334947538337369</v>
      </c>
      <c r="DG121" s="173">
        <f t="shared" si="385"/>
        <v>0.5624258066085126</v>
      </c>
      <c r="DH121" s="173"/>
      <c r="DI121" s="173">
        <f t="shared" si="386"/>
        <v>0.73170731707317083</v>
      </c>
      <c r="DJ121" s="545">
        <f t="shared" si="387"/>
        <v>300.66666666666663</v>
      </c>
      <c r="DK121" s="528">
        <f t="shared" si="388"/>
        <v>0.12804878048780488</v>
      </c>
      <c r="DM121" s="173">
        <f t="shared" si="389"/>
        <v>0.9268482179125227</v>
      </c>
      <c r="DN121" s="173">
        <f t="shared" si="390"/>
        <v>1</v>
      </c>
      <c r="DO121" s="173">
        <f t="shared" si="391"/>
        <v>1.1718095238095239</v>
      </c>
      <c r="DQ121" s="545">
        <f t="shared" si="392"/>
        <v>110</v>
      </c>
      <c r="DR121" s="460">
        <f t="shared" si="393"/>
        <v>300.66666666666663</v>
      </c>
      <c r="DT121">
        <f t="shared" si="430"/>
        <v>110</v>
      </c>
      <c r="DU121">
        <f t="shared" si="431"/>
        <v>300.66666666666663</v>
      </c>
      <c r="DW121" s="5">
        <f t="shared" si="394"/>
        <v>3.3259423503325944</v>
      </c>
      <c r="DX121" s="5">
        <f t="shared" si="395"/>
        <v>0.63157894736842113</v>
      </c>
      <c r="DY121" s="5">
        <f t="shared" si="396"/>
        <v>2.6943634029641732</v>
      </c>
      <c r="DZ121" s="5"/>
      <c r="EA121" s="173">
        <f t="shared" si="397"/>
        <v>0.18989473684210528</v>
      </c>
      <c r="EB121" s="173">
        <f t="shared" si="398"/>
        <v>1.8039999999999998</v>
      </c>
      <c r="EC121" s="173">
        <f t="shared" si="399"/>
        <v>0.40505263157894733</v>
      </c>
      <c r="ED121" s="173">
        <f t="shared" si="400"/>
        <v>4.4537422037422036</v>
      </c>
      <c r="EE121" s="460">
        <f t="shared" si="401"/>
        <v>0.43421052631578955</v>
      </c>
      <c r="EF121" s="5">
        <f t="shared" si="402"/>
        <v>0.20798594689548003</v>
      </c>
      <c r="EH121" s="173">
        <f t="shared" si="403"/>
        <v>0.25159142595493011</v>
      </c>
      <c r="EI121" s="173">
        <f t="shared" si="404"/>
        <v>0.51964900434745209</v>
      </c>
      <c r="EK121" s="528">
        <f t="shared" si="405"/>
        <v>1.2659649122807016E-3</v>
      </c>
      <c r="EL121" s="528">
        <f t="shared" si="406"/>
        <v>0.20222839999999997</v>
      </c>
      <c r="EM121" s="528">
        <f t="shared" si="407"/>
        <v>3.4576666666666665E-2</v>
      </c>
      <c r="EN121" s="528">
        <f t="shared" si="408"/>
        <v>0.18556584419999994</v>
      </c>
      <c r="EO121">
        <f t="shared" si="409"/>
        <v>8.5500000000000003E-3</v>
      </c>
      <c r="EP121" s="460">
        <f t="shared" si="410"/>
        <v>43.126666666666665</v>
      </c>
      <c r="EQ121" s="460"/>
      <c r="ER121" s="460">
        <f t="shared" si="432"/>
        <v>432.18687577894724</v>
      </c>
      <c r="ES121" s="528">
        <f t="shared" si="411"/>
        <v>7.6999999999999999E-2</v>
      </c>
      <c r="EV121" s="460">
        <f t="shared" si="412"/>
        <v>77</v>
      </c>
      <c r="EW121" s="528">
        <f t="shared" si="413"/>
        <v>1.8989473684210521E-3</v>
      </c>
      <c r="EX121" s="528">
        <f t="shared" si="414"/>
        <v>8.1010526315789481E-3</v>
      </c>
      <c r="EY121" s="528">
        <f t="shared" si="415"/>
        <v>7.8376020997545787E-2</v>
      </c>
      <c r="EZ121" s="528"/>
      <c r="FA121" s="528">
        <f t="shared" si="416"/>
        <v>1.5033333333333333E-3</v>
      </c>
      <c r="FB121" s="460">
        <f t="shared" si="417"/>
        <v>89.87935433087911</v>
      </c>
      <c r="FC121" s="173">
        <f t="shared" si="418"/>
        <v>0.59906623010982629</v>
      </c>
      <c r="FD121" s="5">
        <f t="shared" si="419"/>
        <v>1.76</v>
      </c>
      <c r="FE121" s="173">
        <f t="shared" si="420"/>
        <v>0.74605790101877012</v>
      </c>
      <c r="FF121" s="5">
        <f t="shared" si="421"/>
        <v>74.605790101877005</v>
      </c>
      <c r="FI121" s="562">
        <f t="shared" si="422"/>
        <v>-50</v>
      </c>
      <c r="FJ121">
        <f t="shared" si="423"/>
        <v>-50</v>
      </c>
      <c r="FL121">
        <f t="shared" si="424"/>
        <v>0.22</v>
      </c>
    </row>
    <row r="122" spans="5:168">
      <c r="E122" s="170">
        <v>12</v>
      </c>
      <c r="F122" s="217">
        <f t="shared" si="425"/>
        <v>0.12</v>
      </c>
      <c r="G122" s="217"/>
      <c r="H122" s="217">
        <f t="shared" si="315"/>
        <v>1.92</v>
      </c>
      <c r="I122" s="541">
        <f t="shared" si="316"/>
        <v>18.975306760083761</v>
      </c>
      <c r="J122" s="172">
        <f t="shared" si="317"/>
        <v>16.414815943949744</v>
      </c>
      <c r="K122" s="172">
        <f t="shared" si="318"/>
        <v>35.390122704033502</v>
      </c>
      <c r="L122" s="443"/>
      <c r="M122" s="217">
        <f t="shared" si="319"/>
        <v>0.46382757039320865</v>
      </c>
      <c r="N122" s="172">
        <f t="shared" si="426"/>
        <v>22.21220625274859</v>
      </c>
      <c r="O122" s="172">
        <f t="shared" si="284"/>
        <v>1.92</v>
      </c>
      <c r="P122" s="217">
        <f t="shared" si="320"/>
        <v>1.3882628907967869</v>
      </c>
      <c r="Q122" s="217">
        <f t="shared" si="321"/>
        <v>16</v>
      </c>
      <c r="R122" s="217"/>
      <c r="S122" s="172">
        <f t="shared" si="322"/>
        <v>376.36372965193488</v>
      </c>
      <c r="T122" s="172">
        <f t="shared" si="323"/>
        <v>16</v>
      </c>
      <c r="U122" s="217">
        <f t="shared" si="324"/>
        <v>0.4476171969081047</v>
      </c>
      <c r="V122" s="217">
        <f t="shared" si="325"/>
        <v>0.2830734928721409</v>
      </c>
      <c r="W122" s="217">
        <f t="shared" si="326"/>
        <v>0.32722915573580202</v>
      </c>
      <c r="X122" s="197">
        <f t="shared" si="327"/>
        <v>350</v>
      </c>
      <c r="Y122" s="443">
        <f t="shared" si="328"/>
        <v>350</v>
      </c>
      <c r="AA122" s="217">
        <f t="shared" si="329"/>
        <v>2.0955279807442979</v>
      </c>
      <c r="AB122" s="173">
        <f t="shared" si="330"/>
        <v>1.5319291946249411</v>
      </c>
      <c r="AC122" s="173">
        <f t="shared" si="331"/>
        <v>0.56178508607473721</v>
      </c>
      <c r="AD122" s="173"/>
      <c r="AE122" s="173">
        <f t="shared" si="332"/>
        <v>0.7310468811210169</v>
      </c>
      <c r="AF122" s="545">
        <f t="shared" si="333"/>
        <v>328.29631887899484</v>
      </c>
      <c r="AG122" s="528">
        <f t="shared" si="334"/>
        <v>0.12793320419617796</v>
      </c>
      <c r="AI122" s="173">
        <f t="shared" si="335"/>
        <v>0.96849857124903072</v>
      </c>
      <c r="AJ122" s="173">
        <f t="shared" si="336"/>
        <v>1</v>
      </c>
      <c r="AK122" s="173">
        <f t="shared" si="337"/>
        <v>1.1875978965022829</v>
      </c>
      <c r="AM122" s="545">
        <f t="shared" si="338"/>
        <v>120</v>
      </c>
      <c r="AN122" s="460">
        <f t="shared" si="339"/>
        <v>328.29631887899484</v>
      </c>
      <c r="AP122" s="460">
        <f t="shared" si="340"/>
        <v>120</v>
      </c>
      <c r="AQ122" s="460">
        <f t="shared" si="341"/>
        <v>328.29631887899484</v>
      </c>
      <c r="AS122" s="5">
        <f t="shared" si="285"/>
        <v>3.0460286713375702</v>
      </c>
      <c r="AT122" s="5">
        <f t="shared" si="342"/>
        <v>0.63240084346056857</v>
      </c>
      <c r="AU122" s="5">
        <f t="shared" si="343"/>
        <v>2.4136278278770016</v>
      </c>
      <c r="AV122" s="5"/>
      <c r="AW122" s="173">
        <f t="shared" si="344"/>
        <v>0.20761486896407613</v>
      </c>
      <c r="AX122" s="173">
        <f t="shared" si="214"/>
        <v>1.9697779132739692</v>
      </c>
      <c r="AY122" s="173">
        <f t="shared" si="215"/>
        <v>0.39619256551796195</v>
      </c>
      <c r="AZ122" s="173">
        <f t="shared" si="288"/>
        <v>4.971768994955224</v>
      </c>
      <c r="BA122" s="460">
        <f t="shared" si="433"/>
        <v>0.47430063259542637</v>
      </c>
      <c r="BB122" s="5">
        <f t="shared" si="434"/>
        <v>0.20351736988657543</v>
      </c>
      <c r="BD122" s="173">
        <f t="shared" si="289"/>
        <v>0.26306834914401755</v>
      </c>
      <c r="BE122" s="173">
        <f t="shared" si="218"/>
        <v>0.51393421467340994</v>
      </c>
      <c r="BG122" s="528">
        <f t="shared" si="347"/>
        <v>1.3840991264271742E-3</v>
      </c>
      <c r="BH122" s="528">
        <f t="shared" si="348"/>
        <v>0.21203665790348503</v>
      </c>
      <c r="BI122" s="528">
        <f t="shared" si="349"/>
        <v>0.14327903725550972</v>
      </c>
      <c r="BJ122" s="528">
        <f t="shared" si="350"/>
        <v>0.20250529563953829</v>
      </c>
      <c r="BK122">
        <f t="shared" si="351"/>
        <v>8.5388880420376925E-3</v>
      </c>
      <c r="BL122" s="460">
        <f t="shared" si="427"/>
        <v>151.81792529754742</v>
      </c>
      <c r="BM122" s="528">
        <f t="shared" si="352"/>
        <v>0.41643670962297974</v>
      </c>
      <c r="BN122" s="460">
        <f t="shared" si="353"/>
        <v>416.43670962297972</v>
      </c>
      <c r="BO122" s="528">
        <f t="shared" si="354"/>
        <v>8.3999999999999991E-2</v>
      </c>
      <c r="BR122" s="460">
        <f t="shared" si="355"/>
        <v>83.999999999999986</v>
      </c>
      <c r="BS122" s="528">
        <f t="shared" si="356"/>
        <v>2.0761486896407615E-3</v>
      </c>
      <c r="BT122" s="528">
        <f t="shared" si="357"/>
        <v>7.9238513103592374E-3</v>
      </c>
      <c r="BU122" s="528">
        <f t="shared" si="358"/>
        <v>9.7641633664128299E-2</v>
      </c>
      <c r="BV122" s="528"/>
      <c r="BW122" s="528">
        <f t="shared" si="359"/>
        <v>1.6414815943949742E-3</v>
      </c>
      <c r="BX122" s="460">
        <f t="shared" si="360"/>
        <v>109.28311525852327</v>
      </c>
      <c r="BY122" s="173">
        <f t="shared" si="361"/>
        <v>0.76102709322552109</v>
      </c>
      <c r="BZ122" s="5">
        <f t="shared" si="362"/>
        <v>1.92</v>
      </c>
      <c r="CA122" s="173">
        <f t="shared" si="363"/>
        <v>0.71614345295185522</v>
      </c>
      <c r="CB122" s="5">
        <f t="shared" si="364"/>
        <v>71.614345295185515</v>
      </c>
      <c r="CE122" s="562">
        <f t="shared" si="365"/>
        <v>-50</v>
      </c>
      <c r="CF122">
        <f t="shared" si="366"/>
        <v>-50</v>
      </c>
      <c r="CG122" s="173">
        <f t="shared" si="367"/>
        <v>0.24298148077579901</v>
      </c>
      <c r="CI122" s="170">
        <v>12</v>
      </c>
      <c r="CJ122" s="217">
        <f t="shared" si="428"/>
        <v>0.12</v>
      </c>
      <c r="CK122" s="217"/>
      <c r="CL122" s="217">
        <f t="shared" si="368"/>
        <v>1.92</v>
      </c>
      <c r="CM122" s="541">
        <f t="shared" si="369"/>
        <v>19</v>
      </c>
      <c r="CN122" s="443">
        <f t="shared" si="370"/>
        <v>16.399999999999999</v>
      </c>
      <c r="CO122" s="443">
        <f t="shared" si="371"/>
        <v>35.4</v>
      </c>
      <c r="CP122" s="443"/>
      <c r="CQ122" s="217">
        <f t="shared" si="372"/>
        <v>0.4632768361581921</v>
      </c>
      <c r="CR122" s="172">
        <f t="shared" si="429"/>
        <v>22.214703389830511</v>
      </c>
      <c r="CS122" s="172">
        <f t="shared" si="373"/>
        <v>1.92</v>
      </c>
      <c r="CT122" s="217">
        <f t="shared" si="374"/>
        <v>1.3884189618644069</v>
      </c>
      <c r="CU122" s="217">
        <f t="shared" si="375"/>
        <v>16</v>
      </c>
      <c r="CV122" s="217"/>
      <c r="CW122" s="172">
        <f t="shared" si="376"/>
        <v>376.85347893946891</v>
      </c>
      <c r="CX122" s="172">
        <f t="shared" si="377"/>
        <v>16</v>
      </c>
      <c r="CY122" s="217">
        <f t="shared" si="378"/>
        <v>0.4362516046213093</v>
      </c>
      <c r="CZ122" s="217">
        <f t="shared" si="379"/>
        <v>0.27552732923451112</v>
      </c>
      <c r="DA122" s="217">
        <f t="shared" si="380"/>
        <v>0.31920849118632388</v>
      </c>
      <c r="DB122" s="197">
        <f t="shared" si="381"/>
        <v>350</v>
      </c>
      <c r="DC122" s="443">
        <f t="shared" si="382"/>
        <v>350</v>
      </c>
      <c r="DE122" s="217">
        <f t="shared" si="383"/>
        <v>2.0957761635727734</v>
      </c>
      <c r="DF122" s="173">
        <f t="shared" si="384"/>
        <v>1.5334947538337369</v>
      </c>
      <c r="DG122" s="173">
        <f t="shared" si="385"/>
        <v>0.5624258066085126</v>
      </c>
      <c r="DH122" s="173"/>
      <c r="DI122" s="173">
        <f t="shared" si="386"/>
        <v>0.73170731707317083</v>
      </c>
      <c r="DJ122" s="545">
        <f t="shared" si="387"/>
        <v>327.99999999999994</v>
      </c>
      <c r="DK122" s="528">
        <f t="shared" si="388"/>
        <v>0.12804878048780488</v>
      </c>
      <c r="DM122" s="173">
        <f t="shared" si="389"/>
        <v>0.96806139120556656</v>
      </c>
      <c r="DN122" s="173">
        <f t="shared" si="390"/>
        <v>1</v>
      </c>
      <c r="DO122" s="173">
        <f t="shared" si="391"/>
        <v>1.1874285714285715</v>
      </c>
      <c r="DQ122" s="545">
        <f t="shared" si="392"/>
        <v>120</v>
      </c>
      <c r="DR122" s="460">
        <f t="shared" si="393"/>
        <v>327.99999999999994</v>
      </c>
      <c r="DT122">
        <f t="shared" si="430"/>
        <v>120</v>
      </c>
      <c r="DU122">
        <f t="shared" si="431"/>
        <v>327.99999999999994</v>
      </c>
      <c r="DW122" s="5">
        <f t="shared" si="394"/>
        <v>3.0487804878048785</v>
      </c>
      <c r="DX122" s="5">
        <f t="shared" si="395"/>
        <v>0.63157894736842113</v>
      </c>
      <c r="DY122" s="5">
        <f t="shared" si="396"/>
        <v>2.4172015404364573</v>
      </c>
      <c r="DZ122" s="5"/>
      <c r="EA122" s="173">
        <f t="shared" si="397"/>
        <v>0.2071578947368421</v>
      </c>
      <c r="EB122" s="173">
        <f t="shared" si="398"/>
        <v>1.9679999999999997</v>
      </c>
      <c r="EC122" s="173">
        <f t="shared" si="399"/>
        <v>0.39642105263157895</v>
      </c>
      <c r="ED122" s="173">
        <f t="shared" si="400"/>
        <v>4.9644184811471046</v>
      </c>
      <c r="EE122" s="460">
        <f t="shared" si="401"/>
        <v>0.47368421052631582</v>
      </c>
      <c r="EF122" s="5">
        <f t="shared" si="402"/>
        <v>0.20355381393149111</v>
      </c>
      <c r="EH122" s="173">
        <f t="shared" si="403"/>
        <v>0.2627786741327145</v>
      </c>
      <c r="EI122" s="173">
        <f t="shared" si="404"/>
        <v>0.51408238809979279</v>
      </c>
      <c r="EK122" s="528">
        <f t="shared" si="405"/>
        <v>1.3810526315789471E-3</v>
      </c>
      <c r="EL122" s="528">
        <f t="shared" si="406"/>
        <v>0.22061279999999994</v>
      </c>
      <c r="EM122" s="528">
        <f t="shared" si="407"/>
        <v>3.7719999999999997E-2</v>
      </c>
      <c r="EN122" s="528">
        <f t="shared" si="408"/>
        <v>0.20243546639999993</v>
      </c>
      <c r="EO122">
        <f t="shared" si="409"/>
        <v>8.5500000000000003E-3</v>
      </c>
      <c r="EP122" s="460">
        <f t="shared" si="410"/>
        <v>46.269999999999996</v>
      </c>
      <c r="EQ122" s="460"/>
      <c r="ER122" s="460">
        <f t="shared" si="432"/>
        <v>470.6993190315788</v>
      </c>
      <c r="ES122" s="528">
        <f t="shared" si="411"/>
        <v>8.3999999999999991E-2</v>
      </c>
      <c r="EV122" s="460">
        <f t="shared" si="412"/>
        <v>83.999999999999986</v>
      </c>
      <c r="EW122" s="528">
        <f t="shared" si="413"/>
        <v>2.0715789473684204E-3</v>
      </c>
      <c r="EX122" s="528">
        <f t="shared" si="414"/>
        <v>7.9284210526315776E-3</v>
      </c>
      <c r="EY122" s="528">
        <f t="shared" si="415"/>
        <v>9.7421455470137461E-2</v>
      </c>
      <c r="EZ122" s="528"/>
      <c r="FA122" s="528">
        <f t="shared" si="416"/>
        <v>1.6399999999999997E-3</v>
      </c>
      <c r="FB122" s="460">
        <f t="shared" si="417"/>
        <v>109.06145547013746</v>
      </c>
      <c r="FC122" s="173">
        <f t="shared" si="418"/>
        <v>0.66376077450171622</v>
      </c>
      <c r="FD122" s="5">
        <f t="shared" si="419"/>
        <v>1.92</v>
      </c>
      <c r="FE122" s="173">
        <f t="shared" si="420"/>
        <v>0.7431028518382381</v>
      </c>
      <c r="FF122" s="5">
        <f t="shared" si="421"/>
        <v>74.310285183823808</v>
      </c>
      <c r="FI122" s="562">
        <f t="shared" si="422"/>
        <v>-50</v>
      </c>
      <c r="FJ122">
        <f t="shared" si="423"/>
        <v>-50</v>
      </c>
      <c r="FL122">
        <f t="shared" si="424"/>
        <v>0.24</v>
      </c>
    </row>
    <row r="123" spans="5:168">
      <c r="E123" s="170">
        <v>13</v>
      </c>
      <c r="F123" s="217">
        <f t="shared" si="425"/>
        <v>0.13</v>
      </c>
      <c r="G123" s="217"/>
      <c r="H123" s="217">
        <f t="shared" si="315"/>
        <v>2.08</v>
      </c>
      <c r="I123" s="541">
        <f t="shared" si="316"/>
        <v>18.975119332423596</v>
      </c>
      <c r="J123" s="172">
        <f t="shared" si="317"/>
        <v>16.414928400545843</v>
      </c>
      <c r="K123" s="172">
        <f t="shared" si="318"/>
        <v>35.390047732969435</v>
      </c>
      <c r="L123" s="443"/>
      <c r="M123" s="217">
        <f t="shared" si="319"/>
        <v>0.46383175175281544</v>
      </c>
      <c r="N123" s="172">
        <f t="shared" si="426"/>
        <v>22.212187091634203</v>
      </c>
      <c r="O123" s="172">
        <f t="shared" si="284"/>
        <v>2.08</v>
      </c>
      <c r="P123" s="217">
        <f t="shared" si="320"/>
        <v>1.3882616932271377</v>
      </c>
      <c r="Q123" s="217">
        <f t="shared" si="321"/>
        <v>16</v>
      </c>
      <c r="R123" s="217"/>
      <c r="S123" s="172">
        <f t="shared" si="322"/>
        <v>345.95293587637377</v>
      </c>
      <c r="T123" s="172">
        <f t="shared" si="323"/>
        <v>16</v>
      </c>
      <c r="U123" s="217">
        <f t="shared" si="324"/>
        <v>0.48492241166831401</v>
      </c>
      <c r="V123" s="217">
        <f t="shared" si="325"/>
        <v>0.30666837125374369</v>
      </c>
      <c r="W123" s="217">
        <f t="shared" si="326"/>
        <v>0.35449858799422285</v>
      </c>
      <c r="X123" s="197">
        <f t="shared" si="327"/>
        <v>350</v>
      </c>
      <c r="Y123" s="443">
        <f t="shared" si="328"/>
        <v>350</v>
      </c>
      <c r="AA123" s="217">
        <f t="shared" si="329"/>
        <v>2.0955260776226887</v>
      </c>
      <c r="AB123" s="173">
        <f t="shared" si="330"/>
        <v>1.5319173083104083</v>
      </c>
      <c r="AC123" s="173">
        <f t="shared" si="331"/>
        <v>0.56178021695705294</v>
      </c>
      <c r="AD123" s="173"/>
      <c r="AE123" s="173">
        <f t="shared" si="332"/>
        <v>0.73104187281139565</v>
      </c>
      <c r="AF123" s="545">
        <f t="shared" si="333"/>
        <v>355.65678201182658</v>
      </c>
      <c r="AG123" s="528">
        <f t="shared" si="334"/>
        <v>0.12793232774199426</v>
      </c>
      <c r="AI123" s="173">
        <f t="shared" si="335"/>
        <v>1.0080487261633262</v>
      </c>
      <c r="AJ123" s="173">
        <f t="shared" si="336"/>
        <v>1.0080487261633262</v>
      </c>
      <c r="AK123" s="173">
        <f t="shared" si="337"/>
        <v>1.2059620193802416</v>
      </c>
      <c r="AM123" s="545">
        <f t="shared" si="338"/>
        <v>130</v>
      </c>
      <c r="AN123" s="460">
        <f t="shared" si="339"/>
        <v>350</v>
      </c>
      <c r="AP123" s="460">
        <f t="shared" si="340"/>
        <v>130</v>
      </c>
      <c r="AQ123" s="460">
        <f t="shared" si="341"/>
        <v>350</v>
      </c>
      <c r="AS123" s="5">
        <f t="shared" si="285"/>
        <v>2.8571428571428572</v>
      </c>
      <c r="AT123" s="5">
        <f t="shared" si="342"/>
        <v>0.63749716152192859</v>
      </c>
      <c r="AU123" s="5">
        <f t="shared" si="343"/>
        <v>2.2196456956209287</v>
      </c>
      <c r="AV123" s="5"/>
      <c r="AW123" s="173">
        <f t="shared" si="344"/>
        <v>0.223124006532675</v>
      </c>
      <c r="AX123" s="173">
        <f t="shared" si="214"/>
        <v>2.13394069207096</v>
      </c>
      <c r="AY123" s="173">
        <f t="shared" si="215"/>
        <v>0.39156442780080275</v>
      </c>
      <c r="AZ123" s="173">
        <f t="shared" si="288"/>
        <v>5.4497817997822358</v>
      </c>
      <c r="BA123" s="460">
        <f t="shared" si="433"/>
        <v>0.51796644373656708</v>
      </c>
      <c r="BB123" s="5">
        <f t="shared" si="434"/>
        <v>0.20275950864959341</v>
      </c>
      <c r="BD123" s="173">
        <f t="shared" si="289"/>
        <v>0.27491222175363705</v>
      </c>
      <c r="BE123" s="173">
        <f t="shared" si="218"/>
        <v>0.51297564767116122</v>
      </c>
      <c r="BG123" s="528">
        <f t="shared" si="347"/>
        <v>1.5115345933904185E-3</v>
      </c>
      <c r="BH123" s="528">
        <f t="shared" si="348"/>
        <v>0.22787337607420557</v>
      </c>
      <c r="BI123" s="528">
        <f t="shared" si="349"/>
        <v>0.15274971062600995</v>
      </c>
      <c r="BJ123" s="528">
        <f t="shared" si="350"/>
        <v>0.21589201311365225</v>
      </c>
      <c r="BK123">
        <f t="shared" si="351"/>
        <v>8.5388036995906174E-3</v>
      </c>
      <c r="BL123" s="460">
        <f t="shared" si="427"/>
        <v>161.28851432560057</v>
      </c>
      <c r="BM123" s="528">
        <f t="shared" si="352"/>
        <v>0.4458451592281007</v>
      </c>
      <c r="BN123" s="460">
        <f t="shared" si="353"/>
        <v>445.84515922810067</v>
      </c>
      <c r="BO123" s="528">
        <f t="shared" si="354"/>
        <v>9.0999999999999998E-2</v>
      </c>
      <c r="BR123" s="460">
        <f t="shared" si="355"/>
        <v>91</v>
      </c>
      <c r="BS123" s="528">
        <f t="shared" si="356"/>
        <v>2.2673018900856274E-3</v>
      </c>
      <c r="BT123" s="528">
        <f t="shared" si="357"/>
        <v>7.8943204531094196E-3</v>
      </c>
      <c r="BU123" s="528">
        <f t="shared" si="358"/>
        <v>0.11690791849154873</v>
      </c>
      <c r="BV123" s="528"/>
      <c r="BW123" s="528">
        <f t="shared" si="359"/>
        <v>1.7782839100591334E-3</v>
      </c>
      <c r="BX123" s="460">
        <f t="shared" si="360"/>
        <v>128.84782474480292</v>
      </c>
      <c r="BY123" s="173">
        <f t="shared" si="361"/>
        <v>0.82641326285165173</v>
      </c>
      <c r="BZ123" s="5">
        <f t="shared" si="362"/>
        <v>2.08</v>
      </c>
      <c r="CA123" s="173">
        <f t="shared" si="363"/>
        <v>0.71565872155399901</v>
      </c>
      <c r="CB123" s="5">
        <f t="shared" si="364"/>
        <v>71.565872155399902</v>
      </c>
      <c r="CE123" s="562">
        <f t="shared" si="365"/>
        <v>-50</v>
      </c>
      <c r="CF123">
        <f t="shared" si="366"/>
        <v>-50</v>
      </c>
      <c r="CG123" s="173">
        <f t="shared" si="367"/>
        <v>0.26124700955226265</v>
      </c>
      <c r="CI123" s="170">
        <v>13</v>
      </c>
      <c r="CJ123" s="217">
        <f t="shared" si="428"/>
        <v>0.13</v>
      </c>
      <c r="CK123" s="217"/>
      <c r="CL123" s="217">
        <f t="shared" si="368"/>
        <v>2.08</v>
      </c>
      <c r="CM123" s="541">
        <f t="shared" si="369"/>
        <v>19</v>
      </c>
      <c r="CN123" s="443">
        <f t="shared" si="370"/>
        <v>16.399999999999999</v>
      </c>
      <c r="CO123" s="443">
        <f t="shared" si="371"/>
        <v>35.4</v>
      </c>
      <c r="CP123" s="443"/>
      <c r="CQ123" s="217">
        <f t="shared" si="372"/>
        <v>0.4632768361581921</v>
      </c>
      <c r="CR123" s="172">
        <f t="shared" si="429"/>
        <v>22.214703389830511</v>
      </c>
      <c r="CS123" s="172">
        <f t="shared" si="373"/>
        <v>2.08</v>
      </c>
      <c r="CT123" s="217">
        <f t="shared" si="374"/>
        <v>1.3884189618644069</v>
      </c>
      <c r="CU123" s="217">
        <f t="shared" si="375"/>
        <v>16</v>
      </c>
      <c r="CV123" s="217"/>
      <c r="CW123" s="172">
        <f t="shared" si="376"/>
        <v>346.40652962022193</v>
      </c>
      <c r="CX123" s="172">
        <f t="shared" si="377"/>
        <v>16</v>
      </c>
      <c r="CY123" s="217">
        <f t="shared" si="378"/>
        <v>0.47260590500641847</v>
      </c>
      <c r="CZ123" s="217">
        <f t="shared" si="379"/>
        <v>0.29848794000405376</v>
      </c>
      <c r="DA123" s="217">
        <f t="shared" si="380"/>
        <v>0.34580919878518429</v>
      </c>
      <c r="DB123" s="197">
        <f t="shared" si="381"/>
        <v>350</v>
      </c>
      <c r="DC123" s="443">
        <f t="shared" si="382"/>
        <v>350</v>
      </c>
      <c r="DE123" s="217">
        <f t="shared" si="383"/>
        <v>2.0957761635727734</v>
      </c>
      <c r="DF123" s="173">
        <f t="shared" si="384"/>
        <v>1.5334947538337369</v>
      </c>
      <c r="DG123" s="173">
        <f t="shared" si="385"/>
        <v>0.5624258066085126</v>
      </c>
      <c r="DH123" s="173"/>
      <c r="DI123" s="173">
        <f t="shared" si="386"/>
        <v>0.73170731707317083</v>
      </c>
      <c r="DJ123" s="545">
        <f t="shared" si="387"/>
        <v>355.33333333333331</v>
      </c>
      <c r="DK123" s="528">
        <f t="shared" si="388"/>
        <v>0.12804878048780488</v>
      </c>
      <c r="DM123" s="173">
        <f t="shared" si="389"/>
        <v>1.0075902417342555</v>
      </c>
      <c r="DN123" s="173">
        <f t="shared" si="390"/>
        <v>1.0075902417342555</v>
      </c>
      <c r="DO123" s="173">
        <f t="shared" si="391"/>
        <v>1.2056224012846337</v>
      </c>
      <c r="DQ123" s="545">
        <f t="shared" si="392"/>
        <v>130</v>
      </c>
      <c r="DR123" s="460">
        <f t="shared" si="393"/>
        <v>350</v>
      </c>
      <c r="DT123">
        <f t="shared" si="430"/>
        <v>130</v>
      </c>
      <c r="DU123">
        <f t="shared" si="431"/>
        <v>350</v>
      </c>
      <c r="DW123" s="5">
        <f t="shared" si="394"/>
        <v>2.8571428571428572</v>
      </c>
      <c r="DX123" s="5">
        <f t="shared" si="395"/>
        <v>0.63637278425321409</v>
      </c>
      <c r="DY123" s="5">
        <f t="shared" si="396"/>
        <v>2.2207700728896431</v>
      </c>
      <c r="DZ123" s="5"/>
      <c r="EA123" s="173">
        <f t="shared" si="397"/>
        <v>0.22273047448862493</v>
      </c>
      <c r="EB123" s="173">
        <f t="shared" si="398"/>
        <v>2.1320000000000006</v>
      </c>
      <c r="EC123" s="173">
        <f t="shared" si="399"/>
        <v>0.39158459455133826</v>
      </c>
      <c r="ED123" s="173">
        <f t="shared" si="400"/>
        <v>5.4445451370290998</v>
      </c>
      <c r="EE123" s="460">
        <f t="shared" si="401"/>
        <v>0.5170528872057365</v>
      </c>
      <c r="EF123" s="5">
        <f t="shared" si="402"/>
        <v>0.20259656805309023</v>
      </c>
      <c r="EH123" s="173">
        <f t="shared" si="403"/>
        <v>0.27454475207229195</v>
      </c>
      <c r="EI123" s="173">
        <f t="shared" si="404"/>
        <v>0.51287218439125959</v>
      </c>
      <c r="EK123" s="528">
        <f t="shared" si="405"/>
        <v>1.5074964178087252E-3</v>
      </c>
      <c r="EL123" s="528">
        <f t="shared" si="406"/>
        <v>0.2371968188066611</v>
      </c>
      <c r="EM123" s="528">
        <f t="shared" si="407"/>
        <v>4.0250000000000001E-2</v>
      </c>
      <c r="EN123" s="528">
        <f t="shared" si="408"/>
        <v>0.21601345499999997</v>
      </c>
      <c r="EO123">
        <f t="shared" si="409"/>
        <v>8.5500000000000003E-3</v>
      </c>
      <c r="EP123" s="460">
        <f t="shared" si="410"/>
        <v>48.800000000000004</v>
      </c>
      <c r="EQ123" s="460"/>
      <c r="ER123" s="460">
        <f t="shared" si="432"/>
        <v>503.51777022446976</v>
      </c>
      <c r="ES123" s="528">
        <f t="shared" si="411"/>
        <v>9.0999999999999998E-2</v>
      </c>
      <c r="EV123" s="460">
        <f t="shared" si="412"/>
        <v>91</v>
      </c>
      <c r="EW123" s="528">
        <f t="shared" si="413"/>
        <v>2.2612446267130876E-3</v>
      </c>
      <c r="EX123" s="528">
        <f t="shared" si="414"/>
        <v>7.8911363256678642E-3</v>
      </c>
      <c r="EY123" s="528">
        <f t="shared" si="415"/>
        <v>0.11677503260967126</v>
      </c>
      <c r="EZ123" s="528"/>
      <c r="FA123" s="528">
        <f t="shared" si="416"/>
        <v>1.7766666666666671E-3</v>
      </c>
      <c r="FB123" s="460">
        <f t="shared" si="417"/>
        <v>128.70408022871888</v>
      </c>
      <c r="FC123" s="173">
        <f t="shared" si="418"/>
        <v>0.72322185045318854</v>
      </c>
      <c r="FD123" s="5">
        <f t="shared" si="419"/>
        <v>2.08</v>
      </c>
      <c r="FE123" s="173">
        <f t="shared" si="420"/>
        <v>0.74200334863390593</v>
      </c>
      <c r="FF123" s="5">
        <f t="shared" si="421"/>
        <v>74.200334863390594</v>
      </c>
      <c r="FI123" s="562">
        <f t="shared" si="422"/>
        <v>-50</v>
      </c>
      <c r="FJ123">
        <f t="shared" si="423"/>
        <v>-50</v>
      </c>
      <c r="FL123">
        <f t="shared" si="424"/>
        <v>0.25804140337096787</v>
      </c>
    </row>
    <row r="124" spans="5:168">
      <c r="E124" s="170">
        <v>14</v>
      </c>
      <c r="F124" s="217">
        <f t="shared" si="425"/>
        <v>0.14000000000000001</v>
      </c>
      <c r="G124" s="217"/>
      <c r="H124" s="217">
        <f t="shared" si="315"/>
        <v>2.2400000000000002</v>
      </c>
      <c r="I124" s="541">
        <f t="shared" si="316"/>
        <v>18.974180111025284</v>
      </c>
      <c r="J124" s="172">
        <f t="shared" si="317"/>
        <v>16.415491933384828</v>
      </c>
      <c r="K124" s="172">
        <f t="shared" si="318"/>
        <v>35.389672044410112</v>
      </c>
      <c r="L124" s="443"/>
      <c r="M124" s="217">
        <f t="shared" si="319"/>
        <v>0.46385270528492034</v>
      </c>
      <c r="N124" s="172">
        <f t="shared" si="426"/>
        <v>22.212091026063753</v>
      </c>
      <c r="O124" s="172">
        <f t="shared" si="284"/>
        <v>2.2400000000000002</v>
      </c>
      <c r="P124" s="217">
        <f t="shared" si="320"/>
        <v>1.3882556891289846</v>
      </c>
      <c r="Q124" s="217">
        <f t="shared" si="321"/>
        <v>16</v>
      </c>
      <c r="R124" s="217"/>
      <c r="S124" s="172">
        <f t="shared" si="322"/>
        <v>319.87416215092492</v>
      </c>
      <c r="T124" s="172">
        <f t="shared" si="323"/>
        <v>16</v>
      </c>
      <c r="U124" s="217">
        <f t="shared" si="324"/>
        <v>0.52224454503458451</v>
      </c>
      <c r="V124" s="217">
        <f t="shared" si="325"/>
        <v>0.33028750142270974</v>
      </c>
      <c r="W124" s="217">
        <f t="shared" si="326"/>
        <v>0.38176952392573166</v>
      </c>
      <c r="X124" s="197">
        <f t="shared" si="327"/>
        <v>350</v>
      </c>
      <c r="Y124" s="443">
        <f t="shared" si="328"/>
        <v>350</v>
      </c>
      <c r="AA124" s="217">
        <f t="shared" si="329"/>
        <v>2.0955165364701229</v>
      </c>
      <c r="AB124" s="173">
        <f t="shared" si="330"/>
        <v>1.5318577438730707</v>
      </c>
      <c r="AC124" s="173">
        <f t="shared" si="331"/>
        <v>0.56175581591602097</v>
      </c>
      <c r="AD124" s="173"/>
      <c r="AE124" s="173">
        <f t="shared" si="332"/>
        <v>0.73101677663373155</v>
      </c>
      <c r="AF124" s="545">
        <f t="shared" si="333"/>
        <v>383.0281451123127</v>
      </c>
      <c r="AG124" s="528">
        <f t="shared" si="334"/>
        <v>0.12792793591090301</v>
      </c>
      <c r="AI124" s="173">
        <f t="shared" si="335"/>
        <v>1.0461195576473667</v>
      </c>
      <c r="AJ124" s="173">
        <f t="shared" si="336"/>
        <v>1.0461195576473667</v>
      </c>
      <c r="AK124" s="173">
        <f t="shared" si="337"/>
        <v>1.2341626352943458</v>
      </c>
      <c r="AM124" s="545">
        <f t="shared" si="338"/>
        <v>140</v>
      </c>
      <c r="AN124" s="460">
        <f t="shared" si="339"/>
        <v>350</v>
      </c>
      <c r="AP124" s="460">
        <f t="shared" si="340"/>
        <v>140</v>
      </c>
      <c r="AQ124" s="460">
        <f t="shared" si="341"/>
        <v>350</v>
      </c>
      <c r="AS124" s="5">
        <f t="shared" si="285"/>
        <v>2.8571428571428572</v>
      </c>
      <c r="AT124" s="5">
        <f t="shared" si="342"/>
        <v>0.66160617314231174</v>
      </c>
      <c r="AU124" s="5">
        <f t="shared" si="343"/>
        <v>2.1955366840005457</v>
      </c>
      <c r="AV124" s="5"/>
      <c r="AW124" s="173">
        <f t="shared" si="344"/>
        <v>0.23156216059980911</v>
      </c>
      <c r="AX124" s="173">
        <f t="shared" si="214"/>
        <v>2.298168870673877</v>
      </c>
      <c r="AY124" s="173">
        <f t="shared" si="215"/>
        <v>0.40193892631641298</v>
      </c>
      <c r="AZ124" s="173">
        <f t="shared" si="288"/>
        <v>5.7177066469663611</v>
      </c>
      <c r="BA124" s="460">
        <f t="shared" si="433"/>
        <v>0.57890540149952285</v>
      </c>
      <c r="BB124" s="5">
        <f t="shared" si="434"/>
        <v>0.21599537474013306</v>
      </c>
      <c r="BD124" s="173">
        <f t="shared" si="289"/>
        <v>0.290639401603634</v>
      </c>
      <c r="BE124" s="173">
        <f t="shared" si="218"/>
        <v>0.52945013728042012</v>
      </c>
      <c r="BG124" s="528">
        <f t="shared" si="347"/>
        <v>1.6894252352903688E-3</v>
      </c>
      <c r="BH124" s="528">
        <f t="shared" si="348"/>
        <v>0.23647692676125082</v>
      </c>
      <c r="BI124" s="528">
        <f t="shared" si="349"/>
        <v>0.15274214989375354</v>
      </c>
      <c r="BJ124" s="528">
        <f t="shared" si="350"/>
        <v>0.21588742946745434</v>
      </c>
      <c r="BK124">
        <f t="shared" si="351"/>
        <v>8.5383810499613782E-3</v>
      </c>
      <c r="BL124" s="460">
        <f t="shared" si="427"/>
        <v>161.28053094371492</v>
      </c>
      <c r="BM124" s="528">
        <f t="shared" si="352"/>
        <v>0.45469244320527635</v>
      </c>
      <c r="BN124" s="460">
        <f t="shared" si="353"/>
        <v>454.69244320527633</v>
      </c>
      <c r="BO124" s="528">
        <f t="shared" si="354"/>
        <v>9.8000000000000004E-2</v>
      </c>
      <c r="BR124" s="460">
        <f t="shared" si="355"/>
        <v>98</v>
      </c>
      <c r="BS124" s="528">
        <f t="shared" si="356"/>
        <v>2.534137852935553E-3</v>
      </c>
      <c r="BT124" s="528">
        <f t="shared" si="357"/>
        <v>8.4095234359876717E-3</v>
      </c>
      <c r="BU124" s="528">
        <f t="shared" si="358"/>
        <v>0.12826064481139177</v>
      </c>
      <c r="BV124" s="528"/>
      <c r="BW124" s="528">
        <f t="shared" si="359"/>
        <v>1.915140725561564E-3</v>
      </c>
      <c r="BX124" s="460">
        <f t="shared" si="360"/>
        <v>141.11944682587654</v>
      </c>
      <c r="BY124" s="173">
        <f t="shared" si="361"/>
        <v>0.85445375923358691</v>
      </c>
      <c r="BZ124" s="5">
        <f t="shared" si="362"/>
        <v>2.2400000000000002</v>
      </c>
      <c r="CA124" s="173">
        <f t="shared" si="363"/>
        <v>0.72387573842912678</v>
      </c>
      <c r="CB124" s="5">
        <f t="shared" si="364"/>
        <v>72.387573842912673</v>
      </c>
      <c r="CE124" s="562">
        <f t="shared" si="365"/>
        <v>-50</v>
      </c>
      <c r="CF124">
        <f t="shared" si="366"/>
        <v>-50</v>
      </c>
      <c r="CG124" s="173">
        <f t="shared" si="367"/>
        <v>0.2711088342345192</v>
      </c>
      <c r="CI124" s="170">
        <v>14</v>
      </c>
      <c r="CJ124" s="217">
        <f t="shared" si="428"/>
        <v>0.14000000000000001</v>
      </c>
      <c r="CK124" s="217"/>
      <c r="CL124" s="217">
        <f t="shared" si="368"/>
        <v>2.2400000000000002</v>
      </c>
      <c r="CM124" s="541">
        <f t="shared" si="369"/>
        <v>19</v>
      </c>
      <c r="CN124" s="443">
        <f t="shared" si="370"/>
        <v>16.399999999999999</v>
      </c>
      <c r="CO124" s="443">
        <f t="shared" si="371"/>
        <v>35.4</v>
      </c>
      <c r="CP124" s="443"/>
      <c r="CQ124" s="217">
        <f t="shared" si="372"/>
        <v>0.4632768361581921</v>
      </c>
      <c r="CR124" s="172">
        <f t="shared" si="429"/>
        <v>22.214703389830511</v>
      </c>
      <c r="CS124" s="172">
        <f t="shared" si="373"/>
        <v>2.2400000000000002</v>
      </c>
      <c r="CT124" s="217">
        <f t="shared" si="374"/>
        <v>1.3884189618644069</v>
      </c>
      <c r="CU124" s="217">
        <f t="shared" si="375"/>
        <v>16</v>
      </c>
      <c r="CV124" s="217"/>
      <c r="CW124" s="172">
        <f t="shared" si="376"/>
        <v>320.30941175052681</v>
      </c>
      <c r="CX124" s="172">
        <f t="shared" si="377"/>
        <v>16</v>
      </c>
      <c r="CY124" s="217">
        <f t="shared" si="378"/>
        <v>0.50896020539152764</v>
      </c>
      <c r="CZ124" s="217">
        <f t="shared" si="379"/>
        <v>0.32144855077359641</v>
      </c>
      <c r="DA124" s="217">
        <f t="shared" si="380"/>
        <v>0.37240990638404464</v>
      </c>
      <c r="DB124" s="197">
        <f t="shared" si="381"/>
        <v>350</v>
      </c>
      <c r="DC124" s="443">
        <f t="shared" si="382"/>
        <v>350</v>
      </c>
      <c r="DE124" s="217">
        <f t="shared" si="383"/>
        <v>2.0957761635727734</v>
      </c>
      <c r="DF124" s="173">
        <f t="shared" si="384"/>
        <v>1.5334947538337369</v>
      </c>
      <c r="DG124" s="173">
        <f t="shared" si="385"/>
        <v>0.5624258066085126</v>
      </c>
      <c r="DH124" s="173"/>
      <c r="DI124" s="173">
        <f t="shared" si="386"/>
        <v>0.73170731707317083</v>
      </c>
      <c r="DJ124" s="545">
        <f t="shared" si="387"/>
        <v>382.66666666666663</v>
      </c>
      <c r="DK124" s="528">
        <f t="shared" si="388"/>
        <v>0.12804878048780488</v>
      </c>
      <c r="DM124" s="173">
        <f t="shared" si="389"/>
        <v>1.0456258094238748</v>
      </c>
      <c r="DN124" s="173">
        <f t="shared" si="390"/>
        <v>1.0456258094238748</v>
      </c>
      <c r="DO124" s="173">
        <f t="shared" si="391"/>
        <v>1.2337968958695369</v>
      </c>
      <c r="DQ124" s="545">
        <f t="shared" si="392"/>
        <v>140</v>
      </c>
      <c r="DR124" s="460">
        <f t="shared" si="393"/>
        <v>350</v>
      </c>
      <c r="DT124">
        <f t="shared" si="430"/>
        <v>140</v>
      </c>
      <c r="DU124">
        <f t="shared" si="431"/>
        <v>350</v>
      </c>
      <c r="DW124" s="5">
        <f t="shared" si="394"/>
        <v>2.8571428571428572</v>
      </c>
      <c r="DX124" s="5">
        <f t="shared" si="395"/>
        <v>0.66039524805718408</v>
      </c>
      <c r="DY124" s="5">
        <f t="shared" si="396"/>
        <v>2.1967476090856732</v>
      </c>
      <c r="DZ124" s="5"/>
      <c r="EA124" s="173">
        <f t="shared" si="397"/>
        <v>0.23113833682001442</v>
      </c>
      <c r="EB124" s="173">
        <f t="shared" si="398"/>
        <v>2.2960000000000003</v>
      </c>
      <c r="EC124" s="173">
        <f t="shared" si="399"/>
        <v>0.40197079944877956</v>
      </c>
      <c r="ED124" s="173">
        <f t="shared" si="400"/>
        <v>5.7118576850569571</v>
      </c>
      <c r="EE124" s="460">
        <f t="shared" si="401"/>
        <v>0.5778458420500362</v>
      </c>
      <c r="EF124" s="5">
        <f t="shared" si="402"/>
        <v>0.2158208177347328</v>
      </c>
      <c r="EH124" s="173">
        <f t="shared" si="403"/>
        <v>0.2902362533388671</v>
      </c>
      <c r="EI124" s="173">
        <f t="shared" si="404"/>
        <v>0.52934616433130166</v>
      </c>
      <c r="EK124" s="528">
        <f t="shared" si="405"/>
        <v>1.6847416550436608E-3</v>
      </c>
      <c r="EL124" s="528">
        <f t="shared" si="406"/>
        <v>0.24615077179647438</v>
      </c>
      <c r="EM124" s="528">
        <f t="shared" si="407"/>
        <v>4.0250000000000001E-2</v>
      </c>
      <c r="EN124" s="528">
        <f t="shared" si="408"/>
        <v>0.21601345499999997</v>
      </c>
      <c r="EO124">
        <f t="shared" si="409"/>
        <v>8.5500000000000003E-3</v>
      </c>
      <c r="EP124" s="460">
        <f t="shared" si="410"/>
        <v>48.800000000000004</v>
      </c>
      <c r="EQ124" s="460"/>
      <c r="ER124" s="460">
        <f t="shared" si="432"/>
        <v>512.64896845151793</v>
      </c>
      <c r="ES124" s="528">
        <f t="shared" si="411"/>
        <v>9.8000000000000004E-2</v>
      </c>
      <c r="EV124" s="460">
        <f t="shared" si="412"/>
        <v>98</v>
      </c>
      <c r="EW124" s="528">
        <f t="shared" si="413"/>
        <v>2.5271124825654912E-3</v>
      </c>
      <c r="EX124" s="528">
        <f t="shared" si="414"/>
        <v>8.4062208507678423E-3</v>
      </c>
      <c r="EY124" s="528">
        <f t="shared" si="415"/>
        <v>0.12810935701292506</v>
      </c>
      <c r="EZ124" s="528"/>
      <c r="FA124" s="528">
        <f t="shared" si="416"/>
        <v>1.9133333333333337E-3</v>
      </c>
      <c r="FB124" s="460">
        <f t="shared" si="417"/>
        <v>140.95602367959171</v>
      </c>
      <c r="FC124" s="173">
        <f t="shared" si="418"/>
        <v>0.75160499213110965</v>
      </c>
      <c r="FD124" s="5">
        <f t="shared" si="419"/>
        <v>2.2400000000000002</v>
      </c>
      <c r="FE124" s="173">
        <f t="shared" si="420"/>
        <v>0.74876195416571567</v>
      </c>
      <c r="FF124" s="5">
        <f t="shared" si="421"/>
        <v>74.876195416571562</v>
      </c>
      <c r="FI124" s="562">
        <f t="shared" si="422"/>
        <v>-50</v>
      </c>
      <c r="FJ124">
        <f t="shared" si="423"/>
        <v>-50</v>
      </c>
      <c r="FL124">
        <f t="shared" si="424"/>
        <v>0.26778221948660214</v>
      </c>
    </row>
    <row r="125" spans="5:168">
      <c r="E125" s="170">
        <v>15</v>
      </c>
      <c r="F125" s="217">
        <f t="shared" si="425"/>
        <v>0.15</v>
      </c>
      <c r="G125" s="217"/>
      <c r="H125" s="217">
        <f t="shared" si="315"/>
        <v>2.4</v>
      </c>
      <c r="I125" s="541">
        <f t="shared" si="316"/>
        <v>18.973273875808758</v>
      </c>
      <c r="J125" s="172">
        <f t="shared" si="317"/>
        <v>16.416035674514745</v>
      </c>
      <c r="K125" s="172">
        <f t="shared" si="318"/>
        <v>35.389309550323503</v>
      </c>
      <c r="L125" s="443"/>
      <c r="M125" s="217">
        <f t="shared" si="319"/>
        <v>0.46387292332663205</v>
      </c>
      <c r="N125" s="172">
        <f t="shared" si="426"/>
        <v>22.211998260044467</v>
      </c>
      <c r="O125" s="172">
        <f t="shared" si="284"/>
        <v>2.4</v>
      </c>
      <c r="P125" s="217">
        <f t="shared" si="320"/>
        <v>1.3882498912527792</v>
      </c>
      <c r="Q125" s="217">
        <f t="shared" si="321"/>
        <v>16</v>
      </c>
      <c r="R125" s="217"/>
      <c r="S125" s="172">
        <f t="shared" si="322"/>
        <v>297.27345280716042</v>
      </c>
      <c r="T125" s="172">
        <f t="shared" si="323"/>
        <v>16</v>
      </c>
      <c r="U125" s="217">
        <f t="shared" si="324"/>
        <v>0.559568828087325</v>
      </c>
      <c r="V125" s="217">
        <f t="shared" si="325"/>
        <v>0.35390971431711715</v>
      </c>
      <c r="W125" s="217">
        <f t="shared" si="326"/>
        <v>0.40904065209071183</v>
      </c>
      <c r="X125" s="197">
        <f t="shared" si="327"/>
        <v>350</v>
      </c>
      <c r="Y125" s="443">
        <f t="shared" si="328"/>
        <v>350</v>
      </c>
      <c r="AA125" s="217">
        <f t="shared" si="329"/>
        <v>2.0955073234670829</v>
      </c>
      <c r="AB125" s="173">
        <f t="shared" si="330"/>
        <v>1.5318002701860178</v>
      </c>
      <c r="AC125" s="173">
        <f t="shared" si="331"/>
        <v>0.56173226974613988</v>
      </c>
      <c r="AD125" s="173"/>
      <c r="AE125" s="173">
        <f t="shared" si="332"/>
        <v>0.73099256348653852</v>
      </c>
      <c r="AF125" s="545">
        <f t="shared" si="333"/>
        <v>410.4008918628686</v>
      </c>
      <c r="AG125" s="528">
        <f t="shared" si="334"/>
        <v>0.12792369861014424</v>
      </c>
      <c r="AI125" s="173">
        <f t="shared" si="335"/>
        <v>1.082854550136376</v>
      </c>
      <c r="AJ125" s="173">
        <f t="shared" si="336"/>
        <v>1.082854550136376</v>
      </c>
      <c r="AK125" s="173">
        <f t="shared" si="337"/>
        <v>1.26137374084176</v>
      </c>
      <c r="AM125" s="545">
        <f t="shared" si="338"/>
        <v>150</v>
      </c>
      <c r="AN125" s="460">
        <f t="shared" si="339"/>
        <v>350</v>
      </c>
      <c r="AP125" s="460">
        <f t="shared" si="340"/>
        <v>150</v>
      </c>
      <c r="AQ125" s="460">
        <f t="shared" si="341"/>
        <v>350</v>
      </c>
      <c r="AS125" s="5">
        <f t="shared" si="285"/>
        <v>2.8571428571428572</v>
      </c>
      <c r="AT125" s="5">
        <f t="shared" si="342"/>
        <v>0.68487150328886592</v>
      </c>
      <c r="AU125" s="5">
        <f t="shared" si="343"/>
        <v>2.1722713538539913</v>
      </c>
      <c r="AV125" s="5"/>
      <c r="AW125" s="173">
        <f t="shared" si="344"/>
        <v>0.23970502615110306</v>
      </c>
      <c r="AX125" s="173">
        <f t="shared" si="214"/>
        <v>2.4624053511772117</v>
      </c>
      <c r="AY125" s="173">
        <f t="shared" si="215"/>
        <v>0.41164443593904748</v>
      </c>
      <c r="AZ125" s="173">
        <f t="shared" si="288"/>
        <v>5.9818744921450175</v>
      </c>
      <c r="BA125" s="460">
        <f t="shared" si="433"/>
        <v>0.6420670343333118</v>
      </c>
      <c r="BB125" s="5">
        <f t="shared" si="434"/>
        <v>0.22898223765416398</v>
      </c>
      <c r="BD125" s="173">
        <f t="shared" si="289"/>
        <v>0.30608924393669573</v>
      </c>
      <c r="BE125" s="173">
        <f t="shared" si="218"/>
        <v>0.54513059627635385</v>
      </c>
      <c r="BG125" s="528">
        <f t="shared" si="347"/>
        <v>1.8738125050747605E-3</v>
      </c>
      <c r="BH125" s="528">
        <f t="shared" si="348"/>
        <v>0.24477842074970665</v>
      </c>
      <c r="BI125" s="528">
        <f t="shared" si="349"/>
        <v>0.15273485470026052</v>
      </c>
      <c r="BJ125" s="528">
        <f t="shared" si="350"/>
        <v>0.21588300684858058</v>
      </c>
      <c r="BK125">
        <f t="shared" si="351"/>
        <v>8.5379732441139399E-3</v>
      </c>
      <c r="BL125" s="460">
        <f t="shared" si="427"/>
        <v>161.27282794437446</v>
      </c>
      <c r="BM125" s="528">
        <f t="shared" si="352"/>
        <v>0.46324741549863713</v>
      </c>
      <c r="BN125" s="460">
        <f t="shared" si="353"/>
        <v>463.24741549863711</v>
      </c>
      <c r="BO125" s="528">
        <f t="shared" si="354"/>
        <v>0.105</v>
      </c>
      <c r="BR125" s="460">
        <f t="shared" si="355"/>
        <v>105</v>
      </c>
      <c r="BS125" s="528">
        <f t="shared" si="356"/>
        <v>2.8107187576121408E-3</v>
      </c>
      <c r="BT125" s="528">
        <f t="shared" si="357"/>
        <v>8.9150210098983933E-3</v>
      </c>
      <c r="BU125" s="528">
        <f t="shared" si="358"/>
        <v>0.13981875466320531</v>
      </c>
      <c r="BV125" s="528"/>
      <c r="BW125" s="528">
        <f t="shared" si="359"/>
        <v>2.0520044593143431E-3</v>
      </c>
      <c r="BX125" s="460">
        <f t="shared" si="360"/>
        <v>153.59649889003018</v>
      </c>
      <c r="BY125" s="173">
        <f t="shared" si="361"/>
        <v>0.88240456693776659</v>
      </c>
      <c r="BZ125" s="5">
        <f t="shared" si="362"/>
        <v>2.4</v>
      </c>
      <c r="CA125" s="173">
        <f t="shared" si="363"/>
        <v>0.7311712956331331</v>
      </c>
      <c r="CB125" s="5">
        <f t="shared" si="364"/>
        <v>73.117129563313313</v>
      </c>
      <c r="CE125" s="562">
        <f t="shared" si="365"/>
        <v>-50</v>
      </c>
      <c r="CF125">
        <f t="shared" si="366"/>
        <v>-50</v>
      </c>
      <c r="CG125" s="173">
        <f t="shared" si="367"/>
        <v>0.28062430400804561</v>
      </c>
      <c r="CI125" s="170">
        <v>15</v>
      </c>
      <c r="CJ125" s="217">
        <f t="shared" si="428"/>
        <v>0.15</v>
      </c>
      <c r="CK125" s="217"/>
      <c r="CL125" s="217">
        <f t="shared" si="368"/>
        <v>2.4</v>
      </c>
      <c r="CM125" s="541">
        <f t="shared" si="369"/>
        <v>19</v>
      </c>
      <c r="CN125" s="443">
        <f t="shared" si="370"/>
        <v>16.399999999999999</v>
      </c>
      <c r="CO125" s="443">
        <f t="shared" si="371"/>
        <v>35.4</v>
      </c>
      <c r="CP125" s="443"/>
      <c r="CQ125" s="217">
        <f t="shared" si="372"/>
        <v>0.4632768361581921</v>
      </c>
      <c r="CR125" s="172">
        <f t="shared" si="429"/>
        <v>22.214703389830511</v>
      </c>
      <c r="CS125" s="172">
        <f t="shared" si="373"/>
        <v>2.4</v>
      </c>
      <c r="CT125" s="217">
        <f t="shared" si="374"/>
        <v>1.3884189618644069</v>
      </c>
      <c r="CU125" s="217">
        <f t="shared" si="375"/>
        <v>16</v>
      </c>
      <c r="CV125" s="217"/>
      <c r="CW125" s="172">
        <f t="shared" si="376"/>
        <v>297.69216213741475</v>
      </c>
      <c r="CX125" s="172">
        <f t="shared" si="377"/>
        <v>16</v>
      </c>
      <c r="CY125" s="217">
        <f t="shared" si="378"/>
        <v>0.54531450577663665</v>
      </c>
      <c r="CZ125" s="217">
        <f t="shared" si="379"/>
        <v>0.344409161543139</v>
      </c>
      <c r="DA125" s="217">
        <f t="shared" si="380"/>
        <v>0.39901061398290494</v>
      </c>
      <c r="DB125" s="197">
        <f t="shared" si="381"/>
        <v>350</v>
      </c>
      <c r="DC125" s="443">
        <f t="shared" si="382"/>
        <v>350</v>
      </c>
      <c r="DE125" s="217">
        <f t="shared" si="383"/>
        <v>2.0957761635727734</v>
      </c>
      <c r="DF125" s="173">
        <f t="shared" si="384"/>
        <v>1.5334947538337369</v>
      </c>
      <c r="DG125" s="173">
        <f t="shared" si="385"/>
        <v>0.5624258066085126</v>
      </c>
      <c r="DH125" s="173"/>
      <c r="DI125" s="173">
        <f t="shared" si="386"/>
        <v>0.73170731707317083</v>
      </c>
      <c r="DJ125" s="545">
        <f t="shared" si="387"/>
        <v>409.99999999999994</v>
      </c>
      <c r="DK125" s="528">
        <f t="shared" si="388"/>
        <v>0.12804878048780488</v>
      </c>
      <c r="DM125" s="173">
        <f t="shared" si="389"/>
        <v>1.082325538564332</v>
      </c>
      <c r="DN125" s="173">
        <f t="shared" si="390"/>
        <v>1.082325538564332</v>
      </c>
      <c r="DO125" s="173">
        <f t="shared" si="391"/>
        <v>1.2609818804180237</v>
      </c>
      <c r="DQ125" s="545">
        <f t="shared" si="392"/>
        <v>150</v>
      </c>
      <c r="DR125" s="460">
        <f t="shared" si="393"/>
        <v>350</v>
      </c>
      <c r="DT125">
        <f t="shared" si="430"/>
        <v>150</v>
      </c>
      <c r="DU125">
        <f t="shared" si="431"/>
        <v>350</v>
      </c>
      <c r="DW125" s="5">
        <f t="shared" si="394"/>
        <v>2.8571428571428572</v>
      </c>
      <c r="DX125" s="5">
        <f t="shared" si="395"/>
        <v>0.68357402435642023</v>
      </c>
      <c r="DY125" s="5">
        <f t="shared" si="396"/>
        <v>2.1735688327864371</v>
      </c>
      <c r="DZ125" s="5"/>
      <c r="EA125" s="173">
        <f t="shared" si="397"/>
        <v>0.23925090852474706</v>
      </c>
      <c r="EB125" s="173">
        <f t="shared" si="398"/>
        <v>2.46</v>
      </c>
      <c r="EC125" s="173">
        <f t="shared" si="399"/>
        <v>0.4116890850716397</v>
      </c>
      <c r="ED125" s="173">
        <f t="shared" si="400"/>
        <v>5.9753830966199297</v>
      </c>
      <c r="EE125" s="460">
        <f t="shared" si="401"/>
        <v>0.64085064783414392</v>
      </c>
      <c r="EF125" s="5">
        <f t="shared" si="402"/>
        <v>0.22879671924067757</v>
      </c>
      <c r="EH125" s="173">
        <f t="shared" si="403"/>
        <v>0.30564977233544727</v>
      </c>
      <c r="EI125" s="173">
        <f t="shared" si="404"/>
        <v>0.54502697836664904</v>
      </c>
      <c r="EK125" s="528">
        <f t="shared" si="405"/>
        <v>1.868435666574215E-3</v>
      </c>
      <c r="EL125" s="528">
        <f t="shared" si="406"/>
        <v>0.25479025503342939</v>
      </c>
      <c r="EM125" s="528">
        <f t="shared" si="407"/>
        <v>4.0250000000000001E-2</v>
      </c>
      <c r="EN125" s="528">
        <f t="shared" si="408"/>
        <v>0.21601345499999997</v>
      </c>
      <c r="EO125">
        <f t="shared" si="409"/>
        <v>8.5500000000000003E-3</v>
      </c>
      <c r="EP125" s="460">
        <f t="shared" si="410"/>
        <v>48.800000000000004</v>
      </c>
      <c r="EQ125" s="460"/>
      <c r="ER125" s="460">
        <f t="shared" si="432"/>
        <v>521.47214570000358</v>
      </c>
      <c r="ES125" s="528">
        <f t="shared" si="411"/>
        <v>0.105</v>
      </c>
      <c r="EV125" s="460">
        <f t="shared" si="412"/>
        <v>105</v>
      </c>
      <c r="EW125" s="528">
        <f t="shared" si="413"/>
        <v>2.8026534998613225E-3</v>
      </c>
      <c r="EX125" s="528">
        <f t="shared" si="414"/>
        <v>8.9116322144243906E-3</v>
      </c>
      <c r="EY125" s="528">
        <f t="shared" si="415"/>
        <v>0.13964805158885543</v>
      </c>
      <c r="EZ125" s="528"/>
      <c r="FA125" s="528">
        <f t="shared" si="416"/>
        <v>2.0499999999999997E-3</v>
      </c>
      <c r="FB125" s="460">
        <f t="shared" si="417"/>
        <v>153.41233730314113</v>
      </c>
      <c r="FC125" s="173">
        <f t="shared" si="418"/>
        <v>0.77988448300314461</v>
      </c>
      <c r="FD125" s="5">
        <f t="shared" si="419"/>
        <v>2.4</v>
      </c>
      <c r="FE125" s="173">
        <f t="shared" si="420"/>
        <v>0.75474439805228188</v>
      </c>
      <c r="FF125" s="5">
        <f t="shared" si="421"/>
        <v>75.474439805228187</v>
      </c>
      <c r="FI125" s="562">
        <f t="shared" si="422"/>
        <v>-50</v>
      </c>
      <c r="FJ125">
        <f t="shared" si="423"/>
        <v>-50</v>
      </c>
      <c r="FL125">
        <f t="shared" si="424"/>
        <v>0.27718093060793869</v>
      </c>
    </row>
    <row r="126" spans="5:168">
      <c r="E126" s="170">
        <v>16</v>
      </c>
      <c r="F126" s="217">
        <f t="shared" si="425"/>
        <v>0.16</v>
      </c>
      <c r="G126" s="217"/>
      <c r="H126" s="217">
        <f t="shared" si="315"/>
        <v>2.56</v>
      </c>
      <c r="I126" s="541">
        <f t="shared" si="316"/>
        <v>18.972397377626304</v>
      </c>
      <c r="J126" s="172">
        <f t="shared" si="317"/>
        <v>16.416561573424215</v>
      </c>
      <c r="K126" s="172">
        <f t="shared" si="318"/>
        <v>35.388958951050519</v>
      </c>
      <c r="L126" s="443"/>
      <c r="M126" s="217">
        <f t="shared" si="319"/>
        <v>0.46389247832396213</v>
      </c>
      <c r="N126" s="172">
        <f t="shared" si="426"/>
        <v>22.211908468567554</v>
      </c>
      <c r="O126" s="172">
        <f t="shared" si="284"/>
        <v>2.56</v>
      </c>
      <c r="P126" s="217">
        <f t="shared" si="320"/>
        <v>1.3882442792854721</v>
      </c>
      <c r="Q126" s="217">
        <f t="shared" si="321"/>
        <v>16</v>
      </c>
      <c r="R126" s="217"/>
      <c r="S126" s="172">
        <f t="shared" si="322"/>
        <v>277.49862001999077</v>
      </c>
      <c r="T126" s="172">
        <f t="shared" si="323"/>
        <v>16</v>
      </c>
      <c r="U126" s="217">
        <f t="shared" si="324"/>
        <v>0.59689518811372211</v>
      </c>
      <c r="V126" s="217">
        <f t="shared" si="325"/>
        <v>0.37753490583174887</v>
      </c>
      <c r="W126" s="217">
        <f t="shared" si="326"/>
        <v>0.43631196614033962</v>
      </c>
      <c r="X126" s="197">
        <f t="shared" si="327"/>
        <v>350</v>
      </c>
      <c r="Y126" s="443">
        <f t="shared" si="328"/>
        <v>350</v>
      </c>
      <c r="AA126" s="217">
        <f t="shared" si="329"/>
        <v>2.0954984062905528</v>
      </c>
      <c r="AB126" s="173">
        <f t="shared" si="330"/>
        <v>1.5317446813097546</v>
      </c>
      <c r="AC126" s="173">
        <f t="shared" si="331"/>
        <v>0.56170949424250871</v>
      </c>
      <c r="AD126" s="173"/>
      <c r="AE126" s="173">
        <f t="shared" si="332"/>
        <v>0.73096914639092758</v>
      </c>
      <c r="AF126" s="545">
        <f t="shared" si="333"/>
        <v>437.77497529131239</v>
      </c>
      <c r="AG126" s="528">
        <f t="shared" si="334"/>
        <v>0.12791960061841234</v>
      </c>
      <c r="AI126" s="173">
        <f t="shared" si="335"/>
        <v>1.1183852840991175</v>
      </c>
      <c r="AJ126" s="173">
        <f t="shared" si="336"/>
        <v>1.1183852840991175</v>
      </c>
      <c r="AK126" s="173">
        <f t="shared" si="337"/>
        <v>1.2876928030363832</v>
      </c>
      <c r="AM126" s="545">
        <f t="shared" si="338"/>
        <v>160</v>
      </c>
      <c r="AN126" s="460">
        <f t="shared" si="339"/>
        <v>350</v>
      </c>
      <c r="AP126" s="460">
        <f t="shared" si="340"/>
        <v>160</v>
      </c>
      <c r="AQ126" s="460">
        <f t="shared" si="341"/>
        <v>350</v>
      </c>
      <c r="AS126" s="5">
        <f t="shared" si="285"/>
        <v>2.8571428571428572</v>
      </c>
      <c r="AT126" s="5">
        <f t="shared" si="342"/>
        <v>0.70737625520199321</v>
      </c>
      <c r="AU126" s="5">
        <f t="shared" si="343"/>
        <v>2.1497666019408639</v>
      </c>
      <c r="AV126" s="5"/>
      <c r="AW126" s="173">
        <f t="shared" si="344"/>
        <v>0.24758168932069763</v>
      </c>
      <c r="AX126" s="173">
        <f t="shared" si="214"/>
        <v>2.626649851747874</v>
      </c>
      <c r="AY126" s="173">
        <f t="shared" si="215"/>
        <v>0.42074678307522478</v>
      </c>
      <c r="AZ126" s="173">
        <f t="shared" si="288"/>
        <v>6.2428281270501325</v>
      </c>
      <c r="BA126" s="460">
        <f t="shared" si="433"/>
        <v>0.70737625520199321</v>
      </c>
      <c r="BB126" s="5">
        <f t="shared" si="434"/>
        <v>0.24172847845868622</v>
      </c>
      <c r="BD126" s="173">
        <f t="shared" si="289"/>
        <v>0.32128472452676282</v>
      </c>
      <c r="BE126" s="173">
        <f t="shared" si="218"/>
        <v>0.56009345084749029</v>
      </c>
      <c r="BG126" s="528">
        <f t="shared" si="347"/>
        <v>2.0644774842847576E-3</v>
      </c>
      <c r="BH126" s="528">
        <f t="shared" si="348"/>
        <v>0.25280761069045238</v>
      </c>
      <c r="BI126" s="528">
        <f t="shared" si="349"/>
        <v>0.15272779888989177</v>
      </c>
      <c r="BJ126" s="528">
        <f t="shared" si="350"/>
        <v>0.21587872939579653</v>
      </c>
      <c r="BK126">
        <f t="shared" si="351"/>
        <v>8.5375788199318365E-3</v>
      </c>
      <c r="BL126" s="460">
        <f t="shared" si="427"/>
        <v>161.26537770982361</v>
      </c>
      <c r="BM126" s="528">
        <f t="shared" si="352"/>
        <v>0.47153952598897314</v>
      </c>
      <c r="BN126" s="460">
        <f t="shared" si="353"/>
        <v>471.53952598897314</v>
      </c>
      <c r="BO126" s="528">
        <f t="shared" si="354"/>
        <v>0.11199999999999999</v>
      </c>
      <c r="BR126" s="460">
        <f t="shared" si="355"/>
        <v>111.99999999999999</v>
      </c>
      <c r="BS126" s="528">
        <f t="shared" si="356"/>
        <v>3.0967162264271359E-3</v>
      </c>
      <c r="BT126" s="528">
        <f t="shared" si="357"/>
        <v>9.4111402104675012E-3</v>
      </c>
      <c r="BU126" s="528">
        <f t="shared" si="358"/>
        <v>0.15157191059284278</v>
      </c>
      <c r="BV126" s="528"/>
      <c r="BW126" s="528">
        <f t="shared" si="359"/>
        <v>2.1888748764565618E-3</v>
      </c>
      <c r="BX126" s="460">
        <f t="shared" si="360"/>
        <v>166.26864190619398</v>
      </c>
      <c r="BY126" s="173">
        <f t="shared" si="361"/>
        <v>0.9102848371865514</v>
      </c>
      <c r="BZ126" s="5">
        <f t="shared" si="362"/>
        <v>2.56</v>
      </c>
      <c r="CA126" s="173">
        <f t="shared" si="363"/>
        <v>0.73769160749221308</v>
      </c>
      <c r="CB126" s="5">
        <f t="shared" si="364"/>
        <v>73.769160749221314</v>
      </c>
      <c r="CE126" s="562">
        <f t="shared" si="365"/>
        <v>-50</v>
      </c>
      <c r="CF126">
        <f t="shared" si="366"/>
        <v>-50</v>
      </c>
      <c r="CG126" s="173">
        <f t="shared" si="367"/>
        <v>0.28982753492378877</v>
      </c>
      <c r="CI126" s="170">
        <v>16</v>
      </c>
      <c r="CJ126" s="217">
        <f t="shared" si="428"/>
        <v>0.16</v>
      </c>
      <c r="CK126" s="217"/>
      <c r="CL126" s="217">
        <f t="shared" si="368"/>
        <v>2.56</v>
      </c>
      <c r="CM126" s="541">
        <f t="shared" si="369"/>
        <v>19</v>
      </c>
      <c r="CN126" s="443">
        <f t="shared" si="370"/>
        <v>16.399999999999999</v>
      </c>
      <c r="CO126" s="443">
        <f t="shared" si="371"/>
        <v>35.4</v>
      </c>
      <c r="CP126" s="443"/>
      <c r="CQ126" s="217">
        <f t="shared" si="372"/>
        <v>0.4632768361581921</v>
      </c>
      <c r="CR126" s="172">
        <f t="shared" si="429"/>
        <v>22.214703389830511</v>
      </c>
      <c r="CS126" s="172">
        <f t="shared" si="373"/>
        <v>2.56</v>
      </c>
      <c r="CT126" s="217">
        <f t="shared" si="374"/>
        <v>1.3884189618644069</v>
      </c>
      <c r="CU126" s="217">
        <f t="shared" si="375"/>
        <v>16</v>
      </c>
      <c r="CV126" s="217"/>
      <c r="CW126" s="172">
        <f t="shared" si="376"/>
        <v>277.90230843320268</v>
      </c>
      <c r="CX126" s="172">
        <f t="shared" si="377"/>
        <v>16</v>
      </c>
      <c r="CY126" s="217">
        <f t="shared" si="378"/>
        <v>0.58166880616174577</v>
      </c>
      <c r="CZ126" s="217">
        <f t="shared" si="379"/>
        <v>0.36736977231268159</v>
      </c>
      <c r="DA126" s="217">
        <f t="shared" si="380"/>
        <v>0.42561132158176523</v>
      </c>
      <c r="DB126" s="197">
        <f t="shared" si="381"/>
        <v>350</v>
      </c>
      <c r="DC126" s="443">
        <f t="shared" si="382"/>
        <v>350</v>
      </c>
      <c r="DE126" s="217">
        <f t="shared" si="383"/>
        <v>2.0957761635727734</v>
      </c>
      <c r="DF126" s="173">
        <f t="shared" si="384"/>
        <v>1.5334947538337369</v>
      </c>
      <c r="DG126" s="173">
        <f t="shared" si="385"/>
        <v>0.5624258066085126</v>
      </c>
      <c r="DH126" s="173"/>
      <c r="DI126" s="173">
        <f t="shared" si="386"/>
        <v>0.73170731707317083</v>
      </c>
      <c r="DJ126" s="545">
        <f t="shared" si="387"/>
        <v>437.33333333333331</v>
      </c>
      <c r="DK126" s="528">
        <f t="shared" si="388"/>
        <v>0.12804878048780488</v>
      </c>
      <c r="DM126" s="173">
        <f t="shared" si="389"/>
        <v>1.1178210096092349</v>
      </c>
      <c r="DN126" s="173">
        <f t="shared" si="390"/>
        <v>1.1178210096092349</v>
      </c>
      <c r="DO126" s="173">
        <f t="shared" si="391"/>
        <v>1.2872748219327665</v>
      </c>
      <c r="DQ126" s="545">
        <f t="shared" si="392"/>
        <v>160</v>
      </c>
      <c r="DR126" s="460">
        <f t="shared" si="393"/>
        <v>350</v>
      </c>
      <c r="DT126">
        <f t="shared" si="430"/>
        <v>160</v>
      </c>
      <c r="DU126">
        <f t="shared" si="431"/>
        <v>350</v>
      </c>
      <c r="DW126" s="5">
        <f t="shared" si="394"/>
        <v>2.8571428571428572</v>
      </c>
      <c r="DX126" s="5">
        <f t="shared" si="395"/>
        <v>0.70599221659530631</v>
      </c>
      <c r="DY126" s="5">
        <f t="shared" si="396"/>
        <v>2.1511506405475509</v>
      </c>
      <c r="DZ126" s="5"/>
      <c r="EA126" s="173">
        <f t="shared" si="397"/>
        <v>0.24709727580835719</v>
      </c>
      <c r="EB126" s="173">
        <f t="shared" si="398"/>
        <v>2.6239999999999997</v>
      </c>
      <c r="EC126" s="173">
        <f t="shared" si="399"/>
        <v>0.42080524164672278</v>
      </c>
      <c r="ED126" s="173">
        <f t="shared" si="400"/>
        <v>6.23566377103952</v>
      </c>
      <c r="EE126" s="460">
        <f t="shared" si="401"/>
        <v>0.70599221659530642</v>
      </c>
      <c r="EF126" s="5">
        <f t="shared" si="402"/>
        <v>0.24153270350007583</v>
      </c>
      <c r="EH126" s="173">
        <f t="shared" si="403"/>
        <v>0.32080831732308829</v>
      </c>
      <c r="EI126" s="173">
        <f t="shared" si="404"/>
        <v>0.55999103568205899</v>
      </c>
      <c r="EK126" s="528">
        <f t="shared" si="405"/>
        <v>2.0583595292734259E-3</v>
      </c>
      <c r="EL126" s="528">
        <f t="shared" si="406"/>
        <v>0.26314624387211</v>
      </c>
      <c r="EM126" s="528">
        <f t="shared" si="407"/>
        <v>4.0250000000000001E-2</v>
      </c>
      <c r="EN126" s="528">
        <f t="shared" si="408"/>
        <v>0.21601345499999997</v>
      </c>
      <c r="EO126">
        <f t="shared" si="409"/>
        <v>8.5500000000000003E-3</v>
      </c>
      <c r="EP126" s="460">
        <f t="shared" si="410"/>
        <v>48.800000000000004</v>
      </c>
      <c r="EQ126" s="460"/>
      <c r="ER126" s="460">
        <f t="shared" si="432"/>
        <v>530.01805840138331</v>
      </c>
      <c r="ES126" s="528">
        <f t="shared" si="411"/>
        <v>0.11199999999999999</v>
      </c>
      <c r="EV126" s="460">
        <f t="shared" si="412"/>
        <v>111.99999999999999</v>
      </c>
      <c r="EW126" s="528">
        <f t="shared" si="413"/>
        <v>3.0875392939101391E-3</v>
      </c>
      <c r="EX126" s="528">
        <f t="shared" si="414"/>
        <v>9.4076988013279527E-3</v>
      </c>
      <c r="EY126" s="528">
        <f t="shared" si="415"/>
        <v>0.15138079622033604</v>
      </c>
      <c r="EZ126" s="528"/>
      <c r="FA126" s="528">
        <f t="shared" si="416"/>
        <v>2.1866666666666662E-3</v>
      </c>
      <c r="FB126" s="460">
        <f t="shared" si="417"/>
        <v>166.06270098224078</v>
      </c>
      <c r="FC126" s="173">
        <f t="shared" si="418"/>
        <v>0.80808075938362411</v>
      </c>
      <c r="FD126" s="5">
        <f t="shared" si="419"/>
        <v>2.56</v>
      </c>
      <c r="FE126" s="173">
        <f t="shared" si="420"/>
        <v>0.76007678642138399</v>
      </c>
      <c r="FF126" s="5">
        <f t="shared" si="421"/>
        <v>76.007678642138401</v>
      </c>
      <c r="FI126" s="562">
        <f t="shared" si="422"/>
        <v>-50</v>
      </c>
      <c r="FJ126">
        <f t="shared" si="423"/>
        <v>-50</v>
      </c>
      <c r="FL126">
        <f t="shared" si="424"/>
        <v>0.28627123416821876</v>
      </c>
    </row>
    <row r="127" spans="5:168">
      <c r="E127" s="170">
        <v>17</v>
      </c>
      <c r="F127" s="217">
        <f t="shared" si="425"/>
        <v>0.17</v>
      </c>
      <c r="G127" s="217"/>
      <c r="H127" s="217">
        <f t="shared" si="315"/>
        <v>2.72</v>
      </c>
      <c r="I127" s="541">
        <f t="shared" si="316"/>
        <v>18.971547868102306</v>
      </c>
      <c r="J127" s="172">
        <f t="shared" si="317"/>
        <v>16.417071279138614</v>
      </c>
      <c r="K127" s="172">
        <f t="shared" si="318"/>
        <v>35.388619147240917</v>
      </c>
      <c r="L127" s="443"/>
      <c r="M127" s="217">
        <f t="shared" si="319"/>
        <v>0.46391143155724296</v>
      </c>
      <c r="N127" s="172">
        <f t="shared" si="426"/>
        <v>22.211821376716024</v>
      </c>
      <c r="O127" s="172">
        <f t="shared" si="284"/>
        <v>2.72</v>
      </c>
      <c r="P127" s="217">
        <f t="shared" si="320"/>
        <v>1.3882388360447515</v>
      </c>
      <c r="Q127" s="217">
        <f t="shared" si="321"/>
        <v>16</v>
      </c>
      <c r="R127" s="217"/>
      <c r="S127" s="172">
        <f t="shared" si="322"/>
        <v>260.0509395963345</v>
      </c>
      <c r="T127" s="172">
        <f t="shared" si="323"/>
        <v>16</v>
      </c>
      <c r="U127" s="217">
        <f t="shared" si="324"/>
        <v>0.63422355934139796</v>
      </c>
      <c r="V127" s="217">
        <f t="shared" si="325"/>
        <v>0.4011629817982828</v>
      </c>
      <c r="W127" s="217">
        <f t="shared" si="326"/>
        <v>0.4635834603317931</v>
      </c>
      <c r="X127" s="197">
        <f t="shared" si="327"/>
        <v>350</v>
      </c>
      <c r="Y127" s="443">
        <f t="shared" si="328"/>
        <v>350</v>
      </c>
      <c r="AA127" s="217">
        <f t="shared" si="329"/>
        <v>2.0954897575992817</v>
      </c>
      <c r="AB127" s="173">
        <f t="shared" si="330"/>
        <v>1.5316908030450336</v>
      </c>
      <c r="AC127" s="173">
        <f t="shared" si="331"/>
        <v>0.56168741817823009</v>
      </c>
      <c r="AD127" s="173"/>
      <c r="AE127" s="173">
        <f t="shared" si="332"/>
        <v>0.73094645177356055</v>
      </c>
      <c r="AF127" s="545">
        <f t="shared" si="333"/>
        <v>465.15035290892746</v>
      </c>
      <c r="AG127" s="528">
        <f t="shared" si="334"/>
        <v>0.1279156290603731</v>
      </c>
      <c r="AI127" s="173">
        <f t="shared" si="335"/>
        <v>1.1528230602790792</v>
      </c>
      <c r="AJ127" s="173">
        <f t="shared" si="336"/>
        <v>1.1528230602790792</v>
      </c>
      <c r="AK127" s="173">
        <f t="shared" si="337"/>
        <v>1.313202266873392</v>
      </c>
      <c r="AM127" s="545">
        <f t="shared" si="338"/>
        <v>170</v>
      </c>
      <c r="AN127" s="460">
        <f t="shared" si="339"/>
        <v>350</v>
      </c>
      <c r="AP127" s="460">
        <f t="shared" si="340"/>
        <v>170</v>
      </c>
      <c r="AQ127" s="460">
        <f t="shared" si="341"/>
        <v>350</v>
      </c>
      <c r="AS127" s="5">
        <f t="shared" si="285"/>
        <v>2.8571428571428572</v>
      </c>
      <c r="AT127" s="5">
        <f t="shared" si="342"/>
        <v>0.72919072389493611</v>
      </c>
      <c r="AU127" s="5">
        <f t="shared" si="343"/>
        <v>2.1279521332479212</v>
      </c>
      <c r="AV127" s="5"/>
      <c r="AW127" s="173">
        <f t="shared" si="344"/>
        <v>0.25521675336322763</v>
      </c>
      <c r="AX127" s="173">
        <f t="shared" si="214"/>
        <v>2.7909021174535655</v>
      </c>
      <c r="AY127" s="173">
        <f t="shared" si="215"/>
        <v>0.42930165081619603</v>
      </c>
      <c r="AZ127" s="173">
        <f t="shared" si="288"/>
        <v>6.5010281515280735</v>
      </c>
      <c r="BA127" s="460">
        <f t="shared" si="433"/>
        <v>0.77476514413836961</v>
      </c>
      <c r="BB127" s="5">
        <f t="shared" si="434"/>
        <v>0.25424167823464794</v>
      </c>
      <c r="BD127" s="173">
        <f t="shared" si="289"/>
        <v>0.33624560594781799</v>
      </c>
      <c r="BE127" s="173">
        <f t="shared" si="218"/>
        <v>0.57440336749058596</v>
      </c>
      <c r="BG127" s="528">
        <f t="shared" si="347"/>
        <v>2.2612221503843059E-3</v>
      </c>
      <c r="BH127" s="528">
        <f t="shared" si="348"/>
        <v>0.26058966363318314</v>
      </c>
      <c r="BI127" s="528">
        <f t="shared" si="349"/>
        <v>0.15272096033822358</v>
      </c>
      <c r="BJ127" s="528">
        <f t="shared" si="350"/>
        <v>0.2158745836924669</v>
      </c>
      <c r="BK127">
        <f t="shared" si="351"/>
        <v>8.537196540646037E-3</v>
      </c>
      <c r="BL127" s="460">
        <f t="shared" si="427"/>
        <v>161.25815687886961</v>
      </c>
      <c r="BM127" s="528">
        <f t="shared" si="352"/>
        <v>0.4795936690124652</v>
      </c>
      <c r="BN127" s="460">
        <f t="shared" si="353"/>
        <v>479.59366901246517</v>
      </c>
      <c r="BO127" s="528">
        <f t="shared" si="354"/>
        <v>0.11899999999999999</v>
      </c>
      <c r="BR127" s="460">
        <f t="shared" si="355"/>
        <v>119</v>
      </c>
      <c r="BS127" s="528">
        <f t="shared" si="356"/>
        <v>3.3918332255764585E-3</v>
      </c>
      <c r="BT127" s="528">
        <f t="shared" si="357"/>
        <v>9.8981768575357541E-3</v>
      </c>
      <c r="BU127" s="528">
        <f t="shared" si="358"/>
        <v>0.16351091666636908</v>
      </c>
      <c r="BV127" s="528"/>
      <c r="BW127" s="528">
        <f t="shared" si="359"/>
        <v>2.3257517645446377E-3</v>
      </c>
      <c r="BX127" s="460">
        <f t="shared" si="360"/>
        <v>179.12667851402591</v>
      </c>
      <c r="BY127" s="173">
        <f t="shared" si="361"/>
        <v>0.93811030486892988</v>
      </c>
      <c r="BZ127" s="5">
        <f t="shared" si="362"/>
        <v>2.72</v>
      </c>
      <c r="CA127" s="173">
        <f t="shared" si="363"/>
        <v>0.74355330302087697</v>
      </c>
      <c r="CB127" s="5">
        <f t="shared" si="364"/>
        <v>74.355330302087694</v>
      </c>
      <c r="CE127" s="562">
        <f t="shared" si="365"/>
        <v>-50</v>
      </c>
      <c r="CF127">
        <f t="shared" si="366"/>
        <v>-50</v>
      </c>
      <c r="CG127" s="173">
        <f t="shared" si="367"/>
        <v>0.29874738492579311</v>
      </c>
      <c r="CI127" s="170">
        <v>17</v>
      </c>
      <c r="CJ127" s="217">
        <f t="shared" si="428"/>
        <v>0.17</v>
      </c>
      <c r="CK127" s="217"/>
      <c r="CL127" s="217">
        <f t="shared" si="368"/>
        <v>2.72</v>
      </c>
      <c r="CM127" s="541">
        <f t="shared" si="369"/>
        <v>19</v>
      </c>
      <c r="CN127" s="443">
        <f t="shared" si="370"/>
        <v>16.399999999999999</v>
      </c>
      <c r="CO127" s="443">
        <f t="shared" si="371"/>
        <v>35.4</v>
      </c>
      <c r="CP127" s="443"/>
      <c r="CQ127" s="217">
        <f t="shared" si="372"/>
        <v>0.4632768361581921</v>
      </c>
      <c r="CR127" s="172">
        <f t="shared" si="429"/>
        <v>22.214703389830511</v>
      </c>
      <c r="CS127" s="172">
        <f t="shared" si="373"/>
        <v>2.72</v>
      </c>
      <c r="CT127" s="217">
        <f t="shared" si="374"/>
        <v>1.3884189618644069</v>
      </c>
      <c r="CU127" s="217">
        <f t="shared" si="375"/>
        <v>16</v>
      </c>
      <c r="CV127" s="217"/>
      <c r="CW127" s="172">
        <f t="shared" si="376"/>
        <v>260.44090124069669</v>
      </c>
      <c r="CX127" s="172">
        <f t="shared" si="377"/>
        <v>16</v>
      </c>
      <c r="CY127" s="217">
        <f t="shared" si="378"/>
        <v>0.61802310654685488</v>
      </c>
      <c r="CZ127" s="217">
        <f t="shared" si="379"/>
        <v>0.39033038308222417</v>
      </c>
      <c r="DA127" s="217">
        <f t="shared" si="380"/>
        <v>0.45221202918062559</v>
      </c>
      <c r="DB127" s="197">
        <f t="shared" si="381"/>
        <v>350</v>
      </c>
      <c r="DC127" s="443">
        <f t="shared" si="382"/>
        <v>350</v>
      </c>
      <c r="DE127" s="217">
        <f t="shared" si="383"/>
        <v>2.0957761635727734</v>
      </c>
      <c r="DF127" s="173">
        <f t="shared" si="384"/>
        <v>1.5334947538337369</v>
      </c>
      <c r="DG127" s="173">
        <f t="shared" si="385"/>
        <v>0.5624258066085126</v>
      </c>
      <c r="DH127" s="173"/>
      <c r="DI127" s="173">
        <f t="shared" si="386"/>
        <v>0.73170731707317083</v>
      </c>
      <c r="DJ127" s="545">
        <f t="shared" si="387"/>
        <v>464.66666666666663</v>
      </c>
      <c r="DK127" s="528">
        <f t="shared" si="388"/>
        <v>0.12804878048780488</v>
      </c>
      <c r="DM127" s="173">
        <f t="shared" si="389"/>
        <v>1.1522235232883624</v>
      </c>
      <c r="DN127" s="173">
        <f t="shared" si="390"/>
        <v>1.1522235232883624</v>
      </c>
      <c r="DO127" s="173">
        <f t="shared" si="391"/>
        <v>1.312758165398787</v>
      </c>
      <c r="DQ127" s="545">
        <f t="shared" si="392"/>
        <v>170</v>
      </c>
      <c r="DR127" s="460">
        <f t="shared" si="393"/>
        <v>350</v>
      </c>
      <c r="DT127">
        <f t="shared" si="430"/>
        <v>170</v>
      </c>
      <c r="DU127">
        <f t="shared" si="431"/>
        <v>350</v>
      </c>
      <c r="DW127" s="5">
        <f t="shared" si="394"/>
        <v>2.8571428571428572</v>
      </c>
      <c r="DX127" s="5">
        <f t="shared" si="395"/>
        <v>0.72772011997159725</v>
      </c>
      <c r="DY127" s="5">
        <f t="shared" si="396"/>
        <v>2.12942273717126</v>
      </c>
      <c r="DZ127" s="5"/>
      <c r="EA127" s="173">
        <f t="shared" si="397"/>
        <v>0.25470204199005902</v>
      </c>
      <c r="EB127" s="173">
        <f t="shared" si="398"/>
        <v>2.7879999999999998</v>
      </c>
      <c r="EC127" s="173">
        <f t="shared" si="399"/>
        <v>0.4293749195389181</v>
      </c>
      <c r="ED127" s="173">
        <f t="shared" si="400"/>
        <v>6.4931598776050503</v>
      </c>
      <c r="EE127" s="460">
        <f t="shared" si="401"/>
        <v>0.77320262746982216</v>
      </c>
      <c r="EF127" s="5">
        <f t="shared" si="402"/>
        <v>0.25403639671516781</v>
      </c>
      <c r="EH127" s="173">
        <f t="shared" si="403"/>
        <v>0.33573167977492024</v>
      </c>
      <c r="EI127" s="173">
        <f t="shared" si="404"/>
        <v>0.57430298774705413</v>
      </c>
      <c r="EK127" s="528">
        <f t="shared" si="405"/>
        <v>2.2543152160897917E-3</v>
      </c>
      <c r="EL127" s="528">
        <f t="shared" si="406"/>
        <v>0.27124493961731339</v>
      </c>
      <c r="EM127" s="528">
        <f t="shared" si="407"/>
        <v>4.0250000000000001E-2</v>
      </c>
      <c r="EN127" s="528">
        <f t="shared" si="408"/>
        <v>0.21601345499999997</v>
      </c>
      <c r="EO127">
        <f t="shared" si="409"/>
        <v>8.5500000000000003E-3</v>
      </c>
      <c r="EP127" s="460">
        <f t="shared" si="410"/>
        <v>48.800000000000004</v>
      </c>
      <c r="EQ127" s="460"/>
      <c r="ER127" s="460">
        <f t="shared" si="432"/>
        <v>538.31270983340323</v>
      </c>
      <c r="ES127" s="528">
        <f t="shared" si="411"/>
        <v>0.11899999999999999</v>
      </c>
      <c r="EV127" s="460">
        <f t="shared" si="412"/>
        <v>119</v>
      </c>
      <c r="EW127" s="528">
        <f t="shared" si="413"/>
        <v>3.3814728241346875E-3</v>
      </c>
      <c r="EX127" s="528">
        <f t="shared" si="414"/>
        <v>9.8947176520557886E-3</v>
      </c>
      <c r="EY127" s="528">
        <f t="shared" si="415"/>
        <v>0.16329841092028149</v>
      </c>
      <c r="EZ127" s="528"/>
      <c r="FA127" s="528">
        <f t="shared" si="416"/>
        <v>2.3233333333333331E-3</v>
      </c>
      <c r="FB127" s="460">
        <f t="shared" si="417"/>
        <v>178.89793472980531</v>
      </c>
      <c r="FC127" s="173">
        <f t="shared" si="418"/>
        <v>0.83621064456320848</v>
      </c>
      <c r="FD127" s="5">
        <f t="shared" si="419"/>
        <v>2.72</v>
      </c>
      <c r="FE127" s="173">
        <f t="shared" si="420"/>
        <v>0.76485907946942888</v>
      </c>
      <c r="FF127" s="5">
        <f t="shared" si="421"/>
        <v>76.485907946942888</v>
      </c>
      <c r="FI127" s="562">
        <f t="shared" si="422"/>
        <v>-50</v>
      </c>
      <c r="FJ127">
        <f t="shared" si="423"/>
        <v>-50</v>
      </c>
      <c r="FL127">
        <f t="shared" si="424"/>
        <v>0.29508163401287335</v>
      </c>
    </row>
    <row r="128" spans="5:168">
      <c r="E128" s="170">
        <v>18</v>
      </c>
      <c r="F128" s="217">
        <f t="shared" si="425"/>
        <v>0.18</v>
      </c>
      <c r="G128" s="217"/>
      <c r="H128" s="217">
        <f t="shared" si="315"/>
        <v>2.88</v>
      </c>
      <c r="I128" s="541">
        <f t="shared" si="316"/>
        <v>18.970722997811546</v>
      </c>
      <c r="J128" s="172">
        <f t="shared" si="317"/>
        <v>16.417566201313072</v>
      </c>
      <c r="K128" s="172">
        <f t="shared" si="318"/>
        <v>35.388289199124614</v>
      </c>
      <c r="L128" s="443"/>
      <c r="M128" s="217">
        <f t="shared" si="319"/>
        <v>0.46392983541143812</v>
      </c>
      <c r="N128" s="172">
        <f t="shared" si="426"/>
        <v>22.211736749479492</v>
      </c>
      <c r="O128" s="172">
        <f t="shared" si="284"/>
        <v>2.88</v>
      </c>
      <c r="P128" s="217">
        <f t="shared" si="320"/>
        <v>1.3882335468424682</v>
      </c>
      <c r="Q128" s="217">
        <f t="shared" si="321"/>
        <v>16</v>
      </c>
      <c r="R128" s="217"/>
      <c r="S128" s="172">
        <f t="shared" si="322"/>
        <v>244.54252073782342</v>
      </c>
      <c r="T128" s="172">
        <f t="shared" si="323"/>
        <v>16</v>
      </c>
      <c r="U128" s="217">
        <f t="shared" si="324"/>
        <v>0.67155388189958842</v>
      </c>
      <c r="V128" s="217">
        <f t="shared" si="325"/>
        <v>0.42479385649796814</v>
      </c>
      <c r="W128" s="217">
        <f t="shared" si="326"/>
        <v>0.49085512943754928</v>
      </c>
      <c r="X128" s="197">
        <f t="shared" si="327"/>
        <v>350</v>
      </c>
      <c r="Y128" s="443">
        <f t="shared" si="328"/>
        <v>350</v>
      </c>
      <c r="AA128" s="217">
        <f t="shared" si="329"/>
        <v>2.0954813540208397</v>
      </c>
      <c r="AB128" s="173">
        <f t="shared" si="330"/>
        <v>1.5316384864791304</v>
      </c>
      <c r="AC128" s="173">
        <f t="shared" si="331"/>
        <v>0.56166598066560058</v>
      </c>
      <c r="AD128" s="173"/>
      <c r="AE128" s="173">
        <f t="shared" si="332"/>
        <v>0.73092441674090791</v>
      </c>
      <c r="AF128" s="545">
        <f t="shared" si="333"/>
        <v>492.52698603939211</v>
      </c>
      <c r="AG128" s="528">
        <f t="shared" si="334"/>
        <v>0.12791177292965888</v>
      </c>
      <c r="AI128" s="173">
        <f t="shared" si="335"/>
        <v>1.1862630231582492</v>
      </c>
      <c r="AJ128" s="173">
        <f t="shared" si="336"/>
        <v>1.1862630231582492</v>
      </c>
      <c r="AK128" s="173">
        <f t="shared" si="337"/>
        <v>1.3379726097468512</v>
      </c>
      <c r="AM128" s="545">
        <f t="shared" si="338"/>
        <v>180</v>
      </c>
      <c r="AN128" s="460">
        <f t="shared" si="339"/>
        <v>350</v>
      </c>
      <c r="AP128" s="460">
        <f t="shared" si="340"/>
        <v>180</v>
      </c>
      <c r="AQ128" s="460">
        <f t="shared" si="341"/>
        <v>350</v>
      </c>
      <c r="AS128" s="5">
        <f t="shared" si="285"/>
        <v>2.8571428571428572</v>
      </c>
      <c r="AT128" s="5">
        <f t="shared" si="342"/>
        <v>0.75037500044363903</v>
      </c>
      <c r="AU128" s="5">
        <f t="shared" si="343"/>
        <v>2.1067678566992183</v>
      </c>
      <c r="AV128" s="5"/>
      <c r="AW128" s="173">
        <f t="shared" si="344"/>
        <v>0.26263125015527367</v>
      </c>
      <c r="AX128" s="173">
        <f t="shared" si="214"/>
        <v>2.9551619162363529</v>
      </c>
      <c r="AY128" s="173">
        <f t="shared" si="215"/>
        <v>0.43735664118661194</v>
      </c>
      <c r="AZ128" s="173">
        <f t="shared" si="288"/>
        <v>6.7568698813365922</v>
      </c>
      <c r="BA128" s="460">
        <f t="shared" si="433"/>
        <v>0.84417187549909389</v>
      </c>
      <c r="BB128" s="5">
        <f t="shared" si="434"/>
        <v>0.26652873781676156</v>
      </c>
      <c r="BD128" s="173">
        <f t="shared" si="289"/>
        <v>0.35098904891169708</v>
      </c>
      <c r="BE128" s="173">
        <f t="shared" si="218"/>
        <v>0.58811564133389493</v>
      </c>
      <c r="BG128" s="528">
        <f t="shared" si="347"/>
        <v>2.4638662491187537E-3</v>
      </c>
      <c r="BH128" s="528">
        <f t="shared" si="348"/>
        <v>0.26814609341379075</v>
      </c>
      <c r="BI128" s="528">
        <f t="shared" si="349"/>
        <v>0.15271432013238295</v>
      </c>
      <c r="BJ128" s="528">
        <f t="shared" si="350"/>
        <v>0.21587055826949667</v>
      </c>
      <c r="BK128">
        <f t="shared" si="351"/>
        <v>8.5368253490151948E-3</v>
      </c>
      <c r="BL128" s="460">
        <f t="shared" si="427"/>
        <v>161.25114548139817</v>
      </c>
      <c r="BM128" s="528">
        <f t="shared" si="352"/>
        <v>0.48743111111874543</v>
      </c>
      <c r="BN128" s="460">
        <f t="shared" si="353"/>
        <v>487.43111111874543</v>
      </c>
      <c r="BO128" s="528">
        <f t="shared" si="354"/>
        <v>0.126</v>
      </c>
      <c r="BR128" s="460">
        <f t="shared" si="355"/>
        <v>126</v>
      </c>
      <c r="BS128" s="528">
        <f t="shared" si="356"/>
        <v>3.6957993736781306E-3</v>
      </c>
      <c r="BT128" s="528">
        <f t="shared" si="357"/>
        <v>1.0376400227447357E-2</v>
      </c>
      <c r="BU128" s="528">
        <f t="shared" si="358"/>
        <v>0.17562753197836015</v>
      </c>
      <c r="BV128" s="528"/>
      <c r="BW128" s="528">
        <f t="shared" si="359"/>
        <v>2.4626349301969603E-3</v>
      </c>
      <c r="BX128" s="460">
        <f t="shared" si="360"/>
        <v>192.16236650968261</v>
      </c>
      <c r="BY128" s="173">
        <f t="shared" si="361"/>
        <v>0.96589402992348694</v>
      </c>
      <c r="BZ128" s="5">
        <f t="shared" si="362"/>
        <v>2.88</v>
      </c>
      <c r="CA128" s="173">
        <f t="shared" si="363"/>
        <v>0.74885058651948788</v>
      </c>
      <c r="CB128" s="5">
        <f t="shared" si="364"/>
        <v>74.885058651948782</v>
      </c>
      <c r="CE128" s="562">
        <f t="shared" si="365"/>
        <v>-50</v>
      </c>
      <c r="CF128">
        <f t="shared" si="366"/>
        <v>-50</v>
      </c>
      <c r="CG128" s="173">
        <f t="shared" si="367"/>
        <v>0.30740852297878796</v>
      </c>
      <c r="CI128" s="170">
        <v>18</v>
      </c>
      <c r="CJ128" s="217">
        <f t="shared" si="428"/>
        <v>0.18</v>
      </c>
      <c r="CK128" s="217"/>
      <c r="CL128" s="217">
        <f t="shared" si="368"/>
        <v>2.88</v>
      </c>
      <c r="CM128" s="541">
        <f t="shared" si="369"/>
        <v>19</v>
      </c>
      <c r="CN128" s="443">
        <f t="shared" si="370"/>
        <v>16.399999999999999</v>
      </c>
      <c r="CO128" s="443">
        <f t="shared" si="371"/>
        <v>35.4</v>
      </c>
      <c r="CP128" s="443"/>
      <c r="CQ128" s="217">
        <f t="shared" si="372"/>
        <v>0.4632768361581921</v>
      </c>
      <c r="CR128" s="172">
        <f t="shared" si="429"/>
        <v>22.214703389830511</v>
      </c>
      <c r="CS128" s="172">
        <f t="shared" si="373"/>
        <v>2.88</v>
      </c>
      <c r="CT128" s="217">
        <f t="shared" si="374"/>
        <v>1.3884189618644069</v>
      </c>
      <c r="CU128" s="217">
        <f t="shared" si="375"/>
        <v>16</v>
      </c>
      <c r="CV128" s="217"/>
      <c r="CW128" s="172">
        <f t="shared" si="376"/>
        <v>244.91986885001322</v>
      </c>
      <c r="CX128" s="172">
        <f t="shared" si="377"/>
        <v>16</v>
      </c>
      <c r="CY128" s="217">
        <f t="shared" si="378"/>
        <v>0.654377406931964</v>
      </c>
      <c r="CZ128" s="217">
        <f t="shared" si="379"/>
        <v>0.41329099385176671</v>
      </c>
      <c r="DA128" s="217">
        <f t="shared" si="380"/>
        <v>0.47881273677948588</v>
      </c>
      <c r="DB128" s="197">
        <f t="shared" si="381"/>
        <v>350</v>
      </c>
      <c r="DC128" s="443">
        <f t="shared" si="382"/>
        <v>350</v>
      </c>
      <c r="DE128" s="217">
        <f t="shared" si="383"/>
        <v>2.0957761635727734</v>
      </c>
      <c r="DF128" s="173">
        <f t="shared" si="384"/>
        <v>1.5334947538337369</v>
      </c>
      <c r="DG128" s="173">
        <f t="shared" si="385"/>
        <v>0.5624258066085126</v>
      </c>
      <c r="DH128" s="173"/>
      <c r="DI128" s="173">
        <f t="shared" si="386"/>
        <v>0.73170731707317083</v>
      </c>
      <c r="DJ128" s="545">
        <f t="shared" si="387"/>
        <v>491.99999999999994</v>
      </c>
      <c r="DK128" s="528">
        <f t="shared" si="388"/>
        <v>0.12804878048780488</v>
      </c>
      <c r="DM128" s="173">
        <f t="shared" si="389"/>
        <v>1.1856282240712246</v>
      </c>
      <c r="DN128" s="173">
        <f t="shared" si="390"/>
        <v>1.1856282240712246</v>
      </c>
      <c r="DO128" s="173">
        <f t="shared" si="391"/>
        <v>1.3375023882009072</v>
      </c>
      <c r="DQ128" s="545">
        <f t="shared" si="392"/>
        <v>180</v>
      </c>
      <c r="DR128" s="460">
        <f t="shared" si="393"/>
        <v>350</v>
      </c>
      <c r="DT128">
        <f t="shared" si="430"/>
        <v>180</v>
      </c>
      <c r="DU128">
        <f t="shared" si="431"/>
        <v>350</v>
      </c>
      <c r="DW128" s="5">
        <f t="shared" si="394"/>
        <v>2.8571428571428572</v>
      </c>
      <c r="DX128" s="5">
        <f t="shared" si="395"/>
        <v>0.74881782572919442</v>
      </c>
      <c r="DY128" s="5">
        <f t="shared" si="396"/>
        <v>2.1083250314136626</v>
      </c>
      <c r="DZ128" s="5"/>
      <c r="EA128" s="173">
        <f t="shared" si="397"/>
        <v>0.26208623900521805</v>
      </c>
      <c r="EB128" s="173">
        <f t="shared" si="398"/>
        <v>2.9520000000000008</v>
      </c>
      <c r="EC128" s="173">
        <f t="shared" si="399"/>
        <v>0.43744569098298069</v>
      </c>
      <c r="ED128" s="173">
        <f t="shared" si="400"/>
        <v>6.7482662667600755</v>
      </c>
      <c r="EE128" s="460">
        <f t="shared" si="401"/>
        <v>0.84242005394534358</v>
      </c>
      <c r="EF128" s="5">
        <f t="shared" si="402"/>
        <v>0.26631474081014678</v>
      </c>
      <c r="EH128" s="173">
        <f t="shared" si="403"/>
        <v>0.35043704630017058</v>
      </c>
      <c r="EI128" s="173">
        <f t="shared" si="404"/>
        <v>0.58801811634663159</v>
      </c>
      <c r="EK128" s="528">
        <f t="shared" si="405"/>
        <v>2.4561224683917579E-3</v>
      </c>
      <c r="EL128" s="528">
        <f t="shared" si="406"/>
        <v>0.27910874022860699</v>
      </c>
      <c r="EM128" s="528">
        <f t="shared" si="407"/>
        <v>4.0250000000000001E-2</v>
      </c>
      <c r="EN128" s="528">
        <f t="shared" si="408"/>
        <v>0.21601345499999997</v>
      </c>
      <c r="EO128">
        <f t="shared" si="409"/>
        <v>8.5500000000000003E-3</v>
      </c>
      <c r="EP128" s="460">
        <f t="shared" si="410"/>
        <v>48.800000000000004</v>
      </c>
      <c r="EQ128" s="460"/>
      <c r="ER128" s="460">
        <f t="shared" si="432"/>
        <v>546.37831769699858</v>
      </c>
      <c r="ES128" s="528">
        <f t="shared" si="411"/>
        <v>0.126</v>
      </c>
      <c r="EV128" s="460">
        <f t="shared" si="412"/>
        <v>126</v>
      </c>
      <c r="EW128" s="528">
        <f t="shared" si="413"/>
        <v>3.6841837025876367E-3</v>
      </c>
      <c r="EX128" s="528">
        <f t="shared" si="414"/>
        <v>1.0372959154555224E-2</v>
      </c>
      <c r="EY128" s="528">
        <f t="shared" si="415"/>
        <v>0.17539266952864524</v>
      </c>
      <c r="EZ128" s="528"/>
      <c r="FA128" s="528">
        <f t="shared" si="416"/>
        <v>2.4600000000000004E-3</v>
      </c>
      <c r="FB128" s="460">
        <f t="shared" si="417"/>
        <v>191.90981238578809</v>
      </c>
      <c r="FC128" s="173">
        <f t="shared" si="418"/>
        <v>0.86428813008278682</v>
      </c>
      <c r="FD128" s="5">
        <f t="shared" si="419"/>
        <v>2.88</v>
      </c>
      <c r="FE128" s="173">
        <f t="shared" si="420"/>
        <v>0.76917157546214865</v>
      </c>
      <c r="FF128" s="5">
        <f t="shared" si="421"/>
        <v>76.917157546214867</v>
      </c>
      <c r="FI128" s="562">
        <f t="shared" si="422"/>
        <v>-50</v>
      </c>
      <c r="FJ128">
        <f t="shared" si="423"/>
        <v>-50</v>
      </c>
      <c r="FL128">
        <f t="shared" si="424"/>
        <v>0.30363649640848434</v>
      </c>
    </row>
    <row r="129" spans="5:168">
      <c r="E129" s="170">
        <v>19</v>
      </c>
      <c r="F129" s="217">
        <f t="shared" si="425"/>
        <v>0.19</v>
      </c>
      <c r="G129" s="217"/>
      <c r="H129" s="217">
        <f t="shared" si="315"/>
        <v>3.04</v>
      </c>
      <c r="I129" s="541">
        <f t="shared" si="316"/>
        <v>18.969920739624087</v>
      </c>
      <c r="J129" s="172">
        <f t="shared" si="317"/>
        <v>16.418047556225545</v>
      </c>
      <c r="K129" s="172">
        <f t="shared" si="318"/>
        <v>35.387968295849632</v>
      </c>
      <c r="L129" s="443"/>
      <c r="M129" s="217">
        <f t="shared" si="319"/>
        <v>0.4639477350853165</v>
      </c>
      <c r="N129" s="172">
        <f t="shared" si="426"/>
        <v>22.211654384086462</v>
      </c>
      <c r="O129" s="172">
        <f t="shared" si="284"/>
        <v>3.04</v>
      </c>
      <c r="P129" s="217">
        <f t="shared" si="320"/>
        <v>1.3882283990054038</v>
      </c>
      <c r="Q129" s="217">
        <f t="shared" si="321"/>
        <v>16</v>
      </c>
      <c r="R129" s="217"/>
      <c r="S129" s="172">
        <f t="shared" si="322"/>
        <v>230.66713832185039</v>
      </c>
      <c r="T129" s="172">
        <f t="shared" si="323"/>
        <v>16</v>
      </c>
      <c r="U129" s="217">
        <f t="shared" si="324"/>
        <v>0.70888610098584293</v>
      </c>
      <c r="V129" s="217">
        <f t="shared" si="325"/>
        <v>0.44842745146855501</v>
      </c>
      <c r="W129" s="217">
        <f t="shared" si="326"/>
        <v>0.51812696867262353</v>
      </c>
      <c r="X129" s="197">
        <f t="shared" si="327"/>
        <v>350</v>
      </c>
      <c r="Y129" s="443">
        <f t="shared" si="328"/>
        <v>350</v>
      </c>
      <c r="AA129" s="217">
        <f t="shared" si="329"/>
        <v>2.0954731753890439</v>
      </c>
      <c r="AB129" s="173">
        <f t="shared" si="330"/>
        <v>1.5315876031272404</v>
      </c>
      <c r="AC129" s="173">
        <f t="shared" si="331"/>
        <v>0.56164512916951836</v>
      </c>
      <c r="AD129" s="173"/>
      <c r="AE129" s="173">
        <f t="shared" si="332"/>
        <v>0.7309029870272078</v>
      </c>
      <c r="AF129" s="545">
        <f t="shared" si="333"/>
        <v>519.90483928047558</v>
      </c>
      <c r="AG129" s="528">
        <f t="shared" si="334"/>
        <v>0.12790802272976137</v>
      </c>
      <c r="AI129" s="173">
        <f t="shared" si="335"/>
        <v>1.2187872652535454</v>
      </c>
      <c r="AJ129" s="173">
        <f t="shared" si="336"/>
        <v>1.2187872652535454</v>
      </c>
      <c r="AK129" s="173">
        <f t="shared" si="337"/>
        <v>1.3620646409285522</v>
      </c>
      <c r="AM129" s="545">
        <f t="shared" si="338"/>
        <v>190</v>
      </c>
      <c r="AN129" s="460">
        <f t="shared" si="339"/>
        <v>350</v>
      </c>
      <c r="AP129" s="460">
        <f t="shared" si="340"/>
        <v>190</v>
      </c>
      <c r="AQ129" s="460">
        <f t="shared" si="341"/>
        <v>350</v>
      </c>
      <c r="AS129" s="5">
        <f t="shared" si="285"/>
        <v>2.8571428571428572</v>
      </c>
      <c r="AT129" s="5">
        <f t="shared" si="342"/>
        <v>0.77098093259257161</v>
      </c>
      <c r="AU129" s="5">
        <f t="shared" si="343"/>
        <v>2.0861619245502858</v>
      </c>
      <c r="AV129" s="5"/>
      <c r="AW129" s="173">
        <f t="shared" si="344"/>
        <v>0.26984332640740005</v>
      </c>
      <c r="AX129" s="173">
        <f t="shared" si="214"/>
        <v>3.1194290356828538</v>
      </c>
      <c r="AY129" s="173">
        <f t="shared" si="215"/>
        <v>0.44495282770727523</v>
      </c>
      <c r="AZ129" s="173">
        <f t="shared" si="288"/>
        <v>7.0106960590776559</v>
      </c>
      <c r="BA129" s="460">
        <f t="shared" si="433"/>
        <v>0.91553985745367883</v>
      </c>
      <c r="BB129" s="5">
        <f t="shared" si="434"/>
        <v>0.27859597384373597</v>
      </c>
      <c r="BD129" s="173">
        <f t="shared" si="289"/>
        <v>0.36553007986021802</v>
      </c>
      <c r="BE129" s="173">
        <f t="shared" si="218"/>
        <v>0.60127799452398722</v>
      </c>
      <c r="BG129" s="528">
        <f t="shared" si="347"/>
        <v>2.6722447856523473E-3</v>
      </c>
      <c r="BH129" s="528">
        <f t="shared" si="348"/>
        <v>0.27549546259016033</v>
      </c>
      <c r="BI129" s="528">
        <f t="shared" si="349"/>
        <v>0.1527078619539739</v>
      </c>
      <c r="BJ129" s="528">
        <f t="shared" si="350"/>
        <v>0.21586664323112661</v>
      </c>
      <c r="BK129">
        <f t="shared" si="351"/>
        <v>8.5364643328308381E-3</v>
      </c>
      <c r="BL129" s="460">
        <f t="shared" si="427"/>
        <v>161.24432628680475</v>
      </c>
      <c r="BM129" s="528">
        <f t="shared" si="352"/>
        <v>0.49507018931777347</v>
      </c>
      <c r="BN129" s="460">
        <f t="shared" si="353"/>
        <v>495.07018931777344</v>
      </c>
      <c r="BO129" s="528">
        <f t="shared" si="354"/>
        <v>0.13299999999999998</v>
      </c>
      <c r="BR129" s="460">
        <f t="shared" si="355"/>
        <v>132.99999999999997</v>
      </c>
      <c r="BS129" s="528">
        <f t="shared" si="356"/>
        <v>4.0083671784785207E-3</v>
      </c>
      <c r="BT129" s="528">
        <f t="shared" si="357"/>
        <v>1.0846056800963641E-2</v>
      </c>
      <c r="BU129" s="528">
        <f t="shared" si="358"/>
        <v>0.18791432340284414</v>
      </c>
      <c r="BV129" s="528"/>
      <c r="BW129" s="528">
        <f t="shared" si="359"/>
        <v>2.5995241964023785E-3</v>
      </c>
      <c r="BX129" s="460">
        <f t="shared" si="360"/>
        <v>205.36827157868871</v>
      </c>
      <c r="BY129" s="173">
        <f t="shared" si="361"/>
        <v>0.99364694847243273</v>
      </c>
      <c r="BZ129" s="5">
        <f t="shared" si="362"/>
        <v>3.04</v>
      </c>
      <c r="CA129" s="173">
        <f t="shared" si="363"/>
        <v>0.75366040678182478</v>
      </c>
      <c r="CB129" s="5">
        <f t="shared" si="364"/>
        <v>75.366040678182472</v>
      </c>
      <c r="CE129" s="562">
        <f t="shared" si="365"/>
        <v>-50</v>
      </c>
      <c r="CF129">
        <f t="shared" si="366"/>
        <v>-50</v>
      </c>
      <c r="CG129" s="173">
        <f t="shared" si="367"/>
        <v>0.31583223394707516</v>
      </c>
      <c r="CI129" s="170">
        <v>19</v>
      </c>
      <c r="CJ129" s="217">
        <f t="shared" si="428"/>
        <v>0.19</v>
      </c>
      <c r="CK129" s="217"/>
      <c r="CL129" s="217">
        <f t="shared" si="368"/>
        <v>3.04</v>
      </c>
      <c r="CM129" s="541">
        <f t="shared" si="369"/>
        <v>19</v>
      </c>
      <c r="CN129" s="443">
        <f t="shared" si="370"/>
        <v>16.399999999999999</v>
      </c>
      <c r="CO129" s="443">
        <f t="shared" si="371"/>
        <v>35.4</v>
      </c>
      <c r="CP129" s="443"/>
      <c r="CQ129" s="217">
        <f t="shared" si="372"/>
        <v>0.4632768361581921</v>
      </c>
      <c r="CR129" s="172">
        <f t="shared" si="429"/>
        <v>22.214703389830511</v>
      </c>
      <c r="CS129" s="172">
        <f t="shared" si="373"/>
        <v>3.04</v>
      </c>
      <c r="CT129" s="217">
        <f t="shared" si="374"/>
        <v>1.3884189618644069</v>
      </c>
      <c r="CU129" s="217">
        <f t="shared" si="375"/>
        <v>16</v>
      </c>
      <c r="CV129" s="217"/>
      <c r="CW129" s="172">
        <f t="shared" si="376"/>
        <v>231.03283890063355</v>
      </c>
      <c r="CX129" s="172">
        <f t="shared" si="377"/>
        <v>16</v>
      </c>
      <c r="CY129" s="217">
        <f t="shared" si="378"/>
        <v>0.69073170731707312</v>
      </c>
      <c r="CZ129" s="217">
        <f t="shared" si="379"/>
        <v>0.43625160462130935</v>
      </c>
      <c r="DA129" s="217">
        <f t="shared" si="380"/>
        <v>0.50541344437834623</v>
      </c>
      <c r="DB129" s="197">
        <f t="shared" si="381"/>
        <v>350</v>
      </c>
      <c r="DC129" s="443">
        <f t="shared" si="382"/>
        <v>350</v>
      </c>
      <c r="DE129" s="217">
        <f t="shared" si="383"/>
        <v>2.0957761635727734</v>
      </c>
      <c r="DF129" s="173">
        <f t="shared" si="384"/>
        <v>1.5334947538337369</v>
      </c>
      <c r="DG129" s="173">
        <f t="shared" si="385"/>
        <v>0.5624258066085126</v>
      </c>
      <c r="DH129" s="173"/>
      <c r="DI129" s="173">
        <f t="shared" si="386"/>
        <v>0.73170731707317083</v>
      </c>
      <c r="DJ129" s="545">
        <f t="shared" si="387"/>
        <v>519.33333333333326</v>
      </c>
      <c r="DK129" s="528">
        <f t="shared" si="388"/>
        <v>0.12804878048780488</v>
      </c>
      <c r="DM129" s="173">
        <f t="shared" si="389"/>
        <v>1.218117204463316</v>
      </c>
      <c r="DN129" s="173">
        <f t="shared" si="390"/>
        <v>1.218117204463316</v>
      </c>
      <c r="DO129" s="173">
        <f t="shared" si="391"/>
        <v>1.3615682996024563</v>
      </c>
      <c r="DQ129" s="545">
        <f t="shared" si="392"/>
        <v>190</v>
      </c>
      <c r="DR129" s="460">
        <f t="shared" si="393"/>
        <v>350</v>
      </c>
      <c r="DT129">
        <f t="shared" si="430"/>
        <v>190</v>
      </c>
      <c r="DU129">
        <f t="shared" si="431"/>
        <v>350</v>
      </c>
      <c r="DW129" s="5">
        <f t="shared" si="394"/>
        <v>2.8571428571428572</v>
      </c>
      <c r="DX129" s="5">
        <f t="shared" si="395"/>
        <v>0.76933718176630483</v>
      </c>
      <c r="DY129" s="5">
        <f t="shared" si="396"/>
        <v>2.0878056753765524</v>
      </c>
      <c r="DZ129" s="5"/>
      <c r="EA129" s="173">
        <f t="shared" si="397"/>
        <v>0.26926801361820668</v>
      </c>
      <c r="EB129" s="173">
        <f t="shared" si="398"/>
        <v>3.1160000000000005</v>
      </c>
      <c r="EC129" s="173">
        <f t="shared" si="399"/>
        <v>0.445058602231658</v>
      </c>
      <c r="ED129" s="173">
        <f t="shared" si="400"/>
        <v>7.0013251836397208</v>
      </c>
      <c r="EE129" s="460">
        <f t="shared" si="401"/>
        <v>0.91358790334748696</v>
      </c>
      <c r="EF129" s="5">
        <f t="shared" si="402"/>
        <v>0.27837409005020697</v>
      </c>
      <c r="EH129" s="173">
        <f t="shared" si="403"/>
        <v>0.36493946669914434</v>
      </c>
      <c r="EI129" s="173">
        <f t="shared" si="404"/>
        <v>0.60118413173379648</v>
      </c>
      <c r="EK129" s="528">
        <f t="shared" si="405"/>
        <v>2.6636162870931181E-3</v>
      </c>
      <c r="EL129" s="528">
        <f t="shared" si="406"/>
        <v>0.2867569711027092</v>
      </c>
      <c r="EM129" s="528">
        <f t="shared" si="407"/>
        <v>4.0250000000000001E-2</v>
      </c>
      <c r="EN129" s="528">
        <f t="shared" si="408"/>
        <v>0.21601345499999997</v>
      </c>
      <c r="EO129">
        <f t="shared" si="409"/>
        <v>8.5500000000000003E-3</v>
      </c>
      <c r="EP129" s="460">
        <f t="shared" si="410"/>
        <v>48.800000000000004</v>
      </c>
      <c r="EQ129" s="460"/>
      <c r="ER129" s="460">
        <f t="shared" si="432"/>
        <v>554.2340423898022</v>
      </c>
      <c r="ES129" s="528">
        <f t="shared" si="411"/>
        <v>0.13299999999999998</v>
      </c>
      <c r="EV129" s="460">
        <f t="shared" si="412"/>
        <v>132.99999999999997</v>
      </c>
      <c r="EW129" s="528">
        <f t="shared" si="413"/>
        <v>3.9954244306396767E-3</v>
      </c>
      <c r="EX129" s="528">
        <f t="shared" si="414"/>
        <v>1.0842670807455563E-2</v>
      </c>
      <c r="EY129" s="528">
        <f t="shared" si="415"/>
        <v>0.18765615261714053</v>
      </c>
      <c r="EZ129" s="528"/>
      <c r="FA129" s="528">
        <f t="shared" si="416"/>
        <v>2.5966666666666673E-3</v>
      </c>
      <c r="FB129" s="460">
        <f t="shared" si="417"/>
        <v>205.09091452190242</v>
      </c>
      <c r="FC129" s="173">
        <f t="shared" si="418"/>
        <v>0.89232495691170477</v>
      </c>
      <c r="FD129" s="5">
        <f t="shared" si="419"/>
        <v>3.04</v>
      </c>
      <c r="FE129" s="173">
        <f t="shared" si="420"/>
        <v>0.77307954792919709</v>
      </c>
      <c r="FF129" s="5">
        <f t="shared" si="421"/>
        <v>77.307954792919702</v>
      </c>
      <c r="FI129" s="562">
        <f t="shared" si="422"/>
        <v>-50</v>
      </c>
      <c r="FJ129">
        <f t="shared" si="423"/>
        <v>-50</v>
      </c>
      <c r="FL129">
        <f t="shared" si="424"/>
        <v>0.31195684504548338</v>
      </c>
    </row>
    <row r="130" spans="5:168">
      <c r="E130" s="170">
        <v>20</v>
      </c>
      <c r="F130" s="217">
        <f t="shared" si="425"/>
        <v>0.2</v>
      </c>
      <c r="G130" s="217"/>
      <c r="H130" s="217">
        <f t="shared" si="315"/>
        <v>3.2</v>
      </c>
      <c r="I130" s="541">
        <f t="shared" si="316"/>
        <v>18.969139330007582</v>
      </c>
      <c r="J130" s="172">
        <f t="shared" si="317"/>
        <v>16.418516401995451</v>
      </c>
      <c r="K130" s="172">
        <f t="shared" si="318"/>
        <v>35.387655732003033</v>
      </c>
      <c r="L130" s="443"/>
      <c r="M130" s="217">
        <f t="shared" si="319"/>
        <v>0.46396516990023079</v>
      </c>
      <c r="N130" s="172">
        <f t="shared" si="426"/>
        <v>22.211574104132865</v>
      </c>
      <c r="O130" s="172">
        <f t="shared" si="284"/>
        <v>3.2</v>
      </c>
      <c r="P130" s="217">
        <f t="shared" si="320"/>
        <v>1.388223381508304</v>
      </c>
      <c r="Q130" s="217">
        <f t="shared" si="321"/>
        <v>16</v>
      </c>
      <c r="R130" s="217"/>
      <c r="S130" s="172">
        <f t="shared" si="322"/>
        <v>218.17981572782907</v>
      </c>
      <c r="T130" s="172">
        <f t="shared" si="323"/>
        <v>16</v>
      </c>
      <c r="U130" s="217">
        <f t="shared" si="324"/>
        <v>0.74622016618873477</v>
      </c>
      <c r="V130" s="217">
        <f t="shared" si="325"/>
        <v>0.47206369453459213</v>
      </c>
      <c r="W130" s="217">
        <f t="shared" si="326"/>
        <v>0.54539897363543155</v>
      </c>
      <c r="X130" s="197">
        <f t="shared" si="327"/>
        <v>350</v>
      </c>
      <c r="Y130" s="443">
        <f t="shared" si="328"/>
        <v>350</v>
      </c>
      <c r="AA130" s="217">
        <f t="shared" si="329"/>
        <v>2.0954652041600221</v>
      </c>
      <c r="AB130" s="173">
        <f t="shared" si="330"/>
        <v>1.5315380412120645</v>
      </c>
      <c r="AC130" s="173">
        <f t="shared" si="331"/>
        <v>0.56162481798627384</v>
      </c>
      <c r="AD130" s="173"/>
      <c r="AE130" s="173">
        <f t="shared" si="332"/>
        <v>0.73088211542314274</v>
      </c>
      <c r="AF130" s="545">
        <f t="shared" si="333"/>
        <v>547.28388006651505</v>
      </c>
      <c r="AG130" s="528">
        <f t="shared" si="334"/>
        <v>0.12790437019904996</v>
      </c>
      <c r="AI130" s="173">
        <f t="shared" si="335"/>
        <v>1.2504672041926856</v>
      </c>
      <c r="AJ130" s="173">
        <f t="shared" si="336"/>
        <v>1.2504672041926856</v>
      </c>
      <c r="AK130" s="173">
        <f t="shared" si="337"/>
        <v>1.3855312623649523</v>
      </c>
      <c r="AM130" s="545">
        <f t="shared" si="338"/>
        <v>200</v>
      </c>
      <c r="AN130" s="460">
        <f t="shared" si="339"/>
        <v>350</v>
      </c>
      <c r="AP130" s="460">
        <f t="shared" si="340"/>
        <v>200</v>
      </c>
      <c r="AQ130" s="460">
        <f t="shared" si="341"/>
        <v>350</v>
      </c>
      <c r="AS130" s="5">
        <f t="shared" si="285"/>
        <v>2.8571428571428572</v>
      </c>
      <c r="AT130" s="5">
        <f t="shared" si="342"/>
        <v>0.79105362606381524</v>
      </c>
      <c r="AU130" s="5">
        <f t="shared" si="343"/>
        <v>2.066089231079042</v>
      </c>
      <c r="AV130" s="5"/>
      <c r="AW130" s="173">
        <f t="shared" si="344"/>
        <v>0.27686876912233532</v>
      </c>
      <c r="AX130" s="173">
        <f t="shared" si="214"/>
        <v>3.2837032803990911</v>
      </c>
      <c r="AY130" s="173">
        <f t="shared" si="215"/>
        <v>0.45212594427000447</v>
      </c>
      <c r="AZ130" s="173">
        <f t="shared" si="288"/>
        <v>7.2628065741746086</v>
      </c>
      <c r="BA130" s="460">
        <f t="shared" si="433"/>
        <v>0.98881703257976905</v>
      </c>
      <c r="BB130" s="5">
        <f t="shared" si="434"/>
        <v>0.29044919682580256</v>
      </c>
      <c r="BD130" s="173">
        <f t="shared" si="289"/>
        <v>0.3798819543897336</v>
      </c>
      <c r="BE130" s="173">
        <f t="shared" si="218"/>
        <v>0.61393195359870867</v>
      </c>
      <c r="BG130" s="528">
        <f t="shared" si="347"/>
        <v>2.8862059854192729E-3</v>
      </c>
      <c r="BH130" s="528">
        <f t="shared" si="348"/>
        <v>0.28265391994066241</v>
      </c>
      <c r="BI130" s="528">
        <f t="shared" si="349"/>
        <v>0.15270157160656103</v>
      </c>
      <c r="BJ130" s="528">
        <f t="shared" si="350"/>
        <v>0.21586282996839148</v>
      </c>
      <c r="BK130">
        <f t="shared" si="351"/>
        <v>8.5361126985034116E-3</v>
      </c>
      <c r="BL130" s="460">
        <f t="shared" si="427"/>
        <v>161.23768430506445</v>
      </c>
      <c r="BM130" s="528">
        <f t="shared" si="352"/>
        <v>0.50252684559766481</v>
      </c>
      <c r="BN130" s="460">
        <f t="shared" si="353"/>
        <v>502.52684559766482</v>
      </c>
      <c r="BO130" s="528">
        <f t="shared" si="354"/>
        <v>0.13999999999999999</v>
      </c>
      <c r="BR130" s="460">
        <f t="shared" si="355"/>
        <v>139.99999999999997</v>
      </c>
      <c r="BS130" s="528">
        <f t="shared" si="356"/>
        <v>4.3293089781289091E-3</v>
      </c>
      <c r="BT130" s="528">
        <f t="shared" si="357"/>
        <v>1.1307373309485809E-2</v>
      </c>
      <c r="BU130" s="528">
        <f t="shared" si="358"/>
        <v>0.20036454767736669</v>
      </c>
      <c r="BV130" s="528"/>
      <c r="BW130" s="528">
        <f t="shared" si="359"/>
        <v>2.736419400332576E-3</v>
      </c>
      <c r="BX130" s="460">
        <f t="shared" si="360"/>
        <v>218.73764936531398</v>
      </c>
      <c r="BY130" s="173">
        <f t="shared" si="361"/>
        <v>1.0213782895648515</v>
      </c>
      <c r="BZ130" s="5">
        <f t="shared" si="362"/>
        <v>3.2</v>
      </c>
      <c r="CA130" s="173">
        <f t="shared" si="363"/>
        <v>0.75804625420809246</v>
      </c>
      <c r="CB130" s="5">
        <f t="shared" si="364"/>
        <v>75.804625420809245</v>
      </c>
      <c r="CE130" s="562">
        <f t="shared" si="365"/>
        <v>-50</v>
      </c>
      <c r="CF130">
        <f t="shared" si="366"/>
        <v>-50</v>
      </c>
      <c r="CG130" s="173">
        <f t="shared" si="367"/>
        <v>0.32403703492039304</v>
      </c>
      <c r="CI130" s="170">
        <v>20</v>
      </c>
      <c r="CJ130" s="217">
        <f t="shared" si="428"/>
        <v>0.2</v>
      </c>
      <c r="CK130" s="217"/>
      <c r="CL130" s="217">
        <f t="shared" si="368"/>
        <v>3.2</v>
      </c>
      <c r="CM130" s="541">
        <f t="shared" si="369"/>
        <v>19</v>
      </c>
      <c r="CN130" s="443">
        <f t="shared" si="370"/>
        <v>16.399999999999999</v>
      </c>
      <c r="CO130" s="443">
        <f t="shared" si="371"/>
        <v>35.4</v>
      </c>
      <c r="CP130" s="443"/>
      <c r="CQ130" s="217">
        <f t="shared" si="372"/>
        <v>0.4632768361581921</v>
      </c>
      <c r="CR130" s="172">
        <f t="shared" si="429"/>
        <v>22.214703389830511</v>
      </c>
      <c r="CS130" s="172">
        <f t="shared" si="373"/>
        <v>3.2</v>
      </c>
      <c r="CT130" s="217">
        <f t="shared" si="374"/>
        <v>1.3884189618644069</v>
      </c>
      <c r="CU130" s="217">
        <f t="shared" si="375"/>
        <v>16</v>
      </c>
      <c r="CV130" s="217"/>
      <c r="CW130" s="172">
        <f t="shared" si="376"/>
        <v>218.53471354485976</v>
      </c>
      <c r="CX130" s="172">
        <f t="shared" si="377"/>
        <v>16</v>
      </c>
      <c r="CY130" s="217">
        <f t="shared" si="378"/>
        <v>0.72708600770218224</v>
      </c>
      <c r="CZ130" s="217">
        <f t="shared" si="379"/>
        <v>0.45921221539085189</v>
      </c>
      <c r="DA130" s="217">
        <f t="shared" si="380"/>
        <v>0.53201415197720658</v>
      </c>
      <c r="DB130" s="197">
        <f t="shared" si="381"/>
        <v>350</v>
      </c>
      <c r="DC130" s="443">
        <f t="shared" si="382"/>
        <v>350</v>
      </c>
      <c r="DE130" s="217">
        <f t="shared" si="383"/>
        <v>2.0957761635727734</v>
      </c>
      <c r="DF130" s="173">
        <f t="shared" si="384"/>
        <v>1.5334947538337369</v>
      </c>
      <c r="DG130" s="173">
        <f t="shared" si="385"/>
        <v>0.5624258066085126</v>
      </c>
      <c r="DH130" s="173"/>
      <c r="DI130" s="173">
        <f t="shared" si="386"/>
        <v>0.73170731707317083</v>
      </c>
      <c r="DJ130" s="545">
        <f t="shared" si="387"/>
        <v>546.66666666666663</v>
      </c>
      <c r="DK130" s="528">
        <f t="shared" si="388"/>
        <v>0.12804878048780488</v>
      </c>
      <c r="DM130" s="173">
        <f t="shared" si="389"/>
        <v>1.2497618820818477</v>
      </c>
      <c r="DN130" s="173">
        <f t="shared" si="390"/>
        <v>1.2497618820818477</v>
      </c>
      <c r="DO130" s="173">
        <f t="shared" si="391"/>
        <v>1.3850088015421094</v>
      </c>
      <c r="DQ130" s="545">
        <f t="shared" si="392"/>
        <v>200</v>
      </c>
      <c r="DR130" s="460">
        <f t="shared" si="393"/>
        <v>350</v>
      </c>
      <c r="DT130">
        <f t="shared" si="430"/>
        <v>200</v>
      </c>
      <c r="DU130">
        <f t="shared" si="431"/>
        <v>350</v>
      </c>
      <c r="DW130" s="5">
        <f t="shared" si="394"/>
        <v>2.8571428571428572</v>
      </c>
      <c r="DX130" s="5">
        <f t="shared" si="395"/>
        <v>0.78932329394643019</v>
      </c>
      <c r="DY130" s="5">
        <f t="shared" si="396"/>
        <v>2.0678195631964269</v>
      </c>
      <c r="DZ130" s="5"/>
      <c r="EA130" s="173">
        <f t="shared" si="397"/>
        <v>0.27626315288125058</v>
      </c>
      <c r="EB130" s="173">
        <f t="shared" si="398"/>
        <v>3.2800000000000007</v>
      </c>
      <c r="EC130" s="173">
        <f t="shared" si="399"/>
        <v>0.45224936209355537</v>
      </c>
      <c r="ED130" s="173">
        <f t="shared" si="400"/>
        <v>7.2526359900569135</v>
      </c>
      <c r="EE130" s="460">
        <f t="shared" si="401"/>
        <v>0.98665411743303766</v>
      </c>
      <c r="EF130" s="5">
        <f t="shared" si="402"/>
        <v>0.29022028957142831</v>
      </c>
      <c r="EH130" s="173">
        <f t="shared" si="403"/>
        <v>0.37925221775842372</v>
      </c>
      <c r="EI130" s="173">
        <f t="shared" si="404"/>
        <v>0.61384254981244002</v>
      </c>
      <c r="EK130" s="528">
        <f t="shared" si="405"/>
        <v>2.8766448934936569E-3</v>
      </c>
      <c r="EL130" s="528">
        <f t="shared" si="406"/>
        <v>0.2942064446608878</v>
      </c>
      <c r="EM130" s="528">
        <f t="shared" si="407"/>
        <v>4.0250000000000001E-2</v>
      </c>
      <c r="EN130" s="528">
        <f t="shared" si="408"/>
        <v>0.21601345499999997</v>
      </c>
      <c r="EO130">
        <f t="shared" si="409"/>
        <v>8.5500000000000003E-3</v>
      </c>
      <c r="EP130" s="460">
        <f t="shared" si="410"/>
        <v>48.800000000000004</v>
      </c>
      <c r="EQ130" s="460"/>
      <c r="ER130" s="460">
        <f t="shared" si="432"/>
        <v>561.89654455438142</v>
      </c>
      <c r="ES130" s="528">
        <f t="shared" si="411"/>
        <v>0.13999999999999999</v>
      </c>
      <c r="EV130" s="460">
        <f t="shared" si="412"/>
        <v>139.99999999999997</v>
      </c>
      <c r="EW130" s="528">
        <f t="shared" si="413"/>
        <v>4.3149673402404845E-3</v>
      </c>
      <c r="EX130" s="528">
        <f t="shared" si="414"/>
        <v>1.1304080278807136E-2</v>
      </c>
      <c r="EY130" s="528">
        <f t="shared" si="415"/>
        <v>0.20008212970016923</v>
      </c>
      <c r="EZ130" s="528"/>
      <c r="FA130" s="528">
        <f t="shared" si="416"/>
        <v>2.7333333333333337E-3</v>
      </c>
      <c r="FB130" s="460">
        <f t="shared" si="417"/>
        <v>218.43451065255019</v>
      </c>
      <c r="FC130" s="173">
        <f t="shared" si="418"/>
        <v>0.9203310552069317</v>
      </c>
      <c r="FD130" s="5">
        <f t="shared" si="419"/>
        <v>3.2</v>
      </c>
      <c r="FE130" s="173">
        <f t="shared" si="420"/>
        <v>0.77663662388392463</v>
      </c>
      <c r="FF130" s="5">
        <f t="shared" si="421"/>
        <v>77.663662388392467</v>
      </c>
      <c r="FI130" s="562">
        <f t="shared" si="422"/>
        <v>-50</v>
      </c>
      <c r="FJ130">
        <f t="shared" si="423"/>
        <v>-50</v>
      </c>
      <c r="FL130">
        <f t="shared" si="424"/>
        <v>0.32006096980144877</v>
      </c>
    </row>
    <row r="131" spans="5:168">
      <c r="E131" s="170">
        <v>21</v>
      </c>
      <c r="F131" s="217">
        <f t="shared" si="425"/>
        <v>0.21</v>
      </c>
      <c r="G131" s="217"/>
      <c r="H131" s="217">
        <f t="shared" si="315"/>
        <v>3.36</v>
      </c>
      <c r="I131" s="541">
        <f t="shared" si="316"/>
        <v>18.968377223398317</v>
      </c>
      <c r="J131" s="172">
        <f t="shared" si="317"/>
        <v>16.418973665961008</v>
      </c>
      <c r="K131" s="172">
        <f t="shared" si="318"/>
        <v>35.387350889359325</v>
      </c>
      <c r="L131" s="443"/>
      <c r="M131" s="217">
        <f t="shared" si="319"/>
        <v>0.46398217431750216</v>
      </c>
      <c r="N131" s="172">
        <f t="shared" si="426"/>
        <v>22.211495755017779</v>
      </c>
      <c r="O131" s="172">
        <f t="shared" si="284"/>
        <v>3.36</v>
      </c>
      <c r="P131" s="217">
        <f t="shared" si="320"/>
        <v>1.3882184846886112</v>
      </c>
      <c r="Q131" s="217">
        <f t="shared" si="321"/>
        <v>16</v>
      </c>
      <c r="R131" s="217"/>
      <c r="S131" s="172">
        <f t="shared" si="322"/>
        <v>206.88224130096415</v>
      </c>
      <c r="T131" s="172">
        <f t="shared" si="323"/>
        <v>16</v>
      </c>
      <c r="U131" s="217">
        <f t="shared" si="324"/>
        <v>0.78355603093092041</v>
      </c>
      <c r="V131" s="217">
        <f t="shared" si="325"/>
        <v>0.4957025190100311</v>
      </c>
      <c r="W131" s="217">
        <f t="shared" si="326"/>
        <v>0.5726711402591621</v>
      </c>
      <c r="X131" s="197">
        <f t="shared" si="327"/>
        <v>350</v>
      </c>
      <c r="Y131" s="443">
        <f t="shared" si="328"/>
        <v>350</v>
      </c>
      <c r="AA131" s="217">
        <f t="shared" si="329"/>
        <v>2.0954574249582878</v>
      </c>
      <c r="AB131" s="173">
        <f t="shared" si="330"/>
        <v>1.531489702771728</v>
      </c>
      <c r="AC131" s="173">
        <f t="shared" si="331"/>
        <v>0.56160500706103134</v>
      </c>
      <c r="AD131" s="173"/>
      <c r="AE131" s="173">
        <f t="shared" si="332"/>
        <v>0.7308617605543638</v>
      </c>
      <c r="AF131" s="545">
        <f t="shared" si="333"/>
        <v>574.66407830863523</v>
      </c>
      <c r="AG131" s="528">
        <f t="shared" si="334"/>
        <v>0.12790080809701368</v>
      </c>
      <c r="AI131" s="173">
        <f t="shared" si="335"/>
        <v>1.2813654305451279</v>
      </c>
      <c r="AJ131" s="173">
        <f t="shared" si="336"/>
        <v>1.2813654305451279</v>
      </c>
      <c r="AK131" s="173">
        <f t="shared" si="337"/>
        <v>1.4084188374408355</v>
      </c>
      <c r="AM131" s="545">
        <f t="shared" si="338"/>
        <v>210</v>
      </c>
      <c r="AN131" s="460">
        <f t="shared" si="339"/>
        <v>350</v>
      </c>
      <c r="AP131" s="460">
        <f t="shared" si="340"/>
        <v>210</v>
      </c>
      <c r="AQ131" s="460">
        <f t="shared" si="341"/>
        <v>350</v>
      </c>
      <c r="AS131" s="5">
        <f t="shared" si="285"/>
        <v>2.8571428571428572</v>
      </c>
      <c r="AT131" s="5">
        <f t="shared" si="342"/>
        <v>0.81063261160654776</v>
      </c>
      <c r="AU131" s="5">
        <f t="shared" si="343"/>
        <v>2.0465102455363096</v>
      </c>
      <c r="AV131" s="5"/>
      <c r="AW131" s="173">
        <f t="shared" si="344"/>
        <v>0.28372141406229173</v>
      </c>
      <c r="AX131" s="173">
        <f t="shared" si="214"/>
        <v>3.4479844698518121</v>
      </c>
      <c r="AY131" s="173">
        <f t="shared" si="215"/>
        <v>0.45890730933016349</v>
      </c>
      <c r="AZ131" s="173">
        <f t="shared" si="288"/>
        <v>7.513466008821271</v>
      </c>
      <c r="BA131" s="460">
        <f t="shared" si="433"/>
        <v>1.063955302733594</v>
      </c>
      <c r="BB131" s="5">
        <f t="shared" si="434"/>
        <v>0.3020937753406327</v>
      </c>
      <c r="BD131" s="173">
        <f t="shared" si="289"/>
        <v>0.39405644375554405</v>
      </c>
      <c r="BE131" s="173">
        <f t="shared" si="218"/>
        <v>0.62611392041180014</v>
      </c>
      <c r="BG131" s="528">
        <f t="shared" si="347"/>
        <v>3.105609617305325E-3</v>
      </c>
      <c r="BH131" s="528">
        <f t="shared" si="348"/>
        <v>0.2896356182910983</v>
      </c>
      <c r="BI131" s="528">
        <f t="shared" si="349"/>
        <v>0.15269543664835644</v>
      </c>
      <c r="BJ131" s="528">
        <f t="shared" si="350"/>
        <v>0.21585911093637461</v>
      </c>
      <c r="BK131">
        <f t="shared" si="351"/>
        <v>8.5357697505292433E-3</v>
      </c>
      <c r="BL131" s="460">
        <f t="shared" si="427"/>
        <v>161.23120639888569</v>
      </c>
      <c r="BM131" s="528">
        <f t="shared" si="352"/>
        <v>0.50981504231348374</v>
      </c>
      <c r="BN131" s="460">
        <f t="shared" si="353"/>
        <v>509.81504231348373</v>
      </c>
      <c r="BO131" s="528">
        <f t="shared" si="354"/>
        <v>0.14699999999999999</v>
      </c>
      <c r="BR131" s="460">
        <f t="shared" si="355"/>
        <v>147</v>
      </c>
      <c r="BS131" s="528">
        <f t="shared" si="356"/>
        <v>4.6584144259579872E-3</v>
      </c>
      <c r="BT131" s="528">
        <f t="shared" si="357"/>
        <v>1.1760559240003019E-2</v>
      </c>
      <c r="BU131" s="528">
        <f t="shared" si="358"/>
        <v>0.21297205578833189</v>
      </c>
      <c r="BV131" s="528"/>
      <c r="BW131" s="528">
        <f t="shared" si="359"/>
        <v>2.8733203915431767E-3</v>
      </c>
      <c r="BX131" s="460">
        <f t="shared" si="360"/>
        <v>232.26434984583608</v>
      </c>
      <c r="BY131" s="173">
        <f t="shared" si="361"/>
        <v>1.0490958950895</v>
      </c>
      <c r="BZ131" s="5">
        <f t="shared" si="362"/>
        <v>3.36</v>
      </c>
      <c r="CA131" s="173">
        <f t="shared" si="363"/>
        <v>0.76206099389720694</v>
      </c>
      <c r="CB131" s="5">
        <f t="shared" si="364"/>
        <v>76.206099389720691</v>
      </c>
      <c r="CE131" s="562">
        <f t="shared" si="365"/>
        <v>-50</v>
      </c>
      <c r="CF131">
        <f t="shared" si="366"/>
        <v>-50</v>
      </c>
      <c r="CG131" s="173">
        <f t="shared" si="367"/>
        <v>0.33203915431767983</v>
      </c>
      <c r="CI131" s="170">
        <v>21</v>
      </c>
      <c r="CJ131" s="217">
        <f t="shared" si="428"/>
        <v>0.21</v>
      </c>
      <c r="CK131" s="217"/>
      <c r="CL131" s="217">
        <f t="shared" si="368"/>
        <v>3.36</v>
      </c>
      <c r="CM131" s="541">
        <f t="shared" si="369"/>
        <v>19</v>
      </c>
      <c r="CN131" s="443">
        <f t="shared" si="370"/>
        <v>16.399999999999999</v>
      </c>
      <c r="CO131" s="443">
        <f t="shared" si="371"/>
        <v>35.4</v>
      </c>
      <c r="CP131" s="443"/>
      <c r="CQ131" s="217">
        <f t="shared" si="372"/>
        <v>0.4632768361581921</v>
      </c>
      <c r="CR131" s="172">
        <f t="shared" si="429"/>
        <v>22.214703389830511</v>
      </c>
      <c r="CS131" s="172">
        <f t="shared" si="373"/>
        <v>3.36</v>
      </c>
      <c r="CT131" s="217">
        <f t="shared" si="374"/>
        <v>1.3884189618644069</v>
      </c>
      <c r="CU131" s="217">
        <f t="shared" si="375"/>
        <v>16</v>
      </c>
      <c r="CV131" s="217"/>
      <c r="CW131" s="172">
        <f t="shared" si="376"/>
        <v>207.22708027887251</v>
      </c>
      <c r="CX131" s="172">
        <f t="shared" si="377"/>
        <v>16</v>
      </c>
      <c r="CY131" s="217">
        <f t="shared" si="378"/>
        <v>0.76344030808729135</v>
      </c>
      <c r="CZ131" s="217">
        <f t="shared" si="379"/>
        <v>0.48217282616039459</v>
      </c>
      <c r="DA131" s="217">
        <f t="shared" si="380"/>
        <v>0.55861485957606694</v>
      </c>
      <c r="DB131" s="197">
        <f t="shared" si="381"/>
        <v>350</v>
      </c>
      <c r="DC131" s="443">
        <f t="shared" si="382"/>
        <v>350</v>
      </c>
      <c r="DE131" s="217">
        <f t="shared" si="383"/>
        <v>2.0957761635727734</v>
      </c>
      <c r="DF131" s="173">
        <f t="shared" si="384"/>
        <v>1.5334947538337369</v>
      </c>
      <c r="DG131" s="173">
        <f t="shared" si="385"/>
        <v>0.5624258066085126</v>
      </c>
      <c r="DH131" s="173"/>
      <c r="DI131" s="173">
        <f t="shared" si="386"/>
        <v>0.73170731707317083</v>
      </c>
      <c r="DJ131" s="545">
        <f t="shared" si="387"/>
        <v>573.99999999999989</v>
      </c>
      <c r="DK131" s="528">
        <f t="shared" si="388"/>
        <v>0.12804878048780488</v>
      </c>
      <c r="DM131" s="173">
        <f t="shared" si="389"/>
        <v>1.2806248474865698</v>
      </c>
      <c r="DN131" s="173">
        <f t="shared" si="390"/>
        <v>1.2806248474865698</v>
      </c>
      <c r="DO131" s="173">
        <f t="shared" si="391"/>
        <v>1.4078702573974591</v>
      </c>
      <c r="DQ131" s="545">
        <f t="shared" si="392"/>
        <v>210</v>
      </c>
      <c r="DR131" s="460">
        <f t="shared" si="393"/>
        <v>350</v>
      </c>
      <c r="DT131">
        <f t="shared" si="430"/>
        <v>210</v>
      </c>
      <c r="DU131">
        <f t="shared" si="431"/>
        <v>350</v>
      </c>
      <c r="DW131" s="5">
        <f t="shared" si="394"/>
        <v>2.8571428571428572</v>
      </c>
      <c r="DX131" s="5">
        <f t="shared" si="395"/>
        <v>0.80881569314941248</v>
      </c>
      <c r="DY131" s="5">
        <f t="shared" si="396"/>
        <v>2.0483271639934446</v>
      </c>
      <c r="DZ131" s="5"/>
      <c r="EA131" s="173">
        <f t="shared" si="397"/>
        <v>0.28308549260229438</v>
      </c>
      <c r="EB131" s="173">
        <f t="shared" si="398"/>
        <v>3.444</v>
      </c>
      <c r="EC131" s="173">
        <f t="shared" si="399"/>
        <v>0.45904926584854805</v>
      </c>
      <c r="ED131" s="173">
        <f t="shared" si="400"/>
        <v>7.5024627120006384</v>
      </c>
      <c r="EE131" s="460">
        <f t="shared" si="401"/>
        <v>1.0615705972586038</v>
      </c>
      <c r="EF131" s="5">
        <f t="shared" si="402"/>
        <v>0.30185873995692863</v>
      </c>
      <c r="EH131" s="173">
        <f t="shared" si="403"/>
        <v>0.39338709005582223</v>
      </c>
      <c r="EI131" s="173">
        <f t="shared" si="404"/>
        <v>0.62602976290594936</v>
      </c>
      <c r="EK131" s="528">
        <f t="shared" si="405"/>
        <v>3.0950680524517516E-3</v>
      </c>
      <c r="EL131" s="528">
        <f t="shared" si="406"/>
        <v>0.3014718953468134</v>
      </c>
      <c r="EM131" s="528">
        <f t="shared" si="407"/>
        <v>4.0250000000000001E-2</v>
      </c>
      <c r="EN131" s="528">
        <f t="shared" si="408"/>
        <v>0.21601345499999997</v>
      </c>
      <c r="EO131">
        <f t="shared" si="409"/>
        <v>8.5500000000000003E-3</v>
      </c>
      <c r="EP131" s="460">
        <f t="shared" si="410"/>
        <v>48.800000000000004</v>
      </c>
      <c r="EQ131" s="460"/>
      <c r="ER131" s="460">
        <f t="shared" si="432"/>
        <v>569.38041839926507</v>
      </c>
      <c r="ES131" s="528">
        <f t="shared" si="411"/>
        <v>0.14699999999999999</v>
      </c>
      <c r="EV131" s="460">
        <f t="shared" si="412"/>
        <v>147</v>
      </c>
      <c r="EW131" s="528">
        <f t="shared" si="413"/>
        <v>4.6426020786776269E-3</v>
      </c>
      <c r="EX131" s="528">
        <f t="shared" si="414"/>
        <v>1.1757397921322375E-2</v>
      </c>
      <c r="EY131" s="528">
        <f t="shared" si="415"/>
        <v>0.21266446372595665</v>
      </c>
      <c r="EZ131" s="528"/>
      <c r="FA131" s="528">
        <f t="shared" si="416"/>
        <v>2.8700000000000002E-3</v>
      </c>
      <c r="FB131" s="460">
        <f t="shared" si="417"/>
        <v>231.93446372595668</v>
      </c>
      <c r="FC131" s="173">
        <f t="shared" si="418"/>
        <v>0.94831488212522175</v>
      </c>
      <c r="FD131" s="5">
        <f t="shared" si="419"/>
        <v>3.36</v>
      </c>
      <c r="FE131" s="173">
        <f t="shared" si="420"/>
        <v>0.779887285848189</v>
      </c>
      <c r="FF131" s="5">
        <f t="shared" si="421"/>
        <v>77.988728584818901</v>
      </c>
      <c r="FI131" s="562">
        <f t="shared" si="422"/>
        <v>-50</v>
      </c>
      <c r="FJ131">
        <f t="shared" si="423"/>
        <v>-50</v>
      </c>
      <c r="FL131">
        <f t="shared" si="424"/>
        <v>0.32796489996607275</v>
      </c>
    </row>
    <row r="132" spans="5:168">
      <c r="E132" s="170">
        <v>22</v>
      </c>
      <c r="F132" s="217">
        <f t="shared" si="425"/>
        <v>0.22</v>
      </c>
      <c r="G132" s="217"/>
      <c r="H132" s="217">
        <f t="shared" si="315"/>
        <v>3.52</v>
      </c>
      <c r="I132" s="541">
        <f t="shared" si="316"/>
        <v>18.967633056251493</v>
      </c>
      <c r="J132" s="172">
        <f t="shared" si="317"/>
        <v>16.419420166249104</v>
      </c>
      <c r="K132" s="172">
        <f t="shared" si="318"/>
        <v>35.387053222500597</v>
      </c>
      <c r="L132" s="443"/>
      <c r="M132" s="217">
        <f t="shared" si="319"/>
        <v>0.4639987787399894</v>
      </c>
      <c r="N132" s="172">
        <f t="shared" si="426"/>
        <v>22.211419200347475</v>
      </c>
      <c r="O132" s="172">
        <f t="shared" si="284"/>
        <v>3.52</v>
      </c>
      <c r="P132" s="217">
        <f t="shared" si="320"/>
        <v>1.3882137000217172</v>
      </c>
      <c r="Q132" s="217">
        <f t="shared" si="321"/>
        <v>16</v>
      </c>
      <c r="R132" s="217"/>
      <c r="S132" s="172">
        <f t="shared" si="322"/>
        <v>196.61216225685831</v>
      </c>
      <c r="T132" s="172">
        <f t="shared" si="323"/>
        <v>16</v>
      </c>
      <c r="U132" s="217">
        <f t="shared" si="324"/>
        <v>0.82089365200636188</v>
      </c>
      <c r="V132" s="217">
        <f t="shared" si="325"/>
        <v>0.51934386303565006</v>
      </c>
      <c r="W132" s="217">
        <f t="shared" si="326"/>
        <v>0.59994346477136706</v>
      </c>
      <c r="X132" s="197">
        <f t="shared" si="327"/>
        <v>350</v>
      </c>
      <c r="Y132" s="443">
        <f t="shared" si="328"/>
        <v>350</v>
      </c>
      <c r="AA132" s="217">
        <f t="shared" si="329"/>
        <v>2.0954498242191097</v>
      </c>
      <c r="AB132" s="173">
        <f t="shared" si="330"/>
        <v>1.5314425013811921</v>
      </c>
      <c r="AC132" s="173">
        <f t="shared" si="331"/>
        <v>0.56158566105615626</v>
      </c>
      <c r="AD132" s="173"/>
      <c r="AE132" s="173">
        <f t="shared" si="332"/>
        <v>0.73084188591912447</v>
      </c>
      <c r="AF132" s="545">
        <f t="shared" si="333"/>
        <v>602.04540609580044</v>
      </c>
      <c r="AG132" s="528">
        <f t="shared" si="334"/>
        <v>0.1278973300358468</v>
      </c>
      <c r="AI132" s="173">
        <f t="shared" si="335"/>
        <v>1.3115371636756188</v>
      </c>
      <c r="AJ132" s="173">
        <f t="shared" si="336"/>
        <v>1.3115371636756188</v>
      </c>
      <c r="AK132" s="173">
        <f t="shared" si="337"/>
        <v>1.4307682693893473</v>
      </c>
      <c r="AM132" s="545">
        <f t="shared" si="338"/>
        <v>220</v>
      </c>
      <c r="AN132" s="460">
        <f t="shared" si="339"/>
        <v>350</v>
      </c>
      <c r="AP132" s="460">
        <f t="shared" si="340"/>
        <v>220</v>
      </c>
      <c r="AQ132" s="460">
        <f t="shared" si="341"/>
        <v>350</v>
      </c>
      <c r="AS132" s="5">
        <f t="shared" si="285"/>
        <v>2.8571428571428572</v>
      </c>
      <c r="AT132" s="5">
        <f t="shared" si="342"/>
        <v>0.8297527644821362</v>
      </c>
      <c r="AU132" s="5">
        <f t="shared" si="343"/>
        <v>2.0273900926607209</v>
      </c>
      <c r="AV132" s="5"/>
      <c r="AW132" s="173">
        <f t="shared" si="344"/>
        <v>0.29041346756874764</v>
      </c>
      <c r="AX132" s="173">
        <f t="shared" si="214"/>
        <v>3.6122724365748025</v>
      </c>
      <c r="AY132" s="173">
        <f t="shared" si="215"/>
        <v>0.46532455406365109</v>
      </c>
      <c r="AZ132" s="173">
        <f t="shared" si="288"/>
        <v>7.7629095757553443</v>
      </c>
      <c r="BA132" s="460">
        <f t="shared" si="433"/>
        <v>1.1409100511629373</v>
      </c>
      <c r="BB132" s="5">
        <f t="shared" si="434"/>
        <v>0.31353468937503443</v>
      </c>
      <c r="BD132" s="173">
        <f t="shared" si="289"/>
        <v>0.40806406361900283</v>
      </c>
      <c r="BE132" s="173">
        <f t="shared" si="218"/>
        <v>0.63785601605443998</v>
      </c>
      <c r="BG132" s="528">
        <f t="shared" si="347"/>
        <v>3.3303256003450717E-3</v>
      </c>
      <c r="BH132" s="528">
        <f t="shared" si="348"/>
        <v>0.2964530437086918</v>
      </c>
      <c r="BI132" s="528">
        <f t="shared" si="349"/>
        <v>0.15268944610282453</v>
      </c>
      <c r="BJ132" s="528">
        <f t="shared" si="350"/>
        <v>0.215855479478714</v>
      </c>
      <c r="BK132">
        <f t="shared" si="351"/>
        <v>8.5354348753131724E-3</v>
      </c>
      <c r="BL132" s="460">
        <f t="shared" si="427"/>
        <v>161.22488097813769</v>
      </c>
      <c r="BM132" s="528">
        <f t="shared" si="352"/>
        <v>0.51694708936491895</v>
      </c>
      <c r="BN132" s="460">
        <f t="shared" si="353"/>
        <v>516.94708936491895</v>
      </c>
      <c r="BO132" s="528">
        <f t="shared" si="354"/>
        <v>0.154</v>
      </c>
      <c r="BR132" s="460">
        <f t="shared" si="355"/>
        <v>154</v>
      </c>
      <c r="BS132" s="528">
        <f t="shared" si="356"/>
        <v>4.9954884005176071E-3</v>
      </c>
      <c r="BT132" s="528">
        <f t="shared" si="357"/>
        <v>1.2205808916505259E-2</v>
      </c>
      <c r="BU132" s="528">
        <f t="shared" si="358"/>
        <v>0.22573121456919265</v>
      </c>
      <c r="BV132" s="528"/>
      <c r="BW132" s="528">
        <f t="shared" si="359"/>
        <v>3.010227030479002E-3</v>
      </c>
      <c r="BX132" s="460">
        <f t="shared" si="360"/>
        <v>245.94273891669451</v>
      </c>
      <c r="BY132" s="173">
        <f t="shared" si="361"/>
        <v>1.0768064686825831</v>
      </c>
      <c r="BZ132" s="5">
        <f t="shared" si="362"/>
        <v>3.52</v>
      </c>
      <c r="CA132" s="173">
        <f t="shared" si="363"/>
        <v>0.7657490094441175</v>
      </c>
      <c r="CB132" s="5">
        <f t="shared" si="364"/>
        <v>76.574900944411752</v>
      </c>
      <c r="CE132" s="562">
        <f t="shared" si="365"/>
        <v>-50</v>
      </c>
      <c r="CF132">
        <f t="shared" si="366"/>
        <v>-50</v>
      </c>
      <c r="CG132" s="173">
        <f t="shared" si="367"/>
        <v>0.3398529093593286</v>
      </c>
      <c r="CI132" s="170">
        <v>22</v>
      </c>
      <c r="CJ132" s="217">
        <f t="shared" si="428"/>
        <v>0.22</v>
      </c>
      <c r="CK132" s="217"/>
      <c r="CL132" s="217">
        <f t="shared" si="368"/>
        <v>3.52</v>
      </c>
      <c r="CM132" s="541">
        <f t="shared" si="369"/>
        <v>19</v>
      </c>
      <c r="CN132" s="443">
        <f t="shared" si="370"/>
        <v>16.399999999999999</v>
      </c>
      <c r="CO132" s="443">
        <f t="shared" si="371"/>
        <v>35.4</v>
      </c>
      <c r="CP132" s="443"/>
      <c r="CQ132" s="217">
        <f t="shared" si="372"/>
        <v>0.4632768361581921</v>
      </c>
      <c r="CR132" s="172">
        <f t="shared" si="429"/>
        <v>22.214703389830511</v>
      </c>
      <c r="CS132" s="172">
        <f t="shared" si="373"/>
        <v>3.52</v>
      </c>
      <c r="CT132" s="217">
        <f t="shared" si="374"/>
        <v>1.3884189618644069</v>
      </c>
      <c r="CU132" s="217">
        <f t="shared" si="375"/>
        <v>16</v>
      </c>
      <c r="CV132" s="217"/>
      <c r="CW132" s="172">
        <f t="shared" si="376"/>
        <v>196.94760163806313</v>
      </c>
      <c r="CX132" s="172">
        <f t="shared" si="377"/>
        <v>16</v>
      </c>
      <c r="CY132" s="217">
        <f t="shared" si="378"/>
        <v>0.79979460847240047</v>
      </c>
      <c r="CZ132" s="217">
        <f t="shared" si="379"/>
        <v>0.50513343692993717</v>
      </c>
      <c r="DA132" s="217">
        <f t="shared" si="380"/>
        <v>0.58521556717492718</v>
      </c>
      <c r="DB132" s="197">
        <f t="shared" si="381"/>
        <v>350</v>
      </c>
      <c r="DC132" s="443">
        <f t="shared" si="382"/>
        <v>350</v>
      </c>
      <c r="DE132" s="217">
        <f t="shared" si="383"/>
        <v>2.0957761635727734</v>
      </c>
      <c r="DF132" s="173">
        <f t="shared" si="384"/>
        <v>1.5334947538337369</v>
      </c>
      <c r="DG132" s="173">
        <f t="shared" si="385"/>
        <v>0.5624258066085126</v>
      </c>
      <c r="DH132" s="173"/>
      <c r="DI132" s="173">
        <f t="shared" si="386"/>
        <v>0.73170731707317083</v>
      </c>
      <c r="DJ132" s="545">
        <f t="shared" si="387"/>
        <v>601.33333333333326</v>
      </c>
      <c r="DK132" s="528">
        <f t="shared" si="388"/>
        <v>0.12804878048780488</v>
      </c>
      <c r="DM132" s="173">
        <f t="shared" si="389"/>
        <v>1.3107613200332233</v>
      </c>
      <c r="DN132" s="173">
        <f t="shared" si="390"/>
        <v>1.3107613200332233</v>
      </c>
      <c r="DO132" s="173">
        <f t="shared" si="391"/>
        <v>1.4301935703949802</v>
      </c>
      <c r="DQ132" s="545">
        <f t="shared" si="392"/>
        <v>220</v>
      </c>
      <c r="DR132" s="460">
        <f t="shared" si="393"/>
        <v>350</v>
      </c>
      <c r="DT132">
        <f t="shared" si="430"/>
        <v>220</v>
      </c>
      <c r="DU132">
        <f t="shared" si="431"/>
        <v>350</v>
      </c>
      <c r="DW132" s="5">
        <f t="shared" si="394"/>
        <v>2.8571428571428572</v>
      </c>
      <c r="DX132" s="5">
        <f t="shared" si="395"/>
        <v>0.82784925475782534</v>
      </c>
      <c r="DY132" s="5">
        <f t="shared" si="396"/>
        <v>2.0292936023850316</v>
      </c>
      <c r="DZ132" s="5"/>
      <c r="EA132" s="173">
        <f t="shared" si="397"/>
        <v>0.28974723916523887</v>
      </c>
      <c r="EB132" s="173">
        <f t="shared" si="398"/>
        <v>3.6080000000000005</v>
      </c>
      <c r="EC132" s="173">
        <f t="shared" si="399"/>
        <v>0.46548592317450632</v>
      </c>
      <c r="ED132" s="173">
        <f t="shared" si="400"/>
        <v>7.7510399785975803</v>
      </c>
      <c r="EE132" s="460">
        <f t="shared" si="401"/>
        <v>1.1382927252920101</v>
      </c>
      <c r="EF132" s="5">
        <f t="shared" si="402"/>
        <v>0.31329445089453117</v>
      </c>
      <c r="EH132" s="173">
        <f t="shared" si="403"/>
        <v>0.40735461695392589</v>
      </c>
      <c r="EI132" s="173">
        <f t="shared" si="404"/>
        <v>0.63777788354938514</v>
      </c>
      <c r="EK132" s="528">
        <f t="shared" si="405"/>
        <v>3.3187556790735939E-3</v>
      </c>
      <c r="EL132" s="528">
        <f t="shared" si="406"/>
        <v>0.30856632234902109</v>
      </c>
      <c r="EM132" s="528">
        <f t="shared" si="407"/>
        <v>4.0250000000000001E-2</v>
      </c>
      <c r="EN132" s="528">
        <f t="shared" si="408"/>
        <v>0.21601345499999997</v>
      </c>
      <c r="EO132">
        <f t="shared" si="409"/>
        <v>8.5500000000000003E-3</v>
      </c>
      <c r="EP132" s="460">
        <f t="shared" si="410"/>
        <v>48.800000000000004</v>
      </c>
      <c r="EQ132" s="460"/>
      <c r="ER132" s="460">
        <f t="shared" si="432"/>
        <v>576.69853302809463</v>
      </c>
      <c r="ES132" s="528">
        <f t="shared" si="411"/>
        <v>0.154</v>
      </c>
      <c r="EV132" s="460">
        <f t="shared" si="412"/>
        <v>154</v>
      </c>
      <c r="EW132" s="528">
        <f t="shared" si="413"/>
        <v>4.9781335186103908E-3</v>
      </c>
      <c r="EX132" s="528">
        <f t="shared" si="414"/>
        <v>1.2202818862341992E-2</v>
      </c>
      <c r="EY132" s="528">
        <f t="shared" si="415"/>
        <v>0.22539753276382396</v>
      </c>
      <c r="EZ132" s="528"/>
      <c r="FA132" s="528">
        <f t="shared" si="416"/>
        <v>3.0066666666666666E-3</v>
      </c>
      <c r="FB132" s="460">
        <f t="shared" si="417"/>
        <v>245.58515181144298</v>
      </c>
      <c r="FC132" s="173">
        <f t="shared" si="418"/>
        <v>0.97628368483953765</v>
      </c>
      <c r="FD132" s="5">
        <f t="shared" si="419"/>
        <v>3.52</v>
      </c>
      <c r="FE132" s="173">
        <f t="shared" si="420"/>
        <v>0.78286875266982192</v>
      </c>
      <c r="FF132" s="5">
        <f t="shared" si="421"/>
        <v>78.286875266982193</v>
      </c>
      <c r="FI132" s="562">
        <f t="shared" si="422"/>
        <v>-50</v>
      </c>
      <c r="FJ132">
        <f t="shared" si="423"/>
        <v>-50</v>
      </c>
      <c r="FL132">
        <f t="shared" si="424"/>
        <v>0.33568277708167915</v>
      </c>
    </row>
    <row r="133" spans="5:168">
      <c r="E133" s="170">
        <v>23</v>
      </c>
      <c r="F133" s="217">
        <f t="shared" si="425"/>
        <v>0.23</v>
      </c>
      <c r="G133" s="217"/>
      <c r="H133" s="217">
        <f t="shared" si="315"/>
        <v>3.68</v>
      </c>
      <c r="I133" s="541">
        <f t="shared" si="316"/>
        <v>18.966905618373534</v>
      </c>
      <c r="J133" s="172">
        <f t="shared" si="317"/>
        <v>16.419856628975879</v>
      </c>
      <c r="K133" s="172">
        <f t="shared" si="318"/>
        <v>35.386762247349409</v>
      </c>
      <c r="L133" s="443"/>
      <c r="M133" s="217">
        <f t="shared" si="319"/>
        <v>0.46401501015129026</v>
      </c>
      <c r="N133" s="172">
        <f t="shared" si="426"/>
        <v>22.211344319067795</v>
      </c>
      <c r="O133" s="172">
        <f t="shared" si="284"/>
        <v>3.68</v>
      </c>
      <c r="P133" s="217">
        <f t="shared" si="320"/>
        <v>1.3882090199417372</v>
      </c>
      <c r="Q133" s="217">
        <f t="shared" si="321"/>
        <v>16</v>
      </c>
      <c r="R133" s="217"/>
      <c r="S133" s="172">
        <f t="shared" si="322"/>
        <v>187.23554547487825</v>
      </c>
      <c r="T133" s="172">
        <f t="shared" si="323"/>
        <v>16</v>
      </c>
      <c r="U133" s="217">
        <f t="shared" si="324"/>
        <v>0.85823298919218272</v>
      </c>
      <c r="V133" s="217">
        <f t="shared" si="325"/>
        <v>0.5429876690233324</v>
      </c>
      <c r="W133" s="217">
        <f t="shared" si="326"/>
        <v>0.62721594366007183</v>
      </c>
      <c r="X133" s="197">
        <f t="shared" si="327"/>
        <v>350</v>
      </c>
      <c r="Y133" s="443">
        <f t="shared" si="328"/>
        <v>350</v>
      </c>
      <c r="AA133" s="217">
        <f t="shared" si="329"/>
        <v>2.095442389903317</v>
      </c>
      <c r="AB133" s="173">
        <f t="shared" si="330"/>
        <v>1.5313963603352205</v>
      </c>
      <c r="AC133" s="173">
        <f t="shared" si="331"/>
        <v>0.56156674860826317</v>
      </c>
      <c r="AD133" s="173"/>
      <c r="AE133" s="173">
        <f t="shared" si="332"/>
        <v>0.73082245912085353</v>
      </c>
      <c r="AF133" s="545">
        <f t="shared" si="333"/>
        <v>629.42783744407541</v>
      </c>
      <c r="AG133" s="528">
        <f t="shared" si="334"/>
        <v>0.12789393034614938</v>
      </c>
      <c r="AI133" s="173">
        <f t="shared" si="335"/>
        <v>1.3410314126970386</v>
      </c>
      <c r="AJ133" s="173">
        <f t="shared" si="336"/>
        <v>1.3410314126970386</v>
      </c>
      <c r="AK133" s="173">
        <f t="shared" si="337"/>
        <v>1.4526158612570657</v>
      </c>
      <c r="AM133" s="545">
        <f t="shared" si="338"/>
        <v>230</v>
      </c>
      <c r="AN133" s="460">
        <f t="shared" si="339"/>
        <v>350</v>
      </c>
      <c r="AP133" s="460">
        <f t="shared" si="340"/>
        <v>230</v>
      </c>
      <c r="AQ133" s="460">
        <f t="shared" si="341"/>
        <v>350</v>
      </c>
      <c r="AS133" s="5">
        <f t="shared" si="285"/>
        <v>2.8571428571428572</v>
      </c>
      <c r="AT133" s="5">
        <f t="shared" si="342"/>
        <v>0.84844503769637214</v>
      </c>
      <c r="AU133" s="5">
        <f t="shared" si="343"/>
        <v>2.0086978194464851</v>
      </c>
      <c r="AV133" s="5"/>
      <c r="AW133" s="173">
        <f t="shared" si="344"/>
        <v>0.29695576319373024</v>
      </c>
      <c r="AX133" s="173">
        <f t="shared" ref="AX133:AX196" si="435">0.5*L*AJ133^2*AN133*1000</f>
        <v>3.7765670246644523</v>
      </c>
      <c r="AY133" s="173">
        <f t="shared" ref="AY133:AY196" si="436">AJ133*Nps/2*(1-AW133)</f>
        <v>0.47140220303641162</v>
      </c>
      <c r="AZ133" s="173">
        <f t="shared" si="288"/>
        <v>8.0113478476313915</v>
      </c>
      <c r="BA133" s="460">
        <f t="shared" si="433"/>
        <v>1.219639741688535</v>
      </c>
      <c r="BB133" s="5">
        <f t="shared" si="434"/>
        <v>0.32477657506426666</v>
      </c>
      <c r="BD133" s="173">
        <f t="shared" si="289"/>
        <v>0.42191425877279237</v>
      </c>
      <c r="BE133" s="173">
        <f t="shared" ref="BE133:BE196" si="437">AJ133*Nps*SQRT((1-AW133)/3)</f>
        <v>0.64918675396551095</v>
      </c>
      <c r="BG133" s="528">
        <f t="shared" si="347"/>
        <v>3.5602328351158966E-3</v>
      </c>
      <c r="BH133" s="528">
        <f t="shared" si="348"/>
        <v>0.30311727801386651</v>
      </c>
      <c r="BI133" s="528">
        <f t="shared" si="349"/>
        <v>0.15268359022790695</v>
      </c>
      <c r="BJ133" s="528">
        <f t="shared" si="350"/>
        <v>0.21585192968765593</v>
      </c>
      <c r="BK133">
        <f t="shared" si="351"/>
        <v>8.5351075282680908E-3</v>
      </c>
      <c r="BL133" s="460">
        <f t="shared" si="427"/>
        <v>161.21869775617503</v>
      </c>
      <c r="BM133" s="528">
        <f t="shared" si="352"/>
        <v>0.52393390502416204</v>
      </c>
      <c r="BN133" s="460">
        <f t="shared" si="353"/>
        <v>523.93390502416207</v>
      </c>
      <c r="BO133" s="528">
        <f t="shared" si="354"/>
        <v>0.161</v>
      </c>
      <c r="BR133" s="460">
        <f t="shared" si="355"/>
        <v>161</v>
      </c>
      <c r="BS133" s="528">
        <f t="shared" si="356"/>
        <v>5.340349252673844E-3</v>
      </c>
      <c r="BT133" s="528">
        <f t="shared" si="357"/>
        <v>1.2643303245728306E-2</v>
      </c>
      <c r="BU133" s="528">
        <f t="shared" si="358"/>
        <v>0.23863684176463801</v>
      </c>
      <c r="BV133" s="528"/>
      <c r="BW133" s="528">
        <f t="shared" si="359"/>
        <v>3.1471391872203765E-3</v>
      </c>
      <c r="BX133" s="460">
        <f t="shared" si="360"/>
        <v>259.76763345026058</v>
      </c>
      <c r="BY133" s="173">
        <f t="shared" si="361"/>
        <v>1.104515771743074</v>
      </c>
      <c r="BZ133" s="5">
        <f t="shared" si="362"/>
        <v>3.68</v>
      </c>
      <c r="CA133" s="173">
        <f t="shared" si="363"/>
        <v>0.76914784600225461</v>
      </c>
      <c r="CB133" s="5">
        <f t="shared" si="364"/>
        <v>76.91478460022546</v>
      </c>
      <c r="CE133" s="562">
        <f t="shared" si="365"/>
        <v>-50</v>
      </c>
      <c r="CF133">
        <f t="shared" si="366"/>
        <v>-50</v>
      </c>
      <c r="CG133" s="173">
        <f t="shared" si="367"/>
        <v>0.34749100707788111</v>
      </c>
      <c r="CI133" s="170">
        <v>23</v>
      </c>
      <c r="CJ133" s="217">
        <f t="shared" si="428"/>
        <v>0.23</v>
      </c>
      <c r="CK133" s="217"/>
      <c r="CL133" s="217">
        <f t="shared" si="368"/>
        <v>3.68</v>
      </c>
      <c r="CM133" s="541">
        <f t="shared" si="369"/>
        <v>19</v>
      </c>
      <c r="CN133" s="443">
        <f t="shared" si="370"/>
        <v>16.399999999999999</v>
      </c>
      <c r="CO133" s="443">
        <f t="shared" si="371"/>
        <v>35.4</v>
      </c>
      <c r="CP133" s="443"/>
      <c r="CQ133" s="217">
        <f t="shared" si="372"/>
        <v>0.4632768361581921</v>
      </c>
      <c r="CR133" s="172">
        <f t="shared" si="429"/>
        <v>22.214703389830511</v>
      </c>
      <c r="CS133" s="172">
        <f t="shared" si="373"/>
        <v>3.68</v>
      </c>
      <c r="CT133" s="217">
        <f t="shared" si="374"/>
        <v>1.3884189618644069</v>
      </c>
      <c r="CU133" s="217">
        <f t="shared" si="375"/>
        <v>16</v>
      </c>
      <c r="CV133" s="217"/>
      <c r="CW133" s="172">
        <f t="shared" si="376"/>
        <v>187.56217279794814</v>
      </c>
      <c r="CX133" s="172">
        <f t="shared" si="377"/>
        <v>16</v>
      </c>
      <c r="CY133" s="217">
        <f t="shared" si="378"/>
        <v>0.83614890885750959</v>
      </c>
      <c r="CZ133" s="217">
        <f t="shared" si="379"/>
        <v>0.52809404769947976</v>
      </c>
      <c r="DA133" s="217">
        <f t="shared" si="380"/>
        <v>0.61181627477378764</v>
      </c>
      <c r="DB133" s="197">
        <f t="shared" si="381"/>
        <v>350</v>
      </c>
      <c r="DC133" s="443">
        <f t="shared" si="382"/>
        <v>350</v>
      </c>
      <c r="DE133" s="217">
        <f t="shared" si="383"/>
        <v>2.0957761635727734</v>
      </c>
      <c r="DF133" s="173">
        <f t="shared" si="384"/>
        <v>1.5334947538337369</v>
      </c>
      <c r="DG133" s="173">
        <f t="shared" si="385"/>
        <v>0.5624258066085126</v>
      </c>
      <c r="DH133" s="173"/>
      <c r="DI133" s="173">
        <f t="shared" si="386"/>
        <v>0.73170731707317083</v>
      </c>
      <c r="DJ133" s="545">
        <f t="shared" si="387"/>
        <v>628.66666666666663</v>
      </c>
      <c r="DK133" s="528">
        <f t="shared" si="388"/>
        <v>0.12804878048780488</v>
      </c>
      <c r="DM133" s="173">
        <f t="shared" si="389"/>
        <v>1.3402203088263049</v>
      </c>
      <c r="DN133" s="173">
        <f t="shared" si="390"/>
        <v>1.3402203088263049</v>
      </c>
      <c r="DO133" s="173">
        <f t="shared" si="391"/>
        <v>1.4520150435750407</v>
      </c>
      <c r="DQ133" s="545">
        <f t="shared" si="392"/>
        <v>230</v>
      </c>
      <c r="DR133" s="460">
        <f t="shared" si="393"/>
        <v>350</v>
      </c>
      <c r="DT133">
        <f t="shared" si="430"/>
        <v>230</v>
      </c>
      <c r="DU133">
        <f t="shared" si="431"/>
        <v>350</v>
      </c>
      <c r="DW133" s="5">
        <f t="shared" si="394"/>
        <v>2.8571428571428572</v>
      </c>
      <c r="DX133" s="5">
        <f t="shared" si="395"/>
        <v>0.84645493189029797</v>
      </c>
      <c r="DY133" s="5">
        <f t="shared" si="396"/>
        <v>2.0106879252525593</v>
      </c>
      <c r="DZ133" s="5"/>
      <c r="EA133" s="173">
        <f t="shared" si="397"/>
        <v>0.29625922616160427</v>
      </c>
      <c r="EB133" s="173">
        <f t="shared" si="398"/>
        <v>3.7719999999999998</v>
      </c>
      <c r="EC133" s="173">
        <f t="shared" si="399"/>
        <v>0.47158383862367875</v>
      </c>
      <c r="ED133" s="173">
        <f t="shared" si="400"/>
        <v>7.9985777523856889</v>
      </c>
      <c r="EE133" s="460">
        <f t="shared" si="401"/>
        <v>1.2167789645923033</v>
      </c>
      <c r="EF133" s="5">
        <f t="shared" si="402"/>
        <v>0.32453208618111479</v>
      </c>
      <c r="EH133" s="173">
        <f t="shared" si="403"/>
        <v>0.42116425952947539</v>
      </c>
      <c r="EI133" s="173">
        <f t="shared" si="404"/>
        <v>0.64911541749148693</v>
      </c>
      <c r="EK133" s="528">
        <f t="shared" si="405"/>
        <v>3.5475866701002263E-3</v>
      </c>
      <c r="EL133" s="528">
        <f t="shared" si="406"/>
        <v>0.31550126290080049</v>
      </c>
      <c r="EM133" s="528">
        <f t="shared" si="407"/>
        <v>4.0250000000000001E-2</v>
      </c>
      <c r="EN133" s="528">
        <f t="shared" si="408"/>
        <v>0.21601345499999997</v>
      </c>
      <c r="EO133">
        <f t="shared" si="409"/>
        <v>8.5500000000000003E-3</v>
      </c>
      <c r="EP133" s="460">
        <f t="shared" si="410"/>
        <v>48.800000000000004</v>
      </c>
      <c r="EQ133" s="460"/>
      <c r="ER133" s="460">
        <f t="shared" si="432"/>
        <v>583.86230457090073</v>
      </c>
      <c r="ES133" s="528">
        <f t="shared" si="411"/>
        <v>0.161</v>
      </c>
      <c r="EV133" s="460">
        <f t="shared" si="412"/>
        <v>161</v>
      </c>
      <c r="EW133" s="528">
        <f t="shared" si="413"/>
        <v>5.321380005150339E-3</v>
      </c>
      <c r="EX133" s="528">
        <f t="shared" si="414"/>
        <v>1.2640524756754421E-2</v>
      </c>
      <c r="EY133" s="528">
        <f t="shared" si="415"/>
        <v>0.23827616514403843</v>
      </c>
      <c r="EZ133" s="528"/>
      <c r="FA133" s="528">
        <f t="shared" si="416"/>
        <v>3.143333333333333E-3</v>
      </c>
      <c r="FB133" s="460">
        <f t="shared" si="417"/>
        <v>259.38140323927655</v>
      </c>
      <c r="FC133" s="173">
        <f t="shared" si="418"/>
        <v>1.0042437078101771</v>
      </c>
      <c r="FD133" s="5">
        <f t="shared" si="419"/>
        <v>3.68</v>
      </c>
      <c r="FE133" s="173">
        <f t="shared" si="420"/>
        <v>0.78561241249344649</v>
      </c>
      <c r="FF133" s="5">
        <f t="shared" si="421"/>
        <v>78.561241249344647</v>
      </c>
      <c r="FI133" s="562">
        <f t="shared" si="422"/>
        <v>-50</v>
      </c>
      <c r="FJ133">
        <f t="shared" si="423"/>
        <v>-50</v>
      </c>
      <c r="FL133">
        <f t="shared" si="424"/>
        <v>0.34322715226039519</v>
      </c>
    </row>
    <row r="134" spans="5:168">
      <c r="E134" s="170">
        <v>24</v>
      </c>
      <c r="F134" s="217">
        <f t="shared" si="425"/>
        <v>0.24</v>
      </c>
      <c r="G134" s="217"/>
      <c r="H134" s="217">
        <f t="shared" si="315"/>
        <v>3.84</v>
      </c>
      <c r="I134" s="541">
        <f t="shared" si="316"/>
        <v>18.966193829810859</v>
      </c>
      <c r="J134" s="172">
        <f t="shared" si="317"/>
        <v>16.420283702113483</v>
      </c>
      <c r="K134" s="172">
        <f t="shared" si="318"/>
        <v>35.386477531924342</v>
      </c>
      <c r="L134" s="443"/>
      <c r="M134" s="217">
        <f t="shared" si="319"/>
        <v>0.46403089263105046</v>
      </c>
      <c r="N134" s="172">
        <f t="shared" si="426"/>
        <v>22.211271003152326</v>
      </c>
      <c r="O134" s="172">
        <f t="shared" ref="O134:O197" si="438">T134*F134</f>
        <v>3.84</v>
      </c>
      <c r="P134" s="217">
        <f t="shared" si="320"/>
        <v>1.3882044376970204</v>
      </c>
      <c r="Q134" s="217">
        <f t="shared" si="321"/>
        <v>16</v>
      </c>
      <c r="R134" s="217"/>
      <c r="S134" s="172">
        <f t="shared" si="322"/>
        <v>178.64069815268695</v>
      </c>
      <c r="T134" s="172">
        <f t="shared" si="323"/>
        <v>16</v>
      </c>
      <c r="U134" s="217">
        <f t="shared" si="324"/>
        <v>0.89557400492035899</v>
      </c>
      <c r="V134" s="217">
        <f t="shared" si="325"/>
        <v>0.56663388318601204</v>
      </c>
      <c r="W134" s="217">
        <f t="shared" si="326"/>
        <v>0.65448857364511048</v>
      </c>
      <c r="X134" s="197">
        <f t="shared" si="327"/>
        <v>350</v>
      </c>
      <c r="Y134" s="443">
        <f t="shared" si="328"/>
        <v>350</v>
      </c>
      <c r="AA134" s="217">
        <f t="shared" si="329"/>
        <v>2.0954351112673848</v>
      </c>
      <c r="AB134" s="173">
        <f t="shared" si="330"/>
        <v>1.5313512111835275</v>
      </c>
      <c r="AC134" s="173">
        <f t="shared" si="331"/>
        <v>0.56154824172926487</v>
      </c>
      <c r="AD134" s="173"/>
      <c r="AE134" s="173">
        <f t="shared" si="332"/>
        <v>0.73080345124947255</v>
      </c>
      <c r="AF134" s="545">
        <f t="shared" si="333"/>
        <v>656.8113480845393</v>
      </c>
      <c r="AG134" s="528">
        <f t="shared" si="334"/>
        <v>0.1278906039686577</v>
      </c>
      <c r="AI134" s="173">
        <f t="shared" si="335"/>
        <v>1.3698919124040816</v>
      </c>
      <c r="AJ134" s="173">
        <f t="shared" si="336"/>
        <v>1.3698919124040816</v>
      </c>
      <c r="AK134" s="173">
        <f t="shared" si="337"/>
        <v>1.4739940091882087</v>
      </c>
      <c r="AM134" s="545">
        <f t="shared" si="338"/>
        <v>240</v>
      </c>
      <c r="AN134" s="460">
        <f t="shared" si="339"/>
        <v>350</v>
      </c>
      <c r="AP134" s="460">
        <f t="shared" si="340"/>
        <v>240</v>
      </c>
      <c r="AQ134" s="460">
        <f t="shared" si="341"/>
        <v>350</v>
      </c>
      <c r="AS134" s="5">
        <f t="shared" ref="AS134:AS197" si="439">1/AN134*1000</f>
        <v>2.8571428571428572</v>
      </c>
      <c r="AT134" s="5">
        <f t="shared" si="342"/>
        <v>0.86673705311451599</v>
      </c>
      <c r="AU134" s="5">
        <f t="shared" si="343"/>
        <v>1.9904058040283412</v>
      </c>
      <c r="AV134" s="5"/>
      <c r="AW134" s="173">
        <f t="shared" si="344"/>
        <v>0.30335796859008057</v>
      </c>
      <c r="AX134" s="173">
        <f t="shared" si="435"/>
        <v>3.9408680885072354</v>
      </c>
      <c r="AY134" s="173">
        <f t="shared" si="436"/>
        <v>0.47716214233459942</v>
      </c>
      <c r="AZ134" s="173">
        <f t="shared" ref="AZ134:AZ197" si="440">AX134/AY134</f>
        <v>8.2589705654892231</v>
      </c>
      <c r="BA134" s="460">
        <f t="shared" si="433"/>
        <v>1.300105579671774</v>
      </c>
      <c r="BB134" s="5">
        <f t="shared" si="434"/>
        <v>0.33582376253476304</v>
      </c>
      <c r="BD134" s="173">
        <f t="shared" ref="BD134:BD197" si="441">AJ134*SQRT(AW134/3)</f>
        <v>0.43561555385873835</v>
      </c>
      <c r="BE134" s="173">
        <f t="shared" si="437"/>
        <v>0.66013158268614547</v>
      </c>
      <c r="BG134" s="528">
        <f t="shared" si="347"/>
        <v>3.7952182152731074E-3</v>
      </c>
      <c r="BH134" s="528">
        <f t="shared" si="348"/>
        <v>0.30963821041124906</v>
      </c>
      <c r="BI134" s="528">
        <f t="shared" si="349"/>
        <v>0.15267786032997741</v>
      </c>
      <c r="BJ134" s="528">
        <f t="shared" si="350"/>
        <v>0.21584845629123448</v>
      </c>
      <c r="BK134">
        <f t="shared" si="351"/>
        <v>8.5347872234148858E-3</v>
      </c>
      <c r="BL134" s="460">
        <f t="shared" si="427"/>
        <v>161.21264755339229</v>
      </c>
      <c r="BM134" s="528">
        <f t="shared" si="352"/>
        <v>0.53078522614814172</v>
      </c>
      <c r="BN134" s="460">
        <f t="shared" si="353"/>
        <v>530.78522614814176</v>
      </c>
      <c r="BO134" s="528">
        <f t="shared" si="354"/>
        <v>0.16799999999999998</v>
      </c>
      <c r="BR134" s="460">
        <f t="shared" si="355"/>
        <v>167.99999999999997</v>
      </c>
      <c r="BS134" s="528">
        <f t="shared" si="356"/>
        <v>5.6928273229096609E-3</v>
      </c>
      <c r="BT134" s="528">
        <f t="shared" si="357"/>
        <v>1.3073211193791458E-2</v>
      </c>
      <c r="BU134" s="528">
        <f t="shared" si="358"/>
        <v>0.25168415175833436</v>
      </c>
      <c r="BV134" s="528"/>
      <c r="BW134" s="528">
        <f t="shared" si="359"/>
        <v>3.2840567404226963E-3</v>
      </c>
      <c r="BX134" s="460">
        <f t="shared" si="360"/>
        <v>273.73424701545815</v>
      </c>
      <c r="BY134" s="173">
        <f t="shared" si="361"/>
        <v>1.1322287794866071</v>
      </c>
      <c r="BZ134" s="5">
        <f t="shared" si="362"/>
        <v>3.84</v>
      </c>
      <c r="CA134" s="173">
        <f t="shared" si="363"/>
        <v>0.77228948431381061</v>
      </c>
      <c r="CB134" s="5">
        <f t="shared" si="364"/>
        <v>77.228948431381056</v>
      </c>
      <c r="CE134" s="562">
        <f t="shared" si="365"/>
        <v>-50</v>
      </c>
      <c r="CF134">
        <f t="shared" si="366"/>
        <v>-50</v>
      </c>
      <c r="CG134" s="173">
        <f t="shared" si="367"/>
        <v>0.35496478698597694</v>
      </c>
      <c r="CI134" s="170">
        <v>24</v>
      </c>
      <c r="CJ134" s="217">
        <f t="shared" si="428"/>
        <v>0.24</v>
      </c>
      <c r="CK134" s="217"/>
      <c r="CL134" s="217">
        <f t="shared" si="368"/>
        <v>3.84</v>
      </c>
      <c r="CM134" s="541">
        <f t="shared" si="369"/>
        <v>19</v>
      </c>
      <c r="CN134" s="443">
        <f t="shared" si="370"/>
        <v>16.399999999999999</v>
      </c>
      <c r="CO134" s="443">
        <f t="shared" si="371"/>
        <v>35.4</v>
      </c>
      <c r="CP134" s="443"/>
      <c r="CQ134" s="217">
        <f t="shared" si="372"/>
        <v>0.4632768361581921</v>
      </c>
      <c r="CR134" s="172">
        <f t="shared" si="429"/>
        <v>22.214703389830511</v>
      </c>
      <c r="CS134" s="172">
        <f t="shared" si="373"/>
        <v>3.84</v>
      </c>
      <c r="CT134" s="217">
        <f t="shared" si="374"/>
        <v>1.3884189618644069</v>
      </c>
      <c r="CU134" s="217">
        <f t="shared" si="375"/>
        <v>16</v>
      </c>
      <c r="CV134" s="217"/>
      <c r="CW134" s="172">
        <f t="shared" si="376"/>
        <v>178.95903977487211</v>
      </c>
      <c r="CX134" s="172">
        <f t="shared" si="377"/>
        <v>16</v>
      </c>
      <c r="CY134" s="217">
        <f t="shared" si="378"/>
        <v>0.87250320924261859</v>
      </c>
      <c r="CZ134" s="217">
        <f t="shared" si="379"/>
        <v>0.55105465846902224</v>
      </c>
      <c r="DA134" s="217">
        <f t="shared" si="380"/>
        <v>0.63841698237264777</v>
      </c>
      <c r="DB134" s="197">
        <f t="shared" si="381"/>
        <v>350</v>
      </c>
      <c r="DC134" s="443">
        <f t="shared" si="382"/>
        <v>350</v>
      </c>
      <c r="DE134" s="217">
        <f t="shared" si="383"/>
        <v>2.0957761635727734</v>
      </c>
      <c r="DF134" s="173">
        <f t="shared" si="384"/>
        <v>1.5334947538337369</v>
      </c>
      <c r="DG134" s="173">
        <f t="shared" si="385"/>
        <v>0.5624258066085126</v>
      </c>
      <c r="DH134" s="173"/>
      <c r="DI134" s="173">
        <f t="shared" si="386"/>
        <v>0.73170731707317083</v>
      </c>
      <c r="DJ134" s="545">
        <f t="shared" si="387"/>
        <v>655.99999999999989</v>
      </c>
      <c r="DK134" s="528">
        <f t="shared" si="388"/>
        <v>0.12804878048780488</v>
      </c>
      <c r="DM134" s="173">
        <f t="shared" si="389"/>
        <v>1.3690455486526787</v>
      </c>
      <c r="DN134" s="173">
        <f t="shared" si="390"/>
        <v>1.3690455486526787</v>
      </c>
      <c r="DO134" s="173">
        <f t="shared" si="391"/>
        <v>1.4733670730760582</v>
      </c>
      <c r="DQ134" s="545">
        <f t="shared" si="392"/>
        <v>240</v>
      </c>
      <c r="DR134" s="460">
        <f t="shared" si="393"/>
        <v>350</v>
      </c>
      <c r="DT134">
        <f t="shared" si="430"/>
        <v>240</v>
      </c>
      <c r="DU134">
        <f t="shared" si="431"/>
        <v>350</v>
      </c>
      <c r="DW134" s="5">
        <f t="shared" si="394"/>
        <v>2.8571428571428572</v>
      </c>
      <c r="DX134" s="5">
        <f t="shared" si="395"/>
        <v>0.86466034651748136</v>
      </c>
      <c r="DY134" s="5">
        <f t="shared" si="396"/>
        <v>1.9924825106253758</v>
      </c>
      <c r="DZ134" s="5"/>
      <c r="EA134" s="173">
        <f t="shared" si="397"/>
        <v>0.30263112128111846</v>
      </c>
      <c r="EB134" s="173">
        <f t="shared" si="398"/>
        <v>3.9360000000000004</v>
      </c>
      <c r="EC134" s="173">
        <f t="shared" si="399"/>
        <v>0.47736487958949725</v>
      </c>
      <c r="ED134" s="173">
        <f t="shared" si="400"/>
        <v>8.245265138450705</v>
      </c>
      <c r="EE134" s="460">
        <f t="shared" si="401"/>
        <v>1.2969905197762222</v>
      </c>
      <c r="EF134" s="5">
        <f t="shared" si="402"/>
        <v>0.33557600178953689</v>
      </c>
      <c r="EH134" s="173">
        <f t="shared" si="403"/>
        <v>0.43482455746176824</v>
      </c>
      <c r="EI134" s="173">
        <f t="shared" si="404"/>
        <v>0.66006780635786366</v>
      </c>
      <c r="EK134" s="528">
        <f t="shared" si="405"/>
        <v>3.7814479154364517E-3</v>
      </c>
      <c r="EL134" s="528">
        <f t="shared" si="406"/>
        <v>0.32228701260832709</v>
      </c>
      <c r="EM134" s="528">
        <f t="shared" si="407"/>
        <v>4.0250000000000001E-2</v>
      </c>
      <c r="EN134" s="528">
        <f t="shared" si="408"/>
        <v>0.21601345499999997</v>
      </c>
      <c r="EO134">
        <f t="shared" si="409"/>
        <v>8.5500000000000003E-3</v>
      </c>
      <c r="EP134" s="460">
        <f t="shared" si="410"/>
        <v>48.800000000000004</v>
      </c>
      <c r="EQ134" s="460"/>
      <c r="ER134" s="460">
        <f t="shared" si="432"/>
        <v>590.8819155237635</v>
      </c>
      <c r="ES134" s="528">
        <f t="shared" si="411"/>
        <v>0.16799999999999998</v>
      </c>
      <c r="EV134" s="460">
        <f t="shared" si="412"/>
        <v>167.99999999999997</v>
      </c>
      <c r="EW134" s="528">
        <f t="shared" si="413"/>
        <v>5.6721718731546772E-3</v>
      </c>
      <c r="EX134" s="528">
        <f t="shared" si="414"/>
        <v>1.3070685269702466E-2</v>
      </c>
      <c r="EY134" s="528">
        <f t="shared" si="415"/>
        <v>0.25129558525032702</v>
      </c>
      <c r="EZ134" s="528"/>
      <c r="FA134" s="528">
        <f t="shared" si="416"/>
        <v>3.2799999999999995E-3</v>
      </c>
      <c r="FB134" s="460">
        <f t="shared" si="417"/>
        <v>273.31844239318423</v>
      </c>
      <c r="FC134" s="173">
        <f t="shared" si="418"/>
        <v>1.0322003579169474</v>
      </c>
      <c r="FD134" s="5">
        <f t="shared" si="419"/>
        <v>3.84</v>
      </c>
      <c r="FE134" s="173">
        <f t="shared" si="420"/>
        <v>0.78814492794006263</v>
      </c>
      <c r="FF134" s="5">
        <f t="shared" si="421"/>
        <v>78.81449279400627</v>
      </c>
      <c r="FI134" s="562">
        <f t="shared" si="422"/>
        <v>-50</v>
      </c>
      <c r="FJ134">
        <f t="shared" si="423"/>
        <v>-50</v>
      </c>
      <c r="FL134">
        <f t="shared" si="424"/>
        <v>0.35060922587446652</v>
      </c>
    </row>
    <row r="135" spans="5:168">
      <c r="E135" s="170">
        <v>25</v>
      </c>
      <c r="F135" s="217">
        <f t="shared" si="425"/>
        <v>0.25</v>
      </c>
      <c r="G135" s="217"/>
      <c r="H135" s="217">
        <f t="shared" si="315"/>
        <v>4</v>
      </c>
      <c r="I135" s="541">
        <f t="shared" si="316"/>
        <v>18.965496722032881</v>
      </c>
      <c r="J135" s="172">
        <f t="shared" si="317"/>
        <v>16.420701966780268</v>
      </c>
      <c r="K135" s="172">
        <f t="shared" si="318"/>
        <v>35.386198688813153</v>
      </c>
      <c r="L135" s="443"/>
      <c r="M135" s="217">
        <f t="shared" si="319"/>
        <v>0.46404644777452536</v>
      </c>
      <c r="N135" s="172">
        <f t="shared" si="426"/>
        <v>22.211199155720209</v>
      </c>
      <c r="O135" s="172">
        <f t="shared" si="438"/>
        <v>4</v>
      </c>
      <c r="P135" s="217">
        <f t="shared" si="320"/>
        <v>1.3881999472325131</v>
      </c>
      <c r="Q135" s="217">
        <f t="shared" si="321"/>
        <v>16</v>
      </c>
      <c r="R135" s="217"/>
      <c r="S135" s="172">
        <f t="shared" si="322"/>
        <v>170.73379954789837</v>
      </c>
      <c r="T135" s="172">
        <f t="shared" si="323"/>
        <v>16</v>
      </c>
      <c r="U135" s="217">
        <f t="shared" si="324"/>
        <v>0.93291666399787387</v>
      </c>
      <c r="V135" s="217">
        <f t="shared" si="325"/>
        <v>0.59028245513701005</v>
      </c>
      <c r="W135" s="217">
        <f t="shared" si="326"/>
        <v>0.6817613516536879</v>
      </c>
      <c r="X135" s="197">
        <f t="shared" si="327"/>
        <v>350</v>
      </c>
      <c r="Y135" s="443">
        <f t="shared" si="328"/>
        <v>350</v>
      </c>
      <c r="AA135" s="217">
        <f t="shared" si="329"/>
        <v>2.0954279786762449</v>
      </c>
      <c r="AB135" s="173">
        <f t="shared" si="330"/>
        <v>1.5313069925381111</v>
      </c>
      <c r="AC135" s="173">
        <f t="shared" si="331"/>
        <v>0.56153011531871344</v>
      </c>
      <c r="AD135" s="173"/>
      <c r="AE135" s="173">
        <f t="shared" si="332"/>
        <v>0.73078483637766989</v>
      </c>
      <c r="AF135" s="545">
        <f t="shared" si="333"/>
        <v>684.19591528251112</v>
      </c>
      <c r="AG135" s="528">
        <f t="shared" si="334"/>
        <v>0.12788734636609222</v>
      </c>
      <c r="AI135" s="173">
        <f t="shared" si="335"/>
        <v>1.3981578853032823</v>
      </c>
      <c r="AJ135" s="173">
        <f t="shared" si="336"/>
        <v>1.3981578853032823</v>
      </c>
      <c r="AK135" s="173">
        <f t="shared" si="337"/>
        <v>1.4949317668913202</v>
      </c>
      <c r="AM135" s="545">
        <f t="shared" si="338"/>
        <v>250</v>
      </c>
      <c r="AN135" s="460">
        <f t="shared" si="339"/>
        <v>350</v>
      </c>
      <c r="AP135" s="460">
        <f t="shared" si="340"/>
        <v>250</v>
      </c>
      <c r="AQ135" s="460">
        <f t="shared" si="341"/>
        <v>350</v>
      </c>
      <c r="AS135" s="5">
        <f t="shared" si="439"/>
        <v>2.8571428571428572</v>
      </c>
      <c r="AT135" s="5">
        <f t="shared" si="342"/>
        <v>0.8846535827425982</v>
      </c>
      <c r="AU135" s="5">
        <f t="shared" si="343"/>
        <v>1.9724892744002589</v>
      </c>
      <c r="AV135" s="5"/>
      <c r="AW135" s="173">
        <f t="shared" si="344"/>
        <v>0.30962875395990935</v>
      </c>
      <c r="AX135" s="173">
        <f t="shared" si="435"/>
        <v>4.1051754916950678</v>
      </c>
      <c r="AY135" s="173">
        <f t="shared" si="436"/>
        <v>0.48262400071880257</v>
      </c>
      <c r="AZ135" s="173">
        <f t="shared" si="440"/>
        <v>8.5059497364013588</v>
      </c>
      <c r="BA135" s="460">
        <f t="shared" si="433"/>
        <v>1.3822712230353096</v>
      </c>
      <c r="BB135" s="5">
        <f t="shared" si="434"/>
        <v>0.34668030815994899</v>
      </c>
      <c r="BD135" s="173">
        <f t="shared" si="441"/>
        <v>0.44917567749249465</v>
      </c>
      <c r="BE135" s="173">
        <f t="shared" si="437"/>
        <v>0.67071332785406446</v>
      </c>
      <c r="BG135" s="528">
        <f t="shared" si="347"/>
        <v>4.0351757850168313E-3</v>
      </c>
      <c r="BH135" s="528">
        <f t="shared" si="348"/>
        <v>0.3160247097980099</v>
      </c>
      <c r="BI135" s="528">
        <f t="shared" si="349"/>
        <v>0.1526722486123647</v>
      </c>
      <c r="BJ135" s="528">
        <f t="shared" si="350"/>
        <v>0.21584505456141237</v>
      </c>
      <c r="BK135">
        <f t="shared" si="351"/>
        <v>8.5344735249147964E-3</v>
      </c>
      <c r="BL135" s="460">
        <f t="shared" si="427"/>
        <v>161.20672213727948</v>
      </c>
      <c r="BM135" s="528">
        <f t="shared" si="352"/>
        <v>0.53750977928186061</v>
      </c>
      <c r="BN135" s="460">
        <f t="shared" si="353"/>
        <v>537.50977928186057</v>
      </c>
      <c r="BO135" s="528">
        <f t="shared" si="354"/>
        <v>0.17499999999999999</v>
      </c>
      <c r="BR135" s="460">
        <f t="shared" si="355"/>
        <v>175</v>
      </c>
      <c r="BS135" s="528">
        <f t="shared" si="356"/>
        <v>6.0527636775252469E-3</v>
      </c>
      <c r="BT135" s="528">
        <f t="shared" si="357"/>
        <v>1.3495691044832213E-2</v>
      </c>
      <c r="BU135" s="528">
        <f t="shared" si="358"/>
        <v>0.26486870983838906</v>
      </c>
      <c r="BV135" s="528"/>
      <c r="BW135" s="528">
        <f t="shared" si="359"/>
        <v>3.4209795764125568E-3</v>
      </c>
      <c r="BX135" s="460">
        <f t="shared" si="360"/>
        <v>287.83814413715908</v>
      </c>
      <c r="BY135" s="173">
        <f t="shared" si="361"/>
        <v>1.1599498064188776</v>
      </c>
      <c r="BZ135" s="5">
        <f t="shared" si="362"/>
        <v>4</v>
      </c>
      <c r="CA135" s="173">
        <f t="shared" si="363"/>
        <v>0.77520133917273337</v>
      </c>
      <c r="CB135" s="5">
        <f t="shared" si="364"/>
        <v>77.520133917273341</v>
      </c>
      <c r="CE135" s="562">
        <f t="shared" si="365"/>
        <v>-50</v>
      </c>
      <c r="CF135">
        <f t="shared" si="366"/>
        <v>-50</v>
      </c>
      <c r="CG135" s="173">
        <f t="shared" si="367"/>
        <v>0.36228441865473598</v>
      </c>
      <c r="CI135" s="170">
        <v>25</v>
      </c>
      <c r="CJ135" s="217">
        <f t="shared" si="428"/>
        <v>0.25</v>
      </c>
      <c r="CK135" s="217"/>
      <c r="CL135" s="217">
        <f t="shared" si="368"/>
        <v>4</v>
      </c>
      <c r="CM135" s="541">
        <f t="shared" si="369"/>
        <v>19</v>
      </c>
      <c r="CN135" s="443">
        <f t="shared" si="370"/>
        <v>16.399999999999999</v>
      </c>
      <c r="CO135" s="443">
        <f t="shared" si="371"/>
        <v>35.4</v>
      </c>
      <c r="CP135" s="443"/>
      <c r="CQ135" s="217">
        <f t="shared" si="372"/>
        <v>0.4632768361581921</v>
      </c>
      <c r="CR135" s="172">
        <f t="shared" si="429"/>
        <v>22.214703389830511</v>
      </c>
      <c r="CS135" s="172">
        <f t="shared" si="373"/>
        <v>4</v>
      </c>
      <c r="CT135" s="217">
        <f t="shared" si="374"/>
        <v>1.3884189618644069</v>
      </c>
      <c r="CU135" s="217">
        <f t="shared" si="375"/>
        <v>16</v>
      </c>
      <c r="CV135" s="217"/>
      <c r="CW135" s="172">
        <f t="shared" si="376"/>
        <v>171.04432925855798</v>
      </c>
      <c r="CX135" s="172">
        <f t="shared" si="377"/>
        <v>16</v>
      </c>
      <c r="CY135" s="217">
        <f t="shared" si="378"/>
        <v>0.90885750962772782</v>
      </c>
      <c r="CZ135" s="217">
        <f t="shared" si="379"/>
        <v>0.57401526923856494</v>
      </c>
      <c r="DA135" s="217">
        <f t="shared" si="380"/>
        <v>0.66501768997150823</v>
      </c>
      <c r="DB135" s="197">
        <f t="shared" si="381"/>
        <v>350</v>
      </c>
      <c r="DC135" s="443">
        <f t="shared" si="382"/>
        <v>350</v>
      </c>
      <c r="DE135" s="217">
        <f t="shared" si="383"/>
        <v>2.0957761635727734</v>
      </c>
      <c r="DF135" s="173">
        <f t="shared" si="384"/>
        <v>1.5334947538337369</v>
      </c>
      <c r="DG135" s="173">
        <f t="shared" si="385"/>
        <v>0.5624258066085126</v>
      </c>
      <c r="DH135" s="173"/>
      <c r="DI135" s="173">
        <f t="shared" si="386"/>
        <v>0.73170731707317083</v>
      </c>
      <c r="DJ135" s="545">
        <f t="shared" si="387"/>
        <v>683.33333333333326</v>
      </c>
      <c r="DK135" s="528">
        <f t="shared" si="388"/>
        <v>0.12804878048780488</v>
      </c>
      <c r="DM135" s="173">
        <f t="shared" si="389"/>
        <v>1.3972762620115438</v>
      </c>
      <c r="DN135" s="173">
        <f t="shared" si="390"/>
        <v>1.3972762620115438</v>
      </c>
      <c r="DO135" s="173">
        <f t="shared" si="391"/>
        <v>1.4942787126011434</v>
      </c>
      <c r="DQ135" s="545">
        <f t="shared" si="392"/>
        <v>250</v>
      </c>
      <c r="DR135" s="460">
        <f t="shared" si="393"/>
        <v>350</v>
      </c>
      <c r="DT135">
        <f t="shared" si="430"/>
        <v>250</v>
      </c>
      <c r="DU135">
        <f t="shared" si="431"/>
        <v>350</v>
      </c>
      <c r="DW135" s="5">
        <f t="shared" si="394"/>
        <v>2.8571428571428572</v>
      </c>
      <c r="DX135" s="5">
        <f t="shared" si="395"/>
        <v>0.88249027074413289</v>
      </c>
      <c r="DY135" s="5">
        <f t="shared" si="396"/>
        <v>1.9746525863987243</v>
      </c>
      <c r="DZ135" s="5"/>
      <c r="EA135" s="173">
        <f t="shared" si="397"/>
        <v>0.30887159476044651</v>
      </c>
      <c r="EB135" s="173">
        <f t="shared" si="398"/>
        <v>4.1000000000000005</v>
      </c>
      <c r="EC135" s="173">
        <f t="shared" si="399"/>
        <v>0.48284865732156135</v>
      </c>
      <c r="ED135" s="173">
        <f t="shared" si="400"/>
        <v>8.4912734825511489</v>
      </c>
      <c r="EE135" s="460">
        <f t="shared" si="401"/>
        <v>1.3788910480377077</v>
      </c>
      <c r="EF135" s="5">
        <f t="shared" si="402"/>
        <v>0.34643027831556561</v>
      </c>
      <c r="EH135" s="173">
        <f t="shared" si="403"/>
        <v>0.44834325330109298</v>
      </c>
      <c r="EI135" s="173">
        <f t="shared" si="404"/>
        <v>0.6706578695676676</v>
      </c>
      <c r="EK135" s="528">
        <f t="shared" si="405"/>
        <v>4.0202334556121606E-3</v>
      </c>
      <c r="EL135" s="528">
        <f t="shared" si="406"/>
        <v>0.32893280484013754</v>
      </c>
      <c r="EM135" s="528">
        <f t="shared" si="407"/>
        <v>4.0250000000000001E-2</v>
      </c>
      <c r="EN135" s="528">
        <f t="shared" si="408"/>
        <v>0.21601345499999997</v>
      </c>
      <c r="EO135">
        <f t="shared" si="409"/>
        <v>8.5500000000000003E-3</v>
      </c>
      <c r="EP135" s="460">
        <f t="shared" si="410"/>
        <v>48.800000000000004</v>
      </c>
      <c r="EQ135" s="460"/>
      <c r="ER135" s="460">
        <f t="shared" si="432"/>
        <v>597.76649329574957</v>
      </c>
      <c r="ES135" s="528">
        <f t="shared" si="411"/>
        <v>0.17499999999999999</v>
      </c>
      <c r="EV135" s="460">
        <f t="shared" si="412"/>
        <v>175</v>
      </c>
      <c r="EW135" s="528">
        <f t="shared" si="413"/>
        <v>6.030350183418241E-3</v>
      </c>
      <c r="EX135" s="528">
        <f t="shared" si="414"/>
        <v>1.3493459340391279E-2</v>
      </c>
      <c r="EY135" s="528">
        <f t="shared" si="415"/>
        <v>0.26445136784118334</v>
      </c>
      <c r="EZ135" s="528"/>
      <c r="FA135" s="528">
        <f t="shared" si="416"/>
        <v>3.4166666666666668E-3</v>
      </c>
      <c r="FB135" s="460">
        <f t="shared" si="417"/>
        <v>287.3918440316595</v>
      </c>
      <c r="FC135" s="173">
        <f t="shared" si="418"/>
        <v>1.0601583373274091</v>
      </c>
      <c r="FD135" s="5">
        <f t="shared" si="419"/>
        <v>4</v>
      </c>
      <c r="FE135" s="173">
        <f t="shared" si="420"/>
        <v>0.79048909803732625</v>
      </c>
      <c r="FF135" s="5">
        <f t="shared" si="421"/>
        <v>79.048909803732627</v>
      </c>
      <c r="FI135" s="562">
        <f t="shared" si="422"/>
        <v>-50</v>
      </c>
      <c r="FJ135">
        <f t="shared" si="423"/>
        <v>-50</v>
      </c>
      <c r="FL135">
        <f t="shared" si="424"/>
        <v>0.35783904271027339</v>
      </c>
    </row>
    <row r="136" spans="5:168">
      <c r="E136" s="170">
        <v>26</v>
      </c>
      <c r="F136" s="217">
        <f t="shared" si="425"/>
        <v>0.26</v>
      </c>
      <c r="G136" s="217"/>
      <c r="H136" s="217">
        <f t="shared" si="315"/>
        <v>4.16</v>
      </c>
      <c r="I136" s="541">
        <f t="shared" si="316"/>
        <v>18.964813422472549</v>
      </c>
      <c r="J136" s="172">
        <f t="shared" si="317"/>
        <v>16.421111946516469</v>
      </c>
      <c r="K136" s="172">
        <f t="shared" si="318"/>
        <v>35.385925368989021</v>
      </c>
      <c r="L136" s="443"/>
      <c r="M136" s="217">
        <f t="shared" si="319"/>
        <v>0.4640616950372784</v>
      </c>
      <c r="N136" s="172">
        <f t="shared" si="426"/>
        <v>22.211128689489687</v>
      </c>
      <c r="O136" s="172">
        <f t="shared" si="438"/>
        <v>4.16</v>
      </c>
      <c r="P136" s="217">
        <f t="shared" si="320"/>
        <v>1.3881955430931054</v>
      </c>
      <c r="Q136" s="217">
        <f t="shared" si="321"/>
        <v>16</v>
      </c>
      <c r="R136" s="217"/>
      <c r="S136" s="172">
        <f t="shared" si="322"/>
        <v>163.43546388955943</v>
      </c>
      <c r="T136" s="172">
        <f t="shared" si="323"/>
        <v>16</v>
      </c>
      <c r="U136" s="217">
        <f t="shared" si="324"/>
        <v>0.97026093336651853</v>
      </c>
      <c r="V136" s="217">
        <f t="shared" si="325"/>
        <v>0.61393333754613033</v>
      </c>
      <c r="W136" s="217">
        <f t="shared" si="326"/>
        <v>0.70903427479940939</v>
      </c>
      <c r="X136" s="197">
        <f t="shared" si="327"/>
        <v>350</v>
      </c>
      <c r="Y136" s="443">
        <f t="shared" si="328"/>
        <v>350</v>
      </c>
      <c r="AA136" s="217">
        <f t="shared" si="329"/>
        <v>2.0954209834494866</v>
      </c>
      <c r="AB136" s="173">
        <f t="shared" si="330"/>
        <v>1.5312636490933884</v>
      </c>
      <c r="AC136" s="173">
        <f t="shared" si="331"/>
        <v>0.56151234676315065</v>
      </c>
      <c r="AD136" s="173"/>
      <c r="AE136" s="173">
        <f t="shared" si="332"/>
        <v>0.73076659114705378</v>
      </c>
      <c r="AF136" s="545">
        <f t="shared" si="333"/>
        <v>711.58151768238031</v>
      </c>
      <c r="AG136" s="528">
        <f t="shared" si="334"/>
        <v>0.12788415345073442</v>
      </c>
      <c r="AI136" s="173">
        <f t="shared" si="335"/>
        <v>1.4258646676740001</v>
      </c>
      <c r="AJ136" s="173">
        <f t="shared" si="336"/>
        <v>1.4258646676740001</v>
      </c>
      <c r="AK136" s="173">
        <f t="shared" si="337"/>
        <v>1.5154553093881482</v>
      </c>
      <c r="AM136" s="545">
        <f t="shared" si="338"/>
        <v>260</v>
      </c>
      <c r="AN136" s="460">
        <f t="shared" si="339"/>
        <v>350</v>
      </c>
      <c r="AP136" s="460">
        <f t="shared" si="340"/>
        <v>260</v>
      </c>
      <c r="AQ136" s="460">
        <f t="shared" si="341"/>
        <v>350</v>
      </c>
      <c r="AS136" s="5">
        <f t="shared" si="439"/>
        <v>2.8571428571428572</v>
      </c>
      <c r="AT136" s="5">
        <f t="shared" si="342"/>
        <v>0.90221694413364961</v>
      </c>
      <c r="AU136" s="5">
        <f t="shared" si="343"/>
        <v>1.9549259130092076</v>
      </c>
      <c r="AV136" s="5"/>
      <c r="AW136" s="173">
        <f t="shared" si="344"/>
        <v>0.31577593044677738</v>
      </c>
      <c r="AX136" s="173">
        <f t="shared" si="435"/>
        <v>4.2694891060942819</v>
      </c>
      <c r="AY136" s="173">
        <f t="shared" si="436"/>
        <v>0.48780546277402892</v>
      </c>
      <c r="AZ136" s="173">
        <f t="shared" si="440"/>
        <v>8.7524421760567304</v>
      </c>
      <c r="BA136" s="460">
        <f t="shared" si="433"/>
        <v>1.4661025342171807</v>
      </c>
      <c r="BB136" s="5">
        <f t="shared" si="434"/>
        <v>0.35735002224706058</v>
      </c>
      <c r="BD136" s="173">
        <f t="shared" si="441"/>
        <v>0.46260166536138547</v>
      </c>
      <c r="BE136" s="173">
        <f t="shared" si="437"/>
        <v>0.68095255540448751</v>
      </c>
      <c r="BG136" s="528">
        <f t="shared" si="347"/>
        <v>4.2800060159025452E-3</v>
      </c>
      <c r="BH136" s="528">
        <f t="shared" si="348"/>
        <v>0.32228476632722181</v>
      </c>
      <c r="BI136" s="528">
        <f t="shared" si="349"/>
        <v>0.15266674805090402</v>
      </c>
      <c r="BJ136" s="528">
        <f t="shared" si="350"/>
        <v>0.21584172023861403</v>
      </c>
      <c r="BK136">
        <f t="shared" si="351"/>
        <v>8.5341660401126469E-3</v>
      </c>
      <c r="BL136" s="460">
        <f t="shared" si="427"/>
        <v>161.20091409101667</v>
      </c>
      <c r="BM136" s="528">
        <f t="shared" si="352"/>
        <v>0.54411542119081968</v>
      </c>
      <c r="BN136" s="460">
        <f t="shared" si="353"/>
        <v>544.11542119081969</v>
      </c>
      <c r="BO136" s="528">
        <f t="shared" si="354"/>
        <v>0.182</v>
      </c>
      <c r="BR136" s="460">
        <f t="shared" si="355"/>
        <v>182</v>
      </c>
      <c r="BS136" s="528">
        <f t="shared" si="356"/>
        <v>6.4200090238538182E-3</v>
      </c>
      <c r="BT136" s="528">
        <f t="shared" si="357"/>
        <v>1.3910891481357048E-2</v>
      </c>
      <c r="BU136" s="528">
        <f t="shared" si="358"/>
        <v>0.27818639336721224</v>
      </c>
      <c r="BV136" s="528"/>
      <c r="BW136" s="528">
        <f t="shared" si="359"/>
        <v>3.5579075884119024E-3</v>
      </c>
      <c r="BX136" s="460">
        <f t="shared" si="360"/>
        <v>302.07520146083499</v>
      </c>
      <c r="BY136" s="173">
        <f t="shared" si="361"/>
        <v>1.1876826081335903</v>
      </c>
      <c r="BZ136" s="5">
        <f t="shared" si="362"/>
        <v>4.16</v>
      </c>
      <c r="CA136" s="173">
        <f t="shared" si="363"/>
        <v>0.77790704962048851</v>
      </c>
      <c r="CB136" s="5">
        <f t="shared" si="364"/>
        <v>77.790704962048849</v>
      </c>
      <c r="CE136" s="562">
        <f t="shared" si="365"/>
        <v>-50</v>
      </c>
      <c r="CF136">
        <f t="shared" si="366"/>
        <v>-50</v>
      </c>
      <c r="CG136" s="173">
        <f t="shared" si="367"/>
        <v>0.36945906403822332</v>
      </c>
      <c r="CI136" s="170">
        <v>26</v>
      </c>
      <c r="CJ136" s="217">
        <f t="shared" si="428"/>
        <v>0.26</v>
      </c>
      <c r="CK136" s="217"/>
      <c r="CL136" s="217">
        <f t="shared" si="368"/>
        <v>4.16</v>
      </c>
      <c r="CM136" s="541">
        <f t="shared" si="369"/>
        <v>19</v>
      </c>
      <c r="CN136" s="443">
        <f t="shared" si="370"/>
        <v>16.399999999999999</v>
      </c>
      <c r="CO136" s="443">
        <f t="shared" si="371"/>
        <v>35.4</v>
      </c>
      <c r="CP136" s="443"/>
      <c r="CQ136" s="217">
        <f t="shared" si="372"/>
        <v>0.4632768361581921</v>
      </c>
      <c r="CR136" s="172">
        <f t="shared" si="429"/>
        <v>22.214703389830511</v>
      </c>
      <c r="CS136" s="172">
        <f t="shared" si="373"/>
        <v>4.16</v>
      </c>
      <c r="CT136" s="217">
        <f t="shared" si="374"/>
        <v>1.3884189618644069</v>
      </c>
      <c r="CU136" s="217">
        <f t="shared" si="375"/>
        <v>16</v>
      </c>
      <c r="CV136" s="217"/>
      <c r="CW136" s="172">
        <f t="shared" si="376"/>
        <v>163.73861002177784</v>
      </c>
      <c r="CX136" s="172">
        <f t="shared" si="377"/>
        <v>16</v>
      </c>
      <c r="CY136" s="217">
        <f t="shared" si="378"/>
        <v>0.94521181001283694</v>
      </c>
      <c r="CZ136" s="217">
        <f t="shared" si="379"/>
        <v>0.59697588000810753</v>
      </c>
      <c r="DA136" s="217">
        <f t="shared" si="380"/>
        <v>0.69161839757036858</v>
      </c>
      <c r="DB136" s="197">
        <f t="shared" si="381"/>
        <v>350</v>
      </c>
      <c r="DC136" s="443">
        <f t="shared" si="382"/>
        <v>350</v>
      </c>
      <c r="DE136" s="217">
        <f t="shared" si="383"/>
        <v>2.0957761635727734</v>
      </c>
      <c r="DF136" s="173">
        <f t="shared" si="384"/>
        <v>1.5334947538337369</v>
      </c>
      <c r="DG136" s="173">
        <f t="shared" si="385"/>
        <v>0.5624258066085126</v>
      </c>
      <c r="DH136" s="173"/>
      <c r="DI136" s="173">
        <f t="shared" si="386"/>
        <v>0.73170731707317083</v>
      </c>
      <c r="DJ136" s="545">
        <f t="shared" si="387"/>
        <v>710.66666666666663</v>
      </c>
      <c r="DK136" s="528">
        <f t="shared" si="388"/>
        <v>0.12804878048780488</v>
      </c>
      <c r="DM136" s="173">
        <f t="shared" si="389"/>
        <v>1.4249477851753694</v>
      </c>
      <c r="DN136" s="173">
        <f t="shared" si="390"/>
        <v>1.4249477851753694</v>
      </c>
      <c r="DO136" s="173">
        <f t="shared" si="391"/>
        <v>1.5147761371669402</v>
      </c>
      <c r="DQ136" s="545">
        <f t="shared" si="392"/>
        <v>260</v>
      </c>
      <c r="DR136" s="460">
        <f t="shared" si="393"/>
        <v>350</v>
      </c>
      <c r="DT136">
        <f t="shared" si="430"/>
        <v>260</v>
      </c>
      <c r="DU136">
        <f t="shared" si="431"/>
        <v>350</v>
      </c>
      <c r="DW136" s="5">
        <f t="shared" si="394"/>
        <v>2.8571428571428572</v>
      </c>
      <c r="DX136" s="5">
        <f t="shared" si="395"/>
        <v>0.89996702221602276</v>
      </c>
      <c r="DY136" s="5">
        <f t="shared" si="396"/>
        <v>1.9571758349268344</v>
      </c>
      <c r="DZ136" s="5"/>
      <c r="EA136" s="173">
        <f t="shared" si="397"/>
        <v>0.31498845777560797</v>
      </c>
      <c r="EB136" s="173">
        <f t="shared" si="398"/>
        <v>4.2640000000000002</v>
      </c>
      <c r="EC136" s="173">
        <f t="shared" si="399"/>
        <v>0.48805283995610577</v>
      </c>
      <c r="ED136" s="173">
        <f t="shared" si="400"/>
        <v>8.7367589140214683</v>
      </c>
      <c r="EE136" s="460">
        <f t="shared" si="401"/>
        <v>1.4624464111010369</v>
      </c>
      <c r="EF136" s="5">
        <f t="shared" si="402"/>
        <v>0.3570987488287557</v>
      </c>
      <c r="EH136" s="173">
        <f t="shared" si="403"/>
        <v>0.4617273956886202</v>
      </c>
      <c r="EI136" s="173">
        <f t="shared" si="404"/>
        <v>0.68090616746803023</v>
      </c>
      <c r="EK136" s="528">
        <f t="shared" si="405"/>
        <v>4.2638437585879128E-3</v>
      </c>
      <c r="EL136" s="528">
        <f t="shared" si="406"/>
        <v>0.33544695810813369</v>
      </c>
      <c r="EM136" s="528">
        <f t="shared" si="407"/>
        <v>4.0250000000000001E-2</v>
      </c>
      <c r="EN136" s="528">
        <f t="shared" si="408"/>
        <v>0.21601345499999997</v>
      </c>
      <c r="EO136">
        <f t="shared" si="409"/>
        <v>8.5500000000000003E-3</v>
      </c>
      <c r="EP136" s="460">
        <f t="shared" si="410"/>
        <v>48.800000000000004</v>
      </c>
      <c r="EQ136" s="460"/>
      <c r="ER136" s="460">
        <f t="shared" si="432"/>
        <v>604.52425686672154</v>
      </c>
      <c r="ES136" s="528">
        <f t="shared" si="411"/>
        <v>0.182</v>
      </c>
      <c r="EV136" s="460">
        <f t="shared" si="412"/>
        <v>182</v>
      </c>
      <c r="EW136" s="528">
        <f t="shared" si="413"/>
        <v>6.3957656378818692E-3</v>
      </c>
      <c r="EX136" s="528">
        <f t="shared" si="414"/>
        <v>1.3908996266880037E-2</v>
      </c>
      <c r="EY136" s="528">
        <f t="shared" si="415"/>
        <v>0.27773939926819158</v>
      </c>
      <c r="EZ136" s="528"/>
      <c r="FA136" s="528">
        <f t="shared" si="416"/>
        <v>3.5533333333333337E-3</v>
      </c>
      <c r="FB136" s="460">
        <f t="shared" si="417"/>
        <v>301.59749450628681</v>
      </c>
      <c r="FC136" s="173">
        <f t="shared" si="418"/>
        <v>1.0881217513730082</v>
      </c>
      <c r="FD136" s="5">
        <f t="shared" si="419"/>
        <v>4.16</v>
      </c>
      <c r="FE136" s="173">
        <f t="shared" si="420"/>
        <v>0.79266453734836939</v>
      </c>
      <c r="FF136" s="5">
        <f t="shared" si="421"/>
        <v>79.266453734836944</v>
      </c>
      <c r="FI136" s="562">
        <f t="shared" si="422"/>
        <v>-50</v>
      </c>
      <c r="FJ136">
        <f t="shared" si="423"/>
        <v>-50</v>
      </c>
      <c r="FL136">
        <f t="shared" si="424"/>
        <v>0.36492565230100926</v>
      </c>
    </row>
    <row r="137" spans="5:168">
      <c r="E137" s="170">
        <v>27</v>
      </c>
      <c r="F137" s="217">
        <f t="shared" si="425"/>
        <v>0.27</v>
      </c>
      <c r="G137" s="217"/>
      <c r="H137" s="217">
        <f t="shared" si="315"/>
        <v>4.32</v>
      </c>
      <c r="I137" s="541">
        <f t="shared" si="316"/>
        <v>18.964143141719969</v>
      </c>
      <c r="J137" s="172">
        <f t="shared" si="317"/>
        <v>16.421514114968019</v>
      </c>
      <c r="K137" s="172">
        <f t="shared" si="318"/>
        <v>35.385657256687992</v>
      </c>
      <c r="L137" s="443"/>
      <c r="M137" s="217">
        <f t="shared" si="319"/>
        <v>0.46407665202072385</v>
      </c>
      <c r="N137" s="172">
        <f t="shared" si="426"/>
        <v>22.211059525497156</v>
      </c>
      <c r="O137" s="172">
        <f t="shared" si="438"/>
        <v>4.32</v>
      </c>
      <c r="P137" s="217">
        <f t="shared" si="320"/>
        <v>1.3881912203435722</v>
      </c>
      <c r="Q137" s="217">
        <f t="shared" si="321"/>
        <v>16</v>
      </c>
      <c r="R137" s="217"/>
      <c r="S137" s="172">
        <f t="shared" si="322"/>
        <v>156.67806711244381</v>
      </c>
      <c r="T137" s="172">
        <f t="shared" si="323"/>
        <v>16</v>
      </c>
      <c r="U137" s="217">
        <f t="shared" si="324"/>
        <v>1.0076067818953869</v>
      </c>
      <c r="V137" s="217">
        <f t="shared" si="325"/>
        <v>0.6375864858425665</v>
      </c>
      <c r="W137" s="217">
        <f t="shared" si="326"/>
        <v>0.73630734036416168</v>
      </c>
      <c r="X137" s="197">
        <f t="shared" si="327"/>
        <v>350</v>
      </c>
      <c r="Y137" s="443">
        <f t="shared" si="328"/>
        <v>350</v>
      </c>
      <c r="AA137" s="217">
        <f t="shared" si="329"/>
        <v>2.0954141177339598</v>
      </c>
      <c r="AB137" s="173">
        <f t="shared" si="330"/>
        <v>1.531221130814495</v>
      </c>
      <c r="AC137" s="173">
        <f t="shared" si="331"/>
        <v>0.56149491560421905</v>
      </c>
      <c r="AD137" s="173"/>
      <c r="AE137" s="173">
        <f t="shared" si="332"/>
        <v>0.73074869442532953</v>
      </c>
      <c r="AF137" s="545">
        <f t="shared" si="333"/>
        <v>738.96813517356077</v>
      </c>
      <c r="AG137" s="528">
        <f t="shared" si="334"/>
        <v>0.12788102152443268</v>
      </c>
      <c r="AI137" s="173">
        <f t="shared" si="335"/>
        <v>1.453044228186918</v>
      </c>
      <c r="AJ137" s="173">
        <f t="shared" si="336"/>
        <v>1.453044228186918</v>
      </c>
      <c r="AK137" s="173">
        <f t="shared" si="337"/>
        <v>1.5355883171754947</v>
      </c>
      <c r="AM137" s="545">
        <f t="shared" si="338"/>
        <v>270</v>
      </c>
      <c r="AN137" s="460">
        <f t="shared" si="339"/>
        <v>350</v>
      </c>
      <c r="AP137" s="460">
        <f t="shared" si="340"/>
        <v>270</v>
      </c>
      <c r="AQ137" s="460">
        <f t="shared" si="341"/>
        <v>350</v>
      </c>
      <c r="AS137" s="5">
        <f t="shared" si="439"/>
        <v>2.8571428571428572</v>
      </c>
      <c r="AT137" s="5">
        <f t="shared" si="342"/>
        <v>0.91944732793561879</v>
      </c>
      <c r="AU137" s="5">
        <f t="shared" si="343"/>
        <v>1.9376955292072384</v>
      </c>
      <c r="AV137" s="5"/>
      <c r="AW137" s="173">
        <f t="shared" si="344"/>
        <v>0.32180656477746655</v>
      </c>
      <c r="AX137" s="173">
        <f t="shared" si="435"/>
        <v>4.4338088110413647</v>
      </c>
      <c r="AY137" s="173">
        <f t="shared" si="436"/>
        <v>0.49272252832218033</v>
      </c>
      <c r="AZ137" s="173">
        <f t="shared" si="440"/>
        <v>8.9985916132947654</v>
      </c>
      <c r="BA137" s="460">
        <f t="shared" si="433"/>
        <v>1.5515673658913569</v>
      </c>
      <c r="BB137" s="5">
        <f t="shared" si="434"/>
        <v>0.36783649295495613</v>
      </c>
      <c r="BD137" s="173">
        <f t="shared" si="441"/>
        <v>0.47589994652759299</v>
      </c>
      <c r="BE137" s="173">
        <f t="shared" si="437"/>
        <v>0.69086787249864667</v>
      </c>
      <c r="BG137" s="528">
        <f t="shared" si="347"/>
        <v>4.5296151820993173E-3</v>
      </c>
      <c r="BH137" s="528">
        <f t="shared" si="348"/>
        <v>0.32842560867659071</v>
      </c>
      <c r="BI137" s="528">
        <f t="shared" si="349"/>
        <v>0.15266135229084576</v>
      </c>
      <c r="BJ137" s="528">
        <f t="shared" si="350"/>
        <v>0.21583844946920874</v>
      </c>
      <c r="BK137">
        <f t="shared" si="351"/>
        <v>8.5338644137739859E-3</v>
      </c>
      <c r="BL137" s="460">
        <f t="shared" si="427"/>
        <v>161.19521670461975</v>
      </c>
      <c r="BM137" s="528">
        <f t="shared" si="352"/>
        <v>0.55060925524183246</v>
      </c>
      <c r="BN137" s="460">
        <f t="shared" si="353"/>
        <v>550.60925524183244</v>
      </c>
      <c r="BO137" s="528">
        <f t="shared" si="354"/>
        <v>0.189</v>
      </c>
      <c r="BR137" s="460">
        <f t="shared" si="355"/>
        <v>189</v>
      </c>
      <c r="BS137" s="528">
        <f t="shared" si="356"/>
        <v>6.7944227731489759E-3</v>
      </c>
      <c r="BT137" s="528">
        <f t="shared" si="357"/>
        <v>1.4318952517524188E-2</v>
      </c>
      <c r="BU137" s="528">
        <f t="shared" si="358"/>
        <v>0.29163335858617362</v>
      </c>
      <c r="BV137" s="528"/>
      <c r="BW137" s="528">
        <f t="shared" si="359"/>
        <v>3.694840675867804E-3</v>
      </c>
      <c r="BX137" s="460">
        <f t="shared" si="360"/>
        <v>316.44157455271454</v>
      </c>
      <c r="BY137" s="173">
        <f t="shared" si="361"/>
        <v>1.2154304645852332</v>
      </c>
      <c r="BZ137" s="5">
        <f t="shared" si="362"/>
        <v>4.32</v>
      </c>
      <c r="CA137" s="173">
        <f t="shared" si="363"/>
        <v>0.7804271099851483</v>
      </c>
      <c r="CB137" s="5">
        <f t="shared" si="364"/>
        <v>78.042710998514835</v>
      </c>
      <c r="CE137" s="562">
        <f t="shared" si="365"/>
        <v>-50</v>
      </c>
      <c r="CF137">
        <f t="shared" si="366"/>
        <v>-50</v>
      </c>
      <c r="CG137" s="173">
        <f t="shared" si="367"/>
        <v>0.37649701194033403</v>
      </c>
      <c r="CI137" s="170">
        <v>27</v>
      </c>
      <c r="CJ137" s="217">
        <f t="shared" si="428"/>
        <v>0.27</v>
      </c>
      <c r="CK137" s="217"/>
      <c r="CL137" s="217">
        <f t="shared" si="368"/>
        <v>4.32</v>
      </c>
      <c r="CM137" s="541">
        <f t="shared" si="369"/>
        <v>19</v>
      </c>
      <c r="CN137" s="443">
        <f t="shared" si="370"/>
        <v>16.399999999999999</v>
      </c>
      <c r="CO137" s="443">
        <f t="shared" si="371"/>
        <v>35.4</v>
      </c>
      <c r="CP137" s="443"/>
      <c r="CQ137" s="217">
        <f t="shared" si="372"/>
        <v>0.4632768361581921</v>
      </c>
      <c r="CR137" s="172">
        <f t="shared" si="429"/>
        <v>22.214703389830511</v>
      </c>
      <c r="CS137" s="172">
        <f t="shared" si="373"/>
        <v>4.32</v>
      </c>
      <c r="CT137" s="217">
        <f t="shared" si="374"/>
        <v>1.3884189618644069</v>
      </c>
      <c r="CU137" s="217">
        <f t="shared" si="375"/>
        <v>16</v>
      </c>
      <c r="CV137" s="217"/>
      <c r="CW137" s="172">
        <f t="shared" si="376"/>
        <v>156.9742184612237</v>
      </c>
      <c r="CX137" s="172">
        <f t="shared" si="377"/>
        <v>16</v>
      </c>
      <c r="CY137" s="217">
        <f t="shared" si="378"/>
        <v>0.98156611039794606</v>
      </c>
      <c r="CZ137" s="217">
        <f t="shared" si="379"/>
        <v>0.61993649077765012</v>
      </c>
      <c r="DA137" s="217">
        <f t="shared" si="380"/>
        <v>0.71821910516922893</v>
      </c>
      <c r="DB137" s="197">
        <f t="shared" si="381"/>
        <v>350</v>
      </c>
      <c r="DC137" s="443">
        <f t="shared" si="382"/>
        <v>350</v>
      </c>
      <c r="DE137" s="217">
        <f t="shared" si="383"/>
        <v>2.0957761635727734</v>
      </c>
      <c r="DF137" s="173">
        <f t="shared" si="384"/>
        <v>1.5334947538337369</v>
      </c>
      <c r="DG137" s="173">
        <f t="shared" si="385"/>
        <v>0.5624258066085126</v>
      </c>
      <c r="DH137" s="173"/>
      <c r="DI137" s="173">
        <f t="shared" si="386"/>
        <v>0.73170731707317083</v>
      </c>
      <c r="DJ137" s="545">
        <f t="shared" si="387"/>
        <v>738</v>
      </c>
      <c r="DK137" s="528">
        <f t="shared" si="388"/>
        <v>0.12804878048780488</v>
      </c>
      <c r="DM137" s="173">
        <f t="shared" si="389"/>
        <v>1.45209208680835</v>
      </c>
      <c r="DN137" s="173">
        <f t="shared" si="390"/>
        <v>1.45209208680835</v>
      </c>
      <c r="DO137" s="173">
        <f t="shared" si="391"/>
        <v>1.5348830272654443</v>
      </c>
      <c r="DQ137" s="545">
        <f t="shared" si="392"/>
        <v>270</v>
      </c>
      <c r="DR137" s="460">
        <f t="shared" si="393"/>
        <v>350</v>
      </c>
      <c r="DT137">
        <f t="shared" si="430"/>
        <v>270</v>
      </c>
      <c r="DU137">
        <f t="shared" si="431"/>
        <v>350</v>
      </c>
      <c r="DW137" s="5">
        <f t="shared" si="394"/>
        <v>2.8571428571428572</v>
      </c>
      <c r="DX137" s="5">
        <f t="shared" si="395"/>
        <v>0.91711079166843168</v>
      </c>
      <c r="DY137" s="5">
        <f t="shared" si="396"/>
        <v>1.9400320654744254</v>
      </c>
      <c r="DZ137" s="5"/>
      <c r="EA137" s="173">
        <f t="shared" si="397"/>
        <v>0.32098877708395107</v>
      </c>
      <c r="EB137" s="173">
        <f t="shared" si="398"/>
        <v>4.4279999999999999</v>
      </c>
      <c r="EC137" s="173">
        <f t="shared" si="399"/>
        <v>0.49299341182522766</v>
      </c>
      <c r="ED137" s="173">
        <f t="shared" si="400"/>
        <v>8.9818644504924574</v>
      </c>
      <c r="EE137" s="460">
        <f t="shared" si="401"/>
        <v>1.5476244609404786</v>
      </c>
      <c r="EF137" s="5">
        <f t="shared" si="402"/>
        <v>0.36758502293199635</v>
      </c>
      <c r="EH137" s="173">
        <f t="shared" si="403"/>
        <v>0.47498342576392516</v>
      </c>
      <c r="EI137" s="173">
        <f t="shared" si="404"/>
        <v>0.69083130220532762</v>
      </c>
      <c r="EK137" s="528">
        <f t="shared" si="405"/>
        <v>4.5121850950086842E-3</v>
      </c>
      <c r="EL137" s="528">
        <f t="shared" si="406"/>
        <v>0.34183699815555363</v>
      </c>
      <c r="EM137" s="528">
        <f t="shared" si="407"/>
        <v>4.0250000000000001E-2</v>
      </c>
      <c r="EN137" s="528">
        <f t="shared" si="408"/>
        <v>0.21601345499999997</v>
      </c>
      <c r="EO137">
        <f t="shared" si="409"/>
        <v>8.5500000000000003E-3</v>
      </c>
      <c r="EP137" s="460">
        <f t="shared" si="410"/>
        <v>48.800000000000004</v>
      </c>
      <c r="EQ137" s="460"/>
      <c r="ER137" s="460">
        <f t="shared" si="432"/>
        <v>611.16263825056228</v>
      </c>
      <c r="ES137" s="528">
        <f t="shared" si="411"/>
        <v>0.189</v>
      </c>
      <c r="EV137" s="460">
        <f t="shared" si="412"/>
        <v>189</v>
      </c>
      <c r="EW137" s="528">
        <f t="shared" si="413"/>
        <v>6.7682776425130259E-3</v>
      </c>
      <c r="EX137" s="528">
        <f t="shared" si="414"/>
        <v>1.4317436643201261E-2</v>
      </c>
      <c r="EY137" s="528">
        <f t="shared" si="415"/>
        <v>0.2911558443229878</v>
      </c>
      <c r="EZ137" s="528"/>
      <c r="FA137" s="528">
        <f t="shared" si="416"/>
        <v>3.6900000000000001E-3</v>
      </c>
      <c r="FB137" s="460">
        <f t="shared" si="417"/>
        <v>315.93155860870206</v>
      </c>
      <c r="FC137" s="173">
        <f t="shared" si="418"/>
        <v>1.1160941968592641</v>
      </c>
      <c r="FD137" s="5">
        <f t="shared" si="419"/>
        <v>4.32</v>
      </c>
      <c r="FE137" s="173">
        <f t="shared" si="420"/>
        <v>0.79468821612692175</v>
      </c>
      <c r="FF137" s="5">
        <f t="shared" si="421"/>
        <v>79.468821612692182</v>
      </c>
      <c r="FI137" s="562">
        <f t="shared" si="422"/>
        <v>-50</v>
      </c>
      <c r="FJ137">
        <f t="shared" si="423"/>
        <v>-50</v>
      </c>
      <c r="FL137">
        <f t="shared" si="424"/>
        <v>0.37187724174360182</v>
      </c>
    </row>
    <row r="138" spans="5:168">
      <c r="E138" s="170">
        <v>28</v>
      </c>
      <c r="F138" s="217">
        <f t="shared" si="425"/>
        <v>0.28000000000000003</v>
      </c>
      <c r="G138" s="217"/>
      <c r="H138" s="217">
        <f t="shared" si="315"/>
        <v>4.4800000000000004</v>
      </c>
      <c r="I138" s="541">
        <f t="shared" si="316"/>
        <v>18.963485162832988</v>
      </c>
      <c r="J138" s="172">
        <f t="shared" si="317"/>
        <v>16.421908902300206</v>
      </c>
      <c r="K138" s="172">
        <f t="shared" si="318"/>
        <v>35.385394065133198</v>
      </c>
      <c r="L138" s="443"/>
      <c r="M138" s="217">
        <f t="shared" si="319"/>
        <v>0.46409133471046793</v>
      </c>
      <c r="N138" s="172">
        <f t="shared" si="426"/>
        <v>22.210991592027849</v>
      </c>
      <c r="O138" s="172">
        <f t="shared" si="438"/>
        <v>4.4800000000000004</v>
      </c>
      <c r="P138" s="217">
        <f t="shared" si="320"/>
        <v>1.3881869745017406</v>
      </c>
      <c r="Q138" s="217">
        <f t="shared" si="321"/>
        <v>16</v>
      </c>
      <c r="R138" s="217"/>
      <c r="S138" s="172">
        <f t="shared" si="322"/>
        <v>150.40364645354208</v>
      </c>
      <c r="T138" s="172">
        <f t="shared" si="323"/>
        <v>16</v>
      </c>
      <c r="U138" s="217">
        <f t="shared" si="324"/>
        <v>1.0449541802005613</v>
      </c>
      <c r="V138" s="217">
        <f t="shared" si="325"/>
        <v>0.66124185795673884</v>
      </c>
      <c r="W138" s="217">
        <f t="shared" si="326"/>
        <v>0.763580545782369</v>
      </c>
      <c r="X138" s="197">
        <f t="shared" si="327"/>
        <v>350</v>
      </c>
      <c r="Y138" s="443">
        <f t="shared" si="328"/>
        <v>350</v>
      </c>
      <c r="AA138" s="217">
        <f t="shared" si="329"/>
        <v>2.0954073743974333</v>
      </c>
      <c r="AB138" s="173">
        <f t="shared" si="330"/>
        <v>1.5311793922597619</v>
      </c>
      <c r="AC138" s="173">
        <f t="shared" si="331"/>
        <v>0.56147780326163488</v>
      </c>
      <c r="AD138" s="173"/>
      <c r="AE138" s="173">
        <f t="shared" si="332"/>
        <v>0.73073112702014609</v>
      </c>
      <c r="AF138" s="545">
        <f t="shared" si="333"/>
        <v>766.35574877400973</v>
      </c>
      <c r="AG138" s="528">
        <f t="shared" si="334"/>
        <v>0.12787794722852555</v>
      </c>
      <c r="AI138" s="173">
        <f t="shared" si="335"/>
        <v>1.4797256007922643</v>
      </c>
      <c r="AJ138" s="173">
        <f t="shared" si="336"/>
        <v>1.4797256007922643</v>
      </c>
      <c r="AK138" s="173">
        <f t="shared" si="337"/>
        <v>1.5553522968831588</v>
      </c>
      <c r="AM138" s="545">
        <f t="shared" si="338"/>
        <v>280</v>
      </c>
      <c r="AN138" s="460">
        <f t="shared" si="339"/>
        <v>350</v>
      </c>
      <c r="AP138" s="460">
        <f t="shared" si="340"/>
        <v>280</v>
      </c>
      <c r="AQ138" s="460">
        <f t="shared" si="341"/>
        <v>350</v>
      </c>
      <c r="AS138" s="5">
        <f t="shared" si="439"/>
        <v>2.8571428571428572</v>
      </c>
      <c r="AT138" s="5">
        <f t="shared" si="342"/>
        <v>0.93636307129393015</v>
      </c>
      <c r="AU138" s="5">
        <f t="shared" si="343"/>
        <v>1.9207797858489271</v>
      </c>
      <c r="AV138" s="5"/>
      <c r="AW138" s="173">
        <f t="shared" si="344"/>
        <v>0.32772707495287556</v>
      </c>
      <c r="AX138" s="173">
        <f t="shared" si="435"/>
        <v>4.5981344926440579</v>
      </c>
      <c r="AY138" s="173">
        <f t="shared" si="436"/>
        <v>0.49738972895586453</v>
      </c>
      <c r="AZ138" s="173">
        <f t="shared" si="440"/>
        <v>9.2445304455654931</v>
      </c>
      <c r="BA138" s="460">
        <f t="shared" si="433"/>
        <v>1.638635374764378</v>
      </c>
      <c r="BB138" s="5">
        <f t="shared" si="434"/>
        <v>0.37814310707807602</v>
      </c>
      <c r="BD138" s="173">
        <f t="shared" si="441"/>
        <v>0.4890764161920545</v>
      </c>
      <c r="BE138" s="173">
        <f t="shared" si="437"/>
        <v>0.70047617875609836</v>
      </c>
      <c r="BG138" s="528">
        <f t="shared" si="347"/>
        <v>4.7839148175052746E-3</v>
      </c>
      <c r="BH138" s="528">
        <f t="shared" si="348"/>
        <v>0.33445380193206781</v>
      </c>
      <c r="BI138" s="528">
        <f t="shared" si="349"/>
        <v>0.15265605556080555</v>
      </c>
      <c r="BJ138" s="528">
        <f t="shared" si="350"/>
        <v>0.21583523875332869</v>
      </c>
      <c r="BK138">
        <f t="shared" si="351"/>
        <v>8.5335683232748444E-3</v>
      </c>
      <c r="BL138" s="460">
        <f t="shared" si="427"/>
        <v>161.18962388408039</v>
      </c>
      <c r="BM138" s="528">
        <f t="shared" si="352"/>
        <v>0.55699772851720486</v>
      </c>
      <c r="BN138" s="460">
        <f t="shared" si="353"/>
        <v>556.99772851720491</v>
      </c>
      <c r="BO138" s="528">
        <f t="shared" si="354"/>
        <v>0.19600000000000001</v>
      </c>
      <c r="BR138" s="460">
        <f t="shared" si="355"/>
        <v>196</v>
      </c>
      <c r="BS138" s="528">
        <f t="shared" si="356"/>
        <v>7.1758722262579115E-3</v>
      </c>
      <c r="BT138" s="528">
        <f t="shared" si="357"/>
        <v>1.4720006310142364E-2</v>
      </c>
      <c r="BU138" s="528">
        <f t="shared" si="358"/>
        <v>0.30520601205759834</v>
      </c>
      <c r="BV138" s="528"/>
      <c r="BW138" s="528">
        <f t="shared" si="359"/>
        <v>3.8317787438700486E-3</v>
      </c>
      <c r="BX138" s="460">
        <f t="shared" si="360"/>
        <v>330.93366933786865</v>
      </c>
      <c r="BY138" s="173">
        <f t="shared" si="361"/>
        <v>1.2431962487248509</v>
      </c>
      <c r="BZ138" s="5">
        <f t="shared" si="362"/>
        <v>4.4800000000000004</v>
      </c>
      <c r="CA138" s="173">
        <f t="shared" si="363"/>
        <v>0.78277937804389652</v>
      </c>
      <c r="CB138" s="5">
        <f t="shared" si="364"/>
        <v>78.277937804389651</v>
      </c>
      <c r="CE138" s="562">
        <f t="shared" si="365"/>
        <v>-50</v>
      </c>
      <c r="CF138">
        <f t="shared" si="366"/>
        <v>-50</v>
      </c>
      <c r="CG138" s="173">
        <f t="shared" si="367"/>
        <v>0.38340579025361632</v>
      </c>
      <c r="CI138" s="170">
        <v>28</v>
      </c>
      <c r="CJ138" s="217">
        <f t="shared" si="428"/>
        <v>0.28000000000000003</v>
      </c>
      <c r="CK138" s="217"/>
      <c r="CL138" s="217">
        <f t="shared" si="368"/>
        <v>4.4800000000000004</v>
      </c>
      <c r="CM138" s="541">
        <f t="shared" si="369"/>
        <v>19</v>
      </c>
      <c r="CN138" s="443">
        <f t="shared" si="370"/>
        <v>16.399999999999999</v>
      </c>
      <c r="CO138" s="443">
        <f t="shared" si="371"/>
        <v>35.4</v>
      </c>
      <c r="CP138" s="443"/>
      <c r="CQ138" s="217">
        <f t="shared" si="372"/>
        <v>0.4632768361581921</v>
      </c>
      <c r="CR138" s="172">
        <f t="shared" si="429"/>
        <v>22.214703389830511</v>
      </c>
      <c r="CS138" s="172">
        <f t="shared" si="373"/>
        <v>4.4800000000000004</v>
      </c>
      <c r="CT138" s="217">
        <f t="shared" si="374"/>
        <v>1.3884189618644069</v>
      </c>
      <c r="CU138" s="217">
        <f t="shared" si="375"/>
        <v>16</v>
      </c>
      <c r="CV138" s="217"/>
      <c r="CW138" s="172">
        <f t="shared" si="376"/>
        <v>150.69315723677926</v>
      </c>
      <c r="CX138" s="172">
        <f t="shared" si="377"/>
        <v>16</v>
      </c>
      <c r="CY138" s="217">
        <f t="shared" si="378"/>
        <v>1.0179204107830553</v>
      </c>
      <c r="CZ138" s="217">
        <f t="shared" si="379"/>
        <v>0.64289710154719282</v>
      </c>
      <c r="DA138" s="217">
        <f t="shared" si="380"/>
        <v>0.74481981276808928</v>
      </c>
      <c r="DB138" s="197">
        <f t="shared" si="381"/>
        <v>350</v>
      </c>
      <c r="DC138" s="443">
        <f t="shared" si="382"/>
        <v>350</v>
      </c>
      <c r="DE138" s="217">
        <f t="shared" si="383"/>
        <v>2.0957761635727734</v>
      </c>
      <c r="DF138" s="173">
        <f t="shared" si="384"/>
        <v>1.5334947538337369</v>
      </c>
      <c r="DG138" s="173">
        <f t="shared" si="385"/>
        <v>0.5624258066085126</v>
      </c>
      <c r="DH138" s="173"/>
      <c r="DI138" s="173">
        <f t="shared" si="386"/>
        <v>0.73170731707317083</v>
      </c>
      <c r="DJ138" s="545">
        <f t="shared" si="387"/>
        <v>765.33333333333326</v>
      </c>
      <c r="DK138" s="528">
        <f t="shared" si="388"/>
        <v>0.12804878048780488</v>
      </c>
      <c r="DM138" s="173">
        <f t="shared" si="389"/>
        <v>1.4787382008545891</v>
      </c>
      <c r="DN138" s="173">
        <f t="shared" si="390"/>
        <v>1.4787382008545891</v>
      </c>
      <c r="DO138" s="173">
        <f t="shared" si="391"/>
        <v>1.5546208895219178</v>
      </c>
      <c r="DQ138" s="545">
        <f t="shared" si="392"/>
        <v>280</v>
      </c>
      <c r="DR138" s="460">
        <f t="shared" si="393"/>
        <v>350</v>
      </c>
      <c r="DT138">
        <f t="shared" si="430"/>
        <v>280</v>
      </c>
      <c r="DU138">
        <f t="shared" si="431"/>
        <v>350</v>
      </c>
      <c r="DW138" s="5">
        <f t="shared" si="394"/>
        <v>2.8571428571428572</v>
      </c>
      <c r="DX138" s="5">
        <f t="shared" si="395"/>
        <v>0.93393991632921425</v>
      </c>
      <c r="DY138" s="5">
        <f t="shared" si="396"/>
        <v>1.9232029408136428</v>
      </c>
      <c r="DZ138" s="5"/>
      <c r="EA138" s="173">
        <f t="shared" si="397"/>
        <v>0.32687897071522498</v>
      </c>
      <c r="EB138" s="173">
        <f t="shared" si="398"/>
        <v>4.5920000000000005</v>
      </c>
      <c r="EC138" s="173">
        <f t="shared" si="399"/>
        <v>0.4976848899009787</v>
      </c>
      <c r="ED138" s="173">
        <f t="shared" si="400"/>
        <v>9.2267217534244264</v>
      </c>
      <c r="EE138" s="460">
        <f t="shared" si="401"/>
        <v>1.634394853576125</v>
      </c>
      <c r="EF138" s="5">
        <f t="shared" si="402"/>
        <v>0.37789250766864557</v>
      </c>
      <c r="EH138" s="173">
        <f t="shared" si="403"/>
        <v>0.48811725001864459</v>
      </c>
      <c r="EI138" s="173">
        <f t="shared" si="404"/>
        <v>0.70045016890791378</v>
      </c>
      <c r="EK138" s="528">
        <f t="shared" si="405"/>
        <v>4.76516899531528E-3</v>
      </c>
      <c r="EL138" s="528">
        <f t="shared" si="406"/>
        <v>0.34810975986317877</v>
      </c>
      <c r="EM138" s="528">
        <f t="shared" si="407"/>
        <v>4.0250000000000001E-2</v>
      </c>
      <c r="EN138" s="528">
        <f t="shared" si="408"/>
        <v>0.21601345499999997</v>
      </c>
      <c r="EO138">
        <f t="shared" si="409"/>
        <v>8.5500000000000003E-3</v>
      </c>
      <c r="EP138" s="460">
        <f t="shared" si="410"/>
        <v>48.800000000000004</v>
      </c>
      <c r="EQ138" s="460"/>
      <c r="ER138" s="460">
        <f t="shared" si="432"/>
        <v>617.68838385849403</v>
      </c>
      <c r="ES138" s="528">
        <f t="shared" si="411"/>
        <v>0.19600000000000001</v>
      </c>
      <c r="EV138" s="460">
        <f t="shared" si="412"/>
        <v>196</v>
      </c>
      <c r="EW138" s="528">
        <f t="shared" si="413"/>
        <v>7.1477534929729192E-3</v>
      </c>
      <c r="EX138" s="528">
        <f t="shared" si="414"/>
        <v>1.4718913173693747E-2</v>
      </c>
      <c r="EY138" s="528">
        <f t="shared" si="415"/>
        <v>0.30469711771638852</v>
      </c>
      <c r="EZ138" s="528"/>
      <c r="FA138" s="528">
        <f t="shared" si="416"/>
        <v>3.8266666666666675E-3</v>
      </c>
      <c r="FB138" s="460">
        <f t="shared" si="417"/>
        <v>330.39045104972183</v>
      </c>
      <c r="FC138" s="173">
        <f t="shared" si="418"/>
        <v>1.144078834908216</v>
      </c>
      <c r="FD138" s="5">
        <f t="shared" si="419"/>
        <v>4.4800000000000004</v>
      </c>
      <c r="FE138" s="173">
        <f t="shared" si="420"/>
        <v>0.79657489368623213</v>
      </c>
      <c r="FF138" s="5">
        <f t="shared" si="421"/>
        <v>79.657489368623217</v>
      </c>
      <c r="FI138" s="562">
        <f t="shared" si="422"/>
        <v>-50</v>
      </c>
      <c r="FJ138">
        <f t="shared" si="423"/>
        <v>-50</v>
      </c>
      <c r="FL138">
        <f t="shared" si="424"/>
        <v>0.37870124656032161</v>
      </c>
    </row>
    <row r="139" spans="5:168">
      <c r="E139" s="170">
        <v>29</v>
      </c>
      <c r="F139" s="217">
        <f t="shared" si="425"/>
        <v>0.28999999999999998</v>
      </c>
      <c r="G139" s="217"/>
      <c r="H139" s="217">
        <f t="shared" si="315"/>
        <v>4.6399999999999997</v>
      </c>
      <c r="I139" s="541">
        <f t="shared" si="316"/>
        <v>18.962838832352141</v>
      </c>
      <c r="J139" s="172">
        <f t="shared" si="317"/>
        <v>16.422296700588713</v>
      </c>
      <c r="K139" s="172">
        <f t="shared" si="318"/>
        <v>35.385135532940851</v>
      </c>
      <c r="L139" s="443"/>
      <c r="M139" s="217">
        <f t="shared" si="319"/>
        <v>0.46410575767664791</v>
      </c>
      <c r="N139" s="172">
        <f t="shared" si="426"/>
        <v>22.210924823717118</v>
      </c>
      <c r="O139" s="172">
        <f t="shared" si="438"/>
        <v>4.6399999999999997</v>
      </c>
      <c r="P139" s="217">
        <f t="shared" si="320"/>
        <v>1.3881828014823199</v>
      </c>
      <c r="Q139" s="217">
        <f t="shared" si="321"/>
        <v>16</v>
      </c>
      <c r="R139" s="217"/>
      <c r="S139" s="172">
        <f t="shared" si="322"/>
        <v>144.56223463001069</v>
      </c>
      <c r="T139" s="172">
        <f t="shared" si="323"/>
        <v>16</v>
      </c>
      <c r="U139" s="217">
        <f t="shared" si="324"/>
        <v>1.0823031004875676</v>
      </c>
      <c r="V139" s="217">
        <f t="shared" si="325"/>
        <v>0.68489941409473198</v>
      </c>
      <c r="W139" s="217">
        <f t="shared" si="326"/>
        <v>0.79085388862723605</v>
      </c>
      <c r="X139" s="197">
        <f t="shared" si="327"/>
        <v>350</v>
      </c>
      <c r="Y139" s="443">
        <f t="shared" si="328"/>
        <v>350</v>
      </c>
      <c r="AA139" s="217">
        <f t="shared" si="329"/>
        <v>2.0954007469392124</v>
      </c>
      <c r="AB139" s="173">
        <f t="shared" si="330"/>
        <v>1.5311383920112189</v>
      </c>
      <c r="AC139" s="173">
        <f t="shared" si="331"/>
        <v>0.56146099280033224</v>
      </c>
      <c r="AD139" s="173"/>
      <c r="AE139" s="173">
        <f t="shared" si="332"/>
        <v>0.73071387143856803</v>
      </c>
      <c r="AF139" s="545">
        <f t="shared" si="333"/>
        <v>793.74434052845436</v>
      </c>
      <c r="AG139" s="528">
        <f t="shared" si="334"/>
        <v>0.12787492750174942</v>
      </c>
      <c r="AI139" s="173">
        <f t="shared" si="335"/>
        <v>1.5059352485875486</v>
      </c>
      <c r="AJ139" s="173">
        <f t="shared" si="336"/>
        <v>1.5059352485875486</v>
      </c>
      <c r="AK139" s="173">
        <f t="shared" si="337"/>
        <v>1.5747668508055914</v>
      </c>
      <c r="AM139" s="545">
        <f t="shared" si="338"/>
        <v>290</v>
      </c>
      <c r="AN139" s="460">
        <f t="shared" si="339"/>
        <v>350</v>
      </c>
      <c r="AP139" s="460">
        <f t="shared" si="340"/>
        <v>290</v>
      </c>
      <c r="AQ139" s="460">
        <f t="shared" si="341"/>
        <v>350</v>
      </c>
      <c r="AS139" s="5">
        <f t="shared" si="439"/>
        <v>2.8571428571428572</v>
      </c>
      <c r="AT139" s="5">
        <f t="shared" si="342"/>
        <v>0.95298088766222133</v>
      </c>
      <c r="AU139" s="5">
        <f t="shared" si="343"/>
        <v>1.904161969480636</v>
      </c>
      <c r="AV139" s="5"/>
      <c r="AW139" s="173">
        <f t="shared" si="344"/>
        <v>0.33354331068177745</v>
      </c>
      <c r="AX139" s="173">
        <f t="shared" si="435"/>
        <v>4.7624660431707282</v>
      </c>
      <c r="AY139" s="173">
        <f t="shared" si="436"/>
        <v>0.5018203100506361</v>
      </c>
      <c r="AZ139" s="173">
        <f t="shared" si="440"/>
        <v>9.4903812137260299</v>
      </c>
      <c r="BA139" s="460">
        <f t="shared" si="433"/>
        <v>1.7272778588877762</v>
      </c>
      <c r="BB139" s="5">
        <f t="shared" si="434"/>
        <v>0.38827306820557161</v>
      </c>
      <c r="BD139" s="173">
        <f t="shared" si="441"/>
        <v>0.50213649744987043</v>
      </c>
      <c r="BE139" s="173">
        <f t="shared" si="437"/>
        <v>0.70979287747078512</v>
      </c>
      <c r="BG139" s="528">
        <f t="shared" si="347"/>
        <v>5.0428212414244744E-3</v>
      </c>
      <c r="BH139" s="528">
        <f t="shared" si="348"/>
        <v>0.34037532986472285</v>
      </c>
      <c r="BI139" s="528">
        <f t="shared" si="349"/>
        <v>0.15265085260043473</v>
      </c>
      <c r="BJ139" s="528">
        <f t="shared" si="350"/>
        <v>0.21583208490100678</v>
      </c>
      <c r="BK139">
        <f t="shared" si="351"/>
        <v>8.5332774745584625E-3</v>
      </c>
      <c r="BL139" s="460">
        <f t="shared" si="427"/>
        <v>161.18413007499319</v>
      </c>
      <c r="BM139" s="528">
        <f t="shared" si="352"/>
        <v>0.56328671342107894</v>
      </c>
      <c r="BN139" s="460">
        <f t="shared" si="353"/>
        <v>563.28671342107896</v>
      </c>
      <c r="BO139" s="528">
        <f t="shared" si="354"/>
        <v>0.20299999999999999</v>
      </c>
      <c r="BR139" s="460">
        <f t="shared" si="355"/>
        <v>203</v>
      </c>
      <c r="BS139" s="528">
        <f t="shared" si="356"/>
        <v>7.5642318621367112E-3</v>
      </c>
      <c r="BT139" s="528">
        <f t="shared" si="357"/>
        <v>1.5114177867247707E-2</v>
      </c>
      <c r="BU139" s="528">
        <f t="shared" si="358"/>
        <v>0.3189009859527609</v>
      </c>
      <c r="BV139" s="528"/>
      <c r="BW139" s="528">
        <f t="shared" si="359"/>
        <v>3.9687217026422739E-3</v>
      </c>
      <c r="BX139" s="460">
        <f t="shared" si="360"/>
        <v>345.54811738478759</v>
      </c>
      <c r="BY139" s="173">
        <f t="shared" si="361"/>
        <v>1.2709824834669348</v>
      </c>
      <c r="BZ139" s="5">
        <f t="shared" si="362"/>
        <v>4.6399999999999997</v>
      </c>
      <c r="CA139" s="173">
        <f t="shared" si="363"/>
        <v>0.78497948741653645</v>
      </c>
      <c r="CB139" s="5">
        <f t="shared" si="364"/>
        <v>78.497948741653644</v>
      </c>
      <c r="CE139" s="562">
        <f t="shared" si="365"/>
        <v>-50</v>
      </c>
      <c r="CF139">
        <f t="shared" si="366"/>
        <v>-50</v>
      </c>
      <c r="CG139" s="173">
        <f t="shared" si="367"/>
        <v>0.3901922603025334</v>
      </c>
      <c r="CI139" s="170">
        <v>29</v>
      </c>
      <c r="CJ139" s="217">
        <f t="shared" si="428"/>
        <v>0.28999999999999998</v>
      </c>
      <c r="CK139" s="217"/>
      <c r="CL139" s="217">
        <f t="shared" si="368"/>
        <v>4.6399999999999997</v>
      </c>
      <c r="CM139" s="541">
        <f t="shared" si="369"/>
        <v>19</v>
      </c>
      <c r="CN139" s="443">
        <f t="shared" si="370"/>
        <v>16.399999999999999</v>
      </c>
      <c r="CO139" s="443">
        <f t="shared" si="371"/>
        <v>35.4</v>
      </c>
      <c r="CP139" s="443"/>
      <c r="CQ139" s="217">
        <f t="shared" si="372"/>
        <v>0.4632768361581921</v>
      </c>
      <c r="CR139" s="172">
        <f t="shared" si="429"/>
        <v>22.214703389830511</v>
      </c>
      <c r="CS139" s="172">
        <f t="shared" si="373"/>
        <v>4.6399999999999997</v>
      </c>
      <c r="CT139" s="217">
        <f t="shared" si="374"/>
        <v>1.3884189618644069</v>
      </c>
      <c r="CU139" s="217">
        <f t="shared" si="375"/>
        <v>16</v>
      </c>
      <c r="CV139" s="217"/>
      <c r="CW139" s="172">
        <f t="shared" si="376"/>
        <v>144.84542867509592</v>
      </c>
      <c r="CX139" s="172">
        <f t="shared" si="377"/>
        <v>16</v>
      </c>
      <c r="CY139" s="217">
        <f t="shared" si="378"/>
        <v>1.0542747111681641</v>
      </c>
      <c r="CZ139" s="217">
        <f t="shared" si="379"/>
        <v>0.66585771231673518</v>
      </c>
      <c r="DA139" s="217">
        <f t="shared" si="380"/>
        <v>0.77142052036694941</v>
      </c>
      <c r="DB139" s="197">
        <f t="shared" si="381"/>
        <v>350</v>
      </c>
      <c r="DC139" s="443">
        <f t="shared" si="382"/>
        <v>350</v>
      </c>
      <c r="DE139" s="217">
        <f t="shared" si="383"/>
        <v>2.0957761635727734</v>
      </c>
      <c r="DF139" s="173">
        <f t="shared" si="384"/>
        <v>1.5334947538337369</v>
      </c>
      <c r="DG139" s="173">
        <f t="shared" si="385"/>
        <v>0.5624258066085126</v>
      </c>
      <c r="DH139" s="173"/>
      <c r="DI139" s="173">
        <f t="shared" si="386"/>
        <v>0.73170731707317083</v>
      </c>
      <c r="DJ139" s="545">
        <f t="shared" si="387"/>
        <v>792.66666666666652</v>
      </c>
      <c r="DK139" s="528">
        <f t="shared" si="388"/>
        <v>0.12804878048780488</v>
      </c>
      <c r="DM139" s="173">
        <f t="shared" si="389"/>
        <v>1.5049125904058032</v>
      </c>
      <c r="DN139" s="173">
        <f t="shared" si="390"/>
        <v>1.5049125904058032</v>
      </c>
      <c r="DO139" s="173">
        <f t="shared" si="391"/>
        <v>1.5740093262265209</v>
      </c>
      <c r="DQ139" s="545">
        <f t="shared" si="392"/>
        <v>290</v>
      </c>
      <c r="DR139" s="460">
        <f t="shared" si="393"/>
        <v>350</v>
      </c>
      <c r="DT139">
        <f t="shared" si="430"/>
        <v>290</v>
      </c>
      <c r="DU139">
        <f t="shared" si="431"/>
        <v>350</v>
      </c>
      <c r="DW139" s="5">
        <f t="shared" si="394"/>
        <v>2.8571428571428572</v>
      </c>
      <c r="DX139" s="5">
        <f t="shared" si="395"/>
        <v>0.95047110972998106</v>
      </c>
      <c r="DY139" s="5">
        <f t="shared" si="396"/>
        <v>1.9066717474128763</v>
      </c>
      <c r="DZ139" s="5"/>
      <c r="EA139" s="173">
        <f t="shared" si="397"/>
        <v>0.33266488840549335</v>
      </c>
      <c r="EB139" s="173">
        <f t="shared" si="398"/>
        <v>4.7560000000000002</v>
      </c>
      <c r="EC139" s="173">
        <f t="shared" si="399"/>
        <v>0.50214050572921731</v>
      </c>
      <c r="ED139" s="173">
        <f t="shared" si="400"/>
        <v>9.4714526028790544</v>
      </c>
      <c r="EE139" s="460">
        <f t="shared" si="401"/>
        <v>1.7227288863855903</v>
      </c>
      <c r="EF139" s="5">
        <f t="shared" si="402"/>
        <v>0.38802442578928703</v>
      </c>
      <c r="EH139" s="173">
        <f t="shared" si="403"/>
        <v>0.50113430212955601</v>
      </c>
      <c r="EI139" s="173">
        <f t="shared" si="404"/>
        <v>0.70977816685902484</v>
      </c>
      <c r="EK139" s="528">
        <f t="shared" si="405"/>
        <v>5.0227117754175418E-3</v>
      </c>
      <c r="EL139" s="528">
        <f t="shared" si="406"/>
        <v>0.35427147290743016</v>
      </c>
      <c r="EM139" s="528">
        <f t="shared" si="407"/>
        <v>4.0250000000000001E-2</v>
      </c>
      <c r="EN139" s="528">
        <f t="shared" si="408"/>
        <v>0.21601345499999997</v>
      </c>
      <c r="EO139">
        <f t="shared" si="409"/>
        <v>8.5500000000000003E-3</v>
      </c>
      <c r="EP139" s="460">
        <f t="shared" si="410"/>
        <v>48.800000000000004</v>
      </c>
      <c r="EQ139" s="460"/>
      <c r="ER139" s="460">
        <f t="shared" si="432"/>
        <v>624.10763968284766</v>
      </c>
      <c r="ES139" s="528">
        <f t="shared" si="411"/>
        <v>0.20299999999999999</v>
      </c>
      <c r="EV139" s="460">
        <f t="shared" si="412"/>
        <v>203</v>
      </c>
      <c r="EW139" s="528">
        <f t="shared" si="413"/>
        <v>7.5340676631263127E-3</v>
      </c>
      <c r="EX139" s="528">
        <f t="shared" si="414"/>
        <v>1.511355138449273E-2</v>
      </c>
      <c r="EY139" s="528">
        <f t="shared" si="415"/>
        <v>0.3183598593991443</v>
      </c>
      <c r="EZ139" s="528"/>
      <c r="FA139" s="528">
        <f t="shared" si="416"/>
        <v>3.9633333333333335E-3</v>
      </c>
      <c r="FB139" s="460">
        <f t="shared" si="417"/>
        <v>344.97081178009665</v>
      </c>
      <c r="FC139" s="173">
        <f t="shared" si="418"/>
        <v>1.1720784514629443</v>
      </c>
      <c r="FD139" s="5">
        <f t="shared" si="419"/>
        <v>4.6399999999999997</v>
      </c>
      <c r="FE139" s="173">
        <f t="shared" si="420"/>
        <v>0.7983374689018653</v>
      </c>
      <c r="FF139" s="5">
        <f t="shared" si="421"/>
        <v>79.833746890186532</v>
      </c>
      <c r="FI139" s="562">
        <f t="shared" si="422"/>
        <v>-50</v>
      </c>
      <c r="FJ139">
        <f t="shared" si="423"/>
        <v>-50</v>
      </c>
      <c r="FL139">
        <f t="shared" si="424"/>
        <v>0.38540444388441303</v>
      </c>
    </row>
    <row r="140" spans="5:168">
      <c r="E140" s="170">
        <v>30</v>
      </c>
      <c r="F140" s="217">
        <f t="shared" si="425"/>
        <v>0.3</v>
      </c>
      <c r="G140" s="217"/>
      <c r="H140" s="217">
        <f t="shared" si="315"/>
        <v>4.8</v>
      </c>
      <c r="I140" s="541">
        <f t="shared" si="316"/>
        <v>18.962203552699076</v>
      </c>
      <c r="J140" s="172">
        <f t="shared" si="317"/>
        <v>16.422677868380553</v>
      </c>
      <c r="K140" s="172">
        <f t="shared" si="318"/>
        <v>35.384881421079626</v>
      </c>
      <c r="L140" s="443"/>
      <c r="M140" s="217">
        <f t="shared" si="319"/>
        <v>0.4641199342434239</v>
      </c>
      <c r="N140" s="172">
        <f t="shared" si="426"/>
        <v>22.210859160790029</v>
      </c>
      <c r="O140" s="172">
        <f t="shared" si="438"/>
        <v>4.8</v>
      </c>
      <c r="P140" s="217">
        <f t="shared" si="320"/>
        <v>1.3881786975493768</v>
      </c>
      <c r="Q140" s="217">
        <f t="shared" si="321"/>
        <v>16</v>
      </c>
      <c r="R140" s="217"/>
      <c r="S140" s="172">
        <f t="shared" si="322"/>
        <v>139.1105271934897</v>
      </c>
      <c r="T140" s="172">
        <f t="shared" si="323"/>
        <v>16</v>
      </c>
      <c r="U140" s="217">
        <f t="shared" si="324"/>
        <v>1.1196535164130372</v>
      </c>
      <c r="V140" s="217">
        <f t="shared" si="325"/>
        <v>0.70855911654022885</v>
      </c>
      <c r="W140" s="217">
        <f t="shared" si="326"/>
        <v>0.81812736659867025</v>
      </c>
      <c r="X140" s="197">
        <f t="shared" si="327"/>
        <v>350</v>
      </c>
      <c r="Y140" s="443">
        <f t="shared" si="328"/>
        <v>350</v>
      </c>
      <c r="AA140" s="217">
        <f t="shared" si="329"/>
        <v>2.0953942294145165</v>
      </c>
      <c r="AB140" s="173">
        <f t="shared" si="330"/>
        <v>1.5310980921927886</v>
      </c>
      <c r="AC140" s="173">
        <f t="shared" si="331"/>
        <v>0.56144446873346032</v>
      </c>
      <c r="AD140" s="173"/>
      <c r="AE140" s="173">
        <f t="shared" si="332"/>
        <v>0.73069691168358308</v>
      </c>
      <c r="AF140" s="545">
        <f t="shared" si="333"/>
        <v>821.13389341902769</v>
      </c>
      <c r="AG140" s="528">
        <f t="shared" si="334"/>
        <v>0.12787195954462705</v>
      </c>
      <c r="AI140" s="173">
        <f t="shared" si="335"/>
        <v>1.5316973716567117</v>
      </c>
      <c r="AJ140" s="173">
        <f t="shared" si="336"/>
        <v>1.5316973716567117</v>
      </c>
      <c r="AK140" s="173">
        <f t="shared" si="337"/>
        <v>1.5938499049308974</v>
      </c>
      <c r="AM140" s="545">
        <f t="shared" si="338"/>
        <v>300</v>
      </c>
      <c r="AN140" s="460">
        <f t="shared" si="339"/>
        <v>350</v>
      </c>
      <c r="AP140" s="460">
        <f t="shared" si="340"/>
        <v>300</v>
      </c>
      <c r="AQ140" s="460">
        <f t="shared" si="341"/>
        <v>350</v>
      </c>
      <c r="AS140" s="5">
        <f t="shared" si="439"/>
        <v>2.8571428571428572</v>
      </c>
      <c r="AT140" s="5">
        <f t="shared" si="342"/>
        <v>0.9693160612266648</v>
      </c>
      <c r="AU140" s="5">
        <f t="shared" si="343"/>
        <v>1.8878267959161925</v>
      </c>
      <c r="AV140" s="5"/>
      <c r="AW140" s="173">
        <f t="shared" si="344"/>
        <v>0.33926062142933266</v>
      </c>
      <c r="AX140" s="173">
        <f t="shared" si="435"/>
        <v>4.9268033605141657</v>
      </c>
      <c r="AY140" s="173">
        <f t="shared" si="436"/>
        <v>0.50602638475339012</v>
      </c>
      <c r="AZ140" s="173">
        <f t="shared" si="440"/>
        <v>9.7362578493119933</v>
      </c>
      <c r="BA140" s="460">
        <f t="shared" si="433"/>
        <v>1.8174676147999964</v>
      </c>
      <c r="BB140" s="5">
        <f t="shared" si="434"/>
        <v>0.39822941266706935</v>
      </c>
      <c r="BD140" s="173">
        <f t="shared" si="441"/>
        <v>0.51508519402413677</v>
      </c>
      <c r="BE140" s="173">
        <f t="shared" si="437"/>
        <v>0.71883205433801456</v>
      </c>
      <c r="BG140" s="528">
        <f t="shared" si="347"/>
        <v>5.3062551420576523E-3</v>
      </c>
      <c r="BH140" s="528">
        <f t="shared" si="348"/>
        <v>0.34619566453857009</v>
      </c>
      <c r="BI140" s="528">
        <f t="shared" si="349"/>
        <v>0.15264573859922756</v>
      </c>
      <c r="BJ140" s="528">
        <f t="shared" si="350"/>
        <v>0.21582898499506892</v>
      </c>
      <c r="BK140">
        <f t="shared" si="351"/>
        <v>8.5329915987145833E-3</v>
      </c>
      <c r="BL140" s="460">
        <f t="shared" si="427"/>
        <v>161.17873019794214</v>
      </c>
      <c r="BM140" s="528">
        <f t="shared" si="352"/>
        <v>0.56948157669986588</v>
      </c>
      <c r="BN140" s="460">
        <f t="shared" si="353"/>
        <v>569.48157669986585</v>
      </c>
      <c r="BO140" s="528">
        <f t="shared" si="354"/>
        <v>0.21</v>
      </c>
      <c r="BR140" s="460">
        <f t="shared" si="355"/>
        <v>210</v>
      </c>
      <c r="BS140" s="528">
        <f t="shared" si="356"/>
        <v>7.959382713086478E-3</v>
      </c>
      <c r="BT140" s="528">
        <f t="shared" si="357"/>
        <v>1.5501585670314309E-2</v>
      </c>
      <c r="BU140" s="528">
        <f t="shared" si="358"/>
        <v>0.33271511655237973</v>
      </c>
      <c r="BV140" s="528"/>
      <c r="BW140" s="528">
        <f t="shared" si="359"/>
        <v>4.1056694670951379E-3</v>
      </c>
      <c r="BX140" s="460">
        <f t="shared" si="360"/>
        <v>360.28175440287561</v>
      </c>
      <c r="BY140" s="173">
        <f t="shared" si="361"/>
        <v>1.2987913892765144</v>
      </c>
      <c r="BZ140" s="5">
        <f t="shared" si="362"/>
        <v>4.8</v>
      </c>
      <c r="CA140" s="173">
        <f t="shared" si="363"/>
        <v>0.78704118465829553</v>
      </c>
      <c r="CB140" s="5">
        <f t="shared" si="364"/>
        <v>78.704118465829552</v>
      </c>
      <c r="CE140" s="562">
        <f t="shared" si="365"/>
        <v>-50</v>
      </c>
      <c r="CF140">
        <f t="shared" si="366"/>
        <v>-50</v>
      </c>
      <c r="CG140" s="173">
        <f t="shared" si="367"/>
        <v>0.3968626966596886</v>
      </c>
      <c r="CI140" s="170">
        <v>30</v>
      </c>
      <c r="CJ140" s="217">
        <f t="shared" si="428"/>
        <v>0.3</v>
      </c>
      <c r="CK140" s="217"/>
      <c r="CL140" s="217">
        <f t="shared" si="368"/>
        <v>4.8</v>
      </c>
      <c r="CM140" s="541">
        <f t="shared" si="369"/>
        <v>19</v>
      </c>
      <c r="CN140" s="443">
        <f t="shared" si="370"/>
        <v>16.399999999999999</v>
      </c>
      <c r="CO140" s="443">
        <f t="shared" si="371"/>
        <v>35.4</v>
      </c>
      <c r="CP140" s="443"/>
      <c r="CQ140" s="217">
        <f t="shared" si="372"/>
        <v>0.4632768361581921</v>
      </c>
      <c r="CR140" s="172">
        <f t="shared" si="429"/>
        <v>22.214703389830511</v>
      </c>
      <c r="CS140" s="172">
        <f t="shared" si="373"/>
        <v>4.8</v>
      </c>
      <c r="CT140" s="217">
        <f t="shared" si="374"/>
        <v>1.3884189618644069</v>
      </c>
      <c r="CU140" s="217">
        <f t="shared" si="375"/>
        <v>16</v>
      </c>
      <c r="CV140" s="217"/>
      <c r="CW140" s="172">
        <f t="shared" si="376"/>
        <v>139.38770149246935</v>
      </c>
      <c r="CX140" s="172">
        <f t="shared" si="377"/>
        <v>16</v>
      </c>
      <c r="CY140" s="217">
        <f t="shared" si="378"/>
        <v>1.0906290115532733</v>
      </c>
      <c r="CZ140" s="217">
        <f t="shared" si="379"/>
        <v>0.68881832308627799</v>
      </c>
      <c r="DA140" s="217">
        <f t="shared" si="380"/>
        <v>0.79802122796580988</v>
      </c>
      <c r="DB140" s="197">
        <f t="shared" si="381"/>
        <v>350</v>
      </c>
      <c r="DC140" s="443">
        <f t="shared" si="382"/>
        <v>350</v>
      </c>
      <c r="DE140" s="217">
        <f t="shared" si="383"/>
        <v>2.0957761635727734</v>
      </c>
      <c r="DF140" s="173">
        <f t="shared" si="384"/>
        <v>1.5334947538337369</v>
      </c>
      <c r="DG140" s="173">
        <f t="shared" si="385"/>
        <v>0.5624258066085126</v>
      </c>
      <c r="DH140" s="173"/>
      <c r="DI140" s="173">
        <f t="shared" si="386"/>
        <v>0.73170731707317083</v>
      </c>
      <c r="DJ140" s="545">
        <f t="shared" si="387"/>
        <v>819.99999999999989</v>
      </c>
      <c r="DK140" s="528">
        <f t="shared" si="388"/>
        <v>0.12804878048780488</v>
      </c>
      <c r="DM140" s="173">
        <f t="shared" si="389"/>
        <v>1.5306394555404426</v>
      </c>
      <c r="DN140" s="173">
        <f t="shared" si="390"/>
        <v>1.5306394555404426</v>
      </c>
      <c r="DO140" s="173">
        <f t="shared" si="391"/>
        <v>1.5930662633632908</v>
      </c>
      <c r="DQ140" s="545">
        <f t="shared" si="392"/>
        <v>300</v>
      </c>
      <c r="DR140" s="460">
        <f t="shared" si="393"/>
        <v>350</v>
      </c>
      <c r="DT140">
        <f t="shared" si="430"/>
        <v>300</v>
      </c>
      <c r="DU140">
        <f t="shared" si="431"/>
        <v>350</v>
      </c>
      <c r="DW140" s="5">
        <f t="shared" si="394"/>
        <v>2.8571428571428572</v>
      </c>
      <c r="DX140" s="5">
        <f t="shared" si="395"/>
        <v>0.96671965613080579</v>
      </c>
      <c r="DY140" s="5">
        <f t="shared" si="396"/>
        <v>1.8904232010120514</v>
      </c>
      <c r="DZ140" s="5"/>
      <c r="EA140" s="173">
        <f t="shared" si="397"/>
        <v>0.33835187964578201</v>
      </c>
      <c r="EB140" s="173">
        <f t="shared" si="398"/>
        <v>4.92</v>
      </c>
      <c r="EC140" s="173">
        <f t="shared" si="399"/>
        <v>0.50637235934916869</v>
      </c>
      <c r="ED140" s="173">
        <f t="shared" si="400"/>
        <v>9.7161701446808575</v>
      </c>
      <c r="EE140" s="460">
        <f t="shared" si="401"/>
        <v>1.8125993552452608</v>
      </c>
      <c r="EF140" s="5">
        <f t="shared" si="402"/>
        <v>0.39798383179201074</v>
      </c>
      <c r="EH140" s="173">
        <f t="shared" si="403"/>
        <v>0.51403959575998304</v>
      </c>
      <c r="EI140" s="173">
        <f t="shared" si="404"/>
        <v>0.71882937818601567</v>
      </c>
      <c r="EK140" s="528">
        <f t="shared" si="405"/>
        <v>5.2847341201817354E-3</v>
      </c>
      <c r="EL140" s="528">
        <f t="shared" si="406"/>
        <v>0.36032783422877568</v>
      </c>
      <c r="EM140" s="528">
        <f t="shared" si="407"/>
        <v>4.0250000000000001E-2</v>
      </c>
      <c r="EN140" s="528">
        <f t="shared" si="408"/>
        <v>0.21601345499999997</v>
      </c>
      <c r="EO140">
        <f t="shared" si="409"/>
        <v>8.5500000000000003E-3</v>
      </c>
      <c r="EP140" s="460">
        <f t="shared" si="410"/>
        <v>48.800000000000004</v>
      </c>
      <c r="EQ140" s="460"/>
      <c r="ER140" s="460">
        <f t="shared" si="432"/>
        <v>630.4260233489573</v>
      </c>
      <c r="ES140" s="528">
        <f t="shared" si="411"/>
        <v>0.21</v>
      </c>
      <c r="EV140" s="460">
        <f t="shared" si="412"/>
        <v>210</v>
      </c>
      <c r="EW140" s="528">
        <f t="shared" si="413"/>
        <v>7.927101180272603E-3</v>
      </c>
      <c r="EX140" s="528">
        <f t="shared" si="414"/>
        <v>1.5501470248298819E-2</v>
      </c>
      <c r="EY140" s="528">
        <f t="shared" si="415"/>
        <v>0.33214091309146782</v>
      </c>
      <c r="EZ140" s="528"/>
      <c r="FA140" s="528">
        <f t="shared" si="416"/>
        <v>4.0999999999999995E-3</v>
      </c>
      <c r="FB140" s="460">
        <f t="shared" si="417"/>
        <v>359.66948452003919</v>
      </c>
      <c r="FC140" s="173">
        <f t="shared" si="418"/>
        <v>1.2000955078689965</v>
      </c>
      <c r="FD140" s="5">
        <f t="shared" si="419"/>
        <v>4.8</v>
      </c>
      <c r="FE140" s="173">
        <f t="shared" si="420"/>
        <v>0.79998726582016944</v>
      </c>
      <c r="FF140" s="5">
        <f t="shared" si="421"/>
        <v>79.998726582016943</v>
      </c>
      <c r="FI140" s="562">
        <f t="shared" si="422"/>
        <v>-50</v>
      </c>
      <c r="FJ140">
        <f t="shared" si="423"/>
        <v>-50</v>
      </c>
      <c r="FL140">
        <f t="shared" si="424"/>
        <v>0.39199303129694263</v>
      </c>
    </row>
    <row r="141" spans="5:168">
      <c r="E141" s="170">
        <v>31</v>
      </c>
      <c r="F141" s="217">
        <f t="shared" si="425"/>
        <v>0.31</v>
      </c>
      <c r="G141" s="217"/>
      <c r="H141" s="217">
        <f t="shared" si="315"/>
        <v>4.96</v>
      </c>
      <c r="I141" s="541">
        <f t="shared" si="316"/>
        <v>18.961578775706773</v>
      </c>
      <c r="J141" s="172">
        <f t="shared" si="317"/>
        <v>16.423052734575936</v>
      </c>
      <c r="K141" s="172">
        <f t="shared" si="318"/>
        <v>35.384631510282709</v>
      </c>
      <c r="L141" s="443"/>
      <c r="M141" s="217">
        <f t="shared" si="319"/>
        <v>0.46413387663323563</v>
      </c>
      <c r="N141" s="172">
        <f t="shared" si="426"/>
        <v>22.210794548414228</v>
      </c>
      <c r="O141" s="172">
        <f t="shared" si="438"/>
        <v>4.96</v>
      </c>
      <c r="P141" s="217">
        <f t="shared" si="320"/>
        <v>1.3881746592758892</v>
      </c>
      <c r="Q141" s="217">
        <f t="shared" si="321"/>
        <v>16</v>
      </c>
      <c r="R141" s="217"/>
      <c r="S141" s="172">
        <f t="shared" si="322"/>
        <v>134.0108078253248</v>
      </c>
      <c r="T141" s="172">
        <f t="shared" si="323"/>
        <v>16</v>
      </c>
      <c r="U141" s="217">
        <f t="shared" si="324"/>
        <v>1.1570054029626571</v>
      </c>
      <c r="V141" s="217">
        <f t="shared" si="325"/>
        <v>0.73222092947976958</v>
      </c>
      <c r="W141" s="217">
        <f t="shared" si="326"/>
        <v>0.84540097751262488</v>
      </c>
      <c r="X141" s="197">
        <f t="shared" si="327"/>
        <v>350</v>
      </c>
      <c r="Y141" s="443">
        <f t="shared" si="328"/>
        <v>350</v>
      </c>
      <c r="AA141" s="217">
        <f t="shared" si="329"/>
        <v>2.0953878163701138</v>
      </c>
      <c r="AB141" s="173">
        <f t="shared" si="330"/>
        <v>1.5310584580602113</v>
      </c>
      <c r="AC141" s="173">
        <f t="shared" si="331"/>
        <v>0.56142821685471145</v>
      </c>
      <c r="AD141" s="173"/>
      <c r="AE141" s="173">
        <f t="shared" si="332"/>
        <v>0.73068023308090868</v>
      </c>
      <c r="AF141" s="545">
        <f t="shared" si="333"/>
        <v>848.52439128642334</v>
      </c>
      <c r="AG141" s="528">
        <f t="shared" si="334"/>
        <v>0.12786904078915901</v>
      </c>
      <c r="AI141" s="173">
        <f t="shared" si="335"/>
        <v>1.5570341690777036</v>
      </c>
      <c r="AJ141" s="173">
        <f t="shared" si="336"/>
        <v>1.5570341690777036</v>
      </c>
      <c r="AK141" s="173">
        <f t="shared" si="337"/>
        <v>1.6126179030205212</v>
      </c>
      <c r="AM141" s="545">
        <f t="shared" si="338"/>
        <v>310</v>
      </c>
      <c r="AN141" s="460">
        <f t="shared" si="339"/>
        <v>350</v>
      </c>
      <c r="AP141" s="460">
        <f t="shared" si="340"/>
        <v>310</v>
      </c>
      <c r="AQ141" s="460">
        <f t="shared" si="341"/>
        <v>350</v>
      </c>
      <c r="AS141" s="5">
        <f t="shared" si="439"/>
        <v>2.8571428571428572</v>
      </c>
      <c r="AT141" s="5">
        <f t="shared" si="342"/>
        <v>0.98538261238407898</v>
      </c>
      <c r="AU141" s="5">
        <f t="shared" si="343"/>
        <v>1.8717602447587782</v>
      </c>
      <c r="AV141" s="5"/>
      <c r="AW141" s="173">
        <f t="shared" si="344"/>
        <v>0.34488391433442761</v>
      </c>
      <c r="AX141" s="173">
        <f t="shared" si="435"/>
        <v>5.0911463477185395</v>
      </c>
      <c r="AY141" s="173">
        <f t="shared" si="436"/>
        <v>0.51001906504686612</v>
      </c>
      <c r="AZ141" s="173">
        <f t="shared" si="440"/>
        <v>9.9822667359517414</v>
      </c>
      <c r="BA141" s="460">
        <f t="shared" si="433"/>
        <v>1.909178811494153</v>
      </c>
      <c r="BB141" s="5">
        <f t="shared" si="434"/>
        <v>0.40801502360033531</v>
      </c>
      <c r="BD141" s="173">
        <f t="shared" si="441"/>
        <v>0.52792713555231785</v>
      </c>
      <c r="BE141" s="173">
        <f t="shared" si="437"/>
        <v>0.72760662960102029</v>
      </c>
      <c r="BG141" s="528">
        <f t="shared" si="347"/>
        <v>5.5741412090495081E-3</v>
      </c>
      <c r="BH141" s="528">
        <f t="shared" si="348"/>
        <v>0.35191982555507451</v>
      </c>
      <c r="BI141" s="528">
        <f t="shared" si="349"/>
        <v>0.15264070914443953</v>
      </c>
      <c r="BJ141" s="528">
        <f t="shared" si="350"/>
        <v>0.21582593635955005</v>
      </c>
      <c r="BK141">
        <f t="shared" si="351"/>
        <v>8.5327104490680473E-3</v>
      </c>
      <c r="BL141" s="460">
        <f t="shared" si="427"/>
        <v>161.17341959350759</v>
      </c>
      <c r="BM141" s="528">
        <f t="shared" si="352"/>
        <v>0.57558723816969692</v>
      </c>
      <c r="BN141" s="460">
        <f t="shared" si="353"/>
        <v>575.58723816969689</v>
      </c>
      <c r="BO141" s="528">
        <f t="shared" si="354"/>
        <v>0.217</v>
      </c>
      <c r="BR141" s="460">
        <f t="shared" si="355"/>
        <v>217</v>
      </c>
      <c r="BS141" s="528">
        <f t="shared" si="356"/>
        <v>8.3612118135742621E-3</v>
      </c>
      <c r="BT141" s="528">
        <f t="shared" si="357"/>
        <v>1.588234222318069E-2</v>
      </c>
      <c r="BU141" s="528">
        <f t="shared" si="358"/>
        <v>0.34664542544821747</v>
      </c>
      <c r="BV141" s="528"/>
      <c r="BW141" s="528">
        <f t="shared" si="359"/>
        <v>4.2426219564321169E-3</v>
      </c>
      <c r="BX141" s="460">
        <f t="shared" si="360"/>
        <v>375.13160144140448</v>
      </c>
      <c r="BY141" s="173">
        <f t="shared" si="361"/>
        <v>1.3266249241585861</v>
      </c>
      <c r="BZ141" s="5">
        <f t="shared" si="362"/>
        <v>4.96</v>
      </c>
      <c r="CA141" s="173">
        <f t="shared" si="363"/>
        <v>0.788976606658915</v>
      </c>
      <c r="CB141" s="5">
        <f t="shared" si="364"/>
        <v>78.897660665891493</v>
      </c>
      <c r="CE141" s="562">
        <f t="shared" si="365"/>
        <v>-50</v>
      </c>
      <c r="CF141">
        <f t="shared" si="366"/>
        <v>-50</v>
      </c>
      <c r="CG141" s="173">
        <f t="shared" si="367"/>
        <v>0.4034228550788862</v>
      </c>
      <c r="CI141" s="170">
        <v>31</v>
      </c>
      <c r="CJ141" s="217">
        <f t="shared" si="428"/>
        <v>0.31</v>
      </c>
      <c r="CK141" s="217"/>
      <c r="CL141" s="217">
        <f t="shared" si="368"/>
        <v>4.96</v>
      </c>
      <c r="CM141" s="541">
        <f t="shared" si="369"/>
        <v>19</v>
      </c>
      <c r="CN141" s="443">
        <f t="shared" si="370"/>
        <v>16.399999999999999</v>
      </c>
      <c r="CO141" s="443">
        <f t="shared" si="371"/>
        <v>35.4</v>
      </c>
      <c r="CP141" s="443"/>
      <c r="CQ141" s="217">
        <f t="shared" si="372"/>
        <v>0.4632768361581921</v>
      </c>
      <c r="CR141" s="172">
        <f t="shared" si="429"/>
        <v>22.214703389830511</v>
      </c>
      <c r="CS141" s="172">
        <f t="shared" si="373"/>
        <v>4.96</v>
      </c>
      <c r="CT141" s="217">
        <f t="shared" si="374"/>
        <v>1.3884189618644069</v>
      </c>
      <c r="CU141" s="217">
        <f t="shared" si="375"/>
        <v>16</v>
      </c>
      <c r="CV141" s="217"/>
      <c r="CW141" s="172">
        <f t="shared" si="376"/>
        <v>134.28223557136843</v>
      </c>
      <c r="CX141" s="172">
        <f t="shared" si="377"/>
        <v>16</v>
      </c>
      <c r="CY141" s="217">
        <f t="shared" si="378"/>
        <v>1.1269833119383825</v>
      </c>
      <c r="CZ141" s="217">
        <f t="shared" si="379"/>
        <v>0.71177893385582058</v>
      </c>
      <c r="DA141" s="217">
        <f t="shared" si="380"/>
        <v>0.82462193556467023</v>
      </c>
      <c r="DB141" s="197">
        <f t="shared" si="381"/>
        <v>350</v>
      </c>
      <c r="DC141" s="443">
        <f t="shared" si="382"/>
        <v>350</v>
      </c>
      <c r="DE141" s="217">
        <f t="shared" si="383"/>
        <v>2.0957761635727734</v>
      </c>
      <c r="DF141" s="173">
        <f t="shared" si="384"/>
        <v>1.5334947538337369</v>
      </c>
      <c r="DG141" s="173">
        <f t="shared" si="385"/>
        <v>0.5624258066085126</v>
      </c>
      <c r="DH141" s="173"/>
      <c r="DI141" s="173">
        <f t="shared" si="386"/>
        <v>0.73170731707317083</v>
      </c>
      <c r="DJ141" s="545">
        <f t="shared" si="387"/>
        <v>847.33333333333326</v>
      </c>
      <c r="DK141" s="528">
        <f t="shared" si="388"/>
        <v>0.12804878048780488</v>
      </c>
      <c r="DM141" s="173">
        <f t="shared" si="389"/>
        <v>1.5559409953312435</v>
      </c>
      <c r="DN141" s="173">
        <f t="shared" si="390"/>
        <v>1.5559409953312435</v>
      </c>
      <c r="DO141" s="173">
        <f t="shared" si="391"/>
        <v>1.61180814468981</v>
      </c>
      <c r="DQ141" s="545">
        <f t="shared" si="392"/>
        <v>310</v>
      </c>
      <c r="DR141" s="460">
        <f t="shared" si="393"/>
        <v>350</v>
      </c>
      <c r="DT141">
        <f t="shared" si="430"/>
        <v>310</v>
      </c>
      <c r="DU141">
        <f t="shared" si="431"/>
        <v>350</v>
      </c>
      <c r="DW141" s="5">
        <f t="shared" si="394"/>
        <v>2.8571428571428572</v>
      </c>
      <c r="DX141" s="5">
        <f t="shared" si="395"/>
        <v>0.98269957599868019</v>
      </c>
      <c r="DY141" s="5">
        <f t="shared" si="396"/>
        <v>1.8744432811441771</v>
      </c>
      <c r="DZ141" s="5"/>
      <c r="EA141" s="173">
        <f t="shared" si="397"/>
        <v>0.34394485159953808</v>
      </c>
      <c r="EB141" s="173">
        <f t="shared" si="398"/>
        <v>5.0839999999999996</v>
      </c>
      <c r="EC141" s="173">
        <f t="shared" si="399"/>
        <v>0.51039155029720074</v>
      </c>
      <c r="ED141" s="173">
        <f t="shared" si="400"/>
        <v>9.9609799516461219</v>
      </c>
      <c r="EE141" s="460">
        <f t="shared" si="401"/>
        <v>1.9039804284974431</v>
      </c>
      <c r="EF141" s="5">
        <f t="shared" si="402"/>
        <v>0.40777362607347006</v>
      </c>
      <c r="EH141" s="173">
        <f t="shared" si="403"/>
        <v>0.52683776990525111</v>
      </c>
      <c r="EI141" s="173">
        <f t="shared" si="404"/>
        <v>0.72761671997377075</v>
      </c>
      <c r="EK141" s="528">
        <f t="shared" si="405"/>
        <v>5.5511607159747667E-3</v>
      </c>
      <c r="EL141" s="528">
        <f t="shared" si="406"/>
        <v>0.36628406971092808</v>
      </c>
      <c r="EM141" s="528">
        <f t="shared" si="407"/>
        <v>4.0250000000000001E-2</v>
      </c>
      <c r="EN141" s="528">
        <f t="shared" si="408"/>
        <v>0.21601345499999997</v>
      </c>
      <c r="EO141">
        <f t="shared" si="409"/>
        <v>8.5500000000000003E-3</v>
      </c>
      <c r="EP141" s="460">
        <f t="shared" si="410"/>
        <v>48.800000000000004</v>
      </c>
      <c r="EQ141" s="460"/>
      <c r="ER141" s="460">
        <f t="shared" si="432"/>
        <v>636.64868542690283</v>
      </c>
      <c r="ES141" s="528">
        <f t="shared" si="411"/>
        <v>0.217</v>
      </c>
      <c r="EV141" s="460">
        <f t="shared" si="412"/>
        <v>217</v>
      </c>
      <c r="EW141" s="528">
        <f t="shared" si="413"/>
        <v>8.3267410739621493E-3</v>
      </c>
      <c r="EX141" s="528">
        <f t="shared" si="414"/>
        <v>1.5882782735561662E-2</v>
      </c>
      <c r="EY141" s="528">
        <f t="shared" si="415"/>
        <v>0.34603730751048034</v>
      </c>
      <c r="EZ141" s="528"/>
      <c r="FA141" s="528">
        <f t="shared" si="416"/>
        <v>4.2366666666666672E-3</v>
      </c>
      <c r="FB141" s="460">
        <f t="shared" si="417"/>
        <v>374.48349798667078</v>
      </c>
      <c r="FC141" s="173">
        <f t="shared" si="418"/>
        <v>1.2281321834135734</v>
      </c>
      <c r="FD141" s="5">
        <f t="shared" si="419"/>
        <v>4.96</v>
      </c>
      <c r="FE141" s="173">
        <f t="shared" si="420"/>
        <v>0.80153426801298611</v>
      </c>
      <c r="FF141" s="5">
        <f t="shared" si="421"/>
        <v>80.153426801298608</v>
      </c>
      <c r="FI141" s="562">
        <f t="shared" si="422"/>
        <v>-50</v>
      </c>
      <c r="FJ141">
        <f t="shared" si="423"/>
        <v>-50</v>
      </c>
      <c r="FL141">
        <f t="shared" si="424"/>
        <v>0.39847269392629409</v>
      </c>
    </row>
    <row r="142" spans="5:168">
      <c r="E142" s="170">
        <v>32</v>
      </c>
      <c r="F142" s="217">
        <f t="shared" si="425"/>
        <v>0.32</v>
      </c>
      <c r="G142" s="217"/>
      <c r="H142" s="217">
        <f t="shared" ref="H142:H173" si="442">F142*Vout</f>
        <v>5.12</v>
      </c>
      <c r="I142" s="541">
        <f t="shared" ref="I142:I173" si="443">VIN_min-F142*(Rdcr_pri+RON/1000)/CG142/Nps</f>
        <v>18.960963997082057</v>
      </c>
      <c r="J142" s="172">
        <f t="shared" ref="J142:J173" si="444">(T142+Vfwd1+F142/CG142*Rdcr_sec)*Nps</f>
        <v>16.423421601750764</v>
      </c>
      <c r="K142" s="172">
        <f t="shared" ref="K142:K173" si="445">(Vout+Vfwd1+F142/CG142*Rdcr_sec)*Nps++I142</f>
        <v>35.384385598832822</v>
      </c>
      <c r="L142" s="443"/>
      <c r="M142" s="217">
        <f t="shared" ref="M142:M173" si="446">(Vout+Vfwd1+F142/FL142*Rdcr_sec)*Nps/((Vout+Vfwd1+F142/FL142*Rdcr_sec)*Nps+I142)</f>
        <v>0.46414759609027034</v>
      </c>
      <c r="N142" s="172">
        <f t="shared" ref="N142:N173" si="447">M142*I142*(Isw_max+VIN_min/Lmag*ILIM_delay)*0.5*Efficiency</f>
        <v>22.210730936146</v>
      </c>
      <c r="O142" s="172">
        <f t="shared" si="438"/>
        <v>5.12</v>
      </c>
      <c r="P142" s="217">
        <f t="shared" ref="P142:P172" si="448">N142/Vout</f>
        <v>1.388170683509125</v>
      </c>
      <c r="Q142" s="217">
        <f t="shared" ref="Q142:Q173" si="449">MIN(Vout,N142/F142)</f>
        <v>16</v>
      </c>
      <c r="R142" s="217"/>
      <c r="S142" s="172">
        <f t="shared" ref="S142:S173" si="450">(SQRT(Isw_max^2*Nps^2*I142^2+4*Isw_max*F142/Efficiency*(Nps^2*Vfwd1*I142-Nps*I142^2)+4*(F142/Efficiency)^2*Nps^2*Vfwd1^2+8*(F142/Efficiency)^2*Nps*Vfwd1*I142+4*(F142/Efficiency)^2*I142^2)-2*F142/Efficiency*I142-2*F142/Efficiency*Nps*Vfwd1+Isw_max*Nps*I142)/(4*F142/Efficiency*Nps)</f>
        <v>129.23007514651562</v>
      </c>
      <c r="T142" s="172">
        <f t="shared" ref="T142:T173" si="451">MIN(Vout, S142)</f>
        <v>16</v>
      </c>
      <c r="U142" s="217">
        <f t="shared" ref="U142:U173" si="452">MIN(2*(Vout+Vfwd1+F142/FL142*Rdcr_sec)*F142/(I142*M142), Isw_max)</f>
        <v>1.1943587363430308</v>
      </c>
      <c r="V142" s="217">
        <f t="shared" ref="V142:V173" si="453">L*U142/I142*1000000</f>
        <v>0.75588481884792347</v>
      </c>
      <c r="W142" s="217">
        <f t="shared" ref="W142:W173" si="454">L*U142/J142*1000000</f>
        <v>0.87267471929165619</v>
      </c>
      <c r="X142" s="197">
        <f t="shared" ref="X142:X173" si="455">IF(1/((350000*L)*(1/I142+1/J142))&gt;Isw_min, 350, 0.001/((Isw_min*L)*(1/I142+1/J142)))</f>
        <v>350</v>
      </c>
      <c r="Y142" s="443">
        <f t="shared" si="328"/>
        <v>350</v>
      </c>
      <c r="AA142" s="217">
        <f t="shared" ref="AA142:AA173" si="456">1/((X142*1000*L)*(1/I142+1/J142))</f>
        <v>2.095381502789238</v>
      </c>
      <c r="AB142" s="173">
        <f t="shared" ref="AB142:AB173" si="457">L*AA142/J142*1000000</f>
        <v>1.5310194576500673</v>
      </c>
      <c r="AC142" s="173">
        <f t="shared" ref="AC142:AC173" si="458">0.5*AB142*AA142*Nps*X142/1000</f>
        <v>0.56141222409481339</v>
      </c>
      <c r="AD142" s="173"/>
      <c r="AE142" s="173">
        <f t="shared" ref="AE142:AE173" si="459">L*Isw_min/J142*1000000</f>
        <v>0.73066382213075387</v>
      </c>
      <c r="AF142" s="545">
        <f t="shared" ref="AF142:AF173" si="460">MAX(12000,F142/(0.5*AE142/1000000*Isw_min*Nps))/1000</f>
        <v>875.91581876004068</v>
      </c>
      <c r="AG142" s="528">
        <f t="shared" ref="AG142:AG173" si="461">0.5*AE142/1000000*Isw_min*Nps*X142*1000</f>
        <v>0.12786616887288194</v>
      </c>
      <c r="AI142" s="173">
        <f t="shared" ref="AI142:AI173" si="462">SQRT(F142/(0.5*L/J142*Fsw_DCM*Nps))</f>
        <v>1.5819660631722439</v>
      </c>
      <c r="AJ142" s="173">
        <f t="shared" ref="AJ142:AJ173" si="463">MAX(IF(F142&gt;AC142,U142,AI142),Isw_min)</f>
        <v>1.5819660631722439</v>
      </c>
      <c r="AK142" s="173">
        <f t="shared" ref="AK142:AK173" si="464">IF(F142&gt;AG142, (AJ142-Isw_min)/1.08*0.8+1.2, AF142*0.2/350+1)</f>
        <v>1.6310859727201805</v>
      </c>
      <c r="AM142" s="545">
        <f t="shared" ref="AM142:AM173" si="465">F142*1000</f>
        <v>320</v>
      </c>
      <c r="AN142" s="460">
        <f t="shared" ref="AN142:AN173" si="466">IF(F142&gt;AG142, Y142, AF142)</f>
        <v>350</v>
      </c>
      <c r="AP142" s="460">
        <f t="shared" ref="AP142:AP173" si="467">IF(H142&gt;N142, "",AM142)</f>
        <v>320</v>
      </c>
      <c r="AQ142" s="460">
        <f t="shared" ref="AQ142:AQ173" si="468">IF(H142&gt;N142, "",AN142)</f>
        <v>350</v>
      </c>
      <c r="AS142" s="5">
        <f t="shared" si="439"/>
        <v>2.8571428571428572</v>
      </c>
      <c r="AT142" s="5">
        <f t="shared" ref="AT142:AT173" si="469">L*AJ142/I142*1000000</f>
        <v>1.0011934393730377</v>
      </c>
      <c r="AU142" s="5">
        <f t="shared" si="343"/>
        <v>1.8559494177698195</v>
      </c>
      <c r="AV142" s="5"/>
      <c r="AW142" s="173">
        <f t="shared" si="344"/>
        <v>0.35041770378056319</v>
      </c>
      <c r="AX142" s="173">
        <f t="shared" si="435"/>
        <v>5.2554949125602439</v>
      </c>
      <c r="AY142" s="173">
        <f t="shared" si="436"/>
        <v>0.51380857392832446</v>
      </c>
      <c r="AZ142" s="173">
        <f t="shared" si="440"/>
        <v>10.228507617884512</v>
      </c>
      <c r="BA142" s="460">
        <f t="shared" si="433"/>
        <v>2.0023868787460755</v>
      </c>
      <c r="BB142" s="5">
        <f t="shared" si="434"/>
        <v>0.41763264341604805</v>
      </c>
      <c r="BD142" s="173">
        <f t="shared" si="441"/>
        <v>0.54066661668278104</v>
      </c>
      <c r="BE142" s="173">
        <f t="shared" si="437"/>
        <v>0.73612848829604749</v>
      </c>
      <c r="BG142" s="528">
        <f t="shared" si="347"/>
        <v>5.8464078079041061E-3</v>
      </c>
      <c r="BH142" s="528">
        <f t="shared" ref="BH142:BH173" si="470">0.5*K142*AJ142*AN142*1000*Tfall</f>
        <v>0.35755243075995252</v>
      </c>
      <c r="BI142" s="528">
        <f t="shared" ref="BI142:BI173" si="471">Qg*Vdd*AN142*1000*0+Qg*I142*AN142*1000</f>
        <v>0.15263576017651057</v>
      </c>
      <c r="BJ142" s="528">
        <f t="shared" si="350"/>
        <v>0.21582293653266224</v>
      </c>
      <c r="BK142">
        <f t="shared" si="351"/>
        <v>8.5324337986869263E-3</v>
      </c>
      <c r="BL142" s="460">
        <f t="shared" si="427"/>
        <v>161.16819397519748</v>
      </c>
      <c r="BM142" s="528">
        <f t="shared" ref="BM142:BM173" si="472">(BH142+BI142*0+BJ142+BK142*0+BG142*(1+RdsonTC*(Ta-25)))/(1-BG142*RdsonTC*ThetaJA)</f>
        <v>0.58160822096603426</v>
      </c>
      <c r="BN142" s="460">
        <f t="shared" si="353"/>
        <v>581.60822096603431</v>
      </c>
      <c r="BO142" s="528">
        <f t="shared" si="354"/>
        <v>0.22399999999999998</v>
      </c>
      <c r="BR142" s="460">
        <f t="shared" si="355"/>
        <v>223.99999999999997</v>
      </c>
      <c r="BS142" s="528">
        <f t="shared" si="356"/>
        <v>8.7696117118561592E-3</v>
      </c>
      <c r="BT142" s="528">
        <f t="shared" si="357"/>
        <v>1.6256554538430723E-2</v>
      </c>
      <c r="BU142" s="528">
        <f t="shared" si="358"/>
        <v>0.3606891030297722</v>
      </c>
      <c r="BV142" s="528"/>
      <c r="BW142" s="528">
        <f t="shared" si="359"/>
        <v>4.3795790938002026E-3</v>
      </c>
      <c r="BX142" s="460">
        <f t="shared" si="360"/>
        <v>390.09484837385929</v>
      </c>
      <c r="BY142" s="173">
        <f t="shared" si="361"/>
        <v>1.3544848174495758</v>
      </c>
      <c r="BZ142" s="5">
        <f t="shared" si="362"/>
        <v>5.12</v>
      </c>
      <c r="CA142" s="173">
        <f t="shared" si="363"/>
        <v>0.79079651035723131</v>
      </c>
      <c r="CB142" s="5">
        <f t="shared" si="364"/>
        <v>79.079651035723131</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0.40987803063838396</v>
      </c>
      <c r="CI142" s="170">
        <v>32</v>
      </c>
      <c r="CJ142" s="217">
        <f t="shared" si="428"/>
        <v>0.32</v>
      </c>
      <c r="CK142" s="217"/>
      <c r="CL142" s="217">
        <f t="shared" si="368"/>
        <v>5.12</v>
      </c>
      <c r="CM142" s="541">
        <f t="shared" si="369"/>
        <v>19</v>
      </c>
      <c r="CN142" s="443">
        <f t="shared" si="370"/>
        <v>16.399999999999999</v>
      </c>
      <c r="CO142" s="443">
        <f t="shared" si="371"/>
        <v>35.4</v>
      </c>
      <c r="CP142" s="443"/>
      <c r="CQ142" s="217">
        <f t="shared" si="372"/>
        <v>0.4632768361581921</v>
      </c>
      <c r="CR142" s="172">
        <f t="shared" si="429"/>
        <v>22.214703389830511</v>
      </c>
      <c r="CS142" s="172">
        <f t="shared" si="373"/>
        <v>5.12</v>
      </c>
      <c r="CT142" s="217">
        <f t="shared" si="374"/>
        <v>1.3884189618644069</v>
      </c>
      <c r="CU142" s="217">
        <f t="shared" si="375"/>
        <v>16</v>
      </c>
      <c r="CV142" s="217"/>
      <c r="CW142" s="172">
        <f t="shared" si="376"/>
        <v>129.49600834138047</v>
      </c>
      <c r="CX142" s="172">
        <f t="shared" si="377"/>
        <v>16</v>
      </c>
      <c r="CY142" s="217">
        <f t="shared" si="378"/>
        <v>1.1633376123234915</v>
      </c>
      <c r="CZ142" s="217">
        <f t="shared" si="379"/>
        <v>0.73473954462536317</v>
      </c>
      <c r="DA142" s="217">
        <f t="shared" si="380"/>
        <v>0.85122264316353047</v>
      </c>
      <c r="DB142" s="197">
        <f t="shared" si="381"/>
        <v>350</v>
      </c>
      <c r="DC142" s="443">
        <f t="shared" si="382"/>
        <v>350</v>
      </c>
      <c r="DE142" s="217">
        <f t="shared" si="383"/>
        <v>2.0957761635727734</v>
      </c>
      <c r="DF142" s="173">
        <f t="shared" si="384"/>
        <v>1.5334947538337369</v>
      </c>
      <c r="DG142" s="173">
        <f t="shared" si="385"/>
        <v>0.5624258066085126</v>
      </c>
      <c r="DH142" s="173"/>
      <c r="DI142" s="173">
        <f t="shared" si="386"/>
        <v>0.73170731707317083</v>
      </c>
      <c r="DJ142" s="545">
        <f t="shared" si="387"/>
        <v>874.66666666666663</v>
      </c>
      <c r="DK142" s="528">
        <f t="shared" si="388"/>
        <v>0.12804878048780488</v>
      </c>
      <c r="DM142" s="173">
        <f t="shared" si="389"/>
        <v>1.580837632094966</v>
      </c>
      <c r="DN142" s="173">
        <f t="shared" si="390"/>
        <v>1.580837632094966</v>
      </c>
      <c r="DO142" s="173">
        <f t="shared" si="391"/>
        <v>1.6302500978481229</v>
      </c>
      <c r="DQ142" s="545">
        <f t="shared" si="392"/>
        <v>320</v>
      </c>
      <c r="DR142" s="460">
        <f t="shared" si="393"/>
        <v>350</v>
      </c>
      <c r="DT142">
        <f t="shared" si="430"/>
        <v>320</v>
      </c>
      <c r="DU142">
        <f t="shared" si="431"/>
        <v>350</v>
      </c>
      <c r="DW142" s="5">
        <f t="shared" si="394"/>
        <v>2.8571428571428572</v>
      </c>
      <c r="DX142" s="5">
        <f t="shared" si="395"/>
        <v>0.99842376763892582</v>
      </c>
      <c r="DY142" s="5">
        <f t="shared" si="396"/>
        <v>1.8587190895039314</v>
      </c>
      <c r="DZ142" s="5"/>
      <c r="EA142" s="173">
        <f t="shared" si="397"/>
        <v>0.34944831867362403</v>
      </c>
      <c r="EB142" s="173">
        <f t="shared" si="398"/>
        <v>5.2480000000000002</v>
      </c>
      <c r="EC142" s="173">
        <f t="shared" si="399"/>
        <v>0.51420828973169352</v>
      </c>
      <c r="ED142" s="173">
        <f t="shared" si="400"/>
        <v>10.20598093184832</v>
      </c>
      <c r="EE142" s="460">
        <f t="shared" si="401"/>
        <v>1.9968475352778519</v>
      </c>
      <c r="EF142" s="5">
        <f t="shared" si="402"/>
        <v>0.41739656746754944</v>
      </c>
      <c r="EH142" s="173">
        <f t="shared" si="403"/>
        <v>0.53953312804112219</v>
      </c>
      <c r="EI142" s="173">
        <f t="shared" si="404"/>
        <v>0.73615207448056219</v>
      </c>
      <c r="EK142" s="528">
        <f t="shared" si="405"/>
        <v>5.8219199250767592E-3</v>
      </c>
      <c r="EL142" s="528">
        <f t="shared" si="406"/>
        <v>0.37214498697147597</v>
      </c>
      <c r="EM142" s="528">
        <f t="shared" si="407"/>
        <v>4.0250000000000001E-2</v>
      </c>
      <c r="EN142" s="528">
        <f t="shared" si="408"/>
        <v>0.21601345499999997</v>
      </c>
      <c r="EO142">
        <f t="shared" si="409"/>
        <v>8.5500000000000003E-3</v>
      </c>
      <c r="EP142" s="460">
        <f t="shared" si="410"/>
        <v>48.800000000000004</v>
      </c>
      <c r="EQ142" s="460"/>
      <c r="ER142" s="460">
        <f t="shared" si="432"/>
        <v>642.78036189655268</v>
      </c>
      <c r="ES142" s="528">
        <f t="shared" si="411"/>
        <v>0.22399999999999998</v>
      </c>
      <c r="EV142" s="460">
        <f t="shared" si="412"/>
        <v>223.99999999999997</v>
      </c>
      <c r="EW142" s="528">
        <f t="shared" si="413"/>
        <v>8.7328798876151383E-3</v>
      </c>
      <c r="EX142" s="528">
        <f t="shared" si="414"/>
        <v>1.6257596302861055E-2</v>
      </c>
      <c r="EY142" s="528">
        <f t="shared" si="415"/>
        <v>0.3600462398800014</v>
      </c>
      <c r="EZ142" s="528"/>
      <c r="FA142" s="528">
        <f t="shared" si="416"/>
        <v>4.3733333333333332E-3</v>
      </c>
      <c r="FB142" s="460">
        <f t="shared" si="417"/>
        <v>389.41004940381089</v>
      </c>
      <c r="FC142" s="173">
        <f t="shared" si="418"/>
        <v>1.2561904113003635</v>
      </c>
      <c r="FD142" s="5">
        <f t="shared" si="419"/>
        <v>5.12</v>
      </c>
      <c r="FE142" s="173">
        <f t="shared" si="420"/>
        <v>0.80298731213013197</v>
      </c>
      <c r="FF142" s="5">
        <f t="shared" si="421"/>
        <v>80.298731213013198</v>
      </c>
      <c r="FI142" s="562">
        <f t="shared" si="422"/>
        <v>-50</v>
      </c>
      <c r="FJ142">
        <f t="shared" si="423"/>
        <v>-50</v>
      </c>
      <c r="FL142">
        <f t="shared" ref="FL142:FL173" si="476">MIN(SQRT(2*L*DR142*1000*CJ142*(CX142+Vfwd1))/(Nps*(CX142+Vfwd1)), 1-EA142)</f>
        <v>0.40484866187797913</v>
      </c>
    </row>
    <row r="143" spans="5:168">
      <c r="E143" s="170">
        <v>33</v>
      </c>
      <c r="F143" s="217">
        <f t="shared" ref="F143:F174" si="477">IF(PLOT_TYPE=1, E143/100*Iout_max, min_I*EXP(N143*rr/100))</f>
        <v>0.33</v>
      </c>
      <c r="G143" s="217"/>
      <c r="H143" s="217">
        <f t="shared" si="442"/>
        <v>5.28</v>
      </c>
      <c r="I143" s="541">
        <f t="shared" si="443"/>
        <v>18.960358751641394</v>
      </c>
      <c r="J143" s="172">
        <f t="shared" si="444"/>
        <v>16.423784749015162</v>
      </c>
      <c r="K143" s="172">
        <f t="shared" si="445"/>
        <v>35.384143500656556</v>
      </c>
      <c r="L143" s="443"/>
      <c r="M143" s="217">
        <f t="shared" si="446"/>
        <v>0.46416110298669072</v>
      </c>
      <c r="N143" s="172">
        <f t="shared" si="447"/>
        <v>22.21066827745371</v>
      </c>
      <c r="O143" s="172">
        <f t="shared" si="438"/>
        <v>5.28</v>
      </c>
      <c r="P143" s="217">
        <f t="shared" si="448"/>
        <v>1.3881667673408569</v>
      </c>
      <c r="Q143" s="217">
        <f t="shared" si="449"/>
        <v>16</v>
      </c>
      <c r="R143" s="217"/>
      <c r="S143" s="172">
        <f t="shared" si="450"/>
        <v>124.73932829559809</v>
      </c>
      <c r="T143" s="172">
        <f t="shared" si="451"/>
        <v>16</v>
      </c>
      <c r="U143" s="217">
        <f t="shared" si="452"/>
        <v>1.2317134938854706</v>
      </c>
      <c r="V143" s="217">
        <f t="shared" si="453"/>
        <v>0.77955075218954373</v>
      </c>
      <c r="W143" s="217">
        <f t="shared" si="454"/>
        <v>0.89994858995652327</v>
      </c>
      <c r="X143" s="197">
        <f t="shared" si="455"/>
        <v>350</v>
      </c>
      <c r="Y143" s="443">
        <f t="shared" si="328"/>
        <v>350</v>
      </c>
      <c r="AA143" s="217">
        <f t="shared" si="456"/>
        <v>2.0953752840441893</v>
      </c>
      <c r="AB143" s="173">
        <f t="shared" si="457"/>
        <v>1.5309810614778083</v>
      </c>
      <c r="AC143" s="173">
        <f t="shared" si="458"/>
        <v>0.56139647839805895</v>
      </c>
      <c r="AD143" s="173"/>
      <c r="AE143" s="173">
        <f t="shared" si="459"/>
        <v>0.73064766638028233</v>
      </c>
      <c r="AF143" s="545">
        <f t="shared" si="460"/>
        <v>903.30816119583392</v>
      </c>
      <c r="AG143" s="528">
        <f t="shared" si="461"/>
        <v>0.12786334161654941</v>
      </c>
      <c r="AI143" s="173">
        <f t="shared" si="462"/>
        <v>1.6065118924426067</v>
      </c>
      <c r="AJ143" s="173">
        <f t="shared" si="463"/>
        <v>1.6065118924426067</v>
      </c>
      <c r="AK143" s="173">
        <f t="shared" si="464"/>
        <v>1.649268068476005</v>
      </c>
      <c r="AM143" s="545">
        <f t="shared" si="465"/>
        <v>330</v>
      </c>
      <c r="AN143" s="460">
        <f t="shared" si="466"/>
        <v>350</v>
      </c>
      <c r="AP143" s="460">
        <f t="shared" si="467"/>
        <v>330</v>
      </c>
      <c r="AQ143" s="460">
        <f t="shared" si="468"/>
        <v>350</v>
      </c>
      <c r="AS143" s="5">
        <f t="shared" si="439"/>
        <v>2.8571428571428572</v>
      </c>
      <c r="AT143" s="5">
        <f t="shared" si="469"/>
        <v>1.0167604401284009</v>
      </c>
      <c r="AU143" s="5">
        <f t="shared" si="343"/>
        <v>1.8403824170144563</v>
      </c>
      <c r="AV143" s="5"/>
      <c r="AW143" s="173">
        <f t="shared" si="344"/>
        <v>0.35586615404494032</v>
      </c>
      <c r="AX143" s="173">
        <f t="shared" si="435"/>
        <v>5.4198489671750041</v>
      </c>
      <c r="AY143" s="173">
        <f t="shared" si="436"/>
        <v>0.51740434192579865</v>
      </c>
      <c r="AZ143" s="173">
        <f t="shared" si="440"/>
        <v>10.475074381869545</v>
      </c>
      <c r="BA143" s="460">
        <f t="shared" si="433"/>
        <v>2.0970684077648269</v>
      </c>
      <c r="BB143" s="5">
        <f t="shared" si="434"/>
        <v>0.42708488488713819</v>
      </c>
      <c r="BD143" s="173">
        <f t="shared" si="441"/>
        <v>0.55330763099414315</v>
      </c>
      <c r="BE143" s="173">
        <f t="shared" si="437"/>
        <v>0.74440859233140522</v>
      </c>
      <c r="BG143" s="528">
        <f t="shared" si="347"/>
        <v>6.1229866903270182E-3</v>
      </c>
      <c r="BH143" s="528">
        <f t="shared" si="470"/>
        <v>0.36309773986956212</v>
      </c>
      <c r="BI143" s="528">
        <f t="shared" si="471"/>
        <v>0.15263088795071322</v>
      </c>
      <c r="BJ143" s="528">
        <f t="shared" si="350"/>
        <v>0.21581998324353771</v>
      </c>
      <c r="BK143">
        <f t="shared" si="351"/>
        <v>8.5321614382386276E-3</v>
      </c>
      <c r="BL143" s="460">
        <f t="shared" si="427"/>
        <v>161.16304938895183</v>
      </c>
      <c r="BM143" s="528">
        <f t="shared" si="472"/>
        <v>0.58754869476411431</v>
      </c>
      <c r="BN143" s="460">
        <f t="shared" si="353"/>
        <v>587.54869476411432</v>
      </c>
      <c r="BO143" s="528">
        <f t="shared" si="354"/>
        <v>0.23099999999999998</v>
      </c>
      <c r="BR143" s="460">
        <f t="shared" si="355"/>
        <v>230.99999999999997</v>
      </c>
      <c r="BS143" s="528">
        <f t="shared" si="356"/>
        <v>9.1844800354905273E-3</v>
      </c>
      <c r="BT143" s="528">
        <f t="shared" si="357"/>
        <v>1.6624324570104727E-2</v>
      </c>
      <c r="BU143" s="528">
        <f t="shared" si="358"/>
        <v>0.37484349391518157</v>
      </c>
      <c r="BV143" s="528"/>
      <c r="BW143" s="528">
        <f t="shared" si="359"/>
        <v>4.5165408059791709E-3</v>
      </c>
      <c r="BX143" s="460">
        <f t="shared" si="360"/>
        <v>405.16883932675603</v>
      </c>
      <c r="BY143" s="173">
        <f t="shared" si="361"/>
        <v>1.3823725985191346</v>
      </c>
      <c r="BZ143" s="5">
        <f t="shared" si="362"/>
        <v>5.28</v>
      </c>
      <c r="CA143" s="173">
        <f t="shared" si="363"/>
        <v>0.79251046409106585</v>
      </c>
      <c r="CB143" s="5">
        <f t="shared" si="364"/>
        <v>79.251046409106578</v>
      </c>
      <c r="CE143" s="562">
        <f t="shared" si="473"/>
        <v>-50</v>
      </c>
      <c r="CF143">
        <f t="shared" si="474"/>
        <v>-50</v>
      </c>
      <c r="CG143" s="173">
        <f t="shared" si="475"/>
        <v>0.41623310776534828</v>
      </c>
      <c r="CI143" s="170">
        <v>33</v>
      </c>
      <c r="CJ143" s="217">
        <f t="shared" si="428"/>
        <v>0.33</v>
      </c>
      <c r="CK143" s="217"/>
      <c r="CL143" s="217">
        <f t="shared" si="368"/>
        <v>5.28</v>
      </c>
      <c r="CM143" s="541">
        <f t="shared" si="369"/>
        <v>19</v>
      </c>
      <c r="CN143" s="443">
        <f t="shared" si="370"/>
        <v>16.399999999999999</v>
      </c>
      <c r="CO143" s="443">
        <f t="shared" si="371"/>
        <v>35.4</v>
      </c>
      <c r="CP143" s="443"/>
      <c r="CQ143" s="217">
        <f t="shared" si="372"/>
        <v>0.4632768361581921</v>
      </c>
      <c r="CR143" s="172">
        <f t="shared" si="429"/>
        <v>22.214703389830511</v>
      </c>
      <c r="CS143" s="172">
        <f t="shared" si="373"/>
        <v>5.28</v>
      </c>
      <c r="CT143" s="217">
        <f t="shared" si="374"/>
        <v>1.3884189618644069</v>
      </c>
      <c r="CU143" s="217">
        <f t="shared" si="375"/>
        <v>16</v>
      </c>
      <c r="CV143" s="217"/>
      <c r="CW143" s="172">
        <f t="shared" si="376"/>
        <v>125</v>
      </c>
      <c r="CX143" s="172">
        <f t="shared" si="377"/>
        <v>16</v>
      </c>
      <c r="CY143" s="217">
        <f t="shared" si="378"/>
        <v>1.1996919127086008</v>
      </c>
      <c r="CZ143" s="217">
        <f t="shared" si="379"/>
        <v>0.75770015539490576</v>
      </c>
      <c r="DA143" s="217">
        <f t="shared" si="380"/>
        <v>0.87782335076239093</v>
      </c>
      <c r="DB143" s="197">
        <f t="shared" si="381"/>
        <v>350</v>
      </c>
      <c r="DC143" s="443">
        <f t="shared" si="382"/>
        <v>350</v>
      </c>
      <c r="DE143" s="217">
        <f t="shared" si="383"/>
        <v>2.0957761635727734</v>
      </c>
      <c r="DF143" s="173">
        <f t="shared" si="384"/>
        <v>1.5334947538337369</v>
      </c>
      <c r="DG143" s="173">
        <f t="shared" si="385"/>
        <v>0.5624258066085126</v>
      </c>
      <c r="DH143" s="173"/>
      <c r="DI143" s="173">
        <f t="shared" si="386"/>
        <v>0.73170731707317083</v>
      </c>
      <c r="DJ143" s="545">
        <f t="shared" si="387"/>
        <v>901.99999999999989</v>
      </c>
      <c r="DK143" s="528">
        <f t="shared" si="388"/>
        <v>0.12804878048780488</v>
      </c>
      <c r="DM143" s="173">
        <f t="shared" si="389"/>
        <v>1.6053482043291596</v>
      </c>
      <c r="DN143" s="173">
        <f t="shared" si="390"/>
        <v>1.6053482043291596</v>
      </c>
      <c r="DO143" s="173">
        <f t="shared" si="391"/>
        <v>1.6484060772808589</v>
      </c>
      <c r="DQ143" s="545">
        <f t="shared" si="392"/>
        <v>330</v>
      </c>
      <c r="DR143" s="460">
        <f t="shared" si="393"/>
        <v>350</v>
      </c>
      <c r="DT143">
        <f t="shared" si="430"/>
        <v>330</v>
      </c>
      <c r="DU143">
        <f t="shared" si="431"/>
        <v>350</v>
      </c>
      <c r="DW143" s="5">
        <f t="shared" si="394"/>
        <v>2.8571428571428572</v>
      </c>
      <c r="DX143" s="5">
        <f t="shared" si="395"/>
        <v>1.0139041290499957</v>
      </c>
      <c r="DY143" s="5">
        <f t="shared" si="396"/>
        <v>1.8432387280928615</v>
      </c>
      <c r="DZ143" s="5"/>
      <c r="EA143" s="173">
        <f t="shared" si="397"/>
        <v>0.35486644516749849</v>
      </c>
      <c r="EB143" s="173">
        <f t="shared" si="398"/>
        <v>5.411999999999999</v>
      </c>
      <c r="EC143" s="173">
        <f t="shared" si="399"/>
        <v>0.51783199690142179</v>
      </c>
      <c r="ED143" s="173">
        <f t="shared" si="400"/>
        <v>10.451266110213476</v>
      </c>
      <c r="EE143" s="460">
        <f t="shared" si="401"/>
        <v>2.0911772661656163</v>
      </c>
      <c r="EF143" s="5">
        <f t="shared" si="402"/>
        <v>0.42685528440045206</v>
      </c>
      <c r="EH143" s="173">
        <f t="shared" si="403"/>
        <v>0.55212967208893238</v>
      </c>
      <c r="EI143" s="173">
        <f t="shared" si="404"/>
        <v>0.74444640119123884</v>
      </c>
      <c r="EK143" s="528">
        <f t="shared" si="405"/>
        <v>6.0969434960206409E-3</v>
      </c>
      <c r="EL143" s="528">
        <f t="shared" si="406"/>
        <v>0.37791502078112743</v>
      </c>
      <c r="EM143" s="528">
        <f t="shared" si="407"/>
        <v>4.0250000000000001E-2</v>
      </c>
      <c r="EN143" s="528">
        <f t="shared" si="408"/>
        <v>0.21601345499999997</v>
      </c>
      <c r="EO143">
        <f t="shared" si="409"/>
        <v>8.5500000000000003E-3</v>
      </c>
      <c r="EP143" s="460">
        <f t="shared" si="410"/>
        <v>48.800000000000004</v>
      </c>
      <c r="EQ143" s="460"/>
      <c r="ER143" s="460">
        <f t="shared" si="432"/>
        <v>648.82541927714794</v>
      </c>
      <c r="ES143" s="528">
        <f t="shared" si="411"/>
        <v>0.23099999999999998</v>
      </c>
      <c r="EV143" s="460">
        <f t="shared" si="412"/>
        <v>230.99999999999997</v>
      </c>
      <c r="EW143" s="528">
        <f t="shared" si="413"/>
        <v>9.1454152440309609E-3</v>
      </c>
      <c r="EX143" s="528">
        <f t="shared" si="414"/>
        <v>1.6626013327397604E-2</v>
      </c>
      <c r="EY143" s="528">
        <f t="shared" si="415"/>
        <v>0.3741650613821772</v>
      </c>
      <c r="EZ143" s="528"/>
      <c r="FA143" s="528">
        <f t="shared" si="416"/>
        <v>4.5100000000000001E-3</v>
      </c>
      <c r="FB143" s="460">
        <f t="shared" si="417"/>
        <v>404.44648995360575</v>
      </c>
      <c r="FC143" s="173">
        <f t="shared" si="418"/>
        <v>1.2842719092307537</v>
      </c>
      <c r="FD143" s="5">
        <f t="shared" si="419"/>
        <v>5.28</v>
      </c>
      <c r="FE143" s="173">
        <f t="shared" si="420"/>
        <v>0.80435424872866768</v>
      </c>
      <c r="FF143" s="5">
        <f t="shared" si="421"/>
        <v>80.435424872866761</v>
      </c>
      <c r="FI143" s="562">
        <f t="shared" si="422"/>
        <v>-50</v>
      </c>
      <c r="FJ143">
        <f t="shared" si="423"/>
        <v>-50</v>
      </c>
      <c r="FL143">
        <f t="shared" si="476"/>
        <v>0.41112575964527259</v>
      </c>
    </row>
    <row r="144" spans="5:168">
      <c r="E144" s="170">
        <v>34</v>
      </c>
      <c r="F144" s="217">
        <f t="shared" si="477"/>
        <v>0.34</v>
      </c>
      <c r="G144" s="217"/>
      <c r="H144" s="217">
        <f t="shared" si="442"/>
        <v>5.44</v>
      </c>
      <c r="I144" s="541">
        <f t="shared" si="443"/>
        <v>18.959762609191852</v>
      </c>
      <c r="J144" s="172">
        <f t="shared" si="444"/>
        <v>16.424142434484889</v>
      </c>
      <c r="K144" s="172">
        <f t="shared" si="445"/>
        <v>35.383905043676741</v>
      </c>
      <c r="L144" s="443"/>
      <c r="M144" s="217">
        <f t="shared" si="446"/>
        <v>0.46417440691447631</v>
      </c>
      <c r="N144" s="172">
        <f t="shared" si="447"/>
        <v>22.210606529305799</v>
      </c>
      <c r="O144" s="172">
        <f t="shared" si="438"/>
        <v>5.44</v>
      </c>
      <c r="P144" s="217">
        <f t="shared" si="448"/>
        <v>1.3881629080816125</v>
      </c>
      <c r="Q144" s="217">
        <f t="shared" si="449"/>
        <v>16</v>
      </c>
      <c r="R144" s="217"/>
      <c r="S144" s="172">
        <f t="shared" si="450"/>
        <v>120.51297858597351</v>
      </c>
      <c r="T144" s="172">
        <f t="shared" si="451"/>
        <v>16</v>
      </c>
      <c r="U144" s="217">
        <f t="shared" si="452"/>
        <v>1.2690696539600799</v>
      </c>
      <c r="V144" s="217">
        <f t="shared" si="453"/>
        <v>0.80321869853675754</v>
      </c>
      <c r="W144" s="217">
        <f t="shared" si="454"/>
        <v>0.92722258761868692</v>
      </c>
      <c r="X144" s="197">
        <f t="shared" si="455"/>
        <v>350</v>
      </c>
      <c r="Y144" s="443">
        <f t="shared" si="328"/>
        <v>350</v>
      </c>
      <c r="AA144" s="217">
        <f t="shared" si="456"/>
        <v>2.0953691558553613</v>
      </c>
      <c r="AB144" s="173">
        <f t="shared" si="457"/>
        <v>1.5309432422766822</v>
      </c>
      <c r="AC144" s="173">
        <f t="shared" si="458"/>
        <v>0.5613809686155582</v>
      </c>
      <c r="AD144" s="173"/>
      <c r="AE144" s="173">
        <f t="shared" si="459"/>
        <v>0.73063175431334826</v>
      </c>
      <c r="AF144" s="545">
        <f t="shared" si="460"/>
        <v>930.70140462081042</v>
      </c>
      <c r="AG144" s="528">
        <f t="shared" si="461"/>
        <v>0.12786055700483592</v>
      </c>
      <c r="AI144" s="173">
        <f t="shared" si="462"/>
        <v>1.6306890783791901</v>
      </c>
      <c r="AJ144" s="173">
        <f t="shared" si="463"/>
        <v>1.6306890783791901</v>
      </c>
      <c r="AK144" s="173">
        <f t="shared" si="464"/>
        <v>1.6671770950956963</v>
      </c>
      <c r="AM144" s="545">
        <f t="shared" si="465"/>
        <v>340</v>
      </c>
      <c r="AN144" s="460">
        <f t="shared" si="466"/>
        <v>350</v>
      </c>
      <c r="AP144" s="460">
        <f t="shared" si="467"/>
        <v>340</v>
      </c>
      <c r="AQ144" s="460">
        <f t="shared" si="468"/>
        <v>350</v>
      </c>
      <c r="AS144" s="5">
        <f t="shared" si="439"/>
        <v>2.8571428571428572</v>
      </c>
      <c r="AT144" s="5">
        <f t="shared" si="469"/>
        <v>1.0320946176332091</v>
      </c>
      <c r="AU144" s="5">
        <f t="shared" si="343"/>
        <v>1.8250482395096481</v>
      </c>
      <c r="AV144" s="5"/>
      <c r="AW144" s="173">
        <f t="shared" si="344"/>
        <v>0.36123311617162318</v>
      </c>
      <c r="AX144" s="173">
        <f t="shared" si="435"/>
        <v>5.5842084277248611</v>
      </c>
      <c r="AY144" s="173">
        <f t="shared" si="436"/>
        <v>0.5208150905446215</v>
      </c>
      <c r="AZ144" s="173">
        <f t="shared" si="440"/>
        <v>10.722055733610558</v>
      </c>
      <c r="BA144" s="460">
        <f t="shared" si="433"/>
        <v>2.1932010624705698</v>
      </c>
      <c r="BB144" s="5">
        <f t="shared" si="434"/>
        <v>0.4363742410519062</v>
      </c>
      <c r="BD144" s="173">
        <f t="shared" si="441"/>
        <v>0.56585390055879436</v>
      </c>
      <c r="BE144" s="173">
        <f t="shared" si="437"/>
        <v>0.75245707740538637</v>
      </c>
      <c r="BG144" s="528">
        <f t="shared" si="347"/>
        <v>6.4038127355520395E-3</v>
      </c>
      <c r="BH144" s="528">
        <f t="shared" si="470"/>
        <v>0.36855969218901791</v>
      </c>
      <c r="BI144" s="528">
        <f t="shared" si="471"/>
        <v>0.15262608900399441</v>
      </c>
      <c r="BJ144" s="528">
        <f t="shared" si="350"/>
        <v>0.21581707439212081</v>
      </c>
      <c r="BK144">
        <f t="shared" si="351"/>
        <v>8.5318931741363326E-3</v>
      </c>
      <c r="BL144" s="460">
        <f t="shared" si="427"/>
        <v>161.15798217813074</v>
      </c>
      <c r="BM144" s="528">
        <f t="shared" si="472"/>
        <v>0.59341251313520038</v>
      </c>
      <c r="BN144" s="460">
        <f t="shared" si="353"/>
        <v>593.41251313520036</v>
      </c>
      <c r="BO144" s="528">
        <f t="shared" si="354"/>
        <v>0.23799999999999999</v>
      </c>
      <c r="BR144" s="460">
        <f t="shared" si="355"/>
        <v>238</v>
      </c>
      <c r="BS144" s="528">
        <f t="shared" si="356"/>
        <v>9.6057191033280583E-3</v>
      </c>
      <c r="BT144" s="528">
        <f t="shared" si="357"/>
        <v>1.6985749600123667E-2</v>
      </c>
      <c r="BU144" s="528">
        <f t="shared" si="358"/>
        <v>0.38910608404515939</v>
      </c>
      <c r="BV144" s="528"/>
      <c r="BW144" s="528">
        <f t="shared" si="359"/>
        <v>4.6535070231040511E-3</v>
      </c>
      <c r="BX144" s="460">
        <f t="shared" si="360"/>
        <v>420.3510597717152</v>
      </c>
      <c r="BY144" s="173">
        <f t="shared" si="361"/>
        <v>1.4102896212665366</v>
      </c>
      <c r="BZ144" s="5">
        <f t="shared" si="362"/>
        <v>5.44</v>
      </c>
      <c r="CA144" s="173">
        <f t="shared" si="363"/>
        <v>0.79412700787302026</v>
      </c>
      <c r="CB144" s="5">
        <f t="shared" si="364"/>
        <v>79.412700787302029</v>
      </c>
      <c r="CE144" s="562">
        <f t="shared" si="473"/>
        <v>-50</v>
      </c>
      <c r="CF144">
        <f t="shared" si="474"/>
        <v>-50</v>
      </c>
      <c r="CG144" s="173">
        <f t="shared" si="475"/>
        <v>0.42249260348555218</v>
      </c>
      <c r="CI144" s="170">
        <v>34</v>
      </c>
      <c r="CJ144" s="217">
        <f t="shared" si="428"/>
        <v>0.34</v>
      </c>
      <c r="CK144" s="217"/>
      <c r="CL144" s="217">
        <f t="shared" si="368"/>
        <v>5.44</v>
      </c>
      <c r="CM144" s="541">
        <f t="shared" si="369"/>
        <v>19</v>
      </c>
      <c r="CN144" s="443">
        <f t="shared" si="370"/>
        <v>16.399999999999999</v>
      </c>
      <c r="CO144" s="443">
        <f t="shared" si="371"/>
        <v>35.4</v>
      </c>
      <c r="CP144" s="443"/>
      <c r="CQ144" s="217">
        <f t="shared" si="372"/>
        <v>0.4632768361581921</v>
      </c>
      <c r="CR144" s="172">
        <f t="shared" si="429"/>
        <v>22.214703389830511</v>
      </c>
      <c r="CS144" s="172">
        <f t="shared" si="373"/>
        <v>5.44</v>
      </c>
      <c r="CT144" s="217">
        <f t="shared" si="374"/>
        <v>1.3884189618644069</v>
      </c>
      <c r="CU144" s="217">
        <f t="shared" si="375"/>
        <v>16</v>
      </c>
      <c r="CV144" s="217"/>
      <c r="CW144" s="172">
        <f t="shared" si="376"/>
        <v>120.76860487094072</v>
      </c>
      <c r="CX144" s="172">
        <f t="shared" si="377"/>
        <v>16</v>
      </c>
      <c r="CY144" s="217">
        <f t="shared" si="378"/>
        <v>1.2360462130937098</v>
      </c>
      <c r="CZ144" s="217">
        <f t="shared" si="379"/>
        <v>0.78066076616444835</v>
      </c>
      <c r="DA144" s="217">
        <f t="shared" si="380"/>
        <v>0.90442405836125117</v>
      </c>
      <c r="DB144" s="197">
        <f t="shared" si="381"/>
        <v>350</v>
      </c>
      <c r="DC144" s="443">
        <f t="shared" si="382"/>
        <v>350</v>
      </c>
      <c r="DE144" s="217">
        <f t="shared" si="383"/>
        <v>2.0957761635727734</v>
      </c>
      <c r="DF144" s="173">
        <f t="shared" si="384"/>
        <v>1.5334947538337369</v>
      </c>
      <c r="DG144" s="173">
        <f t="shared" si="385"/>
        <v>0.5624258066085126</v>
      </c>
      <c r="DH144" s="173"/>
      <c r="DI144" s="173">
        <f t="shared" si="386"/>
        <v>0.73170731707317083</v>
      </c>
      <c r="DJ144" s="545">
        <f t="shared" si="387"/>
        <v>929.33333333333326</v>
      </c>
      <c r="DK144" s="528">
        <f t="shared" si="388"/>
        <v>0.12804878048780488</v>
      </c>
      <c r="DM144" s="173">
        <f t="shared" si="389"/>
        <v>1.6294901335197141</v>
      </c>
      <c r="DN144" s="173">
        <f t="shared" si="390"/>
        <v>1.6294901335197141</v>
      </c>
      <c r="DO144" s="173">
        <f t="shared" si="391"/>
        <v>1.6662889877923808</v>
      </c>
      <c r="DQ144" s="545">
        <f t="shared" si="392"/>
        <v>340</v>
      </c>
      <c r="DR144" s="460">
        <f t="shared" si="393"/>
        <v>350</v>
      </c>
      <c r="DT144">
        <f t="shared" si="430"/>
        <v>340</v>
      </c>
      <c r="DU144">
        <f t="shared" si="431"/>
        <v>350</v>
      </c>
      <c r="DW144" s="5">
        <f t="shared" si="394"/>
        <v>2.8571428571428572</v>
      </c>
      <c r="DX144" s="5">
        <f t="shared" si="395"/>
        <v>1.029151663275609</v>
      </c>
      <c r="DY144" s="5">
        <f t="shared" si="396"/>
        <v>1.8279911938672482</v>
      </c>
      <c r="DZ144" s="5"/>
      <c r="EA144" s="173">
        <f t="shared" si="397"/>
        <v>0.36020308214646313</v>
      </c>
      <c r="EB144" s="173">
        <f t="shared" si="398"/>
        <v>5.5760000000000005</v>
      </c>
      <c r="EC144" s="173">
        <f t="shared" si="399"/>
        <v>0.5212713825493307</v>
      </c>
      <c r="ED144" s="173">
        <f t="shared" si="400"/>
        <v>10.696923304575067</v>
      </c>
      <c r="EE144" s="460">
        <f t="shared" si="401"/>
        <v>2.1869472844606692</v>
      </c>
      <c r="EF144" s="5">
        <f t="shared" si="402"/>
        <v>0.43615228485253643</v>
      </c>
      <c r="EH144" s="173">
        <f t="shared" si="403"/>
        <v>0.56463113201967707</v>
      </c>
      <c r="EI144" s="173">
        <f t="shared" si="404"/>
        <v>0.75250983371218694</v>
      </c>
      <c r="EK144" s="528">
        <f t="shared" si="405"/>
        <v>6.3761663049164401E-3</v>
      </c>
      <c r="EL144" s="528">
        <f t="shared" si="406"/>
        <v>0.38359827233187588</v>
      </c>
      <c r="EM144" s="528">
        <f t="shared" si="407"/>
        <v>4.0250000000000001E-2</v>
      </c>
      <c r="EN144" s="528">
        <f t="shared" si="408"/>
        <v>0.21601345499999997</v>
      </c>
      <c r="EO144">
        <f t="shared" si="409"/>
        <v>8.5500000000000003E-3</v>
      </c>
      <c r="EP144" s="460">
        <f t="shared" si="410"/>
        <v>48.800000000000004</v>
      </c>
      <c r="EQ144" s="460"/>
      <c r="ER144" s="460">
        <f t="shared" si="432"/>
        <v>654.78789363679221</v>
      </c>
      <c r="ES144" s="528">
        <f t="shared" si="411"/>
        <v>0.23799999999999999</v>
      </c>
      <c r="EV144" s="460">
        <f t="shared" si="412"/>
        <v>238</v>
      </c>
      <c r="EW144" s="528">
        <f t="shared" si="413"/>
        <v>9.5642494573746593E-3</v>
      </c>
      <c r="EX144" s="528">
        <f t="shared" si="414"/>
        <v>1.6988131495006296E-2</v>
      </c>
      <c r="EY144" s="528">
        <f t="shared" si="415"/>
        <v>0.3883912642700737</v>
      </c>
      <c r="EZ144" s="528"/>
      <c r="FA144" s="528">
        <f t="shared" si="416"/>
        <v>4.6466666666666661E-3</v>
      </c>
      <c r="FB144" s="460">
        <f t="shared" si="417"/>
        <v>419.59031188912132</v>
      </c>
      <c r="FC144" s="173">
        <f t="shared" si="418"/>
        <v>1.3123782055259137</v>
      </c>
      <c r="FD144" s="5">
        <f t="shared" si="419"/>
        <v>5.44</v>
      </c>
      <c r="FE144" s="173">
        <f t="shared" si="420"/>
        <v>0.80564207667575427</v>
      </c>
      <c r="FF144" s="5">
        <f t="shared" si="421"/>
        <v>80.564207667575431</v>
      </c>
      <c r="FI144" s="562">
        <f t="shared" si="422"/>
        <v>-50</v>
      </c>
      <c r="FJ144">
        <f t="shared" si="423"/>
        <v>-50</v>
      </c>
      <c r="FL144">
        <f t="shared" si="476"/>
        <v>0.41730844882821949</v>
      </c>
    </row>
    <row r="145" spans="5:168">
      <c r="E145" s="170">
        <v>35</v>
      </c>
      <c r="F145" s="217">
        <f t="shared" si="477"/>
        <v>0.35</v>
      </c>
      <c r="G145" s="217"/>
      <c r="H145" s="217">
        <f t="shared" si="442"/>
        <v>5.6</v>
      </c>
      <c r="I145" s="541">
        <f t="shared" si="443"/>
        <v>18.959175170953614</v>
      </c>
      <c r="J145" s="172">
        <f t="shared" si="444"/>
        <v>16.424494897427831</v>
      </c>
      <c r="K145" s="172">
        <f t="shared" si="445"/>
        <v>35.383670068381448</v>
      </c>
      <c r="L145" s="443"/>
      <c r="M145" s="217">
        <f t="shared" si="446"/>
        <v>0.46418751676519093</v>
      </c>
      <c r="N145" s="172">
        <f t="shared" si="447"/>
        <v>22.210545651812936</v>
      </c>
      <c r="O145" s="172">
        <f t="shared" si="438"/>
        <v>5.6</v>
      </c>
      <c r="P145" s="217">
        <f t="shared" si="448"/>
        <v>1.3881591032383085</v>
      </c>
      <c r="Q145" s="217">
        <f t="shared" si="449"/>
        <v>16</v>
      </c>
      <c r="R145" s="217"/>
      <c r="S145" s="172">
        <f t="shared" si="450"/>
        <v>116.52836202602889</v>
      </c>
      <c r="T145" s="172">
        <f t="shared" si="451"/>
        <v>16</v>
      </c>
      <c r="U145" s="217">
        <f t="shared" si="452"/>
        <v>1.3064271958987543</v>
      </c>
      <c r="V145" s="217">
        <f t="shared" si="453"/>
        <v>0.82688862829872356</v>
      </c>
      <c r="W145" s="217">
        <f t="shared" si="454"/>
        <v>0.95449671047358531</v>
      </c>
      <c r="X145" s="197">
        <f t="shared" si="455"/>
        <v>350</v>
      </c>
      <c r="Y145" s="443">
        <f t="shared" si="328"/>
        <v>350</v>
      </c>
      <c r="AA145" s="217">
        <f t="shared" si="456"/>
        <v>2.0953631142556479</v>
      </c>
      <c r="AB145" s="173">
        <f t="shared" si="457"/>
        <v>1.5309059747709821</v>
      </c>
      <c r="AC145" s="173">
        <f t="shared" si="458"/>
        <v>0.56136568441252299</v>
      </c>
      <c r="AD145" s="173"/>
      <c r="AE145" s="173">
        <f t="shared" si="459"/>
        <v>0.73061607525472638</v>
      </c>
      <c r="AF145" s="545">
        <f t="shared" si="460"/>
        <v>958.09553568328988</v>
      </c>
      <c r="AG145" s="528">
        <f t="shared" si="461"/>
        <v>0.12785781316957712</v>
      </c>
      <c r="AI145" s="173">
        <f t="shared" si="462"/>
        <v>1.654513770337972</v>
      </c>
      <c r="AJ145" s="173">
        <f t="shared" si="463"/>
        <v>1.654513770337972</v>
      </c>
      <c r="AK145" s="173">
        <f t="shared" si="464"/>
        <v>1.6848250150651645</v>
      </c>
      <c r="AM145" s="545">
        <f t="shared" si="465"/>
        <v>350</v>
      </c>
      <c r="AN145" s="460">
        <f t="shared" si="466"/>
        <v>350</v>
      </c>
      <c r="AP145" s="460">
        <f t="shared" si="467"/>
        <v>350</v>
      </c>
      <c r="AQ145" s="460">
        <f t="shared" si="468"/>
        <v>350</v>
      </c>
      <c r="AS145" s="5">
        <f t="shared" si="439"/>
        <v>2.8571428571428572</v>
      </c>
      <c r="AT145" s="5">
        <f t="shared" si="469"/>
        <v>1.0472061714200109</v>
      </c>
      <c r="AU145" s="5">
        <f t="shared" si="343"/>
        <v>1.8099366857228463</v>
      </c>
      <c r="AV145" s="5"/>
      <c r="AW145" s="173">
        <f t="shared" si="344"/>
        <v>0.36652215999700383</v>
      </c>
      <c r="AX145" s="173">
        <f t="shared" si="435"/>
        <v>5.7485732140997392</v>
      </c>
      <c r="AY145" s="173">
        <f t="shared" si="436"/>
        <v>0.52404890474445587</v>
      </c>
      <c r="AZ145" s="173">
        <f t="shared" si="440"/>
        <v>10.969535785792624</v>
      </c>
      <c r="BA145" s="460">
        <f t="shared" si="433"/>
        <v>2.2907634999812738</v>
      </c>
      <c r="BB145" s="5">
        <f t="shared" si="434"/>
        <v>0.44550309408925148</v>
      </c>
      <c r="BD145" s="173">
        <f t="shared" si="441"/>
        <v>0.57830890182136585</v>
      </c>
      <c r="BE145" s="173">
        <f t="shared" si="437"/>
        <v>0.76028333719749253</v>
      </c>
      <c r="BG145" s="528">
        <f t="shared" si="347"/>
        <v>6.6888237185166836E-3</v>
      </c>
      <c r="BH145" s="528">
        <f t="shared" si="470"/>
        <v>0.37394193937152348</v>
      </c>
      <c r="BI145" s="528">
        <f t="shared" si="471"/>
        <v>0.15262136012617661</v>
      </c>
      <c r="BJ145" s="528">
        <f t="shared" si="350"/>
        <v>0.21581420803170409</v>
      </c>
      <c r="BK145">
        <f t="shared" si="351"/>
        <v>8.5316288269291253E-3</v>
      </c>
      <c r="BL145" s="460">
        <f t="shared" si="427"/>
        <v>161.15298895310573</v>
      </c>
      <c r="BM145" s="528">
        <f t="shared" si="472"/>
        <v>0.59920324598216734</v>
      </c>
      <c r="BN145" s="460">
        <f t="shared" si="353"/>
        <v>599.20324598216735</v>
      </c>
      <c r="BO145" s="528">
        <f t="shared" si="354"/>
        <v>0.24499999999999997</v>
      </c>
      <c r="BR145" s="460">
        <f t="shared" si="355"/>
        <v>244.99999999999997</v>
      </c>
      <c r="BS145" s="528">
        <f t="shared" si="356"/>
        <v>1.0033235577775024E-2</v>
      </c>
      <c r="BT145" s="528">
        <f t="shared" si="357"/>
        <v>1.7340922584604682E-2</v>
      </c>
      <c r="BU145" s="528">
        <f t="shared" si="358"/>
        <v>0.40347448920656276</v>
      </c>
      <c r="BV145" s="528"/>
      <c r="BW145" s="528">
        <f t="shared" si="359"/>
        <v>4.7904776784164502E-3</v>
      </c>
      <c r="BX145" s="460">
        <f t="shared" si="360"/>
        <v>435.6391250473589</v>
      </c>
      <c r="BY145" s="173">
        <f t="shared" si="361"/>
        <v>1.4382370851222088</v>
      </c>
      <c r="BZ145" s="5">
        <f t="shared" si="362"/>
        <v>5.6</v>
      </c>
      <c r="CA145" s="173">
        <f t="shared" si="363"/>
        <v>0.79565378833821476</v>
      </c>
      <c r="CB145" s="5">
        <f t="shared" si="364"/>
        <v>79.56537883382147</v>
      </c>
      <c r="CE145" s="562">
        <f t="shared" si="473"/>
        <v>-50</v>
      </c>
      <c r="CF145">
        <f t="shared" si="474"/>
        <v>-50</v>
      </c>
      <c r="CG145" s="173">
        <f t="shared" si="475"/>
        <v>0.42866070498705616</v>
      </c>
      <c r="CI145" s="170">
        <v>35</v>
      </c>
      <c r="CJ145" s="217">
        <f t="shared" si="428"/>
        <v>0.35</v>
      </c>
      <c r="CK145" s="217"/>
      <c r="CL145" s="217">
        <f t="shared" si="368"/>
        <v>5.6</v>
      </c>
      <c r="CM145" s="541">
        <f t="shared" si="369"/>
        <v>19</v>
      </c>
      <c r="CN145" s="443">
        <f t="shared" si="370"/>
        <v>16.399999999999999</v>
      </c>
      <c r="CO145" s="443">
        <f t="shared" si="371"/>
        <v>35.4</v>
      </c>
      <c r="CP145" s="443"/>
      <c r="CQ145" s="217">
        <f t="shared" si="372"/>
        <v>0.4632768361581921</v>
      </c>
      <c r="CR145" s="172">
        <f t="shared" si="429"/>
        <v>22.214703389830511</v>
      </c>
      <c r="CS145" s="172">
        <f t="shared" si="373"/>
        <v>5.6</v>
      </c>
      <c r="CT145" s="217">
        <f t="shared" si="374"/>
        <v>1.3884189618644069</v>
      </c>
      <c r="CU145" s="217">
        <f t="shared" si="375"/>
        <v>16</v>
      </c>
      <c r="CV145" s="217"/>
      <c r="CW145" s="172">
        <f t="shared" si="376"/>
        <v>116.77914367246676</v>
      </c>
      <c r="CX145" s="172">
        <f t="shared" si="377"/>
        <v>16</v>
      </c>
      <c r="CY145" s="217">
        <f t="shared" si="378"/>
        <v>1.2724005134788188</v>
      </c>
      <c r="CZ145" s="217">
        <f t="shared" si="379"/>
        <v>0.80362137693399083</v>
      </c>
      <c r="DA145" s="217">
        <f t="shared" si="380"/>
        <v>0.9310247659601113</v>
      </c>
      <c r="DB145" s="197">
        <f t="shared" si="381"/>
        <v>350</v>
      </c>
      <c r="DC145" s="443">
        <f t="shared" si="382"/>
        <v>350</v>
      </c>
      <c r="DE145" s="217">
        <f t="shared" si="383"/>
        <v>2.0957761635727734</v>
      </c>
      <c r="DF145" s="173">
        <f t="shared" si="384"/>
        <v>1.5334947538337369</v>
      </c>
      <c r="DG145" s="173">
        <f t="shared" si="385"/>
        <v>0.5624258066085126</v>
      </c>
      <c r="DH145" s="173"/>
      <c r="DI145" s="173">
        <f t="shared" si="386"/>
        <v>0.73170731707317083</v>
      </c>
      <c r="DJ145" s="545">
        <f t="shared" si="387"/>
        <v>956.66666666666652</v>
      </c>
      <c r="DK145" s="528">
        <f t="shared" si="388"/>
        <v>0.12804878048780488</v>
      </c>
      <c r="DM145" s="173">
        <f t="shared" si="389"/>
        <v>1.6532795690182991</v>
      </c>
      <c r="DN145" s="173">
        <f t="shared" si="390"/>
        <v>1.6532795690182991</v>
      </c>
      <c r="DO145" s="173">
        <f t="shared" si="391"/>
        <v>1.6839107918654066</v>
      </c>
      <c r="DQ145" s="545">
        <f t="shared" si="392"/>
        <v>350</v>
      </c>
      <c r="DR145" s="460">
        <f t="shared" si="393"/>
        <v>350</v>
      </c>
      <c r="DT145">
        <f t="shared" si="430"/>
        <v>350</v>
      </c>
      <c r="DU145">
        <f t="shared" si="431"/>
        <v>350</v>
      </c>
      <c r="DW145" s="5">
        <f t="shared" si="394"/>
        <v>2.8571428571428572</v>
      </c>
      <c r="DX145" s="5">
        <f t="shared" si="395"/>
        <v>1.0441765699062941</v>
      </c>
      <c r="DY145" s="5">
        <f t="shared" si="396"/>
        <v>1.8129662872365631</v>
      </c>
      <c r="DZ145" s="5"/>
      <c r="EA145" s="173">
        <f t="shared" si="397"/>
        <v>0.36546179946720292</v>
      </c>
      <c r="EB145" s="173">
        <f t="shared" si="398"/>
        <v>5.7399999999999993</v>
      </c>
      <c r="EC145" s="173">
        <f t="shared" si="399"/>
        <v>0.52453452135125489</v>
      </c>
      <c r="ED145" s="173">
        <f t="shared" si="400"/>
        <v>10.943035713289506</v>
      </c>
      <c r="EE145" s="460">
        <f t="shared" si="401"/>
        <v>2.2841362466700184</v>
      </c>
      <c r="EF145" s="5">
        <f t="shared" si="402"/>
        <v>0.44528996528617326</v>
      </c>
      <c r="EH145" s="173">
        <f t="shared" si="403"/>
        <v>0.57704099176854784</v>
      </c>
      <c r="EI145" s="173">
        <f t="shared" si="404"/>
        <v>0.76035176394211224</v>
      </c>
      <c r="EK145" s="528">
        <f t="shared" si="405"/>
        <v>6.6595261236245861E-3</v>
      </c>
      <c r="EL145" s="528">
        <f t="shared" si="406"/>
        <v>0.38919854334259779</v>
      </c>
      <c r="EM145" s="528">
        <f t="shared" si="407"/>
        <v>4.0250000000000001E-2</v>
      </c>
      <c r="EN145" s="528">
        <f t="shared" si="408"/>
        <v>0.21601345499999997</v>
      </c>
      <c r="EO145">
        <f t="shared" si="409"/>
        <v>8.5500000000000003E-3</v>
      </c>
      <c r="EP145" s="460">
        <f t="shared" si="410"/>
        <v>48.800000000000004</v>
      </c>
      <c r="EQ145" s="460"/>
      <c r="ER145" s="460">
        <f t="shared" si="432"/>
        <v>660.67152446622231</v>
      </c>
      <c r="ES145" s="528">
        <f t="shared" si="411"/>
        <v>0.24499999999999997</v>
      </c>
      <c r="EV145" s="460">
        <f t="shared" si="412"/>
        <v>244.99999999999997</v>
      </c>
      <c r="EW145" s="528">
        <f t="shared" si="413"/>
        <v>9.9892891854368795E-3</v>
      </c>
      <c r="EX145" s="528">
        <f t="shared" si="414"/>
        <v>1.7344044147896445E-2</v>
      </c>
      <c r="EY145" s="528">
        <f t="shared" si="415"/>
        <v>0.40272247040809472</v>
      </c>
      <c r="EZ145" s="528"/>
      <c r="FA145" s="528">
        <f t="shared" si="416"/>
        <v>4.783333333333333E-3</v>
      </c>
      <c r="FB145" s="460">
        <f t="shared" si="417"/>
        <v>434.83913707476137</v>
      </c>
      <c r="FC145" s="173">
        <f t="shared" si="418"/>
        <v>1.3405106615409836</v>
      </c>
      <c r="FD145" s="5">
        <f t="shared" si="419"/>
        <v>5.6</v>
      </c>
      <c r="FE145" s="173">
        <f t="shared" si="420"/>
        <v>0.80685705607095004</v>
      </c>
      <c r="FF145" s="5">
        <f t="shared" si="421"/>
        <v>80.685705607095002</v>
      </c>
      <c r="FI145" s="562">
        <f t="shared" si="422"/>
        <v>-50</v>
      </c>
      <c r="FJ145">
        <f t="shared" si="423"/>
        <v>-50</v>
      </c>
      <c r="FL145">
        <f t="shared" si="476"/>
        <v>0.42340086523639375</v>
      </c>
    </row>
    <row r="146" spans="5:168">
      <c r="E146" s="170">
        <v>36</v>
      </c>
      <c r="F146" s="217">
        <f t="shared" si="477"/>
        <v>0.36</v>
      </c>
      <c r="G146" s="217"/>
      <c r="H146" s="217">
        <f t="shared" si="442"/>
        <v>5.76</v>
      </c>
      <c r="I146" s="541">
        <f t="shared" si="443"/>
        <v>18.958596066439458</v>
      </c>
      <c r="J146" s="172">
        <f t="shared" si="444"/>
        <v>16.424842360136324</v>
      </c>
      <c r="K146" s="172">
        <f t="shared" si="445"/>
        <v>35.383438426575779</v>
      </c>
      <c r="L146" s="443"/>
      <c r="M146" s="217">
        <f t="shared" si="446"/>
        <v>0.46420044079956058</v>
      </c>
      <c r="N146" s="172">
        <f t="shared" si="447"/>
        <v>22.210485607915857</v>
      </c>
      <c r="O146" s="172">
        <f t="shared" si="438"/>
        <v>5.76</v>
      </c>
      <c r="P146" s="217">
        <f t="shared" si="448"/>
        <v>1.388155350494741</v>
      </c>
      <c r="Q146" s="217">
        <f t="shared" si="449"/>
        <v>16</v>
      </c>
      <c r="R146" s="217"/>
      <c r="S146" s="172">
        <f t="shared" si="450"/>
        <v>112.76533308923213</v>
      </c>
      <c r="T146" s="172">
        <f t="shared" si="451"/>
        <v>16</v>
      </c>
      <c r="U146" s="217">
        <f t="shared" si="452"/>
        <v>1.3437860999259468</v>
      </c>
      <c r="V146" s="217">
        <f t="shared" si="453"/>
        <v>0.85056051316250325</v>
      </c>
      <c r="W146" s="217">
        <f t="shared" si="454"/>
        <v>0.98177095679459059</v>
      </c>
      <c r="X146" s="197">
        <f t="shared" si="455"/>
        <v>350</v>
      </c>
      <c r="Y146" s="443">
        <f t="shared" si="328"/>
        <v>350</v>
      </c>
      <c r="AA146" s="217">
        <f t="shared" si="456"/>
        <v>2.0953571555594031</v>
      </c>
      <c r="AB146" s="173">
        <f t="shared" si="457"/>
        <v>1.53086923547826</v>
      </c>
      <c r="AC146" s="173">
        <f t="shared" si="458"/>
        <v>0.5613506161873969</v>
      </c>
      <c r="AD146" s="173"/>
      <c r="AE146" s="173">
        <f t="shared" si="459"/>
        <v>0.73060061928657694</v>
      </c>
      <c r="AF146" s="545">
        <f t="shared" si="460"/>
        <v>985.49054160817934</v>
      </c>
      <c r="AG146" s="528">
        <f t="shared" si="461"/>
        <v>0.12785510837515096</v>
      </c>
      <c r="AI146" s="173">
        <f t="shared" si="462"/>
        <v>1.6780009719120117</v>
      </c>
      <c r="AJ146" s="173">
        <f t="shared" si="463"/>
        <v>1.6780009719120117</v>
      </c>
      <c r="AK146" s="173">
        <f t="shared" si="464"/>
        <v>1.7022229421570456</v>
      </c>
      <c r="AM146" s="545">
        <f t="shared" si="465"/>
        <v>360</v>
      </c>
      <c r="AN146" s="460">
        <f t="shared" si="466"/>
        <v>350</v>
      </c>
      <c r="AP146" s="460">
        <f t="shared" si="467"/>
        <v>360</v>
      </c>
      <c r="AQ146" s="460">
        <f t="shared" si="468"/>
        <v>350</v>
      </c>
      <c r="AS146" s="5">
        <f t="shared" si="439"/>
        <v>2.8571428571428572</v>
      </c>
      <c r="AT146" s="5">
        <f t="shared" si="469"/>
        <v>1.0621045773842372</v>
      </c>
      <c r="AU146" s="5">
        <f t="shared" si="343"/>
        <v>1.79503827975862</v>
      </c>
      <c r="AV146" s="5"/>
      <c r="AW146" s="173">
        <f t="shared" si="344"/>
        <v>0.371736602084483</v>
      </c>
      <c r="AX146" s="173">
        <f t="shared" si="435"/>
        <v>5.9129432496490777</v>
      </c>
      <c r="AY146" s="173">
        <f t="shared" si="436"/>
        <v>0.52711329615949021</v>
      </c>
      <c r="AZ146" s="173">
        <f t="shared" si="440"/>
        <v>11.217594571661083</v>
      </c>
      <c r="BA146" s="460">
        <f t="shared" si="433"/>
        <v>2.3897352991145335</v>
      </c>
      <c r="BB146" s="5">
        <f t="shared" si="434"/>
        <v>0.45447372329925623</v>
      </c>
      <c r="BD146" s="173">
        <f t="shared" si="441"/>
        <v>0.5906758883434351</v>
      </c>
      <c r="BE146" s="173">
        <f t="shared" si="437"/>
        <v>0.76789609681838622</v>
      </c>
      <c r="BG146" s="528">
        <f t="shared" si="347"/>
        <v>6.9779601014061249E-3</v>
      </c>
      <c r="BH146" s="528">
        <f t="shared" si="470"/>
        <v>0.37924787399318377</v>
      </c>
      <c r="BI146" s="528">
        <f t="shared" si="471"/>
        <v>0.15261669833483765</v>
      </c>
      <c r="BJ146" s="528">
        <f t="shared" si="350"/>
        <v>0.21581138235369482</v>
      </c>
      <c r="BK146">
        <f t="shared" si="351"/>
        <v>8.5313682298977563E-3</v>
      </c>
      <c r="BL146" s="460">
        <f t="shared" si="427"/>
        <v>161.14806656473542</v>
      </c>
      <c r="BM146" s="528">
        <f t="shared" si="472"/>
        <v>0.60492420782367295</v>
      </c>
      <c r="BN146" s="460">
        <f t="shared" si="353"/>
        <v>604.92420782367299</v>
      </c>
      <c r="BO146" s="528">
        <f t="shared" si="354"/>
        <v>0.252</v>
      </c>
      <c r="BR146" s="460">
        <f t="shared" si="355"/>
        <v>252</v>
      </c>
      <c r="BS146" s="528">
        <f t="shared" si="356"/>
        <v>1.0466940152109186E-2</v>
      </c>
      <c r="BT146" s="528">
        <f t="shared" si="357"/>
        <v>1.7689932465267368E-2</v>
      </c>
      <c r="BU146" s="528">
        <f t="shared" si="358"/>
        <v>0.41794644479071158</v>
      </c>
      <c r="BV146" s="528"/>
      <c r="BW146" s="528">
        <f t="shared" si="359"/>
        <v>4.9274527080408982E-3</v>
      </c>
      <c r="BX146" s="460">
        <f t="shared" si="360"/>
        <v>451.03077011612902</v>
      </c>
      <c r="BY146" s="173">
        <f t="shared" si="361"/>
        <v>1.4662160531291488</v>
      </c>
      <c r="BZ146" s="5">
        <f t="shared" si="362"/>
        <v>5.76</v>
      </c>
      <c r="CA146" s="173">
        <f t="shared" si="363"/>
        <v>0.79709767292465095</v>
      </c>
      <c r="CB146" s="5">
        <f t="shared" si="364"/>
        <v>79.709767292465088</v>
      </c>
      <c r="CE146" s="562">
        <f t="shared" si="473"/>
        <v>-50</v>
      </c>
      <c r="CF146">
        <f t="shared" si="474"/>
        <v>-50</v>
      </c>
      <c r="CG146" s="173">
        <f t="shared" si="475"/>
        <v>0.43474130238568315</v>
      </c>
      <c r="CI146" s="170">
        <v>36</v>
      </c>
      <c r="CJ146" s="217">
        <f t="shared" si="428"/>
        <v>0.36</v>
      </c>
      <c r="CK146" s="217"/>
      <c r="CL146" s="217">
        <f t="shared" si="368"/>
        <v>5.76</v>
      </c>
      <c r="CM146" s="541">
        <f t="shared" si="369"/>
        <v>19</v>
      </c>
      <c r="CN146" s="443">
        <f t="shared" si="370"/>
        <v>16.399999999999999</v>
      </c>
      <c r="CO146" s="443">
        <f t="shared" si="371"/>
        <v>35.4</v>
      </c>
      <c r="CP146" s="443"/>
      <c r="CQ146" s="217">
        <f t="shared" si="372"/>
        <v>0.4632768361581921</v>
      </c>
      <c r="CR146" s="172">
        <f t="shared" si="429"/>
        <v>22.214703389830511</v>
      </c>
      <c r="CS146" s="172">
        <f t="shared" si="373"/>
        <v>5.76</v>
      </c>
      <c r="CT146" s="217">
        <f t="shared" si="374"/>
        <v>1.3884189618644069</v>
      </c>
      <c r="CU146" s="217">
        <f t="shared" si="375"/>
        <v>16</v>
      </c>
      <c r="CV146" s="217"/>
      <c r="CW146" s="172">
        <f t="shared" si="376"/>
        <v>113.01145707435025</v>
      </c>
      <c r="CX146" s="172">
        <f t="shared" si="377"/>
        <v>16</v>
      </c>
      <c r="CY146" s="217">
        <f t="shared" si="378"/>
        <v>1.308754813863928</v>
      </c>
      <c r="CZ146" s="217">
        <f t="shared" si="379"/>
        <v>0.82658198770353342</v>
      </c>
      <c r="DA146" s="217">
        <f t="shared" si="380"/>
        <v>0.95762547355897176</v>
      </c>
      <c r="DB146" s="197">
        <f t="shared" si="381"/>
        <v>350</v>
      </c>
      <c r="DC146" s="443">
        <f t="shared" si="382"/>
        <v>350</v>
      </c>
      <c r="DE146" s="217">
        <f t="shared" si="383"/>
        <v>2.0957761635727734</v>
      </c>
      <c r="DF146" s="173">
        <f t="shared" si="384"/>
        <v>1.5334947538337369</v>
      </c>
      <c r="DG146" s="173">
        <f t="shared" si="385"/>
        <v>0.5624258066085126</v>
      </c>
      <c r="DH146" s="173"/>
      <c r="DI146" s="173">
        <f t="shared" si="386"/>
        <v>0.73170731707317083</v>
      </c>
      <c r="DJ146" s="545">
        <f t="shared" si="387"/>
        <v>983.99999999999989</v>
      </c>
      <c r="DK146" s="528">
        <f t="shared" si="388"/>
        <v>0.12804878048780488</v>
      </c>
      <c r="DM146" s="173">
        <f t="shared" si="389"/>
        <v>1.6767315144138526</v>
      </c>
      <c r="DN146" s="173">
        <f t="shared" si="390"/>
        <v>1.6767315144138526</v>
      </c>
      <c r="DO146" s="173">
        <f t="shared" si="391"/>
        <v>1.7012826032695205</v>
      </c>
      <c r="DQ146" s="545">
        <f t="shared" si="392"/>
        <v>360</v>
      </c>
      <c r="DR146" s="460">
        <f t="shared" si="393"/>
        <v>350</v>
      </c>
      <c r="DT146">
        <f t="shared" si="430"/>
        <v>360</v>
      </c>
      <c r="DU146">
        <f t="shared" si="431"/>
        <v>350</v>
      </c>
      <c r="DW146" s="5">
        <f t="shared" si="394"/>
        <v>2.8571428571428572</v>
      </c>
      <c r="DX146" s="5">
        <f t="shared" si="395"/>
        <v>1.0589883248929595</v>
      </c>
      <c r="DY146" s="5">
        <f t="shared" si="396"/>
        <v>1.7981545322498977</v>
      </c>
      <c r="DZ146" s="5"/>
      <c r="EA146" s="173">
        <f t="shared" si="397"/>
        <v>0.3706459137125358</v>
      </c>
      <c r="EB146" s="173">
        <f t="shared" si="398"/>
        <v>5.9039999999999999</v>
      </c>
      <c r="EC146" s="173">
        <f t="shared" si="399"/>
        <v>0.52762891510166321</v>
      </c>
      <c r="ED146" s="173">
        <f t="shared" si="400"/>
        <v>11.189682428345348</v>
      </c>
      <c r="EE146" s="460">
        <f t="shared" si="401"/>
        <v>2.3827237310091585</v>
      </c>
      <c r="EF146" s="5">
        <f t="shared" si="402"/>
        <v>0.45427061867365831</v>
      </c>
      <c r="EH146" s="173">
        <f t="shared" si="403"/>
        <v>0.58936251201182688</v>
      </c>
      <c r="EI146" s="173">
        <f t="shared" si="404"/>
        <v>0.76798091550374259</v>
      </c>
      <c r="EK146" s="528">
        <f t="shared" si="405"/>
        <v>6.9469634112978157E-3</v>
      </c>
      <c r="EL146" s="528">
        <f t="shared" si="406"/>
        <v>0.39471936580816508</v>
      </c>
      <c r="EM146" s="528">
        <f t="shared" si="407"/>
        <v>4.0250000000000001E-2</v>
      </c>
      <c r="EN146" s="528">
        <f t="shared" si="408"/>
        <v>0.21601345499999997</v>
      </c>
      <c r="EO146">
        <f t="shared" si="409"/>
        <v>8.5500000000000003E-3</v>
      </c>
      <c r="EP146" s="460">
        <f t="shared" si="410"/>
        <v>48.800000000000004</v>
      </c>
      <c r="EQ146" s="460"/>
      <c r="ER146" s="460">
        <f t="shared" si="432"/>
        <v>666.47978421946289</v>
      </c>
      <c r="ES146" s="528">
        <f t="shared" si="411"/>
        <v>0.252</v>
      </c>
      <c r="EV146" s="460">
        <f t="shared" si="412"/>
        <v>252</v>
      </c>
      <c r="EW146" s="528">
        <f t="shared" si="413"/>
        <v>1.0420445116946722E-2</v>
      </c>
      <c r="EX146" s="528">
        <f t="shared" si="414"/>
        <v>1.7693840597338997E-2</v>
      </c>
      <c r="EY146" s="528">
        <f t="shared" si="415"/>
        <v>0.41715642104557171</v>
      </c>
      <c r="EZ146" s="528"/>
      <c r="FA146" s="528">
        <f t="shared" si="416"/>
        <v>4.9199999999999999E-3</v>
      </c>
      <c r="FB146" s="460">
        <f t="shared" si="417"/>
        <v>450.19070675985739</v>
      </c>
      <c r="FC146" s="173">
        <f t="shared" si="418"/>
        <v>1.3686704909793204</v>
      </c>
      <c r="FD146" s="5">
        <f t="shared" si="419"/>
        <v>5.76</v>
      </c>
      <c r="FE146" s="173">
        <f t="shared" si="420"/>
        <v>0.80800480360100146</v>
      </c>
      <c r="FF146" s="5">
        <f t="shared" si="421"/>
        <v>80.800480360100153</v>
      </c>
      <c r="FI146" s="562">
        <f t="shared" si="422"/>
        <v>-50</v>
      </c>
      <c r="FJ146">
        <f t="shared" si="423"/>
        <v>-50</v>
      </c>
      <c r="FL146">
        <f t="shared" si="476"/>
        <v>0.42940685125232808</v>
      </c>
    </row>
    <row r="147" spans="5:168">
      <c r="E147" s="170">
        <v>37</v>
      </c>
      <c r="F147" s="217">
        <f t="shared" si="477"/>
        <v>0.37</v>
      </c>
      <c r="G147" s="217"/>
      <c r="H147" s="217">
        <f t="shared" si="442"/>
        <v>5.92</v>
      </c>
      <c r="I147" s="541">
        <f t="shared" si="443"/>
        <v>18.958024950721832</v>
      </c>
      <c r="J147" s="172">
        <f t="shared" si="444"/>
        <v>16.425185029566901</v>
      </c>
      <c r="K147" s="172">
        <f t="shared" si="445"/>
        <v>35.383209980288733</v>
      </c>
      <c r="L147" s="443"/>
      <c r="M147" s="217">
        <f t="shared" si="446"/>
        <v>0.46421318670840894</v>
      </c>
      <c r="N147" s="172">
        <f t="shared" si="447"/>
        <v>22.210426363111985</v>
      </c>
      <c r="O147" s="172">
        <f t="shared" si="438"/>
        <v>5.92</v>
      </c>
      <c r="P147" s="217">
        <f t="shared" si="448"/>
        <v>1.3881516476944991</v>
      </c>
      <c r="Q147" s="217">
        <f t="shared" si="449"/>
        <v>16</v>
      </c>
      <c r="R147" s="217"/>
      <c r="S147" s="172">
        <f t="shared" si="450"/>
        <v>109.20592436209922</v>
      </c>
      <c r="T147" s="172">
        <f t="shared" si="451"/>
        <v>16</v>
      </c>
      <c r="U147" s="217">
        <f t="shared" si="452"/>
        <v>1.3811463470962098</v>
      </c>
      <c r="V147" s="217">
        <f t="shared" si="453"/>
        <v>0.87423432600364148</v>
      </c>
      <c r="W147" s="217">
        <f t="shared" si="454"/>
        <v>1.0090453249275533</v>
      </c>
      <c r="X147" s="197">
        <f t="shared" si="455"/>
        <v>350</v>
      </c>
      <c r="Y147" s="443">
        <f t="shared" si="328"/>
        <v>350</v>
      </c>
      <c r="AA147" s="217">
        <f t="shared" si="456"/>
        <v>2.0953512763352511</v>
      </c>
      <c r="AB147" s="173">
        <f t="shared" si="457"/>
        <v>1.530833002536107</v>
      </c>
      <c r="AC147" s="173">
        <f t="shared" si="458"/>
        <v>0.5613357550010275</v>
      </c>
      <c r="AD147" s="173"/>
      <c r="AE147" s="173">
        <f t="shared" si="459"/>
        <v>0.73058537717528627</v>
      </c>
      <c r="AF147" s="545">
        <f t="shared" si="460"/>
        <v>1012.8864101566254</v>
      </c>
      <c r="AG147" s="528">
        <f t="shared" si="461"/>
        <v>0.12785244100567511</v>
      </c>
      <c r="AI147" s="173">
        <f t="shared" si="462"/>
        <v>1.7011646516066787</v>
      </c>
      <c r="AJ147" s="173">
        <f t="shared" si="463"/>
        <v>1.7011646516066787</v>
      </c>
      <c r="AK147" s="173">
        <f t="shared" si="464"/>
        <v>1.7193812234123547</v>
      </c>
      <c r="AM147" s="545">
        <f t="shared" si="465"/>
        <v>370</v>
      </c>
      <c r="AN147" s="460">
        <f t="shared" si="466"/>
        <v>350</v>
      </c>
      <c r="AP147" s="460">
        <f t="shared" si="467"/>
        <v>370</v>
      </c>
      <c r="AQ147" s="460">
        <f t="shared" si="468"/>
        <v>350</v>
      </c>
      <c r="AS147" s="5">
        <f t="shared" si="439"/>
        <v>2.8571428571428572</v>
      </c>
      <c r="AT147" s="5">
        <f t="shared" si="469"/>
        <v>1.0767986576841635</v>
      </c>
      <c r="AU147" s="5">
        <f t="shared" si="343"/>
        <v>1.7803441994586937</v>
      </c>
      <c r="AV147" s="5"/>
      <c r="AW147" s="173">
        <f t="shared" si="344"/>
        <v>0.37687953018945719</v>
      </c>
      <c r="AX147" s="173">
        <f t="shared" si="435"/>
        <v>6.0773184609397521</v>
      </c>
      <c r="AY147" s="173">
        <f t="shared" si="436"/>
        <v>0.53001525846712105</v>
      </c>
      <c r="AZ147" s="173">
        <f t="shared" si="440"/>
        <v>11.466308495563345</v>
      </c>
      <c r="BA147" s="460">
        <f t="shared" si="433"/>
        <v>2.4900968958946277</v>
      </c>
      <c r="BB147" s="5">
        <f t="shared" si="434"/>
        <v>0.46328831230184686</v>
      </c>
      <c r="BD147" s="173">
        <f t="shared" si="441"/>
        <v>0.60295791087028761</v>
      </c>
      <c r="BE147" s="173">
        <f t="shared" si="437"/>
        <v>0.77530347714790315</v>
      </c>
      <c r="BG147" s="528">
        <f t="shared" si="347"/>
        <v>7.2711648456212346E-3</v>
      </c>
      <c r="BH147" s="528">
        <f t="shared" si="470"/>
        <v>0.38448065457861502</v>
      </c>
      <c r="BI147" s="528">
        <f t="shared" si="471"/>
        <v>0.15261210085331076</v>
      </c>
      <c r="BJ147" s="528">
        <f t="shared" si="350"/>
        <v>0.21580859567427407</v>
      </c>
      <c r="BK147">
        <f t="shared" si="351"/>
        <v>8.5311112278248242E-3</v>
      </c>
      <c r="BL147" s="460">
        <f t="shared" si="427"/>
        <v>161.14321208113557</v>
      </c>
      <c r="BM147" s="528">
        <f t="shared" si="472"/>
        <v>0.61057848255800173</v>
      </c>
      <c r="BN147" s="460">
        <f t="shared" si="353"/>
        <v>610.57848255800172</v>
      </c>
      <c r="BO147" s="528">
        <f t="shared" si="354"/>
        <v>0.25900000000000001</v>
      </c>
      <c r="BR147" s="460">
        <f t="shared" si="355"/>
        <v>259</v>
      </c>
      <c r="BS147" s="528">
        <f t="shared" si="356"/>
        <v>1.0906747268431851E-2</v>
      </c>
      <c r="BT147" s="528">
        <f t="shared" si="357"/>
        <v>1.8032864450328874E-2</v>
      </c>
      <c r="BU147" s="528">
        <f t="shared" si="358"/>
        <v>0.4325197966228469</v>
      </c>
      <c r="BV147" s="528"/>
      <c r="BW147" s="528">
        <f t="shared" si="359"/>
        <v>5.0644320507831266E-3</v>
      </c>
      <c r="BX147" s="460">
        <f t="shared" si="360"/>
        <v>466.52384039239075</v>
      </c>
      <c r="BY147" s="173">
        <f t="shared" si="361"/>
        <v>1.4942274675720366</v>
      </c>
      <c r="BZ147" s="5">
        <f t="shared" si="362"/>
        <v>5.92</v>
      </c>
      <c r="CA147" s="173">
        <f t="shared" si="363"/>
        <v>0.79846484693012032</v>
      </c>
      <c r="CB147" s="5">
        <f t="shared" si="364"/>
        <v>79.84648469301203</v>
      </c>
      <c r="CE147" s="562">
        <f t="shared" si="473"/>
        <v>-50</v>
      </c>
      <c r="CF147">
        <f t="shared" si="474"/>
        <v>-50</v>
      </c>
      <c r="CG147" s="173">
        <f t="shared" si="475"/>
        <v>0.44073801742078028</v>
      </c>
      <c r="CI147" s="170">
        <v>37</v>
      </c>
      <c r="CJ147" s="217">
        <f t="shared" si="428"/>
        <v>0.37</v>
      </c>
      <c r="CK147" s="217"/>
      <c r="CL147" s="217">
        <f t="shared" si="368"/>
        <v>5.92</v>
      </c>
      <c r="CM147" s="541">
        <f t="shared" si="369"/>
        <v>19</v>
      </c>
      <c r="CN147" s="443">
        <f t="shared" si="370"/>
        <v>16.399999999999999</v>
      </c>
      <c r="CO147" s="443">
        <f t="shared" si="371"/>
        <v>35.4</v>
      </c>
      <c r="CP147" s="443"/>
      <c r="CQ147" s="217">
        <f t="shared" si="372"/>
        <v>0.4632768361581921</v>
      </c>
      <c r="CR147" s="172">
        <f t="shared" si="429"/>
        <v>22.214703389830511</v>
      </c>
      <c r="CS147" s="172">
        <f t="shared" si="373"/>
        <v>5.92</v>
      </c>
      <c r="CT147" s="217">
        <f t="shared" si="374"/>
        <v>1.3884189618644069</v>
      </c>
      <c r="CU147" s="217">
        <f t="shared" si="375"/>
        <v>16</v>
      </c>
      <c r="CV147" s="217"/>
      <c r="CW147" s="172">
        <f t="shared" si="376"/>
        <v>109.44756516452712</v>
      </c>
      <c r="CX147" s="172">
        <f t="shared" si="377"/>
        <v>16</v>
      </c>
      <c r="CY147" s="217">
        <f t="shared" si="378"/>
        <v>1.345109114249037</v>
      </c>
      <c r="CZ147" s="217">
        <f t="shared" si="379"/>
        <v>0.84954259847307612</v>
      </c>
      <c r="DA147" s="217">
        <f t="shared" si="380"/>
        <v>0.98422618115783211</v>
      </c>
      <c r="DB147" s="197">
        <f t="shared" si="381"/>
        <v>350</v>
      </c>
      <c r="DC147" s="443">
        <f t="shared" si="382"/>
        <v>350</v>
      </c>
      <c r="DE147" s="217">
        <f t="shared" si="383"/>
        <v>2.0957761635727734</v>
      </c>
      <c r="DF147" s="173">
        <f t="shared" si="384"/>
        <v>1.5334947538337369</v>
      </c>
      <c r="DG147" s="173">
        <f t="shared" si="385"/>
        <v>0.5624258066085126</v>
      </c>
      <c r="DH147" s="173"/>
      <c r="DI147" s="173">
        <f t="shared" si="386"/>
        <v>0.73170731707317083</v>
      </c>
      <c r="DJ147" s="545">
        <f t="shared" si="387"/>
        <v>1011.3333333333331</v>
      </c>
      <c r="DK147" s="528">
        <f t="shared" si="388"/>
        <v>0.12804878048780488</v>
      </c>
      <c r="DM147" s="173">
        <f t="shared" si="389"/>
        <v>1.6998599382077952</v>
      </c>
      <c r="DN147" s="173">
        <f t="shared" si="390"/>
        <v>1.6998599382077952</v>
      </c>
      <c r="DO147" s="173">
        <f t="shared" si="391"/>
        <v>1.7184147690428113</v>
      </c>
      <c r="DQ147" s="545">
        <f t="shared" si="392"/>
        <v>370</v>
      </c>
      <c r="DR147" s="460">
        <f t="shared" si="393"/>
        <v>350</v>
      </c>
      <c r="DT147">
        <f t="shared" si="430"/>
        <v>370</v>
      </c>
      <c r="DU147">
        <f t="shared" si="431"/>
        <v>350</v>
      </c>
      <c r="DW147" s="5">
        <f t="shared" si="394"/>
        <v>2.8571428571428572</v>
      </c>
      <c r="DX147" s="5">
        <f t="shared" si="395"/>
        <v>1.0735957504470286</v>
      </c>
      <c r="DY147" s="5">
        <f t="shared" si="396"/>
        <v>1.7835471066958286</v>
      </c>
      <c r="DZ147" s="5"/>
      <c r="EA147" s="173">
        <f t="shared" si="397"/>
        <v>0.37575851265645999</v>
      </c>
      <c r="EB147" s="173">
        <f t="shared" si="398"/>
        <v>6.0679999999999996</v>
      </c>
      <c r="EC147" s="173">
        <f t="shared" si="399"/>
        <v>0.5305615480512661</v>
      </c>
      <c r="ED147" s="173">
        <f t="shared" si="400"/>
        <v>11.436938885389546</v>
      </c>
      <c r="EE147" s="460">
        <f t="shared" si="401"/>
        <v>2.4826901729087534</v>
      </c>
      <c r="EF147" s="5">
        <f t="shared" si="402"/>
        <v>0.46309644173856601</v>
      </c>
      <c r="EH147" s="173">
        <f t="shared" si="403"/>
        <v>0.60159875026246934</v>
      </c>
      <c r="EI147" s="173">
        <f t="shared" si="404"/>
        <v>0.77540540806550884</v>
      </c>
      <c r="EK147" s="528">
        <f t="shared" si="405"/>
        <v>7.238421126347299E-3</v>
      </c>
      <c r="EL147" s="528">
        <f t="shared" si="406"/>
        <v>0.4001640280534971</v>
      </c>
      <c r="EM147" s="528">
        <f t="shared" si="407"/>
        <v>4.0250000000000001E-2</v>
      </c>
      <c r="EN147" s="528">
        <f t="shared" si="408"/>
        <v>0.21601345499999997</v>
      </c>
      <c r="EO147">
        <f t="shared" si="409"/>
        <v>8.5500000000000003E-3</v>
      </c>
      <c r="EP147" s="460">
        <f t="shared" si="410"/>
        <v>48.800000000000004</v>
      </c>
      <c r="EQ147" s="460"/>
      <c r="ER147" s="460">
        <f t="shared" si="432"/>
        <v>672.2159041798443</v>
      </c>
      <c r="ES147" s="528">
        <f t="shared" si="411"/>
        <v>0.25900000000000001</v>
      </c>
      <c r="EV147" s="460">
        <f t="shared" si="412"/>
        <v>259</v>
      </c>
      <c r="EW147" s="528">
        <f t="shared" si="413"/>
        <v>1.0857631689520947E-2</v>
      </c>
      <c r="EX147" s="528">
        <f t="shared" si="414"/>
        <v>1.8037606405717149E-2</v>
      </c>
      <c r="EY147" s="528">
        <f t="shared" si="415"/>
        <v>0.43169096766009485</v>
      </c>
      <c r="EZ147" s="528"/>
      <c r="FA147" s="528">
        <f t="shared" si="416"/>
        <v>5.0566666666666659E-3</v>
      </c>
      <c r="FB147" s="460">
        <f t="shared" si="417"/>
        <v>465.64287242199958</v>
      </c>
      <c r="FC147" s="173">
        <f t="shared" si="418"/>
        <v>1.3968587766018439</v>
      </c>
      <c r="FD147" s="5">
        <f t="shared" si="419"/>
        <v>5.92</v>
      </c>
      <c r="FE147" s="173">
        <f t="shared" si="420"/>
        <v>0.80909037344430135</v>
      </c>
      <c r="FF147" s="5">
        <f t="shared" si="421"/>
        <v>80.909037344430132</v>
      </c>
      <c r="FI147" s="562">
        <f t="shared" si="422"/>
        <v>-50</v>
      </c>
      <c r="FJ147">
        <f t="shared" si="423"/>
        <v>-50</v>
      </c>
      <c r="FL147">
        <f t="shared" si="476"/>
        <v>0.43532998417516711</v>
      </c>
    </row>
    <row r="148" spans="5:168">
      <c r="E148" s="170">
        <v>38</v>
      </c>
      <c r="F148" s="217">
        <f t="shared" si="477"/>
        <v>0.38</v>
      </c>
      <c r="G148" s="217"/>
      <c r="H148" s="217">
        <f t="shared" si="442"/>
        <v>6.08</v>
      </c>
      <c r="I148" s="541">
        <f t="shared" si="443"/>
        <v>18.957461502030235</v>
      </c>
      <c r="J148" s="172">
        <f t="shared" si="444"/>
        <v>16.425523098781859</v>
      </c>
      <c r="K148" s="172">
        <f t="shared" si="445"/>
        <v>35.382984600812094</v>
      </c>
      <c r="L148" s="443"/>
      <c r="M148" s="217">
        <f t="shared" si="446"/>
        <v>0.46422576166622859</v>
      </c>
      <c r="N148" s="172">
        <f t="shared" si="447"/>
        <v>22.210367885215138</v>
      </c>
      <c r="O148" s="172">
        <f t="shared" si="438"/>
        <v>6.08</v>
      </c>
      <c r="P148" s="217">
        <f t="shared" si="448"/>
        <v>1.3881479928259461</v>
      </c>
      <c r="Q148" s="217">
        <f t="shared" si="449"/>
        <v>16</v>
      </c>
      <c r="R148" s="217"/>
      <c r="S148" s="172">
        <f t="shared" si="450"/>
        <v>105.83405993424621</v>
      </c>
      <c r="T148" s="172">
        <f t="shared" si="451"/>
        <v>16</v>
      </c>
      <c r="U148" s="217">
        <f t="shared" si="452"/>
        <v>1.418507919237697</v>
      </c>
      <c r="V148" s="217">
        <f t="shared" si="453"/>
        <v>0.89791004080527326</v>
      </c>
      <c r="W148" s="217">
        <f t="shared" si="454"/>
        <v>1.0363198132858704</v>
      </c>
      <c r="X148" s="197">
        <f t="shared" si="455"/>
        <v>350</v>
      </c>
      <c r="Y148" s="443">
        <f t="shared" si="328"/>
        <v>350</v>
      </c>
      <c r="AA148" s="217">
        <f t="shared" si="456"/>
        <v>2.0953454733821859</v>
      </c>
      <c r="AB148" s="173">
        <f t="shared" si="457"/>
        <v>1.5307972555498679</v>
      </c>
      <c r="AC148" s="173">
        <f t="shared" si="458"/>
        <v>0.56132109251440054</v>
      </c>
      <c r="AD148" s="173"/>
      <c r="AE148" s="173">
        <f t="shared" si="459"/>
        <v>0.73057034030714907</v>
      </c>
      <c r="AF148" s="545">
        <f t="shared" si="460"/>
        <v>1040.2831295895178</v>
      </c>
      <c r="AG148" s="528">
        <f t="shared" si="461"/>
        <v>0.12784980955375111</v>
      </c>
      <c r="AI148" s="173">
        <f t="shared" si="462"/>
        <v>1.7240178401376558</v>
      </c>
      <c r="AJ148" s="173">
        <f t="shared" si="463"/>
        <v>1.7240178401376558</v>
      </c>
      <c r="AK148" s="173">
        <f t="shared" si="464"/>
        <v>1.7363095112130784</v>
      </c>
      <c r="AM148" s="545">
        <f t="shared" si="465"/>
        <v>380</v>
      </c>
      <c r="AN148" s="460">
        <f t="shared" si="466"/>
        <v>350</v>
      </c>
      <c r="AP148" s="460">
        <f t="shared" si="467"/>
        <v>380</v>
      </c>
      <c r="AQ148" s="460">
        <f t="shared" si="468"/>
        <v>350</v>
      </c>
      <c r="AS148" s="5">
        <f t="shared" si="439"/>
        <v>2.8571428571428572</v>
      </c>
      <c r="AT148" s="5">
        <f t="shared" si="469"/>
        <v>1.0912966421921142</v>
      </c>
      <c r="AU148" s="5">
        <f t="shared" si="343"/>
        <v>1.765846214950743</v>
      </c>
      <c r="AV148" s="5"/>
      <c r="AW148" s="173">
        <f t="shared" si="344"/>
        <v>0.38195382476723994</v>
      </c>
      <c r="AX148" s="173">
        <f t="shared" si="435"/>
        <v>6.2416987775371053</v>
      </c>
      <c r="AY148" s="173">
        <f t="shared" si="436"/>
        <v>0.53276131606506105</v>
      </c>
      <c r="AZ148" s="173">
        <f t="shared" si="440"/>
        <v>11.71575072987256</v>
      </c>
      <c r="BA148" s="460">
        <f t="shared" si="433"/>
        <v>2.5918295252062711</v>
      </c>
      <c r="BB148" s="5">
        <f t="shared" si="434"/>
        <v>0.47194895554936306</v>
      </c>
      <c r="BD148" s="173">
        <f t="shared" si="441"/>
        <v>0.61515783509875044</v>
      </c>
      <c r="BE148" s="173">
        <f t="shared" si="437"/>
        <v>0.7825130514061226</v>
      </c>
      <c r="BG148" s="528">
        <f t="shared" si="347"/>
        <v>7.5683832416676292E-3</v>
      </c>
      <c r="BH148" s="528">
        <f t="shared" si="470"/>
        <v>0.38964322760172848</v>
      </c>
      <c r="BI148" s="528">
        <f t="shared" si="471"/>
        <v>0.15260756509134341</v>
      </c>
      <c r="BJ148" s="528">
        <f t="shared" si="350"/>
        <v>0.21580584642266759</v>
      </c>
      <c r="BK148">
        <f t="shared" si="351"/>
        <v>8.5308576759136057E-3</v>
      </c>
      <c r="BL148" s="460">
        <f t="shared" si="427"/>
        <v>161.138422767257</v>
      </c>
      <c r="BM148" s="528">
        <f t="shared" si="472"/>
        <v>0.61616894522737087</v>
      </c>
      <c r="BN148" s="460">
        <f t="shared" si="353"/>
        <v>616.16894522737084</v>
      </c>
      <c r="BO148" s="528">
        <f t="shared" si="354"/>
        <v>0.26599999999999996</v>
      </c>
      <c r="BR148" s="460">
        <f t="shared" si="355"/>
        <v>265.99999999999994</v>
      </c>
      <c r="BS148" s="528">
        <f t="shared" si="356"/>
        <v>1.1352574862501442E-2</v>
      </c>
      <c r="BT148" s="528">
        <f t="shared" si="357"/>
        <v>1.8369800268627629E-2</v>
      </c>
      <c r="BU148" s="528">
        <f t="shared" si="358"/>
        <v>0.44719249272465444</v>
      </c>
      <c r="BV148" s="528"/>
      <c r="BW148" s="528">
        <f t="shared" si="359"/>
        <v>5.201415647947588E-3</v>
      </c>
      <c r="BX148" s="460">
        <f t="shared" si="360"/>
        <v>482.1162835037311</v>
      </c>
      <c r="BY148" s="173">
        <f t="shared" si="361"/>
        <v>1.5222721635370517</v>
      </c>
      <c r="BZ148" s="5">
        <f t="shared" si="362"/>
        <v>6.08</v>
      </c>
      <c r="CA148" s="173">
        <f t="shared" si="363"/>
        <v>0.79976089637538106</v>
      </c>
      <c r="CB148" s="5">
        <f t="shared" si="364"/>
        <v>79.976089637538109</v>
      </c>
      <c r="CE148" s="562">
        <f t="shared" si="473"/>
        <v>-50</v>
      </c>
      <c r="CF148">
        <f t="shared" si="474"/>
        <v>-50</v>
      </c>
      <c r="CG148" s="173">
        <f t="shared" si="475"/>
        <v>0.4466542286825459</v>
      </c>
      <c r="CI148" s="170">
        <v>38</v>
      </c>
      <c r="CJ148" s="217">
        <f t="shared" si="428"/>
        <v>0.38</v>
      </c>
      <c r="CK148" s="217"/>
      <c r="CL148" s="217">
        <f t="shared" si="368"/>
        <v>6.08</v>
      </c>
      <c r="CM148" s="541">
        <f t="shared" si="369"/>
        <v>19</v>
      </c>
      <c r="CN148" s="443">
        <f t="shared" si="370"/>
        <v>16.399999999999999</v>
      </c>
      <c r="CO148" s="443">
        <f t="shared" si="371"/>
        <v>35.4</v>
      </c>
      <c r="CP148" s="443"/>
      <c r="CQ148" s="217">
        <f t="shared" si="372"/>
        <v>0.4632768361581921</v>
      </c>
      <c r="CR148" s="172">
        <f t="shared" si="429"/>
        <v>22.214703389830511</v>
      </c>
      <c r="CS148" s="172">
        <f t="shared" si="373"/>
        <v>6.08</v>
      </c>
      <c r="CT148" s="217">
        <f t="shared" si="374"/>
        <v>1.3884189618644069</v>
      </c>
      <c r="CU148" s="217">
        <f t="shared" si="375"/>
        <v>16</v>
      </c>
      <c r="CV148" s="217"/>
      <c r="CW148" s="172">
        <f t="shared" si="376"/>
        <v>106.07138068419103</v>
      </c>
      <c r="CX148" s="172">
        <f t="shared" si="377"/>
        <v>16</v>
      </c>
      <c r="CY148" s="217">
        <f t="shared" si="378"/>
        <v>1.3814634146341462</v>
      </c>
      <c r="CZ148" s="217">
        <f t="shared" si="379"/>
        <v>0.8725032092426187</v>
      </c>
      <c r="DA148" s="217">
        <f t="shared" si="380"/>
        <v>1.0108268887566925</v>
      </c>
      <c r="DB148" s="197">
        <f t="shared" si="381"/>
        <v>350</v>
      </c>
      <c r="DC148" s="443">
        <f t="shared" si="382"/>
        <v>350</v>
      </c>
      <c r="DE148" s="217">
        <f t="shared" si="383"/>
        <v>2.0957761635727734</v>
      </c>
      <c r="DF148" s="173">
        <f t="shared" si="384"/>
        <v>1.5334947538337369</v>
      </c>
      <c r="DG148" s="173">
        <f t="shared" si="385"/>
        <v>0.5624258066085126</v>
      </c>
      <c r="DH148" s="173"/>
      <c r="DI148" s="173">
        <f t="shared" si="386"/>
        <v>0.73170731707317083</v>
      </c>
      <c r="DJ148" s="545">
        <f t="shared" si="387"/>
        <v>1038.6666666666665</v>
      </c>
      <c r="DK148" s="528">
        <f t="shared" si="388"/>
        <v>0.12804878048780488</v>
      </c>
      <c r="DM148" s="173">
        <f t="shared" si="389"/>
        <v>1.7226778711120216</v>
      </c>
      <c r="DN148" s="173">
        <f t="shared" si="390"/>
        <v>1.7226778711120216</v>
      </c>
      <c r="DO148" s="173">
        <f t="shared" si="391"/>
        <v>1.7353169415644603</v>
      </c>
      <c r="DQ148" s="545">
        <f t="shared" si="392"/>
        <v>380</v>
      </c>
      <c r="DR148" s="460">
        <f t="shared" si="393"/>
        <v>350</v>
      </c>
      <c r="DT148">
        <f t="shared" si="430"/>
        <v>380</v>
      </c>
      <c r="DU148">
        <f t="shared" si="431"/>
        <v>350</v>
      </c>
      <c r="DW148" s="5">
        <f t="shared" si="394"/>
        <v>2.8571428571428572</v>
      </c>
      <c r="DX148" s="5">
        <f t="shared" si="395"/>
        <v>1.0880070764918031</v>
      </c>
      <c r="DY148" s="5">
        <f t="shared" si="396"/>
        <v>1.7691357806510541</v>
      </c>
      <c r="DZ148" s="5"/>
      <c r="EA148" s="173">
        <f t="shared" si="397"/>
        <v>0.38080247677213108</v>
      </c>
      <c r="EB148" s="173">
        <f t="shared" si="398"/>
        <v>6.2319999999999984</v>
      </c>
      <c r="EC148" s="173">
        <f t="shared" si="399"/>
        <v>0.53333893555601086</v>
      </c>
      <c r="ED148" s="173">
        <f t="shared" si="400"/>
        <v>11.684877260091802</v>
      </c>
      <c r="EE148" s="460">
        <f t="shared" si="401"/>
        <v>2.5840168066680325</v>
      </c>
      <c r="EF148" s="5">
        <f t="shared" si="402"/>
        <v>0.47176954150694766</v>
      </c>
      <c r="EH148" s="173">
        <f t="shared" si="403"/>
        <v>0.61375257866382549</v>
      </c>
      <c r="EI148" s="173">
        <f t="shared" si="404"/>
        <v>0.78263281389796946</v>
      </c>
      <c r="EK148" s="528">
        <f t="shared" si="405"/>
        <v>7.5338445563299062E-3</v>
      </c>
      <c r="EL148" s="528">
        <f t="shared" si="406"/>
        <v>0.40553559763848102</v>
      </c>
      <c r="EM148" s="528">
        <f t="shared" si="407"/>
        <v>4.0250000000000001E-2</v>
      </c>
      <c r="EN148" s="528">
        <f t="shared" si="408"/>
        <v>0.21601345499999997</v>
      </c>
      <c r="EO148">
        <f t="shared" si="409"/>
        <v>8.5500000000000003E-3</v>
      </c>
      <c r="EP148" s="460">
        <f t="shared" si="410"/>
        <v>48.800000000000004</v>
      </c>
      <c r="EQ148" s="460"/>
      <c r="ER148" s="460">
        <f t="shared" si="432"/>
        <v>677.88289719481088</v>
      </c>
      <c r="ES148" s="528">
        <f t="shared" si="411"/>
        <v>0.26599999999999996</v>
      </c>
      <c r="EV148" s="460">
        <f t="shared" si="412"/>
        <v>265.99999999999994</v>
      </c>
      <c r="EW148" s="528">
        <f t="shared" si="413"/>
        <v>1.1300766834494859E-2</v>
      </c>
      <c r="EX148" s="528">
        <f t="shared" si="414"/>
        <v>1.8375423641695612E-2</v>
      </c>
      <c r="EY148" s="528">
        <f t="shared" si="415"/>
        <v>0.4463240637326798</v>
      </c>
      <c r="EZ148" s="528"/>
      <c r="FA148" s="528">
        <f t="shared" si="416"/>
        <v>5.1933333333333328E-3</v>
      </c>
      <c r="FB148" s="460">
        <f t="shared" si="417"/>
        <v>481.1935875422036</v>
      </c>
      <c r="FC148" s="173">
        <f t="shared" si="418"/>
        <v>1.4250764847370145</v>
      </c>
      <c r="FD148" s="5">
        <f t="shared" si="419"/>
        <v>6.08</v>
      </c>
      <c r="FE148" s="173">
        <f t="shared" si="420"/>
        <v>0.81011832622423285</v>
      </c>
      <c r="FF148" s="5">
        <f t="shared" si="421"/>
        <v>81.011832622423285</v>
      </c>
      <c r="FI148" s="562">
        <f t="shared" si="422"/>
        <v>-50</v>
      </c>
      <c r="FJ148">
        <f t="shared" si="423"/>
        <v>-50</v>
      </c>
      <c r="FL148">
        <f t="shared" si="476"/>
        <v>0.44117360113844467</v>
      </c>
    </row>
    <row r="149" spans="5:168">
      <c r="E149" s="170">
        <v>39</v>
      </c>
      <c r="F149" s="217">
        <f t="shared" si="477"/>
        <v>0.39</v>
      </c>
      <c r="G149" s="217"/>
      <c r="H149" s="217">
        <f t="shared" si="442"/>
        <v>6.24</v>
      </c>
      <c r="I149" s="541">
        <f t="shared" si="443"/>
        <v>18.956905419631433</v>
      </c>
      <c r="J149" s="172">
        <f t="shared" si="444"/>
        <v>16.42585674822114</v>
      </c>
      <c r="K149" s="172">
        <f t="shared" si="445"/>
        <v>35.382762167852576</v>
      </c>
      <c r="L149" s="443"/>
      <c r="M149" s="217">
        <f t="shared" si="446"/>
        <v>0.464238172378446</v>
      </c>
      <c r="N149" s="172">
        <f t="shared" si="447"/>
        <v>22.210310144143456</v>
      </c>
      <c r="O149" s="172">
        <f t="shared" si="438"/>
        <v>6.24</v>
      </c>
      <c r="P149" s="217">
        <f t="shared" si="448"/>
        <v>1.388144384008966</v>
      </c>
      <c r="Q149" s="217">
        <f t="shared" si="449"/>
        <v>16</v>
      </c>
      <c r="R149" s="217"/>
      <c r="S149" s="172">
        <f t="shared" si="450"/>
        <v>102.63531288419362</v>
      </c>
      <c r="T149" s="172">
        <f t="shared" si="451"/>
        <v>16</v>
      </c>
      <c r="U149" s="217">
        <f t="shared" si="452"/>
        <v>1.4558707989009034</v>
      </c>
      <c r="V149" s="217">
        <f t="shared" si="453"/>
        <v>0.92158763258473375</v>
      </c>
      <c r="W149" s="217">
        <f t="shared" si="454"/>
        <v>1.0635944203460088</v>
      </c>
      <c r="X149" s="197">
        <f t="shared" si="455"/>
        <v>350</v>
      </c>
      <c r="Y149" s="443">
        <f t="shared" si="328"/>
        <v>350</v>
      </c>
      <c r="AA149" s="217">
        <f t="shared" si="456"/>
        <v>2.0953397437084824</v>
      </c>
      <c r="AB149" s="173">
        <f t="shared" si="457"/>
        <v>1.5307619754582849</v>
      </c>
      <c r="AC149" s="173">
        <f t="shared" si="458"/>
        <v>0.56130662093370431</v>
      </c>
      <c r="AD149" s="173"/>
      <c r="AE149" s="173">
        <f t="shared" si="459"/>
        <v>0.730555500631622</v>
      </c>
      <c r="AF149" s="545">
        <f t="shared" si="460"/>
        <v>1067.6806886343738</v>
      </c>
      <c r="AG149" s="528">
        <f t="shared" si="461"/>
        <v>0.12784721261053383</v>
      </c>
      <c r="AI149" s="173">
        <f t="shared" si="462"/>
        <v>1.7465727162763849</v>
      </c>
      <c r="AJ149" s="173">
        <f t="shared" si="463"/>
        <v>1.7465727162763849</v>
      </c>
      <c r="AK149" s="173">
        <f t="shared" si="464"/>
        <v>1.7530168268713961</v>
      </c>
      <c r="AM149" s="545">
        <f t="shared" si="465"/>
        <v>390</v>
      </c>
      <c r="AN149" s="460">
        <f t="shared" si="466"/>
        <v>350</v>
      </c>
      <c r="AP149" s="460">
        <f t="shared" si="467"/>
        <v>390</v>
      </c>
      <c r="AQ149" s="460">
        <f t="shared" si="468"/>
        <v>350</v>
      </c>
      <c r="AS149" s="5">
        <f t="shared" si="439"/>
        <v>2.8571428571428572</v>
      </c>
      <c r="AT149" s="5">
        <f t="shared" si="469"/>
        <v>1.105606222712489</v>
      </c>
      <c r="AU149" s="5">
        <f t="shared" si="343"/>
        <v>1.7515366344303682</v>
      </c>
      <c r="AV149" s="5"/>
      <c r="AW149" s="173">
        <f t="shared" si="344"/>
        <v>0.38696217794937116</v>
      </c>
      <c r="AX149" s="173">
        <f t="shared" si="435"/>
        <v>6.4060841318062458</v>
      </c>
      <c r="AY149" s="173">
        <f t="shared" si="436"/>
        <v>0.53535756701956294</v>
      </c>
      <c r="AZ149" s="173">
        <f t="shared" si="440"/>
        <v>11.965991566104371</v>
      </c>
      <c r="BA149" s="460">
        <f t="shared" si="433"/>
        <v>2.6949151678616921</v>
      </c>
      <c r="BB149" s="5">
        <f t="shared" si="434"/>
        <v>0.48045766423489356</v>
      </c>
      <c r="BD149" s="173">
        <f t="shared" si="441"/>
        <v>0.62727835746291549</v>
      </c>
      <c r="BE149" s="173">
        <f t="shared" si="437"/>
        <v>0.78953189507389965</v>
      </c>
      <c r="BG149" s="528">
        <f t="shared" si="347"/>
        <v>7.8695627548274645E-3</v>
      </c>
      <c r="BH149" s="528">
        <f t="shared" si="470"/>
        <v>0.39473834689689169</v>
      </c>
      <c r="BI149" s="528">
        <f t="shared" si="471"/>
        <v>0.15260308862803301</v>
      </c>
      <c r="BJ149" s="528">
        <f t="shared" si="350"/>
        <v>0.21580313313079802</v>
      </c>
      <c r="BK149">
        <f t="shared" si="351"/>
        <v>8.5306074388341452E-3</v>
      </c>
      <c r="BL149" s="460">
        <f t="shared" si="427"/>
        <v>161.13369606686717</v>
      </c>
      <c r="BM149" s="528">
        <f t="shared" si="472"/>
        <v>0.62169828121484927</v>
      </c>
      <c r="BN149" s="460">
        <f t="shared" si="353"/>
        <v>621.69828121484932</v>
      </c>
      <c r="BO149" s="528">
        <f t="shared" si="354"/>
        <v>0.27299999999999996</v>
      </c>
      <c r="BR149" s="460">
        <f t="shared" si="355"/>
        <v>272.99999999999994</v>
      </c>
      <c r="BS149" s="528">
        <f t="shared" si="356"/>
        <v>1.1804344132241195E-2</v>
      </c>
      <c r="BT149" s="528">
        <f t="shared" si="357"/>
        <v>1.8700818400169499E-2</v>
      </c>
      <c r="BU149" s="528">
        <f t="shared" si="358"/>
        <v>0.46196257589275064</v>
      </c>
      <c r="BV149" s="528"/>
      <c r="BW149" s="528">
        <f t="shared" si="359"/>
        <v>5.3384034431718718E-3</v>
      </c>
      <c r="BX149" s="460">
        <f t="shared" si="360"/>
        <v>497.80614186833321</v>
      </c>
      <c r="BY149" s="173">
        <f t="shared" si="361"/>
        <v>1.5503508807177175</v>
      </c>
      <c r="BZ149" s="5">
        <f t="shared" si="362"/>
        <v>6.24</v>
      </c>
      <c r="CA149" s="173">
        <f t="shared" si="363"/>
        <v>0.80099087904306498</v>
      </c>
      <c r="CB149" s="5">
        <f t="shared" si="364"/>
        <v>80.099087904306501</v>
      </c>
      <c r="CE149" s="562">
        <f t="shared" si="473"/>
        <v>-50</v>
      </c>
      <c r="CF149">
        <f t="shared" si="474"/>
        <v>-50</v>
      </c>
      <c r="CG149" s="173">
        <f t="shared" si="475"/>
        <v>0.45249309386995068</v>
      </c>
      <c r="CI149" s="170">
        <v>39</v>
      </c>
      <c r="CJ149" s="217">
        <f t="shared" si="428"/>
        <v>0.39</v>
      </c>
      <c r="CK149" s="217"/>
      <c r="CL149" s="217">
        <f t="shared" si="368"/>
        <v>6.24</v>
      </c>
      <c r="CM149" s="541">
        <f t="shared" si="369"/>
        <v>19</v>
      </c>
      <c r="CN149" s="443">
        <f t="shared" si="370"/>
        <v>16.399999999999999</v>
      </c>
      <c r="CO149" s="443">
        <f t="shared" si="371"/>
        <v>35.4</v>
      </c>
      <c r="CP149" s="443"/>
      <c r="CQ149" s="217">
        <f t="shared" si="372"/>
        <v>0.4632768361581921</v>
      </c>
      <c r="CR149" s="172">
        <f t="shared" si="429"/>
        <v>22.214703389830511</v>
      </c>
      <c r="CS149" s="172">
        <f t="shared" si="373"/>
        <v>6.24</v>
      </c>
      <c r="CT149" s="217">
        <f t="shared" si="374"/>
        <v>1.3884189618644069</v>
      </c>
      <c r="CU149" s="217">
        <f t="shared" si="375"/>
        <v>16</v>
      </c>
      <c r="CV149" s="217"/>
      <c r="CW149" s="172">
        <f t="shared" si="376"/>
        <v>102.86846638058</v>
      </c>
      <c r="CX149" s="172">
        <f t="shared" si="377"/>
        <v>16</v>
      </c>
      <c r="CY149" s="217">
        <f t="shared" si="378"/>
        <v>1.4178177150192555</v>
      </c>
      <c r="CZ149" s="217">
        <f t="shared" si="379"/>
        <v>0.8954638200121614</v>
      </c>
      <c r="DA149" s="217">
        <f t="shared" si="380"/>
        <v>1.0374275963555528</v>
      </c>
      <c r="DB149" s="197">
        <f t="shared" si="381"/>
        <v>350</v>
      </c>
      <c r="DC149" s="443">
        <f t="shared" si="382"/>
        <v>350</v>
      </c>
      <c r="DE149" s="217">
        <f t="shared" si="383"/>
        <v>2.0957761635727734</v>
      </c>
      <c r="DF149" s="173">
        <f t="shared" si="384"/>
        <v>1.5334947538337369</v>
      </c>
      <c r="DG149" s="173">
        <f t="shared" si="385"/>
        <v>0.5624258066085126</v>
      </c>
      <c r="DH149" s="173"/>
      <c r="DI149" s="173">
        <f t="shared" si="386"/>
        <v>0.73170731707317083</v>
      </c>
      <c r="DJ149" s="545">
        <f t="shared" si="387"/>
        <v>1066</v>
      </c>
      <c r="DK149" s="528">
        <f t="shared" si="388"/>
        <v>0.12804878048780488</v>
      </c>
      <c r="DM149" s="173">
        <f t="shared" si="389"/>
        <v>1.7451974918943374</v>
      </c>
      <c r="DN149" s="173">
        <f t="shared" si="390"/>
        <v>1.7451974918943374</v>
      </c>
      <c r="DO149" s="173">
        <f t="shared" si="391"/>
        <v>1.7519981421439534</v>
      </c>
      <c r="DQ149" s="545">
        <f t="shared" si="392"/>
        <v>390</v>
      </c>
      <c r="DR149" s="460">
        <f t="shared" si="393"/>
        <v>350</v>
      </c>
      <c r="DT149">
        <f t="shared" si="430"/>
        <v>390</v>
      </c>
      <c r="DU149">
        <f t="shared" si="431"/>
        <v>350</v>
      </c>
      <c r="DW149" s="5">
        <f t="shared" si="394"/>
        <v>2.8571428571428572</v>
      </c>
      <c r="DX149" s="5">
        <f t="shared" si="395"/>
        <v>1.102229994880634</v>
      </c>
      <c r="DY149" s="5">
        <f t="shared" si="396"/>
        <v>1.7549128622622232</v>
      </c>
      <c r="DZ149" s="5"/>
      <c r="EA149" s="173">
        <f t="shared" si="397"/>
        <v>0.38578049820822191</v>
      </c>
      <c r="EB149" s="173">
        <f t="shared" si="398"/>
        <v>6.3959999999999999</v>
      </c>
      <c r="EC149" s="173">
        <f t="shared" si="399"/>
        <v>0.53596716699980029</v>
      </c>
      <c r="ED149" s="173">
        <f t="shared" si="400"/>
        <v>11.933566818659964</v>
      </c>
      <c r="EE149" s="460">
        <f t="shared" si="401"/>
        <v>2.6866856125215457</v>
      </c>
      <c r="EF149" s="5">
        <f t="shared" si="402"/>
        <v>0.48029194125071367</v>
      </c>
      <c r="EH149" s="173">
        <f t="shared" si="403"/>
        <v>0.62582669979868921</v>
      </c>
      <c r="EI149" s="173">
        <f t="shared" si="404"/>
        <v>0.78967020778118291</v>
      </c>
      <c r="EK149" s="528">
        <f t="shared" si="405"/>
        <v>7.8331811636183739E-3</v>
      </c>
      <c r="EL149" s="528">
        <f t="shared" si="406"/>
        <v>0.41083694156684597</v>
      </c>
      <c r="EM149" s="528">
        <f t="shared" si="407"/>
        <v>4.0250000000000001E-2</v>
      </c>
      <c r="EN149" s="528">
        <f t="shared" si="408"/>
        <v>0.21601345499999997</v>
      </c>
      <c r="EO149">
        <f t="shared" si="409"/>
        <v>8.5500000000000003E-3</v>
      </c>
      <c r="EP149" s="460">
        <f t="shared" si="410"/>
        <v>48.800000000000004</v>
      </c>
      <c r="EQ149" s="460"/>
      <c r="ER149" s="460">
        <f t="shared" si="432"/>
        <v>683.48357773046428</v>
      </c>
      <c r="ES149" s="528">
        <f t="shared" si="411"/>
        <v>0.27299999999999996</v>
      </c>
      <c r="EV149" s="460">
        <f t="shared" si="412"/>
        <v>272.99999999999994</v>
      </c>
      <c r="EW149" s="528">
        <f t="shared" si="413"/>
        <v>1.1749771745427559E-2</v>
      </c>
      <c r="EX149" s="528">
        <f t="shared" si="414"/>
        <v>1.8707371111715297E-2</v>
      </c>
      <c r="EY149" s="528">
        <f t="shared" si="415"/>
        <v>0.46105375733780452</v>
      </c>
      <c r="EZ149" s="528"/>
      <c r="FA149" s="528">
        <f t="shared" si="416"/>
        <v>5.3300000000000005E-3</v>
      </c>
      <c r="FB149" s="460">
        <f t="shared" si="417"/>
        <v>496.84090019494738</v>
      </c>
      <c r="FC149" s="173">
        <f t="shared" si="418"/>
        <v>1.4533244779254118</v>
      </c>
      <c r="FD149" s="5">
        <f t="shared" si="419"/>
        <v>6.24</v>
      </c>
      <c r="FE149" s="173">
        <f t="shared" si="420"/>
        <v>0.8110927880274047</v>
      </c>
      <c r="FF149" s="5">
        <f t="shared" si="421"/>
        <v>81.109278802740477</v>
      </c>
      <c r="FI149" s="562">
        <f t="shared" si="422"/>
        <v>-50</v>
      </c>
      <c r="FJ149">
        <f t="shared" si="423"/>
        <v>-50</v>
      </c>
      <c r="FL149">
        <f t="shared" si="476"/>
        <v>0.44694082109489131</v>
      </c>
    </row>
    <row r="150" spans="5:168">
      <c r="E150" s="170">
        <v>40</v>
      </c>
      <c r="F150" s="217">
        <f t="shared" si="477"/>
        <v>0.4</v>
      </c>
      <c r="G150" s="217"/>
      <c r="H150" s="217">
        <f t="shared" si="442"/>
        <v>6.4</v>
      </c>
      <c r="I150" s="541">
        <f t="shared" si="443"/>
        <v>18.956356421952801</v>
      </c>
      <c r="J150" s="172">
        <f t="shared" si="444"/>
        <v>16.426186146828318</v>
      </c>
      <c r="K150" s="172">
        <f t="shared" si="445"/>
        <v>35.382542568781119</v>
      </c>
      <c r="L150" s="443"/>
      <c r="M150" s="217">
        <f t="shared" si="446"/>
        <v>0.46425042512326453</v>
      </c>
      <c r="N150" s="172">
        <f t="shared" si="447"/>
        <v>22.210253111731678</v>
      </c>
      <c r="O150" s="172">
        <f t="shared" si="438"/>
        <v>6.4</v>
      </c>
      <c r="P150" s="217">
        <f t="shared" si="448"/>
        <v>1.3881408194832299</v>
      </c>
      <c r="Q150" s="217">
        <f t="shared" si="449"/>
        <v>16</v>
      </c>
      <c r="R150" s="217"/>
      <c r="S150" s="172">
        <f t="shared" si="450"/>
        <v>99.596699143910811</v>
      </c>
      <c r="T150" s="172">
        <f t="shared" si="451"/>
        <v>16</v>
      </c>
      <c r="U150" s="217">
        <f t="shared" si="452"/>
        <v>1.4932349693120393</v>
      </c>
      <c r="V150" s="217">
        <f t="shared" si="453"/>
        <v>0.9452670773268016</v>
      </c>
      <c r="W150" s="217">
        <f t="shared" si="454"/>
        <v>1.0908691446434364</v>
      </c>
      <c r="X150" s="197">
        <f t="shared" si="455"/>
        <v>350</v>
      </c>
      <c r="Y150" s="443">
        <f t="shared" si="328"/>
        <v>350</v>
      </c>
      <c r="AA150" s="217">
        <f t="shared" si="456"/>
        <v>2.0953340845130293</v>
      </c>
      <c r="AB150" s="173">
        <f t="shared" si="457"/>
        <v>1.53072714441455</v>
      </c>
      <c r="AC150" s="173">
        <f t="shared" si="458"/>
        <v>0.56129233296169334</v>
      </c>
      <c r="AD150" s="173"/>
      <c r="AE150" s="173">
        <f t="shared" si="459"/>
        <v>0.7305408506110862</v>
      </c>
      <c r="AF150" s="545">
        <f t="shared" si="460"/>
        <v>1095.0790764552212</v>
      </c>
      <c r="AG150" s="528">
        <f t="shared" si="461"/>
        <v>0.12784464885694008</v>
      </c>
      <c r="AI150" s="173">
        <f t="shared" si="462"/>
        <v>1.7688406828486936</v>
      </c>
      <c r="AJ150" s="173">
        <f t="shared" si="463"/>
        <v>1.7688406828486936</v>
      </c>
      <c r="AK150" s="173">
        <f t="shared" si="464"/>
        <v>1.7695116169249583</v>
      </c>
      <c r="AM150" s="545">
        <f t="shared" si="465"/>
        <v>400</v>
      </c>
      <c r="AN150" s="460">
        <f t="shared" si="466"/>
        <v>350</v>
      </c>
      <c r="AP150" s="460">
        <f t="shared" si="467"/>
        <v>400</v>
      </c>
      <c r="AQ150" s="460">
        <f t="shared" si="468"/>
        <v>350</v>
      </c>
      <c r="AS150" s="5">
        <f t="shared" si="439"/>
        <v>2.8571428571428572</v>
      </c>
      <c r="AT150" s="5">
        <f t="shared" si="469"/>
        <v>1.1197346009807565</v>
      </c>
      <c r="AU150" s="5">
        <f t="shared" si="343"/>
        <v>1.7374082561621007</v>
      </c>
      <c r="AV150" s="5"/>
      <c r="AW150" s="173">
        <f t="shared" si="344"/>
        <v>0.39190711034326475</v>
      </c>
      <c r="AX150" s="173">
        <f t="shared" si="435"/>
        <v>6.5704744587313284</v>
      </c>
      <c r="AY150" s="173">
        <f t="shared" si="436"/>
        <v>0.53780972108792746</v>
      </c>
      <c r="AZ150" s="173">
        <f t="shared" si="440"/>
        <v>12.217098726739284</v>
      </c>
      <c r="BA150" s="460">
        <f t="shared" si="433"/>
        <v>2.799336502451891</v>
      </c>
      <c r="BB150" s="5">
        <f t="shared" si="434"/>
        <v>0.48881637166660269</v>
      </c>
      <c r="BD150" s="173">
        <f t="shared" si="441"/>
        <v>0.63932201920392784</v>
      </c>
      <c r="BE150" s="173">
        <f t="shared" si="437"/>
        <v>0.79636663009438691</v>
      </c>
      <c r="BG150" s="528">
        <f t="shared" si="347"/>
        <v>8.1746528847797505E-3</v>
      </c>
      <c r="BH150" s="528">
        <f t="shared" si="470"/>
        <v>0.39976859084355038</v>
      </c>
      <c r="BI150" s="528">
        <f t="shared" si="471"/>
        <v>0.15259866919672005</v>
      </c>
      <c r="BJ150" s="528">
        <f t="shared" si="350"/>
        <v>0.21580045442412343</v>
      </c>
      <c r="BK150">
        <f t="shared" si="351"/>
        <v>8.5303603898787602E-3</v>
      </c>
      <c r="BL150" s="460">
        <f t="shared" si="427"/>
        <v>161.12902958659879</v>
      </c>
      <c r="BM150" s="528">
        <f t="shared" si="472"/>
        <v>0.62716900323434865</v>
      </c>
      <c r="BN150" s="460">
        <f t="shared" si="353"/>
        <v>627.16900323434868</v>
      </c>
      <c r="BO150" s="528">
        <f t="shared" si="354"/>
        <v>0.27999999999999997</v>
      </c>
      <c r="BR150" s="460">
        <f t="shared" si="355"/>
        <v>279.99999999999994</v>
      </c>
      <c r="BS150" s="528">
        <f t="shared" si="356"/>
        <v>1.2261979327169624E-2</v>
      </c>
      <c r="BT150" s="528">
        <f t="shared" si="357"/>
        <v>1.9025994285836699E-2</v>
      </c>
      <c r="BU150" s="528">
        <f t="shared" si="358"/>
        <v>0.4768281769933756</v>
      </c>
      <c r="BV150" s="528"/>
      <c r="BW150" s="528">
        <f t="shared" si="359"/>
        <v>5.4753953822761067E-3</v>
      </c>
      <c r="BX150" s="460">
        <f t="shared" si="360"/>
        <v>513.59154598865803</v>
      </c>
      <c r="BY150" s="173">
        <f t="shared" si="361"/>
        <v>1.5784642737277104</v>
      </c>
      <c r="BZ150" s="5">
        <f t="shared" si="362"/>
        <v>6.4</v>
      </c>
      <c r="CA150" s="173">
        <f t="shared" si="363"/>
        <v>0.80215938561943101</v>
      </c>
      <c r="CB150" s="5">
        <f t="shared" si="364"/>
        <v>80.215938561943105</v>
      </c>
      <c r="CE150" s="562">
        <f t="shared" si="473"/>
        <v>-50</v>
      </c>
      <c r="CF150">
        <f t="shared" si="474"/>
        <v>-50</v>
      </c>
      <c r="CG150" s="173">
        <f t="shared" si="475"/>
        <v>0.45825756949558405</v>
      </c>
      <c r="CI150" s="170">
        <v>40</v>
      </c>
      <c r="CJ150" s="217">
        <f t="shared" si="428"/>
        <v>0.4</v>
      </c>
      <c r="CK150" s="217"/>
      <c r="CL150" s="217">
        <f t="shared" si="368"/>
        <v>6.4</v>
      </c>
      <c r="CM150" s="541">
        <f t="shared" si="369"/>
        <v>19</v>
      </c>
      <c r="CN150" s="443">
        <f t="shared" si="370"/>
        <v>16.399999999999999</v>
      </c>
      <c r="CO150" s="443">
        <f t="shared" si="371"/>
        <v>35.4</v>
      </c>
      <c r="CP150" s="443"/>
      <c r="CQ150" s="217">
        <f t="shared" si="372"/>
        <v>0.4632768361581921</v>
      </c>
      <c r="CR150" s="172">
        <f t="shared" si="429"/>
        <v>22.214703389830511</v>
      </c>
      <c r="CS150" s="172">
        <f t="shared" si="373"/>
        <v>6.4</v>
      </c>
      <c r="CT150" s="217">
        <f t="shared" si="374"/>
        <v>1.3884189618644069</v>
      </c>
      <c r="CU150" s="217">
        <f t="shared" si="375"/>
        <v>16</v>
      </c>
      <c r="CV150" s="217"/>
      <c r="CW150" s="172">
        <f t="shared" si="376"/>
        <v>99.825828756861029</v>
      </c>
      <c r="CX150" s="172">
        <f t="shared" si="377"/>
        <v>16</v>
      </c>
      <c r="CY150" s="217">
        <f t="shared" si="378"/>
        <v>1.4541720154043645</v>
      </c>
      <c r="CZ150" s="217">
        <f t="shared" si="379"/>
        <v>0.91842443078170377</v>
      </c>
      <c r="DA150" s="217">
        <f t="shared" si="380"/>
        <v>1.0640283039544132</v>
      </c>
      <c r="DB150" s="197">
        <f t="shared" si="381"/>
        <v>350</v>
      </c>
      <c r="DC150" s="443">
        <f t="shared" si="382"/>
        <v>350</v>
      </c>
      <c r="DE150" s="217">
        <f t="shared" si="383"/>
        <v>2.0957761635727734</v>
      </c>
      <c r="DF150" s="173">
        <f t="shared" si="384"/>
        <v>1.5334947538337369</v>
      </c>
      <c r="DG150" s="173">
        <f t="shared" si="385"/>
        <v>0.5624258066085126</v>
      </c>
      <c r="DH150" s="173"/>
      <c r="DI150" s="173">
        <f t="shared" si="386"/>
        <v>0.73170731707317083</v>
      </c>
      <c r="DJ150" s="545">
        <f t="shared" si="387"/>
        <v>1093.3333333333333</v>
      </c>
      <c r="DK150" s="528">
        <f t="shared" si="388"/>
        <v>0.12804878048780488</v>
      </c>
      <c r="DM150" s="173">
        <f t="shared" si="389"/>
        <v>1.7674302033770737</v>
      </c>
      <c r="DN150" s="173">
        <f t="shared" si="390"/>
        <v>1.7674302033770737</v>
      </c>
      <c r="DO150" s="173">
        <f t="shared" si="391"/>
        <v>1.7684668173163507</v>
      </c>
      <c r="DQ150" s="545">
        <f t="shared" si="392"/>
        <v>400</v>
      </c>
      <c r="DR150" s="460">
        <f t="shared" si="393"/>
        <v>350</v>
      </c>
      <c r="DT150">
        <f t="shared" si="430"/>
        <v>400</v>
      </c>
      <c r="DU150">
        <f t="shared" si="431"/>
        <v>350</v>
      </c>
      <c r="DW150" s="5">
        <f t="shared" si="394"/>
        <v>2.8571428571428572</v>
      </c>
      <c r="DX150" s="5">
        <f t="shared" si="395"/>
        <v>1.1162717073960466</v>
      </c>
      <c r="DY150" s="5">
        <f t="shared" si="396"/>
        <v>1.7408711497468106</v>
      </c>
      <c r="DZ150" s="5"/>
      <c r="EA150" s="173">
        <f t="shared" si="397"/>
        <v>0.39069509758861631</v>
      </c>
      <c r="EB150" s="173">
        <f t="shared" si="398"/>
        <v>6.5600000000000014</v>
      </c>
      <c r="EC150" s="173">
        <f t="shared" si="399"/>
        <v>0.5384519437937999</v>
      </c>
      <c r="ED150" s="173">
        <f t="shared" si="400"/>
        <v>12.183074229020059</v>
      </c>
      <c r="EE150" s="460">
        <f t="shared" si="401"/>
        <v>2.7906792684901167</v>
      </c>
      <c r="EF150" s="5">
        <f t="shared" si="402"/>
        <v>0.48866558589384151</v>
      </c>
      <c r="EH150" s="173">
        <f t="shared" si="403"/>
        <v>0.63782366078015929</v>
      </c>
      <c r="EI150" s="173">
        <f t="shared" si="404"/>
        <v>0.79652421119438532</v>
      </c>
      <c r="EK150" s="528">
        <f t="shared" si="405"/>
        <v>8.1363804450200732E-3</v>
      </c>
      <c r="EL150" s="528">
        <f t="shared" si="406"/>
        <v>0.41607074417699691</v>
      </c>
      <c r="EM150" s="528">
        <f t="shared" si="407"/>
        <v>4.0250000000000001E-2</v>
      </c>
      <c r="EN150" s="528">
        <f t="shared" si="408"/>
        <v>0.21601345499999997</v>
      </c>
      <c r="EO150">
        <f t="shared" si="409"/>
        <v>8.5500000000000003E-3</v>
      </c>
      <c r="EP150" s="460">
        <f t="shared" si="410"/>
        <v>48.800000000000004</v>
      </c>
      <c r="EQ150" s="460"/>
      <c r="ER150" s="460">
        <f t="shared" si="432"/>
        <v>689.02057962201695</v>
      </c>
      <c r="ES150" s="528">
        <f t="shared" si="411"/>
        <v>0.27999999999999997</v>
      </c>
      <c r="EV150" s="460">
        <f t="shared" si="412"/>
        <v>279.99999999999994</v>
      </c>
      <c r="EW150" s="528">
        <f t="shared" si="413"/>
        <v>1.2204570667530111E-2</v>
      </c>
      <c r="EX150" s="528">
        <f t="shared" si="414"/>
        <v>1.9033524570565129E-2</v>
      </c>
      <c r="EY150" s="528">
        <f t="shared" si="415"/>
        <v>0.4758781844486768</v>
      </c>
      <c r="EZ150" s="528"/>
      <c r="FA150" s="528">
        <f t="shared" si="416"/>
        <v>5.4666666666666674E-3</v>
      </c>
      <c r="FB150" s="460">
        <f t="shared" si="417"/>
        <v>512.58294635343873</v>
      </c>
      <c r="FC150" s="173">
        <f t="shared" si="418"/>
        <v>1.4816035259754556</v>
      </c>
      <c r="FD150" s="5">
        <f t="shared" si="419"/>
        <v>6.4</v>
      </c>
      <c r="FE150" s="173">
        <f t="shared" si="420"/>
        <v>0.81201750112238902</v>
      </c>
      <c r="FF150" s="5">
        <f t="shared" si="421"/>
        <v>81.201750112238898</v>
      </c>
      <c r="FI150" s="562">
        <f t="shared" si="422"/>
        <v>-50</v>
      </c>
      <c r="FJ150">
        <f t="shared" si="423"/>
        <v>-50</v>
      </c>
      <c r="FL150">
        <f t="shared" si="476"/>
        <v>0.4526345642794945</v>
      </c>
    </row>
    <row r="151" spans="5:168">
      <c r="E151" s="170">
        <v>41</v>
      </c>
      <c r="F151" s="217">
        <f t="shared" si="477"/>
        <v>0.41</v>
      </c>
      <c r="G151" s="217"/>
      <c r="H151" s="217">
        <f t="shared" si="442"/>
        <v>6.56</v>
      </c>
      <c r="I151" s="541">
        <f t="shared" si="443"/>
        <v>18.955814244915572</v>
      </c>
      <c r="J151" s="172">
        <f t="shared" si="444"/>
        <v>16.426511453050654</v>
      </c>
      <c r="K151" s="172">
        <f t="shared" si="445"/>
        <v>35.382325697966223</v>
      </c>
      <c r="L151" s="443"/>
      <c r="M151" s="217">
        <f t="shared" si="446"/>
        <v>0.46426252578882876</v>
      </c>
      <c r="N151" s="172">
        <f t="shared" si="447"/>
        <v>22.210196761564458</v>
      </c>
      <c r="O151" s="172">
        <f t="shared" si="438"/>
        <v>6.56</v>
      </c>
      <c r="P151" s="217">
        <f t="shared" si="448"/>
        <v>1.3881372975977786</v>
      </c>
      <c r="Q151" s="217">
        <f t="shared" si="449"/>
        <v>16</v>
      </c>
      <c r="R151" s="217"/>
      <c r="S151" s="172">
        <f t="shared" si="450"/>
        <v>96.706501530883827</v>
      </c>
      <c r="T151" s="172">
        <f t="shared" si="451"/>
        <v>16</v>
      </c>
      <c r="U151" s="217">
        <f t="shared" si="452"/>
        <v>1.5306004143305103</v>
      </c>
      <c r="V151" s="217">
        <f t="shared" si="453"/>
        <v>0.96894835192282347</v>
      </c>
      <c r="W151" s="217">
        <f t="shared" si="454"/>
        <v>1.1181439847689054</v>
      </c>
      <c r="X151" s="197">
        <f t="shared" si="455"/>
        <v>350</v>
      </c>
      <c r="Y151" s="443">
        <f t="shared" si="328"/>
        <v>350</v>
      </c>
      <c r="AA151" s="217">
        <f t="shared" si="456"/>
        <v>2.0953284931687448</v>
      </c>
      <c r="AB151" s="173">
        <f t="shared" si="457"/>
        <v>1.5306927456806614</v>
      </c>
      <c r="AC151" s="173">
        <f t="shared" si="458"/>
        <v>0.56127822175449305</v>
      </c>
      <c r="AD151" s="173"/>
      <c r="AE151" s="173">
        <f t="shared" si="459"/>
        <v>0.7305263831762292</v>
      </c>
      <c r="AF151" s="545">
        <f t="shared" si="460"/>
        <v>1122.478282625128</v>
      </c>
      <c r="AG151" s="528">
        <f t="shared" si="461"/>
        <v>0.12784211705584009</v>
      </c>
      <c r="AI151" s="173">
        <f t="shared" si="462"/>
        <v>1.790832434232853</v>
      </c>
      <c r="AJ151" s="173">
        <f t="shared" si="463"/>
        <v>1.790832434232853</v>
      </c>
      <c r="AK151" s="173">
        <f t="shared" si="464"/>
        <v>1.7858018031354466</v>
      </c>
      <c r="AM151" s="545">
        <f t="shared" si="465"/>
        <v>410</v>
      </c>
      <c r="AN151" s="460">
        <f t="shared" si="466"/>
        <v>350</v>
      </c>
      <c r="AP151" s="460">
        <f t="shared" si="467"/>
        <v>410</v>
      </c>
      <c r="AQ151" s="460">
        <f t="shared" si="468"/>
        <v>350</v>
      </c>
      <c r="AS151" s="5">
        <f t="shared" si="439"/>
        <v>2.8571428571428572</v>
      </c>
      <c r="AT151" s="5">
        <f t="shared" si="469"/>
        <v>1.1336885312936844</v>
      </c>
      <c r="AU151" s="5">
        <f t="shared" si="343"/>
        <v>1.7234543258491728</v>
      </c>
      <c r="AV151" s="5"/>
      <c r="AW151" s="173">
        <f t="shared" si="344"/>
        <v>0.39679098595278955</v>
      </c>
      <c r="AX151" s="173">
        <f t="shared" si="435"/>
        <v>6.7348696957507679</v>
      </c>
      <c r="AY151" s="173">
        <f t="shared" si="436"/>
        <v>0.54012313348868246</v>
      </c>
      <c r="AZ151" s="173">
        <f t="shared" si="440"/>
        <v>12.469137643207219</v>
      </c>
      <c r="BA151" s="460">
        <f t="shared" si="433"/>
        <v>2.9050768614400657</v>
      </c>
      <c r="BB151" s="5">
        <f t="shared" si="434"/>
        <v>0.49702693816854848</v>
      </c>
      <c r="BD151" s="173">
        <f t="shared" si="441"/>
        <v>0.65129121894851782</v>
      </c>
      <c r="BE151" s="173">
        <f t="shared" si="437"/>
        <v>0.80302346413663972</v>
      </c>
      <c r="BG151" s="528">
        <f t="shared" si="347"/>
        <v>8.4836050375889233E-3</v>
      </c>
      <c r="BH151" s="528">
        <f t="shared" si="470"/>
        <v>0.40473637762872294</v>
      </c>
      <c r="BI151" s="528">
        <f t="shared" si="471"/>
        <v>0.15259430467157037</v>
      </c>
      <c r="BJ151" s="528">
        <f t="shared" si="350"/>
        <v>0.21579780901350115</v>
      </c>
      <c r="BK151">
        <f t="shared" si="351"/>
        <v>8.5301164102120075E-3</v>
      </c>
      <c r="BL151" s="460">
        <f t="shared" si="427"/>
        <v>161.12442108178237</v>
      </c>
      <c r="BM151" s="528">
        <f t="shared" si="472"/>
        <v>0.63258346641585572</v>
      </c>
      <c r="BN151" s="460">
        <f t="shared" si="353"/>
        <v>632.5834664158557</v>
      </c>
      <c r="BO151" s="528">
        <f t="shared" si="354"/>
        <v>0.28699999999999998</v>
      </c>
      <c r="BR151" s="460">
        <f t="shared" si="355"/>
        <v>287</v>
      </c>
      <c r="BS151" s="528">
        <f t="shared" si="356"/>
        <v>1.2725407556383385E-2</v>
      </c>
      <c r="BT151" s="528">
        <f t="shared" si="357"/>
        <v>1.9345400518620274E-2</v>
      </c>
      <c r="BU151" s="528">
        <f t="shared" si="358"/>
        <v>0.49178750888792161</v>
      </c>
      <c r="BV151" s="528"/>
      <c r="BW151" s="528">
        <f t="shared" si="359"/>
        <v>5.61239141312564E-3</v>
      </c>
      <c r="BX151" s="460">
        <f t="shared" si="360"/>
        <v>529.47070837605088</v>
      </c>
      <c r="BY151" s="173">
        <f t="shared" si="361"/>
        <v>1.6066129211376461</v>
      </c>
      <c r="BZ151" s="5">
        <f t="shared" si="362"/>
        <v>6.56</v>
      </c>
      <c r="CA151" s="173">
        <f t="shared" si="363"/>
        <v>0.80327059251464594</v>
      </c>
      <c r="CB151" s="5">
        <f t="shared" si="364"/>
        <v>80.32705925146459</v>
      </c>
      <c r="CE151" s="562">
        <f t="shared" si="473"/>
        <v>-50</v>
      </c>
      <c r="CF151">
        <f t="shared" si="474"/>
        <v>-50</v>
      </c>
      <c r="CG151" s="173">
        <f t="shared" si="475"/>
        <v>0.46395042838648182</v>
      </c>
      <c r="CI151" s="170">
        <v>41</v>
      </c>
      <c r="CJ151" s="217">
        <f t="shared" si="428"/>
        <v>0.41</v>
      </c>
      <c r="CK151" s="217"/>
      <c r="CL151" s="217">
        <f t="shared" si="368"/>
        <v>6.56</v>
      </c>
      <c r="CM151" s="541">
        <f t="shared" si="369"/>
        <v>19</v>
      </c>
      <c r="CN151" s="443">
        <f t="shared" si="370"/>
        <v>16.399999999999999</v>
      </c>
      <c r="CO151" s="443">
        <f t="shared" si="371"/>
        <v>35.4</v>
      </c>
      <c r="CP151" s="443"/>
      <c r="CQ151" s="217">
        <f t="shared" si="372"/>
        <v>0.4632768361581921</v>
      </c>
      <c r="CR151" s="172">
        <f t="shared" si="429"/>
        <v>22.214703389830511</v>
      </c>
      <c r="CS151" s="172">
        <f t="shared" si="373"/>
        <v>6.56</v>
      </c>
      <c r="CT151" s="217">
        <f t="shared" si="374"/>
        <v>1.3884189618644069</v>
      </c>
      <c r="CU151" s="217">
        <f t="shared" si="375"/>
        <v>16</v>
      </c>
      <c r="CV151" s="217"/>
      <c r="CW151" s="172">
        <f t="shared" si="376"/>
        <v>96.93174200497343</v>
      </c>
      <c r="CX151" s="172">
        <f t="shared" si="377"/>
        <v>16</v>
      </c>
      <c r="CY151" s="217">
        <f t="shared" si="378"/>
        <v>1.4905263157894735</v>
      </c>
      <c r="CZ151" s="217">
        <f t="shared" si="379"/>
        <v>0.94138504155124647</v>
      </c>
      <c r="DA151" s="217">
        <f t="shared" si="380"/>
        <v>1.0906290115532735</v>
      </c>
      <c r="DB151" s="197">
        <f t="shared" si="381"/>
        <v>350</v>
      </c>
      <c r="DC151" s="443">
        <f t="shared" si="382"/>
        <v>350</v>
      </c>
      <c r="DE151" s="217">
        <f t="shared" si="383"/>
        <v>2.0957761635727734</v>
      </c>
      <c r="DF151" s="173">
        <f t="shared" si="384"/>
        <v>1.5334947538337369</v>
      </c>
      <c r="DG151" s="173">
        <f t="shared" si="385"/>
        <v>0.5624258066085126</v>
      </c>
      <c r="DH151" s="173"/>
      <c r="DI151" s="173">
        <f t="shared" si="386"/>
        <v>0.73170731707317083</v>
      </c>
      <c r="DJ151" s="545">
        <f t="shared" si="387"/>
        <v>1120.6666666666665</v>
      </c>
      <c r="DK151" s="528">
        <f t="shared" si="388"/>
        <v>0.12804878048780488</v>
      </c>
      <c r="DM151" s="173">
        <f t="shared" si="389"/>
        <v>1.7893866999351375</v>
      </c>
      <c r="DN151" s="173">
        <f t="shared" si="390"/>
        <v>1.7893866999351375</v>
      </c>
      <c r="DO151" s="173">
        <f t="shared" si="391"/>
        <v>1.7847308888408424</v>
      </c>
      <c r="DQ151" s="545">
        <f t="shared" si="392"/>
        <v>410</v>
      </c>
      <c r="DR151" s="460">
        <f t="shared" si="393"/>
        <v>350</v>
      </c>
      <c r="DT151">
        <f t="shared" si="430"/>
        <v>410</v>
      </c>
      <c r="DU151">
        <f t="shared" si="431"/>
        <v>350</v>
      </c>
      <c r="DW151" s="5">
        <f t="shared" si="394"/>
        <v>2.8571428571428572</v>
      </c>
      <c r="DX151" s="5">
        <f t="shared" si="395"/>
        <v>1.1301389683800869</v>
      </c>
      <c r="DY151" s="5">
        <f t="shared" si="396"/>
        <v>1.7270038887627703</v>
      </c>
      <c r="DZ151" s="5"/>
      <c r="EA151" s="173">
        <f t="shared" si="397"/>
        <v>0.39554863893303038</v>
      </c>
      <c r="EB151" s="173">
        <f t="shared" si="398"/>
        <v>6.7240000000000002</v>
      </c>
      <c r="EC151" s="173">
        <f t="shared" si="399"/>
        <v>0.54079861312546351</v>
      </c>
      <c r="ED151" s="173">
        <f t="shared" si="400"/>
        <v>12.433463838118339</v>
      </c>
      <c r="EE151" s="460">
        <f t="shared" si="401"/>
        <v>2.8959811064739727</v>
      </c>
      <c r="EF151" s="5">
        <f t="shared" si="402"/>
        <v>0.49689234694227064</v>
      </c>
      <c r="EH151" s="173">
        <f t="shared" si="403"/>
        <v>0.64974586584926097</v>
      </c>
      <c r="EI151" s="173">
        <f t="shared" si="404"/>
        <v>0.80320103156892264</v>
      </c>
      <c r="EK151" s="528">
        <f t="shared" si="405"/>
        <v>8.4433938037641165E-3</v>
      </c>
      <c r="EL151" s="528">
        <f t="shared" si="406"/>
        <v>0.42123952303173068</v>
      </c>
      <c r="EM151" s="528">
        <f t="shared" si="407"/>
        <v>4.0250000000000001E-2</v>
      </c>
      <c r="EN151" s="528">
        <f t="shared" si="408"/>
        <v>0.21601345499999997</v>
      </c>
      <c r="EO151">
        <f t="shared" si="409"/>
        <v>8.5500000000000003E-3</v>
      </c>
      <c r="EP151" s="460">
        <f t="shared" si="410"/>
        <v>48.800000000000004</v>
      </c>
      <c r="EQ151" s="460"/>
      <c r="ER151" s="460">
        <f t="shared" si="432"/>
        <v>694.49637183549476</v>
      </c>
      <c r="ES151" s="528">
        <f t="shared" si="411"/>
        <v>0.28699999999999998</v>
      </c>
      <c r="EV151" s="460">
        <f t="shared" si="412"/>
        <v>287</v>
      </c>
      <c r="EW151" s="528">
        <f t="shared" si="413"/>
        <v>1.2665090705646174E-2</v>
      </c>
      <c r="EX151" s="528">
        <f t="shared" si="414"/>
        <v>1.9353956913401443E-2</v>
      </c>
      <c r="EY151" s="528">
        <f t="shared" si="415"/>
        <v>0.49079556287247406</v>
      </c>
      <c r="EZ151" s="528"/>
      <c r="FA151" s="528">
        <f t="shared" si="416"/>
        <v>5.6033333333333334E-3</v>
      </c>
      <c r="FB151" s="460">
        <f t="shared" si="417"/>
        <v>528.417943824855</v>
      </c>
      <c r="FC151" s="173">
        <f t="shared" si="418"/>
        <v>1.5099143156603498</v>
      </c>
      <c r="FD151" s="5">
        <f t="shared" si="419"/>
        <v>6.56</v>
      </c>
      <c r="FE151" s="173">
        <f t="shared" si="420"/>
        <v>0.81289586771321298</v>
      </c>
      <c r="FF151" s="5">
        <f t="shared" si="421"/>
        <v>81.289586771321297</v>
      </c>
      <c r="FI151" s="562">
        <f t="shared" si="422"/>
        <v>-50</v>
      </c>
      <c r="FJ151">
        <f t="shared" si="423"/>
        <v>-50</v>
      </c>
      <c r="FL151">
        <f t="shared" si="476"/>
        <v>0.45825756949558405</v>
      </c>
    </row>
    <row r="152" spans="5:168">
      <c r="E152" s="170">
        <v>42</v>
      </c>
      <c r="F152" s="217">
        <f t="shared" si="477"/>
        <v>0.42</v>
      </c>
      <c r="G152" s="217"/>
      <c r="H152" s="217">
        <f t="shared" si="442"/>
        <v>6.72</v>
      </c>
      <c r="I152" s="541">
        <f t="shared" si="443"/>
        <v>18.955278640450004</v>
      </c>
      <c r="J152" s="172">
        <f t="shared" si="444"/>
        <v>16.426832815729995</v>
      </c>
      <c r="K152" s="172">
        <f t="shared" si="445"/>
        <v>35.382111456179999</v>
      </c>
      <c r="L152" s="443"/>
      <c r="M152" s="217">
        <f t="shared" si="446"/>
        <v>0.46427447990633081</v>
      </c>
      <c r="N152" s="172">
        <f t="shared" si="447"/>
        <v>22.210141068827792</v>
      </c>
      <c r="O152" s="172">
        <f t="shared" si="438"/>
        <v>6.72</v>
      </c>
      <c r="P152" s="217">
        <f t="shared" si="448"/>
        <v>1.388133816801737</v>
      </c>
      <c r="Q152" s="217">
        <f t="shared" si="449"/>
        <v>16</v>
      </c>
      <c r="R152" s="217"/>
      <c r="S152" s="172">
        <f t="shared" si="450"/>
        <v>93.95411891961416</v>
      </c>
      <c r="T152" s="172">
        <f t="shared" si="451"/>
        <v>16</v>
      </c>
      <c r="U152" s="217">
        <f t="shared" si="452"/>
        <v>1.5679671184100574</v>
      </c>
      <c r="V152" s="217">
        <f t="shared" si="453"/>
        <v>0.99263143411507249</v>
      </c>
      <c r="W152" s="217">
        <f t="shared" si="454"/>
        <v>1.1454189393650647</v>
      </c>
      <c r="X152" s="197">
        <f t="shared" si="455"/>
        <v>350</v>
      </c>
      <c r="Y152" s="443">
        <f t="shared" si="328"/>
        <v>350</v>
      </c>
      <c r="AA152" s="217">
        <f t="shared" si="456"/>
        <v>2.0953229672078084</v>
      </c>
      <c r="AB152" s="173">
        <f t="shared" si="457"/>
        <v>1.5306587635333118</v>
      </c>
      <c r="AC152" s="173">
        <f t="shared" si="458"/>
        <v>0.56126428088311942</v>
      </c>
      <c r="AD152" s="173"/>
      <c r="AE152" s="173">
        <f t="shared" si="459"/>
        <v>0.73051209168629572</v>
      </c>
      <c r="AF152" s="545">
        <f t="shared" si="460"/>
        <v>1149.8782971010994</v>
      </c>
      <c r="AG152" s="528">
        <f t="shared" si="461"/>
        <v>0.12783961604510174</v>
      </c>
      <c r="AI152" s="173">
        <f t="shared" si="462"/>
        <v>1.812558016491058</v>
      </c>
      <c r="AJ152" s="173">
        <f t="shared" si="463"/>
        <v>1.812558016491058</v>
      </c>
      <c r="AK152" s="173">
        <f t="shared" si="464"/>
        <v>1.8018948270304134</v>
      </c>
      <c r="AM152" s="545">
        <f t="shared" si="465"/>
        <v>420</v>
      </c>
      <c r="AN152" s="460">
        <f t="shared" si="466"/>
        <v>350</v>
      </c>
      <c r="AP152" s="460">
        <f t="shared" si="467"/>
        <v>420</v>
      </c>
      <c r="AQ152" s="460">
        <f t="shared" si="468"/>
        <v>350</v>
      </c>
      <c r="AS152" s="5">
        <f t="shared" si="439"/>
        <v>2.8571428571428572</v>
      </c>
      <c r="AT152" s="5">
        <f t="shared" si="469"/>
        <v>1.147474358487</v>
      </c>
      <c r="AU152" s="5">
        <f t="shared" si="343"/>
        <v>1.7096684986558572</v>
      </c>
      <c r="AV152" s="5"/>
      <c r="AW152" s="173">
        <f t="shared" si="344"/>
        <v>0.40161602547045</v>
      </c>
      <c r="AX152" s="173">
        <f t="shared" si="435"/>
        <v>6.8992697826065967</v>
      </c>
      <c r="AY152" s="173">
        <f t="shared" si="436"/>
        <v>0.54230283498665854</v>
      </c>
      <c r="AZ152" s="173">
        <f t="shared" si="440"/>
        <v>12.722171704627598</v>
      </c>
      <c r="BA152" s="460">
        <f t="shared" si="433"/>
        <v>3.0121201910283748</v>
      </c>
      <c r="BB152" s="5">
        <f t="shared" si="434"/>
        <v>0.50509115556032291</v>
      </c>
      <c r="BD152" s="173">
        <f t="shared" si="441"/>
        <v>0.66318822398677735</v>
      </c>
      <c r="BE152" s="173">
        <f t="shared" si="437"/>
        <v>0.80950822557933089</v>
      </c>
      <c r="BG152" s="528">
        <f t="shared" si="347"/>
        <v>8.7963724086947189E-3</v>
      </c>
      <c r="BH152" s="528">
        <f t="shared" si="470"/>
        <v>0.40964397884378312</v>
      </c>
      <c r="BI152" s="528">
        <f t="shared" si="471"/>
        <v>0.15258999305562254</v>
      </c>
      <c r="BJ152" s="528">
        <f t="shared" si="350"/>
        <v>0.21579519568793915</v>
      </c>
      <c r="BK152">
        <f t="shared" si="351"/>
        <v>8.5298753882025024E-3</v>
      </c>
      <c r="BL152" s="460">
        <f t="shared" si="427"/>
        <v>161.11986844382503</v>
      </c>
      <c r="BM152" s="528">
        <f t="shared" si="472"/>
        <v>0.63794388174037431</v>
      </c>
      <c r="BN152" s="460">
        <f t="shared" si="353"/>
        <v>637.94388174037431</v>
      </c>
      <c r="BO152" s="528">
        <f t="shared" si="354"/>
        <v>0.29399999999999998</v>
      </c>
      <c r="BR152" s="460">
        <f t="shared" si="355"/>
        <v>294</v>
      </c>
      <c r="BS152" s="528">
        <f t="shared" si="356"/>
        <v>1.3194558613042079E-2</v>
      </c>
      <c r="BT152" s="528">
        <f t="shared" si="357"/>
        <v>1.9659107018417908E-2</v>
      </c>
      <c r="BU152" s="528">
        <f t="shared" si="358"/>
        <v>0.50683886091595176</v>
      </c>
      <c r="BV152" s="528"/>
      <c r="BW152" s="528">
        <f t="shared" si="359"/>
        <v>5.7493914855054973E-3</v>
      </c>
      <c r="BX152" s="460">
        <f t="shared" si="360"/>
        <v>545.44191803291721</v>
      </c>
      <c r="BY152" s="173">
        <f t="shared" si="361"/>
        <v>1.6347973334171593</v>
      </c>
      <c r="BZ152" s="5">
        <f t="shared" si="362"/>
        <v>6.72</v>
      </c>
      <c r="CA152" s="173">
        <f t="shared" si="363"/>
        <v>0.8043283076564447</v>
      </c>
      <c r="CB152" s="5">
        <f t="shared" si="364"/>
        <v>80.432830765644468</v>
      </c>
      <c r="CE152" s="562">
        <f t="shared" si="473"/>
        <v>-50</v>
      </c>
      <c r="CF152">
        <f t="shared" si="474"/>
        <v>-50</v>
      </c>
      <c r="CG152" s="173">
        <f t="shared" si="475"/>
        <v>0.46957427527495582</v>
      </c>
      <c r="CI152" s="170">
        <v>42</v>
      </c>
      <c r="CJ152" s="217">
        <f t="shared" si="428"/>
        <v>0.42</v>
      </c>
      <c r="CK152" s="217"/>
      <c r="CL152" s="217">
        <f t="shared" si="368"/>
        <v>6.72</v>
      </c>
      <c r="CM152" s="541">
        <f t="shared" si="369"/>
        <v>19</v>
      </c>
      <c r="CN152" s="443">
        <f t="shared" si="370"/>
        <v>16.399999999999999</v>
      </c>
      <c r="CO152" s="443">
        <f t="shared" si="371"/>
        <v>35.4</v>
      </c>
      <c r="CP152" s="443"/>
      <c r="CQ152" s="217">
        <f t="shared" si="372"/>
        <v>0.4632768361581921</v>
      </c>
      <c r="CR152" s="172">
        <f t="shared" si="429"/>
        <v>22.214703389830511</v>
      </c>
      <c r="CS152" s="172">
        <f t="shared" si="373"/>
        <v>6.72</v>
      </c>
      <c r="CT152" s="217">
        <f t="shared" si="374"/>
        <v>1.3884189618644069</v>
      </c>
      <c r="CU152" s="217">
        <f t="shared" si="375"/>
        <v>16</v>
      </c>
      <c r="CV152" s="217"/>
      <c r="CW152" s="172">
        <f t="shared" si="376"/>
        <v>94.175597090938581</v>
      </c>
      <c r="CX152" s="172">
        <f t="shared" si="377"/>
        <v>16</v>
      </c>
      <c r="CY152" s="217">
        <f t="shared" si="378"/>
        <v>1.5268806161745827</v>
      </c>
      <c r="CZ152" s="217">
        <f t="shared" si="379"/>
        <v>0.96434565232078917</v>
      </c>
      <c r="DA152" s="217">
        <f t="shared" si="380"/>
        <v>1.1172297191521339</v>
      </c>
      <c r="DB152" s="197">
        <f t="shared" si="381"/>
        <v>350</v>
      </c>
      <c r="DC152" s="443">
        <f t="shared" si="382"/>
        <v>350</v>
      </c>
      <c r="DE152" s="217">
        <f t="shared" si="383"/>
        <v>2.0957761635727734</v>
      </c>
      <c r="DF152" s="173">
        <f t="shared" si="384"/>
        <v>1.5334947538337369</v>
      </c>
      <c r="DG152" s="173">
        <f t="shared" si="385"/>
        <v>0.5624258066085126</v>
      </c>
      <c r="DH152" s="173"/>
      <c r="DI152" s="173">
        <f t="shared" si="386"/>
        <v>0.73170731707317083</v>
      </c>
      <c r="DJ152" s="545">
        <f t="shared" si="387"/>
        <v>1147.9999999999998</v>
      </c>
      <c r="DK152" s="528">
        <f t="shared" si="388"/>
        <v>0.12804878048780488</v>
      </c>
      <c r="DM152" s="173">
        <f t="shared" si="389"/>
        <v>1.8110770276274832</v>
      </c>
      <c r="DN152" s="173">
        <f t="shared" si="390"/>
        <v>1.8110770276274832</v>
      </c>
      <c r="DO152" s="173">
        <f t="shared" si="391"/>
        <v>1.8007977982425802</v>
      </c>
      <c r="DQ152" s="545">
        <f t="shared" si="392"/>
        <v>420</v>
      </c>
      <c r="DR152" s="460">
        <f t="shared" si="393"/>
        <v>350</v>
      </c>
      <c r="DT152">
        <f t="shared" si="430"/>
        <v>420</v>
      </c>
      <c r="DU152">
        <f t="shared" si="431"/>
        <v>350</v>
      </c>
      <c r="DW152" s="5">
        <f t="shared" si="394"/>
        <v>2.8571428571428572</v>
      </c>
      <c r="DX152" s="5">
        <f t="shared" si="395"/>
        <v>1.1438381227120946</v>
      </c>
      <c r="DY152" s="5">
        <f t="shared" si="396"/>
        <v>1.7133047344307626</v>
      </c>
      <c r="DZ152" s="5"/>
      <c r="EA152" s="173">
        <f t="shared" si="397"/>
        <v>0.40034334294923313</v>
      </c>
      <c r="EB152" s="173">
        <f t="shared" si="398"/>
        <v>6.887999999999999</v>
      </c>
      <c r="EC152" s="173">
        <f t="shared" si="399"/>
        <v>0.54301219802426803</v>
      </c>
      <c r="ED152" s="173">
        <f t="shared" si="400"/>
        <v>12.684797919939477</v>
      </c>
      <c r="EE152" s="460">
        <f t="shared" si="401"/>
        <v>3.0025750721192481</v>
      </c>
      <c r="EF152" s="5">
        <f t="shared" si="402"/>
        <v>0.5049740269901194</v>
      </c>
      <c r="EH152" s="173">
        <f t="shared" si="403"/>
        <v>0.6615955876700621</v>
      </c>
      <c r="EI152" s="173">
        <f t="shared" si="404"/>
        <v>0.80970649726233412</v>
      </c>
      <c r="EK152" s="528">
        <f t="shared" si="405"/>
        <v>8.7541744324898963E-3</v>
      </c>
      <c r="EL152" s="528">
        <f t="shared" si="406"/>
        <v>0.42634564307378586</v>
      </c>
      <c r="EM152" s="528">
        <f t="shared" si="407"/>
        <v>4.0250000000000001E-2</v>
      </c>
      <c r="EN152" s="528">
        <f t="shared" si="408"/>
        <v>0.21601345499999997</v>
      </c>
      <c r="EO152">
        <f t="shared" si="409"/>
        <v>8.5500000000000003E-3</v>
      </c>
      <c r="EP152" s="460">
        <f t="shared" si="410"/>
        <v>48.800000000000004</v>
      </c>
      <c r="EQ152" s="460"/>
      <c r="ER152" s="460">
        <f t="shared" si="432"/>
        <v>699.91327250627569</v>
      </c>
      <c r="ES152" s="528">
        <f t="shared" si="411"/>
        <v>0.29399999999999998</v>
      </c>
      <c r="EV152" s="460">
        <f t="shared" si="412"/>
        <v>294</v>
      </c>
      <c r="EW152" s="528">
        <f t="shared" si="413"/>
        <v>1.3131261648734844E-2</v>
      </c>
      <c r="EX152" s="528">
        <f t="shared" si="414"/>
        <v>1.966873835126515E-2</v>
      </c>
      <c r="EY152" s="528">
        <f t="shared" si="415"/>
        <v>0.50580418674229144</v>
      </c>
      <c r="EZ152" s="528"/>
      <c r="FA152" s="528">
        <f t="shared" si="416"/>
        <v>5.7399999999999994E-3</v>
      </c>
      <c r="FB152" s="460">
        <f t="shared" si="417"/>
        <v>544.34418674229141</v>
      </c>
      <c r="FC152" s="173">
        <f t="shared" si="418"/>
        <v>1.5382574592485672</v>
      </c>
      <c r="FD152" s="5">
        <f t="shared" si="419"/>
        <v>6.72</v>
      </c>
      <c r="FE152" s="173">
        <f t="shared" si="420"/>
        <v>0.81373098782166864</v>
      </c>
      <c r="FF152" s="5">
        <f t="shared" si="421"/>
        <v>81.373098782166863</v>
      </c>
      <c r="FI152" s="562">
        <f t="shared" si="422"/>
        <v>-50</v>
      </c>
      <c r="FJ152">
        <f t="shared" si="423"/>
        <v>-50</v>
      </c>
      <c r="FL152">
        <f t="shared" si="476"/>
        <v>0.46381240951435548</v>
      </c>
    </row>
    <row r="153" spans="5:168">
      <c r="E153" s="170">
        <v>43</v>
      </c>
      <c r="F153" s="217">
        <f t="shared" si="477"/>
        <v>0.43</v>
      </c>
      <c r="G153" s="217"/>
      <c r="H153" s="217">
        <f t="shared" si="442"/>
        <v>6.88</v>
      </c>
      <c r="I153" s="541">
        <f t="shared" si="443"/>
        <v>18.954749375168745</v>
      </c>
      <c r="J153" s="172">
        <f t="shared" si="444"/>
        <v>16.427150374898751</v>
      </c>
      <c r="K153" s="172">
        <f t="shared" si="445"/>
        <v>35.381899750067497</v>
      </c>
      <c r="L153" s="443"/>
      <c r="M153" s="217">
        <f t="shared" si="446"/>
        <v>0.46428629267959071</v>
      </c>
      <c r="N153" s="172">
        <f t="shared" si="447"/>
        <v>22.210086010176326</v>
      </c>
      <c r="O153" s="172">
        <f t="shared" si="438"/>
        <v>6.88</v>
      </c>
      <c r="P153" s="217">
        <f t="shared" si="448"/>
        <v>1.3881303756360204</v>
      </c>
      <c r="Q153" s="217">
        <f t="shared" si="449"/>
        <v>16</v>
      </c>
      <c r="R153" s="217"/>
      <c r="S153" s="172">
        <f t="shared" si="450"/>
        <v>91.329936459939077</v>
      </c>
      <c r="T153" s="172">
        <f t="shared" si="451"/>
        <v>16</v>
      </c>
      <c r="U153" s="217">
        <f t="shared" si="452"/>
        <v>1.6053350665631481</v>
      </c>
      <c r="V153" s="217">
        <f t="shared" si="453"/>
        <v>1.0163163024457704</v>
      </c>
      <c r="W153" s="217">
        <f t="shared" si="454"/>
        <v>1.1726940071233452</v>
      </c>
      <c r="X153" s="197">
        <f t="shared" si="455"/>
        <v>350</v>
      </c>
      <c r="Y153" s="443">
        <f t="shared" si="328"/>
        <v>350</v>
      </c>
      <c r="AA153" s="217">
        <f t="shared" si="456"/>
        <v>2.0953175043084613</v>
      </c>
      <c r="AB153" s="173">
        <f t="shared" si="457"/>
        <v>1.530625183179801</v>
      </c>
      <c r="AC153" s="173">
        <f t="shared" si="458"/>
        <v>0.56125050429909684</v>
      </c>
      <c r="AD153" s="173"/>
      <c r="AE153" s="173">
        <f t="shared" si="459"/>
        <v>0.73049796989357396</v>
      </c>
      <c r="AF153" s="545">
        <f t="shared" si="460"/>
        <v>1177.2791102010772</v>
      </c>
      <c r="AG153" s="528">
        <f t="shared" si="461"/>
        <v>0.12783714473137547</v>
      </c>
      <c r="AI153" s="173">
        <f t="shared" si="462"/>
        <v>1.8340268810937603</v>
      </c>
      <c r="AJ153" s="173">
        <f t="shared" si="463"/>
        <v>1.8340268810937603</v>
      </c>
      <c r="AK153" s="173">
        <f t="shared" si="464"/>
        <v>1.8177976896990817</v>
      </c>
      <c r="AM153" s="545">
        <f t="shared" si="465"/>
        <v>430</v>
      </c>
      <c r="AN153" s="460">
        <f t="shared" si="466"/>
        <v>350</v>
      </c>
      <c r="AP153" s="460">
        <f t="shared" si="467"/>
        <v>430</v>
      </c>
      <c r="AQ153" s="460">
        <f t="shared" si="468"/>
        <v>350</v>
      </c>
      <c r="AS153" s="5">
        <f t="shared" si="439"/>
        <v>2.8571428571428572</v>
      </c>
      <c r="AT153" s="5">
        <f t="shared" si="469"/>
        <v>1.161098051866444</v>
      </c>
      <c r="AU153" s="5">
        <f t="shared" si="343"/>
        <v>1.6960448052764132</v>
      </c>
      <c r="AV153" s="5"/>
      <c r="AW153" s="173">
        <f t="shared" si="344"/>
        <v>0.40638431815325537</v>
      </c>
      <c r="AX153" s="173">
        <f t="shared" si="435"/>
        <v>7.0636746612064627</v>
      </c>
      <c r="AY153" s="173">
        <f t="shared" si="436"/>
        <v>0.54435355877286551</v>
      </c>
      <c r="AZ153" s="173">
        <f t="shared" si="440"/>
        <v>12.976262481189766</v>
      </c>
      <c r="BA153" s="460">
        <f t="shared" si="433"/>
        <v>3.1204510143910684</v>
      </c>
      <c r="BB153" s="5">
        <f t="shared" si="434"/>
        <v>0.51301075126093731</v>
      </c>
      <c r="BD153" s="173">
        <f t="shared" si="441"/>
        <v>0.67501518041140651</v>
      </c>
      <c r="BE153" s="173">
        <f t="shared" si="437"/>
        <v>0.81582639477137442</v>
      </c>
      <c r="BG153" s="528">
        <f t="shared" si="347"/>
        <v>9.1129098757168746E-3</v>
      </c>
      <c r="BH153" s="528">
        <f t="shared" si="470"/>
        <v>0.41449353163247338</v>
      </c>
      <c r="BI153" s="528">
        <f t="shared" si="471"/>
        <v>0.15258573247010843</v>
      </c>
      <c r="BJ153" s="528">
        <f t="shared" si="350"/>
        <v>0.21579261330811955</v>
      </c>
      <c r="BK153">
        <f t="shared" si="351"/>
        <v>8.5296372188259344E-3</v>
      </c>
      <c r="BL153" s="460">
        <f t="shared" si="427"/>
        <v>161.11536968893435</v>
      </c>
      <c r="BM153" s="528">
        <f t="shared" si="472"/>
        <v>0.64325232803983601</v>
      </c>
      <c r="BN153" s="460">
        <f t="shared" si="353"/>
        <v>643.25232803983602</v>
      </c>
      <c r="BO153" s="528">
        <f t="shared" si="354"/>
        <v>0.30099999999999999</v>
      </c>
      <c r="BR153" s="460">
        <f t="shared" si="355"/>
        <v>301</v>
      </c>
      <c r="BS153" s="528">
        <f t="shared" si="356"/>
        <v>1.3669364813575309E-2</v>
      </c>
      <c r="BT153" s="528">
        <f t="shared" si="357"/>
        <v>1.9967181192169753E-2</v>
      </c>
      <c r="BU153" s="528">
        <f t="shared" si="358"/>
        <v>0.52198059387243601</v>
      </c>
      <c r="BV153" s="528"/>
      <c r="BW153" s="528">
        <f t="shared" si="359"/>
        <v>5.8863955510053854E-3</v>
      </c>
      <c r="BX153" s="460">
        <f t="shared" si="360"/>
        <v>561.5035354291864</v>
      </c>
      <c r="BY153" s="173">
        <f t="shared" si="361"/>
        <v>1.6630179599344306</v>
      </c>
      <c r="BZ153" s="5">
        <f t="shared" si="362"/>
        <v>6.88</v>
      </c>
      <c r="CA153" s="173">
        <f t="shared" si="363"/>
        <v>0.80533601032635604</v>
      </c>
      <c r="CB153" s="5">
        <f t="shared" si="364"/>
        <v>80.533601032635602</v>
      </c>
      <c r="CE153" s="562">
        <f t="shared" si="473"/>
        <v>-50</v>
      </c>
      <c r="CF153">
        <f t="shared" si="474"/>
        <v>-50</v>
      </c>
      <c r="CG153" s="173">
        <f t="shared" si="475"/>
        <v>0.47513156072818402</v>
      </c>
      <c r="CI153" s="170">
        <v>43</v>
      </c>
      <c r="CJ153" s="217">
        <f t="shared" si="428"/>
        <v>0.43</v>
      </c>
      <c r="CK153" s="217"/>
      <c r="CL153" s="217">
        <f t="shared" si="368"/>
        <v>6.88</v>
      </c>
      <c r="CM153" s="541">
        <f t="shared" si="369"/>
        <v>19</v>
      </c>
      <c r="CN153" s="443">
        <f t="shared" si="370"/>
        <v>16.399999999999999</v>
      </c>
      <c r="CO153" s="443">
        <f t="shared" si="371"/>
        <v>35.4</v>
      </c>
      <c r="CP153" s="443"/>
      <c r="CQ153" s="217">
        <f t="shared" si="372"/>
        <v>0.4632768361581921</v>
      </c>
      <c r="CR153" s="172">
        <f t="shared" si="429"/>
        <v>22.214703389830511</v>
      </c>
      <c r="CS153" s="172">
        <f t="shared" si="373"/>
        <v>6.88</v>
      </c>
      <c r="CT153" s="217">
        <f t="shared" si="374"/>
        <v>1.3884189618644069</v>
      </c>
      <c r="CU153" s="217">
        <f t="shared" si="375"/>
        <v>16</v>
      </c>
      <c r="CV153" s="217"/>
      <c r="CW153" s="172">
        <f t="shared" si="376"/>
        <v>91.547771898049064</v>
      </c>
      <c r="CX153" s="172">
        <f t="shared" si="377"/>
        <v>16</v>
      </c>
      <c r="CY153" s="217">
        <f t="shared" si="378"/>
        <v>1.5632349165596917</v>
      </c>
      <c r="CZ153" s="217">
        <f t="shared" si="379"/>
        <v>0.98730626309033165</v>
      </c>
      <c r="DA153" s="217">
        <f t="shared" si="380"/>
        <v>1.143830426750994</v>
      </c>
      <c r="DB153" s="197">
        <f t="shared" si="381"/>
        <v>350</v>
      </c>
      <c r="DC153" s="443">
        <f t="shared" si="382"/>
        <v>350</v>
      </c>
      <c r="DE153" s="217">
        <f t="shared" si="383"/>
        <v>2.0957761635727734</v>
      </c>
      <c r="DF153" s="173">
        <f t="shared" si="384"/>
        <v>1.5334947538337369</v>
      </c>
      <c r="DG153" s="173">
        <f t="shared" si="385"/>
        <v>0.5624258066085126</v>
      </c>
      <c r="DH153" s="173"/>
      <c r="DI153" s="173">
        <f t="shared" si="386"/>
        <v>0.73170731707317083</v>
      </c>
      <c r="DJ153" s="545">
        <f t="shared" si="387"/>
        <v>1175.3333333333333</v>
      </c>
      <c r="DK153" s="528">
        <f t="shared" si="388"/>
        <v>0.12804878048780488</v>
      </c>
      <c r="DM153" s="173">
        <f t="shared" si="389"/>
        <v>1.8325106379214386</v>
      </c>
      <c r="DN153" s="173">
        <f t="shared" si="390"/>
        <v>1.8325106379214386</v>
      </c>
      <c r="DO153" s="173">
        <f t="shared" si="391"/>
        <v>1.8166745466084731</v>
      </c>
      <c r="DQ153" s="545">
        <f t="shared" si="392"/>
        <v>430</v>
      </c>
      <c r="DR153" s="460">
        <f t="shared" si="393"/>
        <v>350</v>
      </c>
      <c r="DT153">
        <f t="shared" si="430"/>
        <v>430</v>
      </c>
      <c r="DU153">
        <f t="shared" si="431"/>
        <v>350</v>
      </c>
      <c r="DW153" s="5">
        <f t="shared" si="394"/>
        <v>2.8571428571428572</v>
      </c>
      <c r="DX153" s="5">
        <f t="shared" si="395"/>
        <v>1.157375139739856</v>
      </c>
      <c r="DY153" s="5">
        <f t="shared" si="396"/>
        <v>1.6997677174030013</v>
      </c>
      <c r="DZ153" s="5"/>
      <c r="EA153" s="173">
        <f t="shared" si="397"/>
        <v>0.40508129890894956</v>
      </c>
      <c r="EB153" s="173">
        <f t="shared" si="398"/>
        <v>7.0519999999999996</v>
      </c>
      <c r="EC153" s="173">
        <f t="shared" si="399"/>
        <v>0.54509742422387719</v>
      </c>
      <c r="ED153" s="173">
        <f t="shared" si="400"/>
        <v>12.937136898125701</v>
      </c>
      <c r="EE153" s="460">
        <f t="shared" si="401"/>
        <v>3.1104456880508629</v>
      </c>
      <c r="EF153" s="5">
        <f t="shared" si="402"/>
        <v>0.51291236384792305</v>
      </c>
      <c r="EH153" s="173">
        <f t="shared" si="403"/>
        <v>0.6733749774847041</v>
      </c>
      <c r="EI153" s="173">
        <f t="shared" si="404"/>
        <v>0.81604608881027885</v>
      </c>
      <c r="EK153" s="528">
        <f t="shared" si="405"/>
        <v>9.0686772060505159E-3</v>
      </c>
      <c r="EL153" s="528">
        <f t="shared" si="406"/>
        <v>0.43139132927308593</v>
      </c>
      <c r="EM153" s="528">
        <f t="shared" si="407"/>
        <v>4.0250000000000001E-2</v>
      </c>
      <c r="EN153" s="528">
        <f t="shared" si="408"/>
        <v>0.21601345499999997</v>
      </c>
      <c r="EO153">
        <f t="shared" si="409"/>
        <v>8.5500000000000003E-3</v>
      </c>
      <c r="EP153" s="460">
        <f t="shared" si="410"/>
        <v>48.800000000000004</v>
      </c>
      <c r="EQ153" s="460"/>
      <c r="ER153" s="460">
        <f t="shared" si="432"/>
        <v>705.27346147913636</v>
      </c>
      <c r="ES153" s="528">
        <f t="shared" si="411"/>
        <v>0.30099999999999999</v>
      </c>
      <c r="EV153" s="460">
        <f t="shared" si="412"/>
        <v>301</v>
      </c>
      <c r="EW153" s="528">
        <f t="shared" si="413"/>
        <v>1.3603015809075771E-2</v>
      </c>
      <c r="EX153" s="528">
        <f t="shared" si="414"/>
        <v>1.9977936571876603E-2</v>
      </c>
      <c r="EY153" s="528">
        <f t="shared" si="415"/>
        <v>0.52090242150261379</v>
      </c>
      <c r="EZ153" s="528"/>
      <c r="FA153" s="528">
        <f t="shared" si="416"/>
        <v>5.8766666666666663E-3</v>
      </c>
      <c r="FB153" s="460">
        <f t="shared" si="417"/>
        <v>560.36004055023284</v>
      </c>
      <c r="FC153" s="173">
        <f t="shared" si="418"/>
        <v>1.5666335020293694</v>
      </c>
      <c r="FD153" s="5">
        <f t="shared" si="419"/>
        <v>6.88</v>
      </c>
      <c r="FE153" s="173">
        <f t="shared" si="420"/>
        <v>0.81452569219997839</v>
      </c>
      <c r="FF153" s="5">
        <f t="shared" si="421"/>
        <v>81.452569219997841</v>
      </c>
      <c r="FI153" s="562">
        <f t="shared" si="422"/>
        <v>-50</v>
      </c>
      <c r="FJ153">
        <f t="shared" si="423"/>
        <v>-50</v>
      </c>
      <c r="FL153">
        <f t="shared" si="476"/>
        <v>0.46930150483353922</v>
      </c>
    </row>
    <row r="154" spans="5:168">
      <c r="E154" s="170">
        <v>44</v>
      </c>
      <c r="F154" s="217">
        <f t="shared" si="477"/>
        <v>0.44</v>
      </c>
      <c r="G154" s="217"/>
      <c r="H154" s="217">
        <f t="shared" si="442"/>
        <v>7.04</v>
      </c>
      <c r="I154" s="541">
        <f t="shared" si="443"/>
        <v>18.954226229178293</v>
      </c>
      <c r="J154" s="172">
        <f t="shared" si="444"/>
        <v>16.427464262493022</v>
      </c>
      <c r="K154" s="172">
        <f t="shared" si="445"/>
        <v>35.381690491671314</v>
      </c>
      <c r="L154" s="443"/>
      <c r="M154" s="217">
        <f t="shared" si="446"/>
        <v>0.46429796901155734</v>
      </c>
      <c r="N154" s="172">
        <f t="shared" si="447"/>
        <v>22.210031563614514</v>
      </c>
      <c r="O154" s="172">
        <f t="shared" si="438"/>
        <v>7.04</v>
      </c>
      <c r="P154" s="217">
        <f t="shared" si="448"/>
        <v>1.3881269727259071</v>
      </c>
      <c r="Q154" s="217">
        <f t="shared" si="449"/>
        <v>16</v>
      </c>
      <c r="R154" s="217"/>
      <c r="S154" s="172">
        <f t="shared" si="450"/>
        <v>88.825213493696367</v>
      </c>
      <c r="T154" s="172">
        <f t="shared" si="451"/>
        <v>16</v>
      </c>
      <c r="U154" s="217">
        <f t="shared" si="452"/>
        <v>1.6427042443282902</v>
      </c>
      <c r="V154" s="217">
        <f t="shared" si="453"/>
        <v>1.0400029362102883</v>
      </c>
      <c r="W154" s="217">
        <f t="shared" si="454"/>
        <v>1.1999691867811091</v>
      </c>
      <c r="X154" s="197">
        <f t="shared" si="455"/>
        <v>350</v>
      </c>
      <c r="Y154" s="443">
        <f t="shared" si="328"/>
        <v>350</v>
      </c>
      <c r="AA154" s="217">
        <f t="shared" si="456"/>
        <v>2.0953121022831827</v>
      </c>
      <c r="AB154" s="173">
        <f t="shared" si="457"/>
        <v>1.5305919906827052</v>
      </c>
      <c r="AC154" s="173">
        <f t="shared" si="458"/>
        <v>0.56123688630365653</v>
      </c>
      <c r="AD154" s="173"/>
      <c r="AE154" s="173">
        <f t="shared" si="459"/>
        <v>0.73048401191157952</v>
      </c>
      <c r="AF154" s="545">
        <f t="shared" si="460"/>
        <v>1204.6807125828216</v>
      </c>
      <c r="AG154" s="528">
        <f t="shared" si="461"/>
        <v>0.12783470208452644</v>
      </c>
      <c r="AI154" s="173">
        <f t="shared" si="462"/>
        <v>1.8552479330520155</v>
      </c>
      <c r="AJ154" s="173">
        <f t="shared" si="463"/>
        <v>1.8552479330520155</v>
      </c>
      <c r="AK154" s="173">
        <f t="shared" si="464"/>
        <v>1.8335169874459374</v>
      </c>
      <c r="AM154" s="545">
        <f t="shared" si="465"/>
        <v>440</v>
      </c>
      <c r="AN154" s="460">
        <f t="shared" si="466"/>
        <v>350</v>
      </c>
      <c r="AP154" s="460">
        <f t="shared" si="467"/>
        <v>440</v>
      </c>
      <c r="AQ154" s="460">
        <f t="shared" si="468"/>
        <v>350</v>
      </c>
      <c r="AS154" s="5">
        <f t="shared" si="439"/>
        <v>2.8571428571428572</v>
      </c>
      <c r="AT154" s="5">
        <f t="shared" si="469"/>
        <v>1.1745652356070531</v>
      </c>
      <c r="AU154" s="5">
        <f t="shared" si="343"/>
        <v>1.6825776215358041</v>
      </c>
      <c r="AV154" s="5"/>
      <c r="AW154" s="173">
        <f t="shared" si="344"/>
        <v>0.41109783246246856</v>
      </c>
      <c r="AX154" s="173">
        <f t="shared" si="435"/>
        <v>7.2280842754969301</v>
      </c>
      <c r="AY154" s="173">
        <f t="shared" si="436"/>
        <v>0.5462797645469285</v>
      </c>
      <c r="AZ154" s="173">
        <f t="shared" si="440"/>
        <v>13.231469925472586</v>
      </c>
      <c r="BA154" s="460">
        <f t="shared" si="433"/>
        <v>3.2300543979193956</v>
      </c>
      <c r="BB154" s="5">
        <f t="shared" si="434"/>
        <v>0.52078739205653757</v>
      </c>
      <c r="BD154" s="173">
        <f t="shared" si="441"/>
        <v>0.68677412225712042</v>
      </c>
      <c r="BE154" s="173">
        <f t="shared" si="437"/>
        <v>0.82198313204259477</v>
      </c>
      <c r="BG154" s="528">
        <f t="shared" si="347"/>
        <v>9.4331739000407637E-3</v>
      </c>
      <c r="BH154" s="528">
        <f t="shared" si="470"/>
        <v>0.41928704957447288</v>
      </c>
      <c r="BI154" s="528">
        <f t="shared" si="471"/>
        <v>0.15258152114488524</v>
      </c>
      <c r="BJ154" s="528">
        <f t="shared" si="350"/>
        <v>0.21579006080059712</v>
      </c>
      <c r="BK154">
        <f t="shared" si="351"/>
        <v>8.5294018031302314E-3</v>
      </c>
      <c r="BL154" s="460">
        <f t="shared" si="427"/>
        <v>161.11092294801546</v>
      </c>
      <c r="BM154" s="528">
        <f t="shared" si="472"/>
        <v>0.64851076274484409</v>
      </c>
      <c r="BN154" s="460">
        <f t="shared" si="353"/>
        <v>648.5107627448441</v>
      </c>
      <c r="BO154" s="528">
        <f t="shared" si="354"/>
        <v>0.308</v>
      </c>
      <c r="BR154" s="460">
        <f t="shared" si="355"/>
        <v>308</v>
      </c>
      <c r="BS154" s="528">
        <f t="shared" si="356"/>
        <v>1.4149760850061144E-2</v>
      </c>
      <c r="BT154" s="528">
        <f t="shared" si="357"/>
        <v>2.0269688080876612E-2</v>
      </c>
      <c r="BU154" s="528">
        <f t="shared" si="358"/>
        <v>0.537211135424427</v>
      </c>
      <c r="BV154" s="528"/>
      <c r="BW154" s="528">
        <f t="shared" si="359"/>
        <v>6.0234035629141078E-3</v>
      </c>
      <c r="BX154" s="460">
        <f t="shared" si="360"/>
        <v>577.65398791827886</v>
      </c>
      <c r="BY154" s="173">
        <f t="shared" si="361"/>
        <v>1.6912751951414049</v>
      </c>
      <c r="BZ154" s="5">
        <f t="shared" si="362"/>
        <v>7.04</v>
      </c>
      <c r="CA154" s="173">
        <f t="shared" si="363"/>
        <v>0.80629688592537663</v>
      </c>
      <c r="CB154" s="5">
        <f t="shared" si="364"/>
        <v>80.629688592537661</v>
      </c>
      <c r="CE154" s="562">
        <f t="shared" si="473"/>
        <v>-50</v>
      </c>
      <c r="CF154">
        <f t="shared" si="474"/>
        <v>-50</v>
      </c>
      <c r="CG154" s="173">
        <f t="shared" si="475"/>
        <v>0.48062459362791665</v>
      </c>
      <c r="CI154" s="170">
        <v>44</v>
      </c>
      <c r="CJ154" s="217">
        <f t="shared" si="428"/>
        <v>0.44</v>
      </c>
      <c r="CK154" s="217"/>
      <c r="CL154" s="217">
        <f t="shared" si="368"/>
        <v>7.04</v>
      </c>
      <c r="CM154" s="541">
        <f t="shared" si="369"/>
        <v>19</v>
      </c>
      <c r="CN154" s="443">
        <f t="shared" si="370"/>
        <v>16.399999999999999</v>
      </c>
      <c r="CO154" s="443">
        <f t="shared" si="371"/>
        <v>35.4</v>
      </c>
      <c r="CP154" s="443"/>
      <c r="CQ154" s="217">
        <f t="shared" si="372"/>
        <v>0.4632768361581921</v>
      </c>
      <c r="CR154" s="172">
        <f t="shared" si="429"/>
        <v>22.214703389830511</v>
      </c>
      <c r="CS154" s="172">
        <f t="shared" si="373"/>
        <v>7.04</v>
      </c>
      <c r="CT154" s="217">
        <f t="shared" si="374"/>
        <v>1.3884189618644069</v>
      </c>
      <c r="CU154" s="217">
        <f t="shared" si="375"/>
        <v>16</v>
      </c>
      <c r="CV154" s="217"/>
      <c r="CW154" s="172">
        <f t="shared" si="376"/>
        <v>89.039519077820273</v>
      </c>
      <c r="CX154" s="172">
        <f t="shared" si="377"/>
        <v>16</v>
      </c>
      <c r="CY154" s="217">
        <f t="shared" si="378"/>
        <v>1.5995892169448009</v>
      </c>
      <c r="CZ154" s="217">
        <f t="shared" si="379"/>
        <v>1.0102668738598743</v>
      </c>
      <c r="DA154" s="217">
        <f t="shared" si="380"/>
        <v>1.1704311343498544</v>
      </c>
      <c r="DB154" s="197">
        <f t="shared" si="381"/>
        <v>350</v>
      </c>
      <c r="DC154" s="443">
        <f t="shared" si="382"/>
        <v>350</v>
      </c>
      <c r="DE154" s="217">
        <f t="shared" si="383"/>
        <v>2.0957761635727734</v>
      </c>
      <c r="DF154" s="173">
        <f t="shared" si="384"/>
        <v>1.5334947538337369</v>
      </c>
      <c r="DG154" s="173">
        <f t="shared" si="385"/>
        <v>0.5624258066085126</v>
      </c>
      <c r="DH154" s="173"/>
      <c r="DI154" s="173">
        <f t="shared" si="386"/>
        <v>0.73170731707317083</v>
      </c>
      <c r="DJ154" s="545">
        <f t="shared" si="387"/>
        <v>1202.6666666666665</v>
      </c>
      <c r="DK154" s="528">
        <f t="shared" si="388"/>
        <v>0.12804878048780488</v>
      </c>
      <c r="DM154" s="173">
        <f t="shared" si="389"/>
        <v>1.8536964358250454</v>
      </c>
      <c r="DN154" s="173">
        <f t="shared" si="390"/>
        <v>1.8536964358250454</v>
      </c>
      <c r="DO154" s="173">
        <f t="shared" si="391"/>
        <v>1.8323677302407744</v>
      </c>
      <c r="DQ154" s="545">
        <f t="shared" si="392"/>
        <v>440</v>
      </c>
      <c r="DR154" s="460">
        <f t="shared" si="393"/>
        <v>350</v>
      </c>
      <c r="DT154">
        <f t="shared" si="430"/>
        <v>440</v>
      </c>
      <c r="DU154">
        <f t="shared" si="431"/>
        <v>350</v>
      </c>
      <c r="DW154" s="5">
        <f t="shared" si="394"/>
        <v>2.8571428571428572</v>
      </c>
      <c r="DX154" s="5">
        <f t="shared" si="395"/>
        <v>1.1707556436789761</v>
      </c>
      <c r="DY154" s="5">
        <f t="shared" si="396"/>
        <v>1.6863872134638811</v>
      </c>
      <c r="DZ154" s="5"/>
      <c r="EA154" s="173">
        <f t="shared" si="397"/>
        <v>0.40976447528764165</v>
      </c>
      <c r="EB154" s="173">
        <f t="shared" si="398"/>
        <v>7.2160000000000011</v>
      </c>
      <c r="EC154" s="173">
        <f t="shared" si="399"/>
        <v>0.54705874422831202</v>
      </c>
      <c r="ED154" s="173">
        <f t="shared" si="400"/>
        <v>13.190539546496019</v>
      </c>
      <c r="EE154" s="460">
        <f t="shared" si="401"/>
        <v>3.2195780201171842</v>
      </c>
      <c r="EF154" s="5">
        <f t="shared" si="402"/>
        <v>0.5207090343327071</v>
      </c>
      <c r="EH154" s="173">
        <f t="shared" si="403"/>
        <v>0.68508607426721257</v>
      </c>
      <c r="EI154" s="173">
        <f t="shared" si="404"/>
        <v>0.82222496692934632</v>
      </c>
      <c r="EK154" s="528">
        <f t="shared" si="405"/>
        <v>9.3868585830972143E-3</v>
      </c>
      <c r="EL154" s="528">
        <f t="shared" si="406"/>
        <v>0.43637867795757401</v>
      </c>
      <c r="EM154" s="528">
        <f t="shared" si="407"/>
        <v>4.0250000000000001E-2</v>
      </c>
      <c r="EN154" s="528">
        <f t="shared" si="408"/>
        <v>0.21601345499999997</v>
      </c>
      <c r="EO154">
        <f t="shared" si="409"/>
        <v>8.5500000000000003E-3</v>
      </c>
      <c r="EP154" s="460">
        <f t="shared" si="410"/>
        <v>48.800000000000004</v>
      </c>
      <c r="EQ154" s="460"/>
      <c r="ER154" s="460">
        <f t="shared" si="432"/>
        <v>710.57899154067115</v>
      </c>
      <c r="ES154" s="528">
        <f t="shared" si="411"/>
        <v>0.308</v>
      </c>
      <c r="EV154" s="460">
        <f t="shared" si="412"/>
        <v>308</v>
      </c>
      <c r="EW154" s="528">
        <f t="shared" si="413"/>
        <v>1.408028787464582E-2</v>
      </c>
      <c r="EX154" s="528">
        <f t="shared" si="414"/>
        <v>2.0281616887258939E-2</v>
      </c>
      <c r="EY154" s="528">
        <f t="shared" si="415"/>
        <v>0.53608869933359682</v>
      </c>
      <c r="EZ154" s="528"/>
      <c r="FA154" s="528">
        <f t="shared" si="416"/>
        <v>6.0133333333333349E-3</v>
      </c>
      <c r="FB154" s="460">
        <f t="shared" si="417"/>
        <v>576.46393742883481</v>
      </c>
      <c r="FC154" s="173">
        <f t="shared" si="418"/>
        <v>1.5950429289695063</v>
      </c>
      <c r="FD154" s="5">
        <f t="shared" si="419"/>
        <v>7.04</v>
      </c>
      <c r="FE154" s="173">
        <f t="shared" si="420"/>
        <v>0.81528257102019341</v>
      </c>
      <c r="FF154" s="5">
        <f t="shared" si="421"/>
        <v>81.528257102019339</v>
      </c>
      <c r="FI154" s="562">
        <f t="shared" si="422"/>
        <v>-50</v>
      </c>
      <c r="FJ154">
        <f t="shared" si="423"/>
        <v>-50</v>
      </c>
      <c r="FL154">
        <f t="shared" si="476"/>
        <v>0.47472713600397504</v>
      </c>
    </row>
    <row r="155" spans="5:168">
      <c r="E155" s="170">
        <v>45</v>
      </c>
      <c r="F155" s="217">
        <f t="shared" si="477"/>
        <v>0.45</v>
      </c>
      <c r="G155" s="217"/>
      <c r="H155" s="217">
        <f t="shared" si="442"/>
        <v>7.2</v>
      </c>
      <c r="I155" s="541">
        <f t="shared" si="443"/>
        <v>18.953708995011372</v>
      </c>
      <c r="J155" s="172">
        <f t="shared" si="444"/>
        <v>16.427774602993175</v>
      </c>
      <c r="K155" s="172">
        <f t="shared" si="445"/>
        <v>35.38148359800455</v>
      </c>
      <c r="L155" s="443"/>
      <c r="M155" s="217">
        <f t="shared" si="446"/>
        <v>0.46430951352811273</v>
      </c>
      <c r="N155" s="172">
        <f t="shared" si="447"/>
        <v>22.209977708389758</v>
      </c>
      <c r="O155" s="172">
        <f t="shared" si="438"/>
        <v>7.2</v>
      </c>
      <c r="P155" s="217">
        <f t="shared" si="448"/>
        <v>1.3881236067743599</v>
      </c>
      <c r="Q155" s="217">
        <f t="shared" si="449"/>
        <v>16</v>
      </c>
      <c r="R155" s="217"/>
      <c r="S155" s="172">
        <f t="shared" si="450"/>
        <v>86.431986416559113</v>
      </c>
      <c r="T155" s="172">
        <f t="shared" si="451"/>
        <v>16</v>
      </c>
      <c r="U155" s="217">
        <f t="shared" si="452"/>
        <v>1.680074637739962</v>
      </c>
      <c r="V155" s="217">
        <f t="shared" si="453"/>
        <v>1.0636913154140915</v>
      </c>
      <c r="W155" s="217">
        <f t="shared" si="454"/>
        <v>1.2272444771190243</v>
      </c>
      <c r="X155" s="197">
        <f t="shared" si="455"/>
        <v>350</v>
      </c>
      <c r="Y155" s="443">
        <f t="shared" si="328"/>
        <v>350</v>
      </c>
      <c r="AA155" s="217">
        <f t="shared" si="456"/>
        <v>2.095306759068071</v>
      </c>
      <c r="AB155" s="173">
        <f t="shared" si="457"/>
        <v>1.5305591728922079</v>
      </c>
      <c r="AC155" s="173">
        <f t="shared" si="458"/>
        <v>0.56122342152006888</v>
      </c>
      <c r="AD155" s="173"/>
      <c r="AE155" s="173">
        <f t="shared" si="459"/>
        <v>0.73047021218647434</v>
      </c>
      <c r="AF155" s="545">
        <f t="shared" si="460"/>
        <v>1232.0830952244883</v>
      </c>
      <c r="AG155" s="528">
        <f t="shared" si="461"/>
        <v>0.12783228713263303</v>
      </c>
      <c r="AI155" s="173">
        <f t="shared" si="462"/>
        <v>1.8762295741532029</v>
      </c>
      <c r="AJ155" s="173">
        <f t="shared" si="463"/>
        <v>1.8762295741532029</v>
      </c>
      <c r="AK155" s="173">
        <f t="shared" si="464"/>
        <v>1.8490589438171874</v>
      </c>
      <c r="AM155" s="545">
        <f t="shared" si="465"/>
        <v>450</v>
      </c>
      <c r="AN155" s="460">
        <f t="shared" si="466"/>
        <v>350</v>
      </c>
      <c r="AP155" s="460">
        <f t="shared" si="467"/>
        <v>450</v>
      </c>
      <c r="AQ155" s="460">
        <f t="shared" si="468"/>
        <v>350</v>
      </c>
      <c r="AS155" s="5">
        <f t="shared" si="439"/>
        <v>2.8571428571428572</v>
      </c>
      <c r="AT155" s="5">
        <f t="shared" si="469"/>
        <v>1.18788121605984</v>
      </c>
      <c r="AU155" s="5">
        <f t="shared" si="343"/>
        <v>1.6692616410830172</v>
      </c>
      <c r="AV155" s="5"/>
      <c r="AW155" s="173">
        <f t="shared" si="344"/>
        <v>0.41575842562094401</v>
      </c>
      <c r="AX155" s="173">
        <f t="shared" si="435"/>
        <v>7.3924985713469287</v>
      </c>
      <c r="AY155" s="173">
        <f t="shared" si="436"/>
        <v>0.54808566014990656</v>
      </c>
      <c r="AZ155" s="173">
        <f t="shared" si="440"/>
        <v>13.487852554516772</v>
      </c>
      <c r="BA155" s="460">
        <f t="shared" si="433"/>
        <v>3.3409159201683001</v>
      </c>
      <c r="BB155" s="5">
        <f t="shared" si="434"/>
        <v>0.52842268756654465</v>
      </c>
      <c r="BD155" s="173">
        <f t="shared" si="441"/>
        <v>0.69846697975925265</v>
      </c>
      <c r="BE155" s="173">
        <f t="shared" si="437"/>
        <v>0.82798330286809374</v>
      </c>
      <c r="BG155" s="528">
        <f t="shared" si="347"/>
        <v>9.7571224362802446E-3</v>
      </c>
      <c r="BH155" s="528">
        <f t="shared" si="470"/>
        <v>0.42402643246175292</v>
      </c>
      <c r="BI155" s="528">
        <f t="shared" si="471"/>
        <v>0.15257735740984155</v>
      </c>
      <c r="BJ155" s="528">
        <f t="shared" si="350"/>
        <v>0.21578753715258722</v>
      </c>
      <c r="BK155">
        <f t="shared" si="351"/>
        <v>8.5291690477551172E-3</v>
      </c>
      <c r="BL155" s="460">
        <f t="shared" si="427"/>
        <v>161.10652645759666</v>
      </c>
      <c r="BM155" s="528">
        <f t="shared" si="472"/>
        <v>0.65372103153619965</v>
      </c>
      <c r="BN155" s="460">
        <f t="shared" si="353"/>
        <v>653.72103153619969</v>
      </c>
      <c r="BO155" s="528">
        <f t="shared" si="354"/>
        <v>0.315</v>
      </c>
      <c r="BR155" s="460">
        <f t="shared" si="355"/>
        <v>315</v>
      </c>
      <c r="BS155" s="528">
        <f t="shared" si="356"/>
        <v>1.4635683654420367E-2</v>
      </c>
      <c r="BT155" s="528">
        <f t="shared" si="357"/>
        <v>2.0566690494850721E-2</v>
      </c>
      <c r="BU155" s="528">
        <f t="shared" si="358"/>
        <v>0.5525289759195805</v>
      </c>
      <c r="BV155" s="528"/>
      <c r="BW155" s="528">
        <f t="shared" si="359"/>
        <v>6.1604154761224408E-3</v>
      </c>
      <c r="BX155" s="460">
        <f t="shared" si="360"/>
        <v>593.89176554497408</v>
      </c>
      <c r="BY155" s="173">
        <f t="shared" si="361"/>
        <v>1.7195693840531909</v>
      </c>
      <c r="BZ155" s="5">
        <f t="shared" si="362"/>
        <v>7.2</v>
      </c>
      <c r="CA155" s="173">
        <f t="shared" si="363"/>
        <v>0.80721385640796584</v>
      </c>
      <c r="CB155" s="5">
        <f t="shared" si="364"/>
        <v>80.721385640796584</v>
      </c>
      <c r="CE155" s="562">
        <f t="shared" si="473"/>
        <v>-50</v>
      </c>
      <c r="CF155">
        <f t="shared" si="474"/>
        <v>-50</v>
      </c>
      <c r="CG155" s="173">
        <f t="shared" si="475"/>
        <v>0.48605555238058951</v>
      </c>
      <c r="CI155" s="170">
        <v>45</v>
      </c>
      <c r="CJ155" s="217">
        <f t="shared" si="428"/>
        <v>0.45</v>
      </c>
      <c r="CK155" s="217"/>
      <c r="CL155" s="217">
        <f t="shared" si="368"/>
        <v>7.2</v>
      </c>
      <c r="CM155" s="541">
        <f t="shared" si="369"/>
        <v>19</v>
      </c>
      <c r="CN155" s="443">
        <f t="shared" si="370"/>
        <v>16.399999999999999</v>
      </c>
      <c r="CO155" s="443">
        <f t="shared" si="371"/>
        <v>35.4</v>
      </c>
      <c r="CP155" s="443"/>
      <c r="CQ155" s="217">
        <f t="shared" si="372"/>
        <v>0.4632768361581921</v>
      </c>
      <c r="CR155" s="172">
        <f t="shared" si="429"/>
        <v>22.214703389830511</v>
      </c>
      <c r="CS155" s="172">
        <f t="shared" si="373"/>
        <v>7.2</v>
      </c>
      <c r="CT155" s="217">
        <f t="shared" si="374"/>
        <v>1.3884189618644069</v>
      </c>
      <c r="CU155" s="217">
        <f t="shared" si="375"/>
        <v>16</v>
      </c>
      <c r="CV155" s="217"/>
      <c r="CW155" s="172">
        <f t="shared" si="376"/>
        <v>86.642868854164007</v>
      </c>
      <c r="CX155" s="172">
        <f t="shared" si="377"/>
        <v>16</v>
      </c>
      <c r="CY155" s="217">
        <f t="shared" si="378"/>
        <v>1.6359435173299099</v>
      </c>
      <c r="CZ155" s="217">
        <f t="shared" si="379"/>
        <v>1.0332274846294169</v>
      </c>
      <c r="DA155" s="217">
        <f t="shared" si="380"/>
        <v>1.1970318419487147</v>
      </c>
      <c r="DB155" s="197">
        <f t="shared" si="381"/>
        <v>350</v>
      </c>
      <c r="DC155" s="443">
        <f t="shared" si="382"/>
        <v>350</v>
      </c>
      <c r="DE155" s="217">
        <f t="shared" si="383"/>
        <v>2.0957761635727734</v>
      </c>
      <c r="DF155" s="173">
        <f t="shared" si="384"/>
        <v>1.5334947538337369</v>
      </c>
      <c r="DG155" s="173">
        <f t="shared" si="385"/>
        <v>0.5624258066085126</v>
      </c>
      <c r="DH155" s="173"/>
      <c r="DI155" s="173">
        <f t="shared" si="386"/>
        <v>0.73170731707317083</v>
      </c>
      <c r="DJ155" s="545">
        <f t="shared" si="387"/>
        <v>1229.9999999999998</v>
      </c>
      <c r="DK155" s="528">
        <f t="shared" si="388"/>
        <v>0.12804878048780488</v>
      </c>
      <c r="DM155" s="173">
        <f t="shared" si="389"/>
        <v>1.8746428231227714</v>
      </c>
      <c r="DN155" s="173">
        <f t="shared" si="390"/>
        <v>1.8746428231227714</v>
      </c>
      <c r="DO155" s="173">
        <f t="shared" si="391"/>
        <v>1.8478835726835343</v>
      </c>
      <c r="DQ155" s="545">
        <f t="shared" si="392"/>
        <v>450</v>
      </c>
      <c r="DR155" s="460">
        <f t="shared" si="393"/>
        <v>350</v>
      </c>
      <c r="DT155">
        <f t="shared" si="430"/>
        <v>450</v>
      </c>
      <c r="DU155">
        <f t="shared" si="431"/>
        <v>350</v>
      </c>
      <c r="DW155" s="5">
        <f t="shared" si="394"/>
        <v>2.8571428571428572</v>
      </c>
      <c r="DX155" s="5">
        <f t="shared" si="395"/>
        <v>1.1839849409196452</v>
      </c>
      <c r="DY155" s="5">
        <f t="shared" si="396"/>
        <v>1.673157916223212</v>
      </c>
      <c r="DZ155" s="5"/>
      <c r="EA155" s="173">
        <f t="shared" si="397"/>
        <v>0.41439472932187582</v>
      </c>
      <c r="EB155" s="173">
        <f t="shared" si="398"/>
        <v>7.379999999999999</v>
      </c>
      <c r="EC155" s="173">
        <f t="shared" si="399"/>
        <v>0.54890035892980671</v>
      </c>
      <c r="ED155" s="173">
        <f t="shared" si="400"/>
        <v>13.445063170278875</v>
      </c>
      <c r="EE155" s="460">
        <f t="shared" si="401"/>
        <v>3.3299576463365024</v>
      </c>
      <c r="EF155" s="5">
        <f t="shared" si="402"/>
        <v>0.52836565775469846</v>
      </c>
      <c r="EH155" s="173">
        <f t="shared" si="403"/>
        <v>0.6967308129952734</v>
      </c>
      <c r="EI155" s="173">
        <f t="shared" si="404"/>
        <v>0.82824799767431789</v>
      </c>
      <c r="EK155" s="528">
        <f t="shared" si="405"/>
        <v>9.7086765155410936E-3</v>
      </c>
      <c r="EL155" s="528">
        <f t="shared" si="406"/>
        <v>0.44130966699133156</v>
      </c>
      <c r="EM155" s="528">
        <f t="shared" si="407"/>
        <v>4.0250000000000001E-2</v>
      </c>
      <c r="EN155" s="528">
        <f t="shared" si="408"/>
        <v>0.21601345499999997</v>
      </c>
      <c r="EO155">
        <f t="shared" si="409"/>
        <v>8.5500000000000003E-3</v>
      </c>
      <c r="EP155" s="460">
        <f t="shared" si="410"/>
        <v>48.800000000000004</v>
      </c>
      <c r="EQ155" s="460"/>
      <c r="ER155" s="460">
        <f t="shared" si="432"/>
        <v>715.83179850687259</v>
      </c>
      <c r="ES155" s="528">
        <f t="shared" si="411"/>
        <v>0.315</v>
      </c>
      <c r="EV155" s="460">
        <f t="shared" si="412"/>
        <v>315</v>
      </c>
      <c r="EW155" s="528">
        <f t="shared" si="413"/>
        <v>1.4563014773311638E-2</v>
      </c>
      <c r="EX155" s="528">
        <f t="shared" si="414"/>
        <v>2.0579842369545506E-2</v>
      </c>
      <c r="EY155" s="528">
        <f t="shared" si="415"/>
        <v>0.551361514966625</v>
      </c>
      <c r="EZ155" s="528"/>
      <c r="FA155" s="528">
        <f t="shared" si="416"/>
        <v>6.1500000000000001E-3</v>
      </c>
      <c r="FB155" s="460">
        <f t="shared" si="417"/>
        <v>592.6543721094821</v>
      </c>
      <c r="FC155" s="173">
        <f t="shared" si="418"/>
        <v>1.6234861706163548</v>
      </c>
      <c r="FD155" s="5">
        <f t="shared" si="419"/>
        <v>7.2</v>
      </c>
      <c r="FE155" s="173">
        <f t="shared" si="420"/>
        <v>0.81600399896099696</v>
      </c>
      <c r="FF155" s="5">
        <f t="shared" si="421"/>
        <v>81.600399896099702</v>
      </c>
      <c r="FI155" s="562">
        <f t="shared" si="422"/>
        <v>-50</v>
      </c>
      <c r="FJ155">
        <f t="shared" si="423"/>
        <v>-50</v>
      </c>
      <c r="FL155">
        <f t="shared" si="476"/>
        <v>0.48009145470217318</v>
      </c>
    </row>
    <row r="156" spans="5:168" s="76" customFormat="1">
      <c r="E156" s="189">
        <v>46</v>
      </c>
      <c r="F156" s="329">
        <f t="shared" si="477"/>
        <v>0.46</v>
      </c>
      <c r="G156" s="329"/>
      <c r="H156" s="329">
        <f t="shared" si="442"/>
        <v>7.36</v>
      </c>
      <c r="I156" s="541">
        <f t="shared" si="443"/>
        <v>18.953197476665501</v>
      </c>
      <c r="J156" s="172">
        <f t="shared" si="444"/>
        <v>16.428081514000699</v>
      </c>
      <c r="K156" s="172">
        <f t="shared" si="445"/>
        <v>35.381278990666203</v>
      </c>
      <c r="L156" s="535"/>
      <c r="M156" s="217">
        <f t="shared" si="446"/>
        <v>0.46432093059950919</v>
      </c>
      <c r="N156" s="172">
        <f t="shared" si="447"/>
        <v>22.209924424896275</v>
      </c>
      <c r="O156" s="172">
        <f t="shared" si="438"/>
        <v>7.36</v>
      </c>
      <c r="P156" s="329">
        <f t="shared" si="448"/>
        <v>1.3881202765560172</v>
      </c>
      <c r="Q156" s="329">
        <f t="shared" si="449"/>
        <v>16</v>
      </c>
      <c r="R156" s="329"/>
      <c r="S156" s="172">
        <f t="shared" si="450"/>
        <v>84.14298421069148</v>
      </c>
      <c r="T156" s="172">
        <f t="shared" si="451"/>
        <v>16</v>
      </c>
      <c r="U156" s="217">
        <f t="shared" si="452"/>
        <v>1.7174462333008924</v>
      </c>
      <c r="V156" s="329">
        <f t="shared" si="453"/>
        <v>1.0873814207330563</v>
      </c>
      <c r="W156" s="329">
        <f t="shared" si="454"/>
        <v>1.2545198769586428</v>
      </c>
      <c r="X156" s="537">
        <f t="shared" si="455"/>
        <v>350</v>
      </c>
      <c r="Y156" s="443">
        <f t="shared" si="328"/>
        <v>350</v>
      </c>
      <c r="AA156" s="329">
        <f t="shared" si="456"/>
        <v>2.0953014727132766</v>
      </c>
      <c r="AB156" s="538">
        <f t="shared" si="457"/>
        <v>1.53052671738516</v>
      </c>
      <c r="AC156" s="538">
        <f t="shared" si="458"/>
        <v>0.56121010486872502</v>
      </c>
      <c r="AD156" s="538"/>
      <c r="AE156" s="538">
        <f t="shared" si="459"/>
        <v>0.73045656547133009</v>
      </c>
      <c r="AF156" s="545">
        <f t="shared" si="460"/>
        <v>1259.4862494067204</v>
      </c>
      <c r="AG156" s="579">
        <f t="shared" si="461"/>
        <v>0.12782989895748276</v>
      </c>
      <c r="AI156" s="538">
        <f t="shared" si="462"/>
        <v>1.896979741895537</v>
      </c>
      <c r="AJ156" s="538">
        <f t="shared" si="463"/>
        <v>1.896979741895537</v>
      </c>
      <c r="AK156" s="538">
        <f t="shared" si="464"/>
        <v>1.8644294384411384</v>
      </c>
      <c r="AM156" s="563">
        <f t="shared" si="465"/>
        <v>460</v>
      </c>
      <c r="AN156" s="564">
        <f t="shared" si="466"/>
        <v>350</v>
      </c>
      <c r="AP156" s="76">
        <f t="shared" si="467"/>
        <v>460</v>
      </c>
      <c r="AQ156" s="76">
        <f t="shared" si="468"/>
        <v>350</v>
      </c>
      <c r="AS156" s="534">
        <f t="shared" si="439"/>
        <v>2.8571428571428572</v>
      </c>
      <c r="AT156" s="5">
        <f t="shared" si="469"/>
        <v>1.2010510063419308</v>
      </c>
      <c r="AU156" s="5">
        <f t="shared" si="343"/>
        <v>1.6560918508009264</v>
      </c>
      <c r="AV156" s="5"/>
      <c r="AW156" s="173">
        <f t="shared" si="344"/>
        <v>0.42036785221967576</v>
      </c>
      <c r="AX156" s="173">
        <f t="shared" si="435"/>
        <v>7.556917496440323</v>
      </c>
      <c r="AY156" s="173">
        <f t="shared" si="436"/>
        <v>0.5497752210453376</v>
      </c>
      <c r="AZ156" s="173">
        <f t="shared" si="440"/>
        <v>13.745467615058512</v>
      </c>
      <c r="BA156" s="460">
        <f t="shared" si="433"/>
        <v>3.4530216432330514</v>
      </c>
      <c r="BB156" s="5">
        <f t="shared" si="434"/>
        <v>0.53591819343856861</v>
      </c>
      <c r="BD156" s="173">
        <f t="shared" si="441"/>
        <v>0.71009558683409313</v>
      </c>
      <c r="BE156" s="173">
        <f t="shared" si="437"/>
        <v>0.83383150053199051</v>
      </c>
      <c r="BG156" s="528">
        <f t="shared" si="347"/>
        <v>1.0084714848825102E-2</v>
      </c>
      <c r="BH156" s="528">
        <f t="shared" si="470"/>
        <v>0.42871347510235136</v>
      </c>
      <c r="BI156" s="528">
        <f t="shared" si="471"/>
        <v>0.15257323968715727</v>
      </c>
      <c r="BJ156" s="528">
        <f t="shared" si="350"/>
        <v>0.21578504140727231</v>
      </c>
      <c r="BK156">
        <f t="shared" si="351"/>
        <v>8.5289388644994753E-3</v>
      </c>
      <c r="BL156" s="460">
        <f t="shared" si="427"/>
        <v>161.10217855165675</v>
      </c>
      <c r="BM156" s="528">
        <f t="shared" si="472"/>
        <v>0.65888487703372534</v>
      </c>
      <c r="BN156" s="460">
        <f t="shared" si="353"/>
        <v>658.88487703372539</v>
      </c>
      <c r="BO156" s="528">
        <f t="shared" si="354"/>
        <v>0.32200000000000001</v>
      </c>
      <c r="BR156" s="460">
        <f t="shared" si="355"/>
        <v>322</v>
      </c>
      <c r="BS156" s="528">
        <f t="shared" si="356"/>
        <v>1.5127072273237653E-2</v>
      </c>
      <c r="BT156" s="528">
        <f t="shared" si="357"/>
        <v>2.0858249138382929E-2</v>
      </c>
      <c r="BU156" s="528">
        <f t="shared" si="358"/>
        <v>0.56793266454502356</v>
      </c>
      <c r="BV156" s="528"/>
      <c r="BW156" s="528">
        <f t="shared" si="359"/>
        <v>6.2974312470336019E-3</v>
      </c>
      <c r="BX156" s="460">
        <f t="shared" si="360"/>
        <v>610.21541720367782</v>
      </c>
      <c r="BY156" s="173">
        <f t="shared" si="361"/>
        <v>1.7479008271137833</v>
      </c>
      <c r="BZ156" s="5">
        <f t="shared" si="362"/>
        <v>7.36</v>
      </c>
      <c r="CA156" s="173">
        <f t="shared" si="363"/>
        <v>0.80808960700248655</v>
      </c>
      <c r="CB156" s="5">
        <f t="shared" si="364"/>
        <v>80.808960700248662</v>
      </c>
      <c r="CE156" s="562">
        <f t="shared" si="473"/>
        <v>-50</v>
      </c>
      <c r="CF156">
        <f t="shared" si="474"/>
        <v>-50</v>
      </c>
      <c r="CG156" s="173">
        <f t="shared" si="475"/>
        <v>0.49142649501222463</v>
      </c>
      <c r="CH156"/>
      <c r="CI156" s="189">
        <v>46</v>
      </c>
      <c r="CJ156" s="329">
        <f t="shared" si="428"/>
        <v>0.46</v>
      </c>
      <c r="CK156" s="329"/>
      <c r="CL156" s="329">
        <f t="shared" si="368"/>
        <v>7.36</v>
      </c>
      <c r="CM156" s="541">
        <f t="shared" si="369"/>
        <v>19</v>
      </c>
      <c r="CN156" s="443">
        <f t="shared" si="370"/>
        <v>16.399999999999999</v>
      </c>
      <c r="CO156" s="535">
        <f t="shared" si="371"/>
        <v>35.4</v>
      </c>
      <c r="CP156" s="535"/>
      <c r="CQ156" s="329">
        <f t="shared" si="372"/>
        <v>0.4632768361581921</v>
      </c>
      <c r="CR156" s="172">
        <f t="shared" si="429"/>
        <v>22.214703389830511</v>
      </c>
      <c r="CS156" s="172">
        <f t="shared" si="373"/>
        <v>7.36</v>
      </c>
      <c r="CT156" s="329">
        <f t="shared" si="374"/>
        <v>1.3884189618644069</v>
      </c>
      <c r="CU156" s="329">
        <f t="shared" si="375"/>
        <v>16</v>
      </c>
      <c r="CV156" s="329"/>
      <c r="CW156" s="172">
        <f t="shared" si="376"/>
        <v>84.350544505294323</v>
      </c>
      <c r="CX156" s="172">
        <f t="shared" si="377"/>
        <v>16</v>
      </c>
      <c r="CY156" s="217">
        <f t="shared" si="378"/>
        <v>1.6722978177150192</v>
      </c>
      <c r="CZ156" s="329">
        <f t="shared" si="379"/>
        <v>1.0561880953989595</v>
      </c>
      <c r="DA156" s="329">
        <f t="shared" si="380"/>
        <v>1.2236325495475753</v>
      </c>
      <c r="DB156" s="537">
        <f t="shared" si="381"/>
        <v>350</v>
      </c>
      <c r="DC156" s="535">
        <f t="shared" si="382"/>
        <v>350</v>
      </c>
      <c r="DE156" s="329">
        <f t="shared" si="383"/>
        <v>2.0957761635727734</v>
      </c>
      <c r="DF156" s="538">
        <f t="shared" si="384"/>
        <v>1.5334947538337369</v>
      </c>
      <c r="DG156" s="538">
        <f t="shared" si="385"/>
        <v>0.5624258066085126</v>
      </c>
      <c r="DH156" s="538"/>
      <c r="DI156" s="538">
        <f t="shared" si="386"/>
        <v>0.73170731707317083</v>
      </c>
      <c r="DJ156" s="545">
        <f t="shared" si="387"/>
        <v>1257.3333333333333</v>
      </c>
      <c r="DK156" s="579">
        <f t="shared" si="388"/>
        <v>0.12804878048780488</v>
      </c>
      <c r="DM156" s="538">
        <f t="shared" si="389"/>
        <v>1.8953577373100183</v>
      </c>
      <c r="DN156" s="538">
        <f t="shared" si="390"/>
        <v>1.8953577373100183</v>
      </c>
      <c r="DO156" s="538">
        <f t="shared" si="391"/>
        <v>1.8632279535629765</v>
      </c>
      <c r="DQ156" s="563">
        <f t="shared" si="392"/>
        <v>460</v>
      </c>
      <c r="DR156" s="564">
        <f t="shared" si="393"/>
        <v>350</v>
      </c>
      <c r="DT156">
        <f t="shared" si="430"/>
        <v>460</v>
      </c>
      <c r="DU156">
        <f t="shared" si="431"/>
        <v>350</v>
      </c>
      <c r="DW156" s="534">
        <f t="shared" si="394"/>
        <v>2.8571428571428572</v>
      </c>
      <c r="DX156" s="5">
        <f t="shared" si="395"/>
        <v>1.1970680446168538</v>
      </c>
      <c r="DY156" s="5">
        <f t="shared" si="396"/>
        <v>1.6600748125260034</v>
      </c>
      <c r="DZ156" s="5"/>
      <c r="EA156" s="173">
        <f t="shared" si="397"/>
        <v>0.4189738156158988</v>
      </c>
      <c r="EB156" s="173">
        <f t="shared" si="398"/>
        <v>7.5440000000000014</v>
      </c>
      <c r="EC156" s="173">
        <f t="shared" si="399"/>
        <v>0.55062623707606173</v>
      </c>
      <c r="ED156" s="173">
        <f t="shared" si="400"/>
        <v>13.700763770466494</v>
      </c>
      <c r="EE156" s="460">
        <f t="shared" si="401"/>
        <v>3.4415706282734546</v>
      </c>
      <c r="EF156" s="5">
        <f t="shared" si="402"/>
        <v>0.53588379913120099</v>
      </c>
      <c r="EH156" s="173">
        <f t="shared" si="403"/>
        <v>0.70831103214264191</v>
      </c>
      <c r="EI156" s="173">
        <f t="shared" si="404"/>
        <v>0.83411977509548518</v>
      </c>
      <c r="EK156" s="528">
        <f t="shared" si="405"/>
        <v>1.0034090365099493E-2</v>
      </c>
      <c r="EL156" s="528">
        <f t="shared" si="406"/>
        <v>0.44618616494015145</v>
      </c>
      <c r="EM156" s="528">
        <f t="shared" si="407"/>
        <v>4.0250000000000001E-2</v>
      </c>
      <c r="EN156" s="528">
        <f t="shared" si="408"/>
        <v>0.21601345499999997</v>
      </c>
      <c r="EO156">
        <f t="shared" si="409"/>
        <v>8.5500000000000003E-3</v>
      </c>
      <c r="EP156" s="460">
        <f t="shared" si="410"/>
        <v>48.800000000000004</v>
      </c>
      <c r="EQ156" s="460"/>
      <c r="ER156" s="460">
        <f t="shared" si="432"/>
        <v>721.03371030525091</v>
      </c>
      <c r="ES156" s="528">
        <f t="shared" si="411"/>
        <v>0.32200000000000001</v>
      </c>
      <c r="EV156" s="460">
        <f t="shared" si="412"/>
        <v>322</v>
      </c>
      <c r="EW156" s="528">
        <f t="shared" si="413"/>
        <v>1.5051135547649239E-2</v>
      </c>
      <c r="EX156" s="528">
        <f t="shared" si="414"/>
        <v>2.0872673976160282E-2</v>
      </c>
      <c r="EY156" s="528">
        <f t="shared" si="415"/>
        <v>0.56671942184970769</v>
      </c>
      <c r="EZ156" s="528"/>
      <c r="FA156" s="528">
        <f t="shared" si="416"/>
        <v>6.2866666666666678E-3</v>
      </c>
      <c r="FB156" s="460">
        <f t="shared" si="417"/>
        <v>608.92989804018396</v>
      </c>
      <c r="FC156" s="173">
        <f t="shared" si="418"/>
        <v>1.651963608345435</v>
      </c>
      <c r="FD156" s="5">
        <f t="shared" si="419"/>
        <v>7.36</v>
      </c>
      <c r="FE156" s="173">
        <f t="shared" si="420"/>
        <v>0.81669215721026078</v>
      </c>
      <c r="FF156" s="5">
        <f t="shared" si="421"/>
        <v>81.669215721026077</v>
      </c>
      <c r="FI156" s="562">
        <f t="shared" si="422"/>
        <v>-50</v>
      </c>
      <c r="FJ156">
        <f t="shared" si="423"/>
        <v>-50</v>
      </c>
      <c r="FL156">
        <f t="shared" si="476"/>
        <v>0.48539649370134619</v>
      </c>
    </row>
    <row r="157" spans="5:168">
      <c r="E157" s="170">
        <v>47</v>
      </c>
      <c r="F157" s="217">
        <f t="shared" si="477"/>
        <v>0.47</v>
      </c>
      <c r="G157" s="217"/>
      <c r="H157" s="217">
        <f t="shared" si="442"/>
        <v>7.52</v>
      </c>
      <c r="I157" s="541">
        <f t="shared" si="443"/>
        <v>18.952691488735162</v>
      </c>
      <c r="J157" s="172">
        <f t="shared" si="444"/>
        <v>16.428385106758903</v>
      </c>
      <c r="K157" s="172">
        <f t="shared" si="445"/>
        <v>35.381076595494065</v>
      </c>
      <c r="L157" s="443"/>
      <c r="M157" s="217">
        <f t="shared" si="446"/>
        <v>0.46433222435971955</v>
      </c>
      <c r="N157" s="172">
        <f t="shared" si="447"/>
        <v>22.209871694588294</v>
      </c>
      <c r="O157" s="172">
        <f t="shared" si="438"/>
        <v>7.52</v>
      </c>
      <c r="P157" s="217">
        <f t="shared" si="448"/>
        <v>1.3881169809117684</v>
      </c>
      <c r="Q157" s="217">
        <f t="shared" si="449"/>
        <v>16</v>
      </c>
      <c r="R157" s="217"/>
      <c r="S157" s="172">
        <f t="shared" si="450"/>
        <v>81.951554761012673</v>
      </c>
      <c r="T157" s="172">
        <f t="shared" si="451"/>
        <v>16</v>
      </c>
      <c r="U157" s="217">
        <f t="shared" si="452"/>
        <v>1.7548190179564633</v>
      </c>
      <c r="V157" s="217">
        <f t="shared" si="453"/>
        <v>1.111073233476819</v>
      </c>
      <c r="W157" s="217">
        <f t="shared" si="454"/>
        <v>1.281795385160166</v>
      </c>
      <c r="X157" s="197">
        <f t="shared" si="455"/>
        <v>350</v>
      </c>
      <c r="Y157" s="443">
        <f t="shared" si="328"/>
        <v>350</v>
      </c>
      <c r="AA157" s="217">
        <f t="shared" si="456"/>
        <v>2.0952962413743688</v>
      </c>
      <c r="AB157" s="173">
        <f t="shared" si="457"/>
        <v>1.5304946124100758</v>
      </c>
      <c r="AC157" s="173">
        <f t="shared" si="458"/>
        <v>0.56119693154464678</v>
      </c>
      <c r="AD157" s="173"/>
      <c r="AE157" s="173">
        <f t="shared" si="459"/>
        <v>0.73044306680289639</v>
      </c>
      <c r="AF157" s="545">
        <f t="shared" si="460"/>
        <v>1286.8901666961137</v>
      </c>
      <c r="AG157" s="528">
        <f t="shared" si="461"/>
        <v>0.12782753669050687</v>
      </c>
      <c r="AI157" s="173">
        <f t="shared" si="462"/>
        <v>1.9175059446330753</v>
      </c>
      <c r="AJ157" s="173">
        <f t="shared" si="463"/>
        <v>1.9175059446330753</v>
      </c>
      <c r="AK157" s="173">
        <f t="shared" si="464"/>
        <v>1.8796340330615373</v>
      </c>
      <c r="AM157" s="545">
        <f t="shared" si="465"/>
        <v>470</v>
      </c>
      <c r="AN157" s="460">
        <f t="shared" si="466"/>
        <v>350</v>
      </c>
      <c r="AP157">
        <f t="shared" si="467"/>
        <v>470</v>
      </c>
      <c r="AQ157">
        <f t="shared" si="468"/>
        <v>350</v>
      </c>
      <c r="AS157" s="5">
        <f t="shared" si="439"/>
        <v>2.8571428571428572</v>
      </c>
      <c r="AT157" s="5">
        <f t="shared" si="469"/>
        <v>1.214079348533337</v>
      </c>
      <c r="AU157" s="5">
        <f t="shared" si="343"/>
        <v>1.6430635086095202</v>
      </c>
      <c r="AV157" s="5"/>
      <c r="AW157" s="173">
        <f t="shared" si="344"/>
        <v>0.42492777198666792</v>
      </c>
      <c r="AX157" s="173">
        <f t="shared" si="435"/>
        <v>7.7213410001766833</v>
      </c>
      <c r="AY157" s="173">
        <f t="shared" si="436"/>
        <v>0.5513522079044757</v>
      </c>
      <c r="AZ157" s="173">
        <f t="shared" si="440"/>
        <v>14.004371233994299</v>
      </c>
      <c r="BA157" s="460">
        <f t="shared" si="433"/>
        <v>3.5663580863166771</v>
      </c>
      <c r="BB157" s="5">
        <f t="shared" si="434"/>
        <v>0.54327541429878534</v>
      </c>
      <c r="BD157" s="173">
        <f t="shared" si="441"/>
        <v>0.72166168786959428</v>
      </c>
      <c r="BE157" s="173">
        <f t="shared" si="437"/>
        <v>0.83953206658765311</v>
      </c>
      <c r="BG157" s="528">
        <f t="shared" si="347"/>
        <v>1.0415911834775835E-2</v>
      </c>
      <c r="BH157" s="528">
        <f t="shared" si="470"/>
        <v>0.43334987526727725</v>
      </c>
      <c r="BI157" s="528">
        <f t="shared" si="471"/>
        <v>0.15256916648431806</v>
      </c>
      <c r="BJ157" s="528">
        <f t="shared" si="350"/>
        <v>0.21578257265956555</v>
      </c>
      <c r="BK157">
        <f t="shared" si="351"/>
        <v>8.5287111699308225E-3</v>
      </c>
      <c r="BL157" s="460">
        <f t="shared" si="427"/>
        <v>161.09787765424889</v>
      </c>
      <c r="BM157" s="528">
        <f t="shared" si="472"/>
        <v>0.66400394663711715</v>
      </c>
      <c r="BN157" s="460">
        <f t="shared" si="353"/>
        <v>664.00394663711711</v>
      </c>
      <c r="BO157" s="528">
        <f t="shared" si="354"/>
        <v>0.32899999999999996</v>
      </c>
      <c r="BR157" s="460">
        <f t="shared" si="355"/>
        <v>328.99999999999994</v>
      </c>
      <c r="BS157" s="528">
        <f t="shared" si="356"/>
        <v>1.5623867752163753E-2</v>
      </c>
      <c r="BT157" s="528">
        <f t="shared" si="357"/>
        <v>2.1144422724868068E-2</v>
      </c>
      <c r="BU157" s="528">
        <f t="shared" si="358"/>
        <v>0.58342080580028233</v>
      </c>
      <c r="BV157" s="528"/>
      <c r="BW157" s="528">
        <f t="shared" si="359"/>
        <v>6.4344508334805688E-3</v>
      </c>
      <c r="BX157" s="460">
        <f t="shared" si="360"/>
        <v>626.62354711079468</v>
      </c>
      <c r="BY157" s="173">
        <f t="shared" si="361"/>
        <v>1.7762697845266624</v>
      </c>
      <c r="BZ157" s="5">
        <f t="shared" si="362"/>
        <v>7.52</v>
      </c>
      <c r="CA157" s="173">
        <f t="shared" si="363"/>
        <v>0.80892660973725128</v>
      </c>
      <c r="CB157" s="5">
        <f t="shared" si="364"/>
        <v>80.892660973725128</v>
      </c>
      <c r="CE157" s="562">
        <f t="shared" si="473"/>
        <v>-50</v>
      </c>
      <c r="CF157">
        <f t="shared" si="474"/>
        <v>-50</v>
      </c>
      <c r="CG157" s="173">
        <f t="shared" si="475"/>
        <v>0.49673936828079168</v>
      </c>
      <c r="CI157" s="170">
        <v>47</v>
      </c>
      <c r="CJ157" s="217">
        <f t="shared" si="428"/>
        <v>0.47</v>
      </c>
      <c r="CK157" s="217"/>
      <c r="CL157" s="217">
        <f t="shared" si="368"/>
        <v>7.52</v>
      </c>
      <c r="CM157" s="541">
        <f t="shared" si="369"/>
        <v>19</v>
      </c>
      <c r="CN157" s="443">
        <f t="shared" si="370"/>
        <v>16.399999999999999</v>
      </c>
      <c r="CO157" s="443">
        <f t="shared" si="371"/>
        <v>35.4</v>
      </c>
      <c r="CP157" s="443"/>
      <c r="CQ157" s="217">
        <f t="shared" si="372"/>
        <v>0.4632768361581921</v>
      </c>
      <c r="CR157" s="172">
        <f t="shared" si="429"/>
        <v>22.214703389830511</v>
      </c>
      <c r="CS157" s="172">
        <f t="shared" si="373"/>
        <v>7.52</v>
      </c>
      <c r="CT157" s="217">
        <f t="shared" si="374"/>
        <v>1.3884189618644069</v>
      </c>
      <c r="CU157" s="217">
        <f t="shared" si="375"/>
        <v>16</v>
      </c>
      <c r="CV157" s="217"/>
      <c r="CW157" s="172">
        <f t="shared" si="376"/>
        <v>82.155888635193207</v>
      </c>
      <c r="CX157" s="172">
        <f t="shared" si="377"/>
        <v>16</v>
      </c>
      <c r="CY157" s="217">
        <f t="shared" si="378"/>
        <v>1.7086521181001282</v>
      </c>
      <c r="CZ157" s="217">
        <f t="shared" si="379"/>
        <v>1.0791487061685019</v>
      </c>
      <c r="DA157" s="217">
        <f t="shared" si="380"/>
        <v>1.2502332571464354</v>
      </c>
      <c r="DB157" s="197">
        <f t="shared" si="381"/>
        <v>350</v>
      </c>
      <c r="DC157" s="443">
        <f t="shared" si="382"/>
        <v>350</v>
      </c>
      <c r="DE157" s="217">
        <f t="shared" si="383"/>
        <v>2.0957761635727734</v>
      </c>
      <c r="DF157" s="173">
        <f t="shared" si="384"/>
        <v>1.5334947538337369</v>
      </c>
      <c r="DG157" s="173">
        <f t="shared" si="385"/>
        <v>0.5624258066085126</v>
      </c>
      <c r="DH157" s="173"/>
      <c r="DI157" s="173">
        <f t="shared" si="386"/>
        <v>0.73170731707317083</v>
      </c>
      <c r="DJ157" s="545">
        <f t="shared" si="387"/>
        <v>1284.6666666666665</v>
      </c>
      <c r="DK157" s="528">
        <f t="shared" si="388"/>
        <v>0.12804878048780488</v>
      </c>
      <c r="DM157" s="173">
        <f t="shared" si="389"/>
        <v>1.9158486867381228</v>
      </c>
      <c r="DN157" s="173">
        <f t="shared" si="390"/>
        <v>1.9158486867381228</v>
      </c>
      <c r="DO157" s="173">
        <f t="shared" si="391"/>
        <v>1.8784064346208318</v>
      </c>
      <c r="DQ157" s="545">
        <f t="shared" si="392"/>
        <v>470</v>
      </c>
      <c r="DR157" s="460">
        <f t="shared" si="393"/>
        <v>350</v>
      </c>
      <c r="DT157">
        <f t="shared" si="430"/>
        <v>470</v>
      </c>
      <c r="DU157">
        <f t="shared" si="431"/>
        <v>350</v>
      </c>
      <c r="DW157" s="5">
        <f t="shared" si="394"/>
        <v>2.8571428571428572</v>
      </c>
      <c r="DX157" s="5">
        <f t="shared" si="395"/>
        <v>1.2100096968872354</v>
      </c>
      <c r="DY157" s="5">
        <f t="shared" si="396"/>
        <v>1.6471331602556218</v>
      </c>
      <c r="DZ157" s="5"/>
      <c r="EA157" s="173">
        <f t="shared" si="397"/>
        <v>0.42350339391053238</v>
      </c>
      <c r="EB157" s="173">
        <f t="shared" si="398"/>
        <v>7.7079999999999984</v>
      </c>
      <c r="EC157" s="173">
        <f t="shared" si="399"/>
        <v>0.55224013284274576</v>
      </c>
      <c r="ED157" s="173">
        <f t="shared" si="400"/>
        <v>13.957696193360336</v>
      </c>
      <c r="EE157" s="460">
        <f t="shared" si="401"/>
        <v>3.5544034846062535</v>
      </c>
      <c r="EF157" s="5">
        <f t="shared" si="402"/>
        <v>0.54326497215448566</v>
      </c>
      <c r="EH157" s="173">
        <f t="shared" si="403"/>
        <v>0.71982848048093329</v>
      </c>
      <c r="EI157" s="173">
        <f t="shared" si="404"/>
        <v>0.8398446416930776</v>
      </c>
      <c r="EK157" s="528">
        <f t="shared" si="405"/>
        <v>1.0363060826229786E-2</v>
      </c>
      <c r="EL157" s="528">
        <f t="shared" si="406"/>
        <v>0.45100993934502154</v>
      </c>
      <c r="EM157" s="528">
        <f t="shared" si="407"/>
        <v>4.0250000000000001E-2</v>
      </c>
      <c r="EN157" s="528">
        <f t="shared" si="408"/>
        <v>0.21601345499999997</v>
      </c>
      <c r="EO157">
        <f t="shared" si="409"/>
        <v>8.5500000000000003E-3</v>
      </c>
      <c r="EP157" s="460">
        <f t="shared" si="410"/>
        <v>48.800000000000004</v>
      </c>
      <c r="EQ157" s="460"/>
      <c r="ER157" s="460">
        <f t="shared" si="432"/>
        <v>726.18645517125128</v>
      </c>
      <c r="ES157" s="528">
        <f t="shared" si="411"/>
        <v>0.32899999999999996</v>
      </c>
      <c r="EV157" s="460">
        <f t="shared" si="412"/>
        <v>328.99999999999994</v>
      </c>
      <c r="EW157" s="528">
        <f t="shared" si="413"/>
        <v>1.5544591239344679E-2</v>
      </c>
      <c r="EX157" s="528">
        <f t="shared" si="414"/>
        <v>2.1160170665417217E-2</v>
      </c>
      <c r="EY157" s="528">
        <f t="shared" si="415"/>
        <v>0.58216102862646613</v>
      </c>
      <c r="EZ157" s="528"/>
      <c r="FA157" s="528">
        <f t="shared" si="416"/>
        <v>6.4233333333333321E-3</v>
      </c>
      <c r="FB157" s="460">
        <f t="shared" si="417"/>
        <v>625.28912386456136</v>
      </c>
      <c r="FC157" s="173">
        <f t="shared" si="418"/>
        <v>1.6804755790358126</v>
      </c>
      <c r="FD157" s="5">
        <f t="shared" si="419"/>
        <v>7.52</v>
      </c>
      <c r="FE157" s="173">
        <f t="shared" si="420"/>
        <v>0.8173490528179933</v>
      </c>
      <c r="FF157" s="5">
        <f t="shared" si="421"/>
        <v>81.734905281799328</v>
      </c>
      <c r="FI157" s="562">
        <f t="shared" si="422"/>
        <v>-50</v>
      </c>
      <c r="FJ157">
        <f t="shared" si="423"/>
        <v>-50</v>
      </c>
      <c r="FL157">
        <f t="shared" si="476"/>
        <v>0.49064417587195835</v>
      </c>
    </row>
    <row r="158" spans="5:168">
      <c r="E158" s="170">
        <v>48</v>
      </c>
      <c r="F158" s="217">
        <f t="shared" si="477"/>
        <v>0.48</v>
      </c>
      <c r="G158" s="217"/>
      <c r="H158" s="217">
        <f t="shared" si="442"/>
        <v>7.68</v>
      </c>
      <c r="I158" s="541">
        <f t="shared" si="443"/>
        <v>18.952190855626625</v>
      </c>
      <c r="J158" s="172">
        <f t="shared" si="444"/>
        <v>16.428685486624023</v>
      </c>
      <c r="K158" s="172">
        <f t="shared" si="445"/>
        <v>35.380876342250644</v>
      </c>
      <c r="L158" s="443"/>
      <c r="M158" s="217">
        <f t="shared" si="446"/>
        <v>0.4643433987239437</v>
      </c>
      <c r="N158" s="172">
        <f t="shared" si="447"/>
        <v>22.209819499901492</v>
      </c>
      <c r="O158" s="172">
        <f t="shared" si="438"/>
        <v>7.68</v>
      </c>
      <c r="P158" s="217">
        <f t="shared" si="448"/>
        <v>1.3881137187438433</v>
      </c>
      <c r="Q158" s="217">
        <f t="shared" si="449"/>
        <v>16</v>
      </c>
      <c r="R158" s="217"/>
      <c r="S158" s="172">
        <f t="shared" si="450"/>
        <v>79.85160038239998</v>
      </c>
      <c r="T158" s="172">
        <f t="shared" si="451"/>
        <v>16</v>
      </c>
      <c r="U158" s="217">
        <f t="shared" si="452"/>
        <v>1.7921929790710331</v>
      </c>
      <c r="V158" s="217">
        <f t="shared" si="453"/>
        <v>1.1347667355548761</v>
      </c>
      <c r="W158" s="217">
        <f t="shared" si="454"/>
        <v>1.3090710006203785</v>
      </c>
      <c r="X158" s="197">
        <f t="shared" si="455"/>
        <v>350</v>
      </c>
      <c r="Y158" s="443">
        <f t="shared" si="328"/>
        <v>350</v>
      </c>
      <c r="AA158" s="217">
        <f t="shared" si="456"/>
        <v>2.0952910633045283</v>
      </c>
      <c r="AB158" s="173">
        <f t="shared" si="457"/>
        <v>1.5304628468373673</v>
      </c>
      <c r="AC158" s="173">
        <f t="shared" si="458"/>
        <v>0.56118389699714</v>
      </c>
      <c r="AD158" s="173"/>
      <c r="AE158" s="173">
        <f t="shared" si="459"/>
        <v>0.73042971148058145</v>
      </c>
      <c r="AF158" s="545">
        <f t="shared" si="460"/>
        <v>1314.2948389299215</v>
      </c>
      <c r="AG158" s="528">
        <f t="shared" si="461"/>
        <v>0.12782519950910176</v>
      </c>
      <c r="AI158" s="173">
        <f t="shared" si="462"/>
        <v>1.9378152933724997</v>
      </c>
      <c r="AJ158" s="173">
        <f t="shared" si="463"/>
        <v>1.9378152933724997</v>
      </c>
      <c r="AK158" s="173">
        <f t="shared" si="464"/>
        <v>1.8946779950907404</v>
      </c>
      <c r="AM158" s="545">
        <f t="shared" si="465"/>
        <v>480</v>
      </c>
      <c r="AN158" s="460">
        <f t="shared" si="466"/>
        <v>350</v>
      </c>
      <c r="AP158">
        <f t="shared" si="467"/>
        <v>480</v>
      </c>
      <c r="AQ158">
        <f t="shared" si="468"/>
        <v>350</v>
      </c>
      <c r="AS158" s="5">
        <f t="shared" si="439"/>
        <v>2.8571428571428572</v>
      </c>
      <c r="AT158" s="5">
        <f t="shared" si="469"/>
        <v>1.2269707337590625</v>
      </c>
      <c r="AU158" s="5">
        <f t="shared" si="343"/>
        <v>1.6301721233837947</v>
      </c>
      <c r="AV158" s="5"/>
      <c r="AW158" s="173">
        <f t="shared" si="344"/>
        <v>0.42943975681567187</v>
      </c>
      <c r="AX158" s="173">
        <f t="shared" si="435"/>
        <v>7.8857690335795292</v>
      </c>
      <c r="AY158" s="173">
        <f t="shared" si="436"/>
        <v>0.55282018251646181</v>
      </c>
      <c r="AZ158" s="173">
        <f t="shared" si="440"/>
        <v>14.264618555862345</v>
      </c>
      <c r="BA158" s="460">
        <f t="shared" si="433"/>
        <v>3.6809122012771875</v>
      </c>
      <c r="BB158" s="5">
        <f t="shared" si="434"/>
        <v>0.5504958064813309</v>
      </c>
      <c r="BD158" s="173">
        <f t="shared" si="441"/>
        <v>0.73316694390331827</v>
      </c>
      <c r="BE158" s="173">
        <f t="shared" si="437"/>
        <v>0.84508910937067316</v>
      </c>
      <c r="BG158" s="528">
        <f t="shared" si="347"/>
        <v>1.075067535265063E-2</v>
      </c>
      <c r="BH158" s="528">
        <f t="shared" si="470"/>
        <v>0.43793724088031954</v>
      </c>
      <c r="BI158" s="528">
        <f t="shared" si="471"/>
        <v>0.15256513638779434</v>
      </c>
      <c r="BJ158" s="528">
        <f t="shared" si="350"/>
        <v>0.21578013005227822</v>
      </c>
      <c r="BK158">
        <f t="shared" si="351"/>
        <v>8.5284858850319806E-3</v>
      </c>
      <c r="BL158" s="460">
        <f t="shared" si="427"/>
        <v>161.09362227282631</v>
      </c>
      <c r="BM158" s="528">
        <f t="shared" si="472"/>
        <v>0.66907979961772801</v>
      </c>
      <c r="BN158" s="460">
        <f t="shared" si="353"/>
        <v>669.07979961772799</v>
      </c>
      <c r="BO158" s="528">
        <f t="shared" si="354"/>
        <v>0.33599999999999997</v>
      </c>
      <c r="BR158" s="460">
        <f t="shared" si="355"/>
        <v>335.99999999999994</v>
      </c>
      <c r="BS158" s="528">
        <f t="shared" si="356"/>
        <v>1.6126013028975945E-2</v>
      </c>
      <c r="BT158" s="528">
        <f t="shared" si="357"/>
        <v>2.1425268083307528E-2</v>
      </c>
      <c r="BU158" s="528">
        <f t="shared" si="358"/>
        <v>0.59899205625243301</v>
      </c>
      <c r="BV158" s="528"/>
      <c r="BW158" s="528">
        <f t="shared" si="359"/>
        <v>6.5714741946496071E-3</v>
      </c>
      <c r="BX158" s="460">
        <f t="shared" si="360"/>
        <v>643.1148115593661</v>
      </c>
      <c r="BY158" s="173">
        <f t="shared" si="361"/>
        <v>1.8046764801174409</v>
      </c>
      <c r="BZ158" s="5">
        <f t="shared" si="362"/>
        <v>7.68</v>
      </c>
      <c r="CA158" s="173">
        <f t="shared" si="363"/>
        <v>0.80972714420986813</v>
      </c>
      <c r="CB158" s="5">
        <f t="shared" si="364"/>
        <v>80.972714420986819</v>
      </c>
      <c r="CE158" s="562">
        <f t="shared" si="473"/>
        <v>-50</v>
      </c>
      <c r="CF158">
        <f t="shared" si="474"/>
        <v>-50</v>
      </c>
      <c r="CG158" s="173">
        <f t="shared" si="475"/>
        <v>0.50199601592044529</v>
      </c>
      <c r="CI158" s="170">
        <v>48</v>
      </c>
      <c r="CJ158" s="217">
        <f t="shared" si="428"/>
        <v>0.48</v>
      </c>
      <c r="CK158" s="217"/>
      <c r="CL158" s="217">
        <f t="shared" si="368"/>
        <v>7.68</v>
      </c>
      <c r="CM158" s="541">
        <f t="shared" si="369"/>
        <v>19</v>
      </c>
      <c r="CN158" s="443">
        <f t="shared" si="370"/>
        <v>16.399999999999999</v>
      </c>
      <c r="CO158" s="443">
        <f t="shared" si="371"/>
        <v>35.4</v>
      </c>
      <c r="CP158" s="443"/>
      <c r="CQ158" s="217">
        <f t="shared" si="372"/>
        <v>0.4632768361581921</v>
      </c>
      <c r="CR158" s="172">
        <f t="shared" si="429"/>
        <v>22.214703389830511</v>
      </c>
      <c r="CS158" s="172">
        <f t="shared" si="373"/>
        <v>7.68</v>
      </c>
      <c r="CT158" s="217">
        <f t="shared" si="374"/>
        <v>1.3884189618644069</v>
      </c>
      <c r="CU158" s="217">
        <f t="shared" si="375"/>
        <v>16</v>
      </c>
      <c r="CV158" s="217"/>
      <c r="CW158" s="172">
        <f t="shared" si="376"/>
        <v>80.052798661158775</v>
      </c>
      <c r="CX158" s="172">
        <f t="shared" si="377"/>
        <v>16</v>
      </c>
      <c r="CY158" s="217">
        <f t="shared" si="378"/>
        <v>1.7450064184852372</v>
      </c>
      <c r="CZ158" s="217">
        <f t="shared" si="379"/>
        <v>1.1021093169380445</v>
      </c>
      <c r="DA158" s="217">
        <f t="shared" si="380"/>
        <v>1.2768339647452955</v>
      </c>
      <c r="DB158" s="197">
        <f t="shared" si="381"/>
        <v>350</v>
      </c>
      <c r="DC158" s="443">
        <f t="shared" si="382"/>
        <v>350</v>
      </c>
      <c r="DE158" s="217">
        <f t="shared" si="383"/>
        <v>2.0957761635727734</v>
      </c>
      <c r="DF158" s="173">
        <f t="shared" si="384"/>
        <v>1.5334947538337369</v>
      </c>
      <c r="DG158" s="173">
        <f t="shared" si="385"/>
        <v>0.5624258066085126</v>
      </c>
      <c r="DH158" s="173"/>
      <c r="DI158" s="173">
        <f t="shared" si="386"/>
        <v>0.73170731707317083</v>
      </c>
      <c r="DJ158" s="545">
        <f t="shared" si="387"/>
        <v>1311.9999999999998</v>
      </c>
      <c r="DK158" s="528">
        <f t="shared" si="388"/>
        <v>0.12804878048780488</v>
      </c>
      <c r="DM158" s="173">
        <f t="shared" si="389"/>
        <v>1.9361227824111331</v>
      </c>
      <c r="DN158" s="173">
        <f t="shared" si="390"/>
        <v>1.9361227824111331</v>
      </c>
      <c r="DO158" s="173">
        <f t="shared" si="391"/>
        <v>1.8934242832675059</v>
      </c>
      <c r="DQ158" s="545">
        <f t="shared" si="392"/>
        <v>480</v>
      </c>
      <c r="DR158" s="460">
        <f t="shared" si="393"/>
        <v>350</v>
      </c>
      <c r="DT158">
        <f t="shared" si="430"/>
        <v>480</v>
      </c>
      <c r="DU158">
        <f t="shared" si="431"/>
        <v>350</v>
      </c>
      <c r="DW158" s="5">
        <f t="shared" si="394"/>
        <v>2.8571428571428572</v>
      </c>
      <c r="DX158" s="5">
        <f t="shared" si="395"/>
        <v>1.2228143888912419</v>
      </c>
      <c r="DY158" s="5">
        <f t="shared" si="396"/>
        <v>1.6343284682516153</v>
      </c>
      <c r="DZ158" s="5"/>
      <c r="EA158" s="173">
        <f t="shared" si="397"/>
        <v>0.42798503611193467</v>
      </c>
      <c r="EB158" s="173">
        <f t="shared" si="398"/>
        <v>7.871999999999999</v>
      </c>
      <c r="EC158" s="173">
        <f t="shared" si="399"/>
        <v>0.55374560173188248</v>
      </c>
      <c r="ED158" s="173">
        <f t="shared" si="400"/>
        <v>14.215914267092517</v>
      </c>
      <c r="EE158" s="460">
        <f t="shared" si="401"/>
        <v>3.6684431666737258</v>
      </c>
      <c r="EF158" s="5">
        <f t="shared" si="402"/>
        <v>0.55051064193738608</v>
      </c>
      <c r="EH158" s="173">
        <f t="shared" si="403"/>
        <v>0.73128482326776734</v>
      </c>
      <c r="EI158" s="173">
        <f t="shared" si="404"/>
        <v>0.845426706924994</v>
      </c>
      <c r="EK158" s="528">
        <f t="shared" si="405"/>
        <v>1.0695549854835394E-2</v>
      </c>
      <c r="EL158" s="528">
        <f t="shared" si="406"/>
        <v>0.45578266420740488</v>
      </c>
      <c r="EM158" s="528">
        <f t="shared" si="407"/>
        <v>4.0250000000000001E-2</v>
      </c>
      <c r="EN158" s="528">
        <f t="shared" si="408"/>
        <v>0.21601345499999997</v>
      </c>
      <c r="EO158">
        <f t="shared" si="409"/>
        <v>8.5500000000000003E-3</v>
      </c>
      <c r="EP158" s="460">
        <f t="shared" si="410"/>
        <v>48.800000000000004</v>
      </c>
      <c r="EQ158" s="460"/>
      <c r="ER158" s="460">
        <f t="shared" si="432"/>
        <v>731.29166906224009</v>
      </c>
      <c r="ES158" s="528">
        <f t="shared" si="411"/>
        <v>0.33599999999999997</v>
      </c>
      <c r="EV158" s="460">
        <f t="shared" si="412"/>
        <v>335.99999999999994</v>
      </c>
      <c r="EW158" s="528">
        <f t="shared" si="413"/>
        <v>1.604332478225309E-2</v>
      </c>
      <c r="EX158" s="528">
        <f t="shared" si="414"/>
        <v>2.1442389503461189E-2</v>
      </c>
      <c r="EY158" s="528">
        <f t="shared" si="415"/>
        <v>0.59768499589692359</v>
      </c>
      <c r="EZ158" s="528"/>
      <c r="FA158" s="528">
        <f t="shared" si="416"/>
        <v>6.5599999999999981E-3</v>
      </c>
      <c r="FB158" s="460">
        <f t="shared" si="417"/>
        <v>641.73071018263784</v>
      </c>
      <c r="FC158" s="173">
        <f t="shared" si="418"/>
        <v>1.7090223792448778</v>
      </c>
      <c r="FD158" s="5">
        <f t="shared" si="419"/>
        <v>7.68</v>
      </c>
      <c r="FE158" s="173">
        <f t="shared" si="420"/>
        <v>0.81797653576555562</v>
      </c>
      <c r="FF158" s="5">
        <f t="shared" si="421"/>
        <v>81.797653576555561</v>
      </c>
      <c r="FI158" s="562">
        <f t="shared" si="422"/>
        <v>-50</v>
      </c>
      <c r="FJ158">
        <f t="shared" si="423"/>
        <v>-50</v>
      </c>
      <c r="FL158">
        <f t="shared" si="476"/>
        <v>0.4958363223248024</v>
      </c>
    </row>
    <row r="159" spans="5:168">
      <c r="E159" s="170">
        <v>49</v>
      </c>
      <c r="F159" s="217">
        <f t="shared" si="477"/>
        <v>0.49</v>
      </c>
      <c r="G159" s="217"/>
      <c r="H159" s="217">
        <f t="shared" si="442"/>
        <v>7.84</v>
      </c>
      <c r="I159" s="541">
        <f t="shared" si="443"/>
        <v>18.951695410846035</v>
      </c>
      <c r="J159" s="172">
        <f t="shared" si="444"/>
        <v>16.428982753492377</v>
      </c>
      <c r="K159" s="172">
        <f t="shared" si="445"/>
        <v>35.380678164338413</v>
      </c>
      <c r="L159" s="443"/>
      <c r="M159" s="217">
        <f t="shared" si="446"/>
        <v>0.46435445740448245</v>
      </c>
      <c r="N159" s="172">
        <f t="shared" si="447"/>
        <v>22.209767824181789</v>
      </c>
      <c r="O159" s="172">
        <f t="shared" si="438"/>
        <v>7.84</v>
      </c>
      <c r="P159" s="217">
        <f t="shared" si="448"/>
        <v>1.3881104890113618</v>
      </c>
      <c r="Q159" s="217">
        <f t="shared" si="449"/>
        <v>16</v>
      </c>
      <c r="R159" s="217"/>
      <c r="S159" s="172">
        <f t="shared" si="450"/>
        <v>77.837521241932834</v>
      </c>
      <c r="T159" s="172">
        <f t="shared" si="451"/>
        <v>16</v>
      </c>
      <c r="U159" s="217">
        <f t="shared" si="452"/>
        <v>1.829568104405991</v>
      </c>
      <c r="V159" s="217">
        <f t="shared" si="453"/>
        <v>1.1584619094451662</v>
      </c>
      <c r="W159" s="217">
        <f t="shared" si="454"/>
        <v>1.3363467222707301</v>
      </c>
      <c r="X159" s="197">
        <f t="shared" si="455"/>
        <v>350</v>
      </c>
      <c r="Y159" s="443">
        <f t="shared" si="328"/>
        <v>350</v>
      </c>
      <c r="AA159" s="217">
        <f t="shared" si="456"/>
        <v>2.095285936847461</v>
      </c>
      <c r="AB159" s="173">
        <f t="shared" si="457"/>
        <v>1.5304314101142196</v>
      </c>
      <c r="AC159" s="173">
        <f t="shared" si="458"/>
        <v>0.56117099691134187</v>
      </c>
      <c r="AD159" s="173"/>
      <c r="AE159" s="173">
        <f t="shared" si="459"/>
        <v>0.73041649504739481</v>
      </c>
      <c r="AF159" s="545">
        <f t="shared" si="460"/>
        <v>1341.7002582018774</v>
      </c>
      <c r="AG159" s="528">
        <f t="shared" si="461"/>
        <v>0.12782288663329408</v>
      </c>
      <c r="AI159" s="173">
        <f t="shared" si="462"/>
        <v>1.957914530603474</v>
      </c>
      <c r="AJ159" s="173">
        <f t="shared" si="463"/>
        <v>1.957914530603474</v>
      </c>
      <c r="AK159" s="173">
        <f t="shared" si="464"/>
        <v>1.9095663189655363</v>
      </c>
      <c r="AM159" s="545">
        <f t="shared" si="465"/>
        <v>490</v>
      </c>
      <c r="AN159" s="460">
        <f t="shared" si="466"/>
        <v>350</v>
      </c>
      <c r="AP159">
        <f t="shared" si="467"/>
        <v>490</v>
      </c>
      <c r="AQ159">
        <f t="shared" si="468"/>
        <v>350</v>
      </c>
      <c r="AS159" s="5">
        <f t="shared" si="439"/>
        <v>2.8571428571428572</v>
      </c>
      <c r="AT159" s="5">
        <f t="shared" si="469"/>
        <v>1.2397294203976885</v>
      </c>
      <c r="AU159" s="5">
        <f t="shared" si="343"/>
        <v>1.6174134367451687</v>
      </c>
      <c r="AV159" s="5"/>
      <c r="AW159" s="173">
        <f t="shared" si="344"/>
        <v>0.43390529713919096</v>
      </c>
      <c r="AX159" s="173">
        <f t="shared" si="435"/>
        <v>8.0502015492112662</v>
      </c>
      <c r="AY159" s="173">
        <f t="shared" si="436"/>
        <v>0.55418252221441699</v>
      </c>
      <c r="AZ159" s="173">
        <f t="shared" si="440"/>
        <v>14.526263868885762</v>
      </c>
      <c r="BA159" s="460">
        <f t="shared" si="433"/>
        <v>3.7966713499679208</v>
      </c>
      <c r="BB159" s="5">
        <f t="shared" si="434"/>
        <v>0.55758078055754812</v>
      </c>
      <c r="BD159" s="173">
        <f t="shared" si="441"/>
        <v>0.74461293825450969</v>
      </c>
      <c r="BE159" s="173">
        <f t="shared" si="437"/>
        <v>0.85050652078632505</v>
      </c>
      <c r="BG159" s="528">
        <f t="shared" si="347"/>
        <v>1.1088968556320284E-2</v>
      </c>
      <c r="BH159" s="528">
        <f t="shared" si="470"/>
        <v>0.4424770965370976</v>
      </c>
      <c r="BI159" s="528">
        <f t="shared" si="471"/>
        <v>0.15256114805731058</v>
      </c>
      <c r="BJ159" s="528">
        <f t="shared" si="350"/>
        <v>0.21577771277264396</v>
      </c>
      <c r="BK159">
        <f t="shared" si="351"/>
        <v>8.5282629348807162E-3</v>
      </c>
      <c r="BL159" s="460">
        <f t="shared" si="427"/>
        <v>161.08941099219129</v>
      </c>
      <c r="BM159" s="528">
        <f t="shared" si="472"/>
        <v>0.67411391354685846</v>
      </c>
      <c r="BN159" s="460">
        <f t="shared" si="353"/>
        <v>674.1139135468585</v>
      </c>
      <c r="BO159" s="528">
        <f t="shared" si="354"/>
        <v>0.34299999999999997</v>
      </c>
      <c r="BR159" s="460">
        <f t="shared" si="355"/>
        <v>343</v>
      </c>
      <c r="BS159" s="528">
        <f t="shared" si="356"/>
        <v>1.6633452834480426E-2</v>
      </c>
      <c r="BT159" s="528">
        <f t="shared" si="357"/>
        <v>2.1700840257001783E-2</v>
      </c>
      <c r="BU159" s="528">
        <f t="shared" si="358"/>
        <v>0.61464512154546525</v>
      </c>
      <c r="BV159" s="528"/>
      <c r="BW159" s="528">
        <f t="shared" si="359"/>
        <v>6.7085012910093889E-3</v>
      </c>
      <c r="BX159" s="460">
        <f t="shared" si="360"/>
        <v>659.68791592795685</v>
      </c>
      <c r="BY159" s="173">
        <f t="shared" si="361"/>
        <v>1.8331211047862102</v>
      </c>
      <c r="BZ159" s="5">
        <f t="shared" si="362"/>
        <v>7.84</v>
      </c>
      <c r="CA159" s="173">
        <f t="shared" si="363"/>
        <v>0.81049331597025165</v>
      </c>
      <c r="CB159" s="5">
        <f t="shared" si="364"/>
        <v>81.049331597025159</v>
      </c>
      <c r="CE159" s="562">
        <f t="shared" si="473"/>
        <v>-50</v>
      </c>
      <c r="CF159">
        <f t="shared" si="474"/>
        <v>-50</v>
      </c>
      <c r="CG159" s="173">
        <f t="shared" si="475"/>
        <v>0.50719818611663037</v>
      </c>
      <c r="CI159" s="170">
        <v>49</v>
      </c>
      <c r="CJ159" s="217">
        <f t="shared" si="428"/>
        <v>0.49</v>
      </c>
      <c r="CK159" s="217"/>
      <c r="CL159" s="217">
        <f t="shared" si="368"/>
        <v>7.84</v>
      </c>
      <c r="CM159" s="541">
        <f t="shared" si="369"/>
        <v>19</v>
      </c>
      <c r="CN159" s="443">
        <f t="shared" si="370"/>
        <v>16.399999999999999</v>
      </c>
      <c r="CO159" s="443">
        <f t="shared" si="371"/>
        <v>35.4</v>
      </c>
      <c r="CP159" s="443"/>
      <c r="CQ159" s="217">
        <f t="shared" si="372"/>
        <v>0.4632768361581921</v>
      </c>
      <c r="CR159" s="172">
        <f t="shared" si="429"/>
        <v>22.214703389830511</v>
      </c>
      <c r="CS159" s="172">
        <f t="shared" si="373"/>
        <v>7.84</v>
      </c>
      <c r="CT159" s="217">
        <f t="shared" si="374"/>
        <v>1.3884189618644069</v>
      </c>
      <c r="CU159" s="217">
        <f t="shared" si="375"/>
        <v>16</v>
      </c>
      <c r="CV159" s="217"/>
      <c r="CW159" s="172">
        <f t="shared" si="376"/>
        <v>78.035670200853616</v>
      </c>
      <c r="CX159" s="172">
        <f t="shared" si="377"/>
        <v>16</v>
      </c>
      <c r="CY159" s="217">
        <f t="shared" si="378"/>
        <v>1.7813607188703464</v>
      </c>
      <c r="CZ159" s="217">
        <f t="shared" si="379"/>
        <v>1.1250699277075873</v>
      </c>
      <c r="DA159" s="217">
        <f t="shared" si="380"/>
        <v>1.3034346723441561</v>
      </c>
      <c r="DB159" s="197">
        <f t="shared" si="381"/>
        <v>350</v>
      </c>
      <c r="DC159" s="443">
        <f t="shared" si="382"/>
        <v>350</v>
      </c>
      <c r="DE159" s="217">
        <f t="shared" si="383"/>
        <v>2.0957761635727734</v>
      </c>
      <c r="DF159" s="173">
        <f t="shared" si="384"/>
        <v>1.5334947538337369</v>
      </c>
      <c r="DG159" s="173">
        <f t="shared" si="385"/>
        <v>0.5624258066085126</v>
      </c>
      <c r="DH159" s="173"/>
      <c r="DI159" s="173">
        <f t="shared" si="386"/>
        <v>0.73170731707317083</v>
      </c>
      <c r="DJ159" s="545">
        <f t="shared" si="387"/>
        <v>1339.3333333333333</v>
      </c>
      <c r="DK159" s="528">
        <f t="shared" si="388"/>
        <v>0.12804878048780488</v>
      </c>
      <c r="DM159" s="173">
        <f t="shared" si="389"/>
        <v>1.9561867668161612</v>
      </c>
      <c r="DN159" s="173">
        <f t="shared" si="390"/>
        <v>1.9561867668161612</v>
      </c>
      <c r="DO159" s="173">
        <f t="shared" si="391"/>
        <v>1.9082864939378972</v>
      </c>
      <c r="DQ159" s="545">
        <f t="shared" si="392"/>
        <v>490</v>
      </c>
      <c r="DR159" s="460">
        <f t="shared" si="393"/>
        <v>350</v>
      </c>
      <c r="DT159">
        <f t="shared" si="430"/>
        <v>490</v>
      </c>
      <c r="DU159">
        <f t="shared" si="431"/>
        <v>350</v>
      </c>
      <c r="DW159" s="5">
        <f t="shared" si="394"/>
        <v>2.8571428571428572</v>
      </c>
      <c r="DX159" s="5">
        <f t="shared" si="395"/>
        <v>1.235486379041786</v>
      </c>
      <c r="DY159" s="5">
        <f t="shared" si="396"/>
        <v>1.6216564781010712</v>
      </c>
      <c r="DZ159" s="5"/>
      <c r="EA159" s="173">
        <f t="shared" si="397"/>
        <v>0.43242023266462509</v>
      </c>
      <c r="EB159" s="173">
        <f t="shared" si="398"/>
        <v>8.0359999999999996</v>
      </c>
      <c r="EC159" s="173">
        <f t="shared" si="399"/>
        <v>0.55514601498702798</v>
      </c>
      <c r="ED159" s="173">
        <f t="shared" si="400"/>
        <v>14.47547092666742</v>
      </c>
      <c r="EE159" s="460">
        <f t="shared" si="401"/>
        <v>3.7836770358154701</v>
      </c>
      <c r="EF159" s="5">
        <f t="shared" si="402"/>
        <v>0.55762222755756119</v>
      </c>
      <c r="EH159" s="173">
        <f t="shared" si="403"/>
        <v>0.74268164788823776</v>
      </c>
      <c r="EI159" s="173">
        <f t="shared" si="404"/>
        <v>0.85086986398953335</v>
      </c>
      <c r="EK159" s="528">
        <f t="shared" si="405"/>
        <v>1.1031520602199767E-2</v>
      </c>
      <c r="EL159" s="528">
        <f t="shared" si="406"/>
        <v>0.46050592677619256</v>
      </c>
      <c r="EM159" s="528">
        <f t="shared" si="407"/>
        <v>4.0250000000000001E-2</v>
      </c>
      <c r="EN159" s="528">
        <f t="shared" si="408"/>
        <v>0.21601345499999997</v>
      </c>
      <c r="EO159">
        <f t="shared" si="409"/>
        <v>8.5500000000000003E-3</v>
      </c>
      <c r="EP159" s="460">
        <f t="shared" si="410"/>
        <v>48.800000000000004</v>
      </c>
      <c r="EQ159" s="460"/>
      <c r="ER159" s="460">
        <f t="shared" si="432"/>
        <v>736.35090237839222</v>
      </c>
      <c r="ES159" s="528">
        <f t="shared" si="411"/>
        <v>0.34299999999999997</v>
      </c>
      <c r="EV159" s="460">
        <f t="shared" si="412"/>
        <v>343</v>
      </c>
      <c r="EW159" s="528">
        <f t="shared" si="413"/>
        <v>1.6547280903299651E-2</v>
      </c>
      <c r="EX159" s="528">
        <f t="shared" si="414"/>
        <v>2.1719385763367009E-2</v>
      </c>
      <c r="EY159" s="528">
        <f t="shared" si="415"/>
        <v>0.61329003323211972</v>
      </c>
      <c r="EZ159" s="528"/>
      <c r="FA159" s="528">
        <f t="shared" si="416"/>
        <v>6.6966666666666667E-3</v>
      </c>
      <c r="FB159" s="460">
        <f t="shared" si="417"/>
        <v>658.25336656545312</v>
      </c>
      <c r="FC159" s="173">
        <f t="shared" si="418"/>
        <v>1.7376042689438451</v>
      </c>
      <c r="FD159" s="5">
        <f t="shared" si="419"/>
        <v>7.84</v>
      </c>
      <c r="FE159" s="173">
        <f t="shared" si="420"/>
        <v>0.81857631406027431</v>
      </c>
      <c r="FF159" s="5">
        <f t="shared" si="421"/>
        <v>81.857631406027437</v>
      </c>
      <c r="FI159" s="562">
        <f t="shared" si="422"/>
        <v>-50</v>
      </c>
      <c r="FJ159">
        <f t="shared" si="423"/>
        <v>-50</v>
      </c>
      <c r="FL159">
        <f t="shared" si="476"/>
        <v>0.50097465979438283</v>
      </c>
    </row>
    <row r="160" spans="5:168">
      <c r="E160" s="170">
        <v>50</v>
      </c>
      <c r="F160" s="217">
        <f t="shared" si="477"/>
        <v>0.5</v>
      </c>
      <c r="G160" s="217"/>
      <c r="H160" s="217">
        <f t="shared" si="442"/>
        <v>8</v>
      </c>
      <c r="I160" s="541">
        <f t="shared" si="443"/>
        <v>18.951204996352573</v>
      </c>
      <c r="J160" s="172">
        <f t="shared" si="444"/>
        <v>16.429277002188453</v>
      </c>
      <c r="K160" s="172">
        <f t="shared" si="445"/>
        <v>35.380481998541029</v>
      </c>
      <c r="L160" s="443"/>
      <c r="M160" s="217">
        <f t="shared" si="446"/>
        <v>0.46436540392515957</v>
      </c>
      <c r="N160" s="172">
        <f t="shared" si="447"/>
        <v>22.209716651620656</v>
      </c>
      <c r="O160" s="172">
        <f t="shared" si="438"/>
        <v>8</v>
      </c>
      <c r="P160" s="217">
        <f t="shared" si="448"/>
        <v>1.388107290726291</v>
      </c>
      <c r="Q160" s="217">
        <f t="shared" si="449"/>
        <v>16</v>
      </c>
      <c r="R160" s="217"/>
      <c r="S160" s="172">
        <f t="shared" si="450"/>
        <v>75.904165570829278</v>
      </c>
      <c r="T160" s="172">
        <f t="shared" si="451"/>
        <v>16</v>
      </c>
      <c r="U160" s="217">
        <f t="shared" si="452"/>
        <v>1.8669443820993918</v>
      </c>
      <c r="V160" s="217">
        <f t="shared" si="453"/>
        <v>1.1821587381649103</v>
      </c>
      <c r="W160" s="217">
        <f t="shared" si="454"/>
        <v>1.3636225490755605</v>
      </c>
      <c r="X160" s="197">
        <f t="shared" si="455"/>
        <v>350</v>
      </c>
      <c r="Y160" s="443">
        <f t="shared" si="328"/>
        <v>350</v>
      </c>
      <c r="AA160" s="217">
        <f t="shared" si="456"/>
        <v>2.0952808604309645</v>
      </c>
      <c r="AB160" s="173">
        <f t="shared" si="457"/>
        <v>1.5304002922235938</v>
      </c>
      <c r="AC160" s="173">
        <f t="shared" si="458"/>
        <v>0.56115822719145902</v>
      </c>
      <c r="AD160" s="173"/>
      <c r="AE160" s="173">
        <f t="shared" si="459"/>
        <v>0.73040341327263203</v>
      </c>
      <c r="AF160" s="545">
        <f t="shared" si="460"/>
        <v>1369.1064168490375</v>
      </c>
      <c r="AG160" s="528">
        <f t="shared" si="461"/>
        <v>0.12782059732271062</v>
      </c>
      <c r="AI160" s="173">
        <f t="shared" si="462"/>
        <v>1.9778100564939696</v>
      </c>
      <c r="AJ160" s="173">
        <f t="shared" si="463"/>
        <v>1.9778100564939696</v>
      </c>
      <c r="AK160" s="173">
        <f t="shared" si="464"/>
        <v>1.9243037455510885</v>
      </c>
      <c r="AM160" s="545">
        <f t="shared" si="465"/>
        <v>500</v>
      </c>
      <c r="AN160" s="460">
        <f t="shared" si="466"/>
        <v>350</v>
      </c>
      <c r="AP160">
        <f t="shared" si="467"/>
        <v>500</v>
      </c>
      <c r="AQ160">
        <f t="shared" si="468"/>
        <v>350</v>
      </c>
      <c r="AS160" s="5">
        <f t="shared" si="439"/>
        <v>2.8571428571428572</v>
      </c>
      <c r="AT160" s="5">
        <f t="shared" si="469"/>
        <v>1.2523594506257267</v>
      </c>
      <c r="AU160" s="5">
        <f t="shared" si="343"/>
        <v>1.6047834065171305</v>
      </c>
      <c r="AV160" s="5"/>
      <c r="AW160" s="173">
        <f t="shared" si="344"/>
        <v>0.43832580771900437</v>
      </c>
      <c r="AX160" s="173">
        <f t="shared" si="435"/>
        <v>8.2146385010942264</v>
      </c>
      <c r="AY160" s="173">
        <f t="shared" si="436"/>
        <v>0.55544243298324025</v>
      </c>
      <c r="AZ160" s="173">
        <f t="shared" si="440"/>
        <v>14.789360720919376</v>
      </c>
      <c r="BA160" s="460">
        <f t="shared" si="433"/>
        <v>3.9136232832053963</v>
      </c>
      <c r="BB160" s="5">
        <f t="shared" si="434"/>
        <v>0.56453170368357175</v>
      </c>
      <c r="BD160" s="173">
        <f t="shared" si="441"/>
        <v>0.75600118166865715</v>
      </c>
      <c r="BE160" s="173">
        <f t="shared" si="437"/>
        <v>0.85578799156400498</v>
      </c>
      <c r="BG160" s="528">
        <f t="shared" si="347"/>
        <v>1.1430755733688118E-2</v>
      </c>
      <c r="BH160" s="528">
        <f t="shared" si="470"/>
        <v>0.44697088942828328</v>
      </c>
      <c r="BI160" s="528">
        <f t="shared" si="471"/>
        <v>0.15255720022063821</v>
      </c>
      <c r="BJ160" s="528">
        <f t="shared" si="350"/>
        <v>0.21577532004916117</v>
      </c>
      <c r="BK160">
        <f t="shared" si="351"/>
        <v>8.5280422483586579E-3</v>
      </c>
      <c r="BL160" s="460">
        <f t="shared" si="427"/>
        <v>161.08524246899685</v>
      </c>
      <c r="BM160" s="528">
        <f t="shared" si="472"/>
        <v>0.67910769013480565</v>
      </c>
      <c r="BN160" s="460">
        <f t="shared" si="353"/>
        <v>679.10769013480569</v>
      </c>
      <c r="BO160" s="528">
        <f t="shared" si="354"/>
        <v>0.35</v>
      </c>
      <c r="BR160" s="460">
        <f t="shared" si="355"/>
        <v>350</v>
      </c>
      <c r="BS160" s="528">
        <f t="shared" si="356"/>
        <v>1.7146133600532177E-2</v>
      </c>
      <c r="BT160" s="528">
        <f t="shared" si="357"/>
        <v>2.1971192595154603E-2</v>
      </c>
      <c r="BU160" s="528">
        <f t="shared" si="358"/>
        <v>0.63037875363913864</v>
      </c>
      <c r="BV160" s="528"/>
      <c r="BW160" s="528">
        <f t="shared" si="359"/>
        <v>6.8455320842451895E-3</v>
      </c>
      <c r="BX160" s="460">
        <f t="shared" si="360"/>
        <v>676.3416119190706</v>
      </c>
      <c r="BY160" s="173">
        <f t="shared" si="361"/>
        <v>1.8616038195992</v>
      </c>
      <c r="BZ160" s="5">
        <f t="shared" si="362"/>
        <v>8</v>
      </c>
      <c r="CA160" s="173">
        <f t="shared" si="363"/>
        <v>0.81122707283176376</v>
      </c>
      <c r="CB160" s="5">
        <f t="shared" si="364"/>
        <v>81.122707283176382</v>
      </c>
      <c r="CE160" s="562">
        <f t="shared" si="473"/>
        <v>-50</v>
      </c>
      <c r="CF160">
        <f t="shared" si="474"/>
        <v>-50</v>
      </c>
      <c r="CG160" s="173">
        <f t="shared" si="475"/>
        <v>0.51234753829797997</v>
      </c>
      <c r="CI160" s="170">
        <v>50</v>
      </c>
      <c r="CJ160" s="217">
        <f t="shared" si="428"/>
        <v>0.5</v>
      </c>
      <c r="CK160" s="217"/>
      <c r="CL160" s="217">
        <f t="shared" si="368"/>
        <v>8</v>
      </c>
      <c r="CM160" s="541">
        <f t="shared" si="369"/>
        <v>19</v>
      </c>
      <c r="CN160" s="443">
        <f t="shared" si="370"/>
        <v>16.399999999999999</v>
      </c>
      <c r="CO160" s="443">
        <f t="shared" si="371"/>
        <v>35.4</v>
      </c>
      <c r="CP160" s="443"/>
      <c r="CQ160" s="217">
        <f t="shared" si="372"/>
        <v>0.4632768361581921</v>
      </c>
      <c r="CR160" s="172">
        <f t="shared" si="429"/>
        <v>22.214703389830511</v>
      </c>
      <c r="CS160" s="172">
        <f t="shared" si="373"/>
        <v>8</v>
      </c>
      <c r="CT160" s="217">
        <f t="shared" si="374"/>
        <v>1.3884189618644069</v>
      </c>
      <c r="CU160" s="217">
        <f t="shared" si="375"/>
        <v>16</v>
      </c>
      <c r="CV160" s="217"/>
      <c r="CW160" s="172">
        <f t="shared" si="376"/>
        <v>76.099347252923252</v>
      </c>
      <c r="CX160" s="172">
        <f t="shared" si="377"/>
        <v>16</v>
      </c>
      <c r="CY160" s="217">
        <f t="shared" si="378"/>
        <v>1.8177150192554556</v>
      </c>
      <c r="CZ160" s="217">
        <f t="shared" si="379"/>
        <v>1.1480305384771299</v>
      </c>
      <c r="DA160" s="217">
        <f t="shared" si="380"/>
        <v>1.3300353799430165</v>
      </c>
      <c r="DB160" s="197">
        <f t="shared" si="381"/>
        <v>350</v>
      </c>
      <c r="DC160" s="443">
        <f t="shared" si="382"/>
        <v>350</v>
      </c>
      <c r="DE160" s="217">
        <f t="shared" si="383"/>
        <v>2.0957761635727734</v>
      </c>
      <c r="DF160" s="173">
        <f t="shared" si="384"/>
        <v>1.5334947538337369</v>
      </c>
      <c r="DG160" s="173">
        <f t="shared" si="385"/>
        <v>0.5624258066085126</v>
      </c>
      <c r="DH160" s="173"/>
      <c r="DI160" s="173">
        <f t="shared" si="386"/>
        <v>0.73170731707317083</v>
      </c>
      <c r="DJ160" s="545">
        <f t="shared" si="387"/>
        <v>1366.6666666666665</v>
      </c>
      <c r="DK160" s="528">
        <f t="shared" si="388"/>
        <v>0.12804878048780488</v>
      </c>
      <c r="DM160" s="173">
        <f t="shared" si="389"/>
        <v>1.9760470401187074</v>
      </c>
      <c r="DN160" s="173">
        <f t="shared" si="390"/>
        <v>1.9760470401187074</v>
      </c>
      <c r="DO160" s="173">
        <f t="shared" si="391"/>
        <v>1.9229978074953387</v>
      </c>
      <c r="DQ160" s="545">
        <f t="shared" si="392"/>
        <v>500</v>
      </c>
      <c r="DR160" s="460">
        <f t="shared" si="393"/>
        <v>350</v>
      </c>
      <c r="DT160">
        <f t="shared" si="430"/>
        <v>500</v>
      </c>
      <c r="DU160">
        <f t="shared" si="431"/>
        <v>350</v>
      </c>
      <c r="DW160" s="5">
        <f t="shared" si="394"/>
        <v>2.8571428571428572</v>
      </c>
      <c r="DX160" s="5">
        <f t="shared" si="395"/>
        <v>1.2480297095486574</v>
      </c>
      <c r="DY160" s="5">
        <f t="shared" si="396"/>
        <v>1.6091131475941998</v>
      </c>
      <c r="DZ160" s="5"/>
      <c r="EA160" s="173">
        <f t="shared" si="397"/>
        <v>0.43681039834203012</v>
      </c>
      <c r="EB160" s="173">
        <f t="shared" si="398"/>
        <v>8.1999999999999993</v>
      </c>
      <c r="EC160" s="173">
        <f t="shared" si="399"/>
        <v>0.55644457269093262</v>
      </c>
      <c r="ED160" s="173">
        <f t="shared" si="400"/>
        <v>14.736418328864797</v>
      </c>
      <c r="EE160" s="460">
        <f t="shared" si="401"/>
        <v>3.9000928423395544</v>
      </c>
      <c r="EF160" s="5">
        <f t="shared" si="402"/>
        <v>0.56460110441901734</v>
      </c>
      <c r="EH160" s="173">
        <f t="shared" si="403"/>
        <v>0.75402046900815445</v>
      </c>
      <c r="EI160" s="173">
        <f t="shared" si="404"/>
        <v>0.85617780507557195</v>
      </c>
      <c r="EK160" s="528">
        <f t="shared" si="405"/>
        <v>1.1370937353665544E-2</v>
      </c>
      <c r="EL160" s="528">
        <f t="shared" si="406"/>
        <v>0.46518123371434494</v>
      </c>
      <c r="EM160" s="528">
        <f t="shared" si="407"/>
        <v>4.0250000000000001E-2</v>
      </c>
      <c r="EN160" s="528">
        <f t="shared" si="408"/>
        <v>0.21601345499999997</v>
      </c>
      <c r="EO160">
        <f t="shared" si="409"/>
        <v>8.5500000000000003E-3</v>
      </c>
      <c r="EP160" s="460">
        <f t="shared" si="410"/>
        <v>48.800000000000004</v>
      </c>
      <c r="EQ160" s="460"/>
      <c r="ER160" s="460">
        <f t="shared" si="432"/>
        <v>741.36562606801044</v>
      </c>
      <c r="ES160" s="528">
        <f t="shared" si="411"/>
        <v>0.35</v>
      </c>
      <c r="EV160" s="460">
        <f t="shared" si="412"/>
        <v>350</v>
      </c>
      <c r="EW160" s="528">
        <f t="shared" si="413"/>
        <v>1.7056406030498315E-2</v>
      </c>
      <c r="EX160" s="528">
        <f t="shared" si="414"/>
        <v>2.1991213017120721E-2</v>
      </c>
      <c r="EY160" s="528">
        <f t="shared" si="415"/>
        <v>0.62897489641787385</v>
      </c>
      <c r="EZ160" s="528"/>
      <c r="FA160" s="528">
        <f t="shared" si="416"/>
        <v>6.8333333333333319E-3</v>
      </c>
      <c r="FB160" s="460">
        <f t="shared" si="417"/>
        <v>674.85584879882617</v>
      </c>
      <c r="FC160" s="173">
        <f t="shared" si="418"/>
        <v>1.7662214748668366</v>
      </c>
      <c r="FD160" s="5">
        <f t="shared" si="419"/>
        <v>8</v>
      </c>
      <c r="FE160" s="173">
        <f t="shared" si="420"/>
        <v>0.81914996711756227</v>
      </c>
      <c r="FF160" s="5">
        <f t="shared" si="421"/>
        <v>81.914996711756231</v>
      </c>
      <c r="FI160" s="562">
        <f t="shared" si="422"/>
        <v>-50</v>
      </c>
      <c r="FJ160">
        <f t="shared" si="423"/>
        <v>-50</v>
      </c>
      <c r="FL160">
        <f t="shared" si="476"/>
        <v>0.50606082734747393</v>
      </c>
    </row>
    <row r="161" spans="5:168">
      <c r="E161" s="170">
        <v>51</v>
      </c>
      <c r="F161" s="217">
        <f t="shared" si="477"/>
        <v>0.51</v>
      </c>
      <c r="G161" s="217"/>
      <c r="H161" s="217">
        <f t="shared" si="442"/>
        <v>8.16</v>
      </c>
      <c r="I161" s="541">
        <f t="shared" si="443"/>
        <v>18.950719461969541</v>
      </c>
      <c r="J161" s="172">
        <f t="shared" si="444"/>
        <v>16.429568322818273</v>
      </c>
      <c r="K161" s="172">
        <f t="shared" si="445"/>
        <v>35.380287784787811</v>
      </c>
      <c r="L161" s="443"/>
      <c r="M161" s="217">
        <f t="shared" si="446"/>
        <v>0.46437624163445357</v>
      </c>
      <c r="N161" s="172">
        <f t="shared" si="447"/>
        <v>22.209665967196212</v>
      </c>
      <c r="O161" s="172">
        <f t="shared" si="438"/>
        <v>8.16</v>
      </c>
      <c r="P161" s="217">
        <f t="shared" si="448"/>
        <v>1.3881041229497633</v>
      </c>
      <c r="Q161" s="217">
        <f t="shared" si="449"/>
        <v>16</v>
      </c>
      <c r="R161" s="217"/>
      <c r="S161" s="172">
        <f t="shared" si="450"/>
        <v>74.046785734119936</v>
      </c>
      <c r="T161" s="172">
        <f t="shared" si="451"/>
        <v>16</v>
      </c>
      <c r="U161" s="217">
        <f t="shared" si="452"/>
        <v>1.9043218006470171</v>
      </c>
      <c r="V161" s="217">
        <f t="shared" si="453"/>
        <v>1.2058572052435006</v>
      </c>
      <c r="W161" s="217">
        <f t="shared" si="454"/>
        <v>1.3908984800304403</v>
      </c>
      <c r="X161" s="197">
        <f t="shared" si="455"/>
        <v>350</v>
      </c>
      <c r="Y161" s="443">
        <f t="shared" si="328"/>
        <v>350</v>
      </c>
      <c r="AA161" s="217">
        <f t="shared" si="456"/>
        <v>2.0952758325610703</v>
      </c>
      <c r="AB161" s="173">
        <f t="shared" si="457"/>
        <v>1.5303694836468986</v>
      </c>
      <c r="AC161" s="173">
        <f t="shared" si="458"/>
        <v>0.5611455839455044</v>
      </c>
      <c r="AD161" s="173"/>
      <c r="AE161" s="173">
        <f t="shared" si="459"/>
        <v>0.73039046213610803</v>
      </c>
      <c r="AF161" s="545">
        <f t="shared" si="460"/>
        <v>1396.513307439553</v>
      </c>
      <c r="AG161" s="528">
        <f t="shared" si="461"/>
        <v>0.12781833087381891</v>
      </c>
      <c r="AI161" s="173">
        <f t="shared" si="462"/>
        <v>1.9975079527390789</v>
      </c>
      <c r="AJ161" s="173">
        <f t="shared" si="463"/>
        <v>1.9975079527390789</v>
      </c>
      <c r="AK161" s="173">
        <f t="shared" si="464"/>
        <v>1.9388947798067251</v>
      </c>
      <c r="AM161" s="545">
        <f t="shared" si="465"/>
        <v>510</v>
      </c>
      <c r="AN161" s="460">
        <f t="shared" si="466"/>
        <v>350</v>
      </c>
      <c r="AP161">
        <f t="shared" si="467"/>
        <v>510</v>
      </c>
      <c r="AQ161">
        <f t="shared" si="468"/>
        <v>350</v>
      </c>
      <c r="AS161" s="5">
        <f t="shared" si="439"/>
        <v>2.8571428571428572</v>
      </c>
      <c r="AT161" s="5">
        <f t="shared" si="469"/>
        <v>1.2648646654799747</v>
      </c>
      <c r="AU161" s="5">
        <f t="shared" si="343"/>
        <v>1.5922781916628825</v>
      </c>
      <c r="AV161" s="5"/>
      <c r="AW161" s="173">
        <f t="shared" si="344"/>
        <v>0.44270263291799111</v>
      </c>
      <c r="AX161" s="173">
        <f t="shared" si="435"/>
        <v>8.3790798446373191</v>
      </c>
      <c r="AY161" s="173">
        <f t="shared" si="436"/>
        <v>0.55660296139343135</v>
      </c>
      <c r="AZ161" s="173">
        <f t="shared" si="440"/>
        <v>15.053962026469742</v>
      </c>
      <c r="BA161" s="460">
        <f t="shared" si="433"/>
        <v>4.0317561212174198</v>
      </c>
      <c r="BB161" s="5">
        <f t="shared" si="434"/>
        <v>0.57134990178268941</v>
      </c>
      <c r="BD161" s="173">
        <f t="shared" si="441"/>
        <v>0.76733311702564211</v>
      </c>
      <c r="BE161" s="173">
        <f t="shared" si="437"/>
        <v>0.86093702514624593</v>
      </c>
      <c r="BG161" s="528">
        <f t="shared" si="347"/>
        <v>1.1776002249685755E-2</v>
      </c>
      <c r="BH161" s="528">
        <f t="shared" si="470"/>
        <v>0.45141999473223621</v>
      </c>
      <c r="BI161" s="528">
        <f t="shared" si="471"/>
        <v>0.15255329166885484</v>
      </c>
      <c r="BJ161" s="528">
        <f t="shared" si="350"/>
        <v>0.21577295114871814</v>
      </c>
      <c r="BK161">
        <f t="shared" si="351"/>
        <v>8.527823757886294E-3</v>
      </c>
      <c r="BL161" s="460">
        <f t="shared" si="427"/>
        <v>161.08111542674115</v>
      </c>
      <c r="BM161" s="528">
        <f t="shared" si="472"/>
        <v>0.68406246054531061</v>
      </c>
      <c r="BN161" s="460">
        <f t="shared" si="353"/>
        <v>684.06246054531061</v>
      </c>
      <c r="BO161" s="528">
        <f t="shared" si="354"/>
        <v>0.35699999999999998</v>
      </c>
      <c r="BR161" s="460">
        <f t="shared" si="355"/>
        <v>357</v>
      </c>
      <c r="BS161" s="528">
        <f t="shared" si="356"/>
        <v>1.7664003374528631E-2</v>
      </c>
      <c r="BT161" s="528">
        <f t="shared" si="357"/>
        <v>2.2236376838030029E-2</v>
      </c>
      <c r="BU161" s="528">
        <f t="shared" si="358"/>
        <v>0.64619174825548298</v>
      </c>
      <c r="BV161" s="528"/>
      <c r="BW161" s="528">
        <f t="shared" si="359"/>
        <v>6.9825665371977663E-3</v>
      </c>
      <c r="BX161" s="460">
        <f t="shared" si="360"/>
        <v>693.07469500523939</v>
      </c>
      <c r="BY161" s="173">
        <f t="shared" si="361"/>
        <v>1.8901247585626209</v>
      </c>
      <c r="BZ161" s="5">
        <f t="shared" si="362"/>
        <v>8.16</v>
      </c>
      <c r="CA161" s="173">
        <f t="shared" si="363"/>
        <v>0.81193021937839627</v>
      </c>
      <c r="CB161" s="5">
        <f t="shared" si="364"/>
        <v>81.193021937839632</v>
      </c>
      <c r="CE161" s="562">
        <f t="shared" si="473"/>
        <v>-50</v>
      </c>
      <c r="CF161">
        <f t="shared" si="474"/>
        <v>-50</v>
      </c>
      <c r="CG161" s="173">
        <f t="shared" si="475"/>
        <v>0.5174456493198103</v>
      </c>
      <c r="CI161" s="170">
        <v>51</v>
      </c>
      <c r="CJ161" s="217">
        <f t="shared" si="428"/>
        <v>0.51</v>
      </c>
      <c r="CK161" s="217"/>
      <c r="CL161" s="217">
        <f t="shared" si="368"/>
        <v>8.16</v>
      </c>
      <c r="CM161" s="541">
        <f t="shared" si="369"/>
        <v>19</v>
      </c>
      <c r="CN161" s="443">
        <f t="shared" si="370"/>
        <v>16.399999999999999</v>
      </c>
      <c r="CO161" s="443">
        <f t="shared" si="371"/>
        <v>35.4</v>
      </c>
      <c r="CP161" s="443"/>
      <c r="CQ161" s="217">
        <f t="shared" si="372"/>
        <v>0.4632768361581921</v>
      </c>
      <c r="CR161" s="172">
        <f t="shared" si="429"/>
        <v>22.214703389830511</v>
      </c>
      <c r="CS161" s="172">
        <f t="shared" si="373"/>
        <v>8.16</v>
      </c>
      <c r="CT161" s="217">
        <f t="shared" si="374"/>
        <v>1.3884189618644069</v>
      </c>
      <c r="CU161" s="217">
        <f t="shared" si="375"/>
        <v>16</v>
      </c>
      <c r="CV161" s="217"/>
      <c r="CW161" s="172">
        <f t="shared" si="376"/>
        <v>74.239078238734749</v>
      </c>
      <c r="CX161" s="172">
        <f t="shared" si="377"/>
        <v>16</v>
      </c>
      <c r="CY161" s="217">
        <f t="shared" si="378"/>
        <v>1.8540693196405647</v>
      </c>
      <c r="CZ161" s="217">
        <f t="shared" si="379"/>
        <v>1.1709911492466725</v>
      </c>
      <c r="DA161" s="217">
        <f t="shared" si="380"/>
        <v>1.3566360875418766</v>
      </c>
      <c r="DB161" s="197">
        <f t="shared" si="381"/>
        <v>350</v>
      </c>
      <c r="DC161" s="443">
        <f t="shared" si="382"/>
        <v>350</v>
      </c>
      <c r="DE161" s="217">
        <f t="shared" si="383"/>
        <v>2.0957761635727734</v>
      </c>
      <c r="DF161" s="173">
        <f t="shared" si="384"/>
        <v>1.5334947538337369</v>
      </c>
      <c r="DG161" s="173">
        <f t="shared" si="385"/>
        <v>0.5624258066085126</v>
      </c>
      <c r="DH161" s="173"/>
      <c r="DI161" s="173">
        <f t="shared" si="386"/>
        <v>0.73170731707317083</v>
      </c>
      <c r="DJ161" s="545">
        <f t="shared" si="387"/>
        <v>1393.9999999999998</v>
      </c>
      <c r="DK161" s="528">
        <f t="shared" si="388"/>
        <v>0.12804878048780488</v>
      </c>
      <c r="DM161" s="173">
        <f t="shared" si="389"/>
        <v>1.9957096840114652</v>
      </c>
      <c r="DN161" s="173">
        <f t="shared" si="390"/>
        <v>1.9957096840114652</v>
      </c>
      <c r="DO161" s="173">
        <f t="shared" si="391"/>
        <v>1.9375627288973816</v>
      </c>
      <c r="DQ161" s="545">
        <f t="shared" si="392"/>
        <v>510</v>
      </c>
      <c r="DR161" s="460">
        <f t="shared" si="393"/>
        <v>350</v>
      </c>
      <c r="DT161">
        <f t="shared" si="430"/>
        <v>510</v>
      </c>
      <c r="DU161">
        <f t="shared" si="431"/>
        <v>350</v>
      </c>
      <c r="DW161" s="5">
        <f t="shared" si="394"/>
        <v>2.8571428571428572</v>
      </c>
      <c r="DX161" s="5">
        <f t="shared" si="395"/>
        <v>1.2604482214809256</v>
      </c>
      <c r="DY161" s="5">
        <f t="shared" si="396"/>
        <v>1.5966946356619316</v>
      </c>
      <c r="DZ161" s="5"/>
      <c r="EA161" s="173">
        <f t="shared" si="397"/>
        <v>0.44115687751832394</v>
      </c>
      <c r="EB161" s="173">
        <f t="shared" si="398"/>
        <v>8.3640000000000008</v>
      </c>
      <c r="EC161" s="173">
        <f t="shared" si="399"/>
        <v>0.55764431568994322</v>
      </c>
      <c r="ED161" s="173">
        <f t="shared" si="400"/>
        <v>14.99880795817254</v>
      </c>
      <c r="EE161" s="460">
        <f t="shared" si="401"/>
        <v>4.0176787059704511</v>
      </c>
      <c r="EF161" s="5">
        <f t="shared" si="402"/>
        <v>0.57144860644742812</v>
      </c>
      <c r="EH161" s="173">
        <f t="shared" si="403"/>
        <v>0.76530273329021248</v>
      </c>
      <c r="EI161" s="173">
        <f t="shared" si="404"/>
        <v>0.86135403524774734</v>
      </c>
      <c r="EK161" s="528">
        <f t="shared" si="405"/>
        <v>1.1713765471629403E-2</v>
      </c>
      <c r="EL161" s="528">
        <f t="shared" si="406"/>
        <v>0.46981001671313899</v>
      </c>
      <c r="EM161" s="528">
        <f t="shared" si="407"/>
        <v>4.0250000000000001E-2</v>
      </c>
      <c r="EN161" s="528">
        <f t="shared" si="408"/>
        <v>0.21601345499999997</v>
      </c>
      <c r="EO161">
        <f t="shared" si="409"/>
        <v>8.5500000000000003E-3</v>
      </c>
      <c r="EP161" s="460">
        <f t="shared" si="410"/>
        <v>48.800000000000004</v>
      </c>
      <c r="EQ161" s="460"/>
      <c r="ER161" s="460">
        <f t="shared" si="432"/>
        <v>746.33723718476824</v>
      </c>
      <c r="ES161" s="528">
        <f t="shared" si="411"/>
        <v>0.35699999999999998</v>
      </c>
      <c r="EV161" s="460">
        <f t="shared" si="412"/>
        <v>357</v>
      </c>
      <c r="EW161" s="528">
        <f t="shared" si="413"/>
        <v>1.7570648207444105E-2</v>
      </c>
      <c r="EX161" s="528">
        <f t="shared" si="414"/>
        <v>2.2257923221127327E-2</v>
      </c>
      <c r="EY161" s="528">
        <f t="shared" si="415"/>
        <v>0.64473838490585988</v>
      </c>
      <c r="EZ161" s="528"/>
      <c r="FA161" s="528">
        <f t="shared" si="416"/>
        <v>6.9699999999999996E-3</v>
      </c>
      <c r="FB161" s="460">
        <f t="shared" si="417"/>
        <v>691.53695633443135</v>
      </c>
      <c r="FC161" s="173">
        <f t="shared" si="418"/>
        <v>1.7948741935191992</v>
      </c>
      <c r="FD161" s="5">
        <f t="shared" si="419"/>
        <v>8.16</v>
      </c>
      <c r="FE161" s="173">
        <f t="shared" si="420"/>
        <v>0.81969895765355894</v>
      </c>
      <c r="FF161" s="5">
        <f t="shared" si="421"/>
        <v>81.969895765355886</v>
      </c>
      <c r="FI161" s="562">
        <f t="shared" si="422"/>
        <v>-50</v>
      </c>
      <c r="FJ161">
        <f t="shared" si="423"/>
        <v>-50</v>
      </c>
      <c r="FL161">
        <f t="shared" si="476"/>
        <v>0.51109638249074119</v>
      </c>
    </row>
    <row r="162" spans="5:168">
      <c r="E162" s="170">
        <v>52</v>
      </c>
      <c r="F162" s="217">
        <f t="shared" si="477"/>
        <v>0.52</v>
      </c>
      <c r="G162" s="217"/>
      <c r="H162" s="217">
        <f t="shared" si="442"/>
        <v>8.32</v>
      </c>
      <c r="I162" s="541">
        <f t="shared" si="443"/>
        <v>18.950238664847188</v>
      </c>
      <c r="J162" s="172">
        <f t="shared" si="444"/>
        <v>16.429856801091685</v>
      </c>
      <c r="K162" s="172">
        <f t="shared" si="445"/>
        <v>35.380095465938872</v>
      </c>
      <c r="L162" s="443"/>
      <c r="M162" s="217">
        <f t="shared" si="446"/>
        <v>0.46438697371747445</v>
      </c>
      <c r="N162" s="172">
        <f t="shared" si="447"/>
        <v>22.209615756619463</v>
      </c>
      <c r="O162" s="172">
        <f t="shared" si="438"/>
        <v>8.32</v>
      </c>
      <c r="P162" s="217">
        <f t="shared" si="448"/>
        <v>1.3881009847887165</v>
      </c>
      <c r="Q162" s="217">
        <f t="shared" si="449"/>
        <v>16</v>
      </c>
      <c r="R162" s="217"/>
      <c r="S162" s="172">
        <f t="shared" si="450"/>
        <v>72.260999369487322</v>
      </c>
      <c r="T162" s="172">
        <f t="shared" si="451"/>
        <v>16</v>
      </c>
      <c r="U162" s="217">
        <f t="shared" si="452"/>
        <v>1.9417003488847566</v>
      </c>
      <c r="V162" s="217">
        <f t="shared" si="453"/>
        <v>1.2295572946972684</v>
      </c>
      <c r="W162" s="217">
        <f t="shared" si="454"/>
        <v>1.4181745141606397</v>
      </c>
      <c r="X162" s="197">
        <f t="shared" si="455"/>
        <v>350</v>
      </c>
      <c r="Y162" s="443">
        <f t="shared" si="328"/>
        <v>350</v>
      </c>
      <c r="AA162" s="217">
        <f t="shared" si="456"/>
        <v>2.0952708518166983</v>
      </c>
      <c r="AB162" s="173">
        <f t="shared" si="457"/>
        <v>1.5303389753299452</v>
      </c>
      <c r="AC162" s="173">
        <f t="shared" si="458"/>
        <v>0.56113306347137681</v>
      </c>
      <c r="AD162" s="173"/>
      <c r="AE162" s="173">
        <f t="shared" si="459"/>
        <v>0.73037763781377929</v>
      </c>
      <c r="AF162" s="545">
        <f t="shared" si="460"/>
        <v>1423.9209227612794</v>
      </c>
      <c r="AG162" s="528">
        <f t="shared" si="461"/>
        <v>0.12781608661741137</v>
      </c>
      <c r="AI162" s="173">
        <f t="shared" si="462"/>
        <v>2.0170140043152043</v>
      </c>
      <c r="AJ162" s="173">
        <f t="shared" si="463"/>
        <v>2.0170140043152043</v>
      </c>
      <c r="AK162" s="173">
        <f t="shared" si="464"/>
        <v>1.9533437069001514</v>
      </c>
      <c r="AM162" s="545">
        <f t="shared" si="465"/>
        <v>520</v>
      </c>
      <c r="AN162" s="460">
        <f t="shared" si="466"/>
        <v>350</v>
      </c>
      <c r="AP162">
        <f t="shared" si="467"/>
        <v>520</v>
      </c>
      <c r="AQ162">
        <f t="shared" si="468"/>
        <v>350</v>
      </c>
      <c r="AS162" s="5">
        <f t="shared" si="439"/>
        <v>2.8571428571428572</v>
      </c>
      <c r="AT162" s="5">
        <f t="shared" si="469"/>
        <v>1.2772487185969501</v>
      </c>
      <c r="AU162" s="5">
        <f t="shared" si="343"/>
        <v>1.5798941385459071</v>
      </c>
      <c r="AV162" s="5"/>
      <c r="AW162" s="173">
        <f t="shared" si="344"/>
        <v>0.44703705150893253</v>
      </c>
      <c r="AX162" s="173">
        <f t="shared" si="435"/>
        <v>8.5435255365676745</v>
      </c>
      <c r="AY162" s="173">
        <f t="shared" si="436"/>
        <v>0.55766700548695503</v>
      </c>
      <c r="AZ162" s="173">
        <f t="shared" si="440"/>
        <v>15.320120165810177</v>
      </c>
      <c r="BA162" s="460">
        <f t="shared" si="433"/>
        <v>4.1510583354400881</v>
      </c>
      <c r="BB162" s="5">
        <f t="shared" si="434"/>
        <v>0.57803666157713907</v>
      </c>
      <c r="BD162" s="173">
        <f t="shared" si="441"/>
        <v>0.77861012365629878</v>
      </c>
      <c r="BE162" s="173">
        <f t="shared" si="437"/>
        <v>0.86595695035866227</v>
      </c>
      <c r="BG162" s="528">
        <f t="shared" si="347"/>
        <v>1.2124674493201537E-2</v>
      </c>
      <c r="BH162" s="528">
        <f t="shared" si="470"/>
        <v>0.45582572053400838</v>
      </c>
      <c r="BI162" s="528">
        <f t="shared" si="471"/>
        <v>0.15254942125201987</v>
      </c>
      <c r="BJ162" s="528">
        <f t="shared" si="350"/>
        <v>0.21577060537397119</v>
      </c>
      <c r="BK162">
        <f t="shared" si="351"/>
        <v>8.5276073991812345E-3</v>
      </c>
      <c r="BL162" s="460">
        <f t="shared" si="427"/>
        <v>161.07702865120109</v>
      </c>
      <c r="BM162" s="528">
        <f t="shared" si="472"/>
        <v>0.68897949024182326</v>
      </c>
      <c r="BN162" s="460">
        <f t="shared" si="353"/>
        <v>688.97949024182321</v>
      </c>
      <c r="BO162" s="528">
        <f t="shared" si="354"/>
        <v>0.36399999999999999</v>
      </c>
      <c r="BR162" s="460">
        <f t="shared" si="355"/>
        <v>364</v>
      </c>
      <c r="BS162" s="528">
        <f t="shared" si="356"/>
        <v>1.8187011739802306E-2</v>
      </c>
      <c r="BT162" s="528">
        <f t="shared" si="357"/>
        <v>2.2496443196234239E-2</v>
      </c>
      <c r="BU162" s="528">
        <f t="shared" si="358"/>
        <v>0.6620829425135305</v>
      </c>
      <c r="BV162" s="528"/>
      <c r="BW162" s="528">
        <f t="shared" si="359"/>
        <v>7.1196046138063962E-3</v>
      </c>
      <c r="BX162" s="460">
        <f t="shared" si="360"/>
        <v>709.88600206337344</v>
      </c>
      <c r="BY162" s="173">
        <f t="shared" si="361"/>
        <v>1.9186840311157556</v>
      </c>
      <c r="BZ162" s="5">
        <f t="shared" si="362"/>
        <v>8.32</v>
      </c>
      <c r="CA162" s="173">
        <f t="shared" si="363"/>
        <v>0.81260442989696713</v>
      </c>
      <c r="CB162" s="5">
        <f t="shared" si="364"/>
        <v>81.260442989696713</v>
      </c>
      <c r="CE162" s="562">
        <f t="shared" si="473"/>
        <v>-50</v>
      </c>
      <c r="CF162">
        <f t="shared" si="474"/>
        <v>-50</v>
      </c>
      <c r="CG162" s="173">
        <f t="shared" si="475"/>
        <v>0.52249401910452531</v>
      </c>
      <c r="CI162" s="170">
        <v>52</v>
      </c>
      <c r="CJ162" s="217">
        <f t="shared" si="428"/>
        <v>0.52</v>
      </c>
      <c r="CK162" s="217"/>
      <c r="CL162" s="217">
        <f t="shared" si="368"/>
        <v>8.32</v>
      </c>
      <c r="CM162" s="541">
        <f t="shared" si="369"/>
        <v>19</v>
      </c>
      <c r="CN162" s="443">
        <f t="shared" si="370"/>
        <v>16.399999999999999</v>
      </c>
      <c r="CO162" s="443">
        <f t="shared" si="371"/>
        <v>35.4</v>
      </c>
      <c r="CP162" s="443"/>
      <c r="CQ162" s="217">
        <f t="shared" si="372"/>
        <v>0.4632768361581921</v>
      </c>
      <c r="CR162" s="172">
        <f t="shared" si="429"/>
        <v>22.214703389830511</v>
      </c>
      <c r="CS162" s="172">
        <f t="shared" si="373"/>
        <v>8.32</v>
      </c>
      <c r="CT162" s="217">
        <f t="shared" si="374"/>
        <v>1.3884189618644069</v>
      </c>
      <c r="CU162" s="217">
        <f t="shared" si="375"/>
        <v>16</v>
      </c>
      <c r="CV162" s="217"/>
      <c r="CW162" s="172">
        <f t="shared" si="376"/>
        <v>72.450477116238588</v>
      </c>
      <c r="CX162" s="172">
        <f t="shared" si="377"/>
        <v>16</v>
      </c>
      <c r="CY162" s="217">
        <f t="shared" si="378"/>
        <v>1.8904236200256739</v>
      </c>
      <c r="CZ162" s="217">
        <f t="shared" si="379"/>
        <v>1.1939517600162151</v>
      </c>
      <c r="DA162" s="217">
        <f t="shared" si="380"/>
        <v>1.3832367951407372</v>
      </c>
      <c r="DB162" s="197">
        <f t="shared" si="381"/>
        <v>350</v>
      </c>
      <c r="DC162" s="443">
        <f t="shared" si="382"/>
        <v>350</v>
      </c>
      <c r="DE162" s="217">
        <f t="shared" si="383"/>
        <v>2.0957761635727734</v>
      </c>
      <c r="DF162" s="173">
        <f t="shared" si="384"/>
        <v>1.5334947538337369</v>
      </c>
      <c r="DG162" s="173">
        <f t="shared" si="385"/>
        <v>0.5624258066085126</v>
      </c>
      <c r="DH162" s="173"/>
      <c r="DI162" s="173">
        <f t="shared" si="386"/>
        <v>0.73170731707317083</v>
      </c>
      <c r="DJ162" s="545">
        <f t="shared" si="387"/>
        <v>1421.3333333333333</v>
      </c>
      <c r="DK162" s="528">
        <f t="shared" si="388"/>
        <v>0.12804878048780488</v>
      </c>
      <c r="DM162" s="173">
        <f t="shared" si="389"/>
        <v>2.015180483468511</v>
      </c>
      <c r="DN162" s="173">
        <f t="shared" si="390"/>
        <v>2.015180483468511</v>
      </c>
      <c r="DO162" s="173">
        <f t="shared" si="391"/>
        <v>1.9519855433100082</v>
      </c>
      <c r="DQ162" s="545">
        <f t="shared" si="392"/>
        <v>520</v>
      </c>
      <c r="DR162" s="460">
        <f t="shared" si="393"/>
        <v>350</v>
      </c>
      <c r="DT162">
        <f t="shared" si="430"/>
        <v>520</v>
      </c>
      <c r="DU162">
        <f t="shared" si="431"/>
        <v>350</v>
      </c>
      <c r="DW162" s="5">
        <f t="shared" si="394"/>
        <v>2.8571428571428572</v>
      </c>
      <c r="DX162" s="5">
        <f t="shared" si="395"/>
        <v>1.2727455685064282</v>
      </c>
      <c r="DY162" s="5">
        <f t="shared" si="396"/>
        <v>1.584397288636429</v>
      </c>
      <c r="DZ162" s="5"/>
      <c r="EA162" s="173">
        <f t="shared" si="397"/>
        <v>0.44546094897724986</v>
      </c>
      <c r="EB162" s="173">
        <f t="shared" si="398"/>
        <v>8.5280000000000022</v>
      </c>
      <c r="EC162" s="173">
        <f t="shared" si="399"/>
        <v>0.55874813647109745</v>
      </c>
      <c r="ED162" s="173">
        <f t="shared" si="400"/>
        <v>15.26269072477011</v>
      </c>
      <c r="EE162" s="460">
        <f t="shared" si="401"/>
        <v>4.136423097645892</v>
      </c>
      <c r="EF162" s="5">
        <f t="shared" si="402"/>
        <v>0.57816602813399509</v>
      </c>
      <c r="EH162" s="173">
        <f t="shared" si="403"/>
        <v>0.7765298237179884</v>
      </c>
      <c r="EI162" s="173">
        <f t="shared" si="404"/>
        <v>0.86640188511296756</v>
      </c>
      <c r="EK162" s="528">
        <f t="shared" si="405"/>
        <v>1.2059971342469802E-2</v>
      </c>
      <c r="EL162" s="528">
        <f t="shared" si="406"/>
        <v>0.47439363761332221</v>
      </c>
      <c r="EM162" s="528">
        <f t="shared" si="407"/>
        <v>4.0250000000000001E-2</v>
      </c>
      <c r="EN162" s="528">
        <f t="shared" si="408"/>
        <v>0.21601345499999997</v>
      </c>
      <c r="EO162">
        <f t="shared" si="409"/>
        <v>8.5500000000000003E-3</v>
      </c>
      <c r="EP162" s="460">
        <f t="shared" si="410"/>
        <v>48.800000000000004</v>
      </c>
      <c r="EQ162" s="460"/>
      <c r="ER162" s="460">
        <f t="shared" si="432"/>
        <v>751.26706395579174</v>
      </c>
      <c r="ES162" s="528">
        <f t="shared" si="411"/>
        <v>0.36399999999999999</v>
      </c>
      <c r="EV162" s="460">
        <f t="shared" si="412"/>
        <v>364</v>
      </c>
      <c r="EW162" s="528">
        <f t="shared" si="413"/>
        <v>1.8089957013704701E-2</v>
      </c>
      <c r="EX162" s="528">
        <f t="shared" si="414"/>
        <v>2.2519566795819113E-2</v>
      </c>
      <c r="EY162" s="528">
        <f t="shared" si="415"/>
        <v>0.66057933945263014</v>
      </c>
      <c r="EZ162" s="528"/>
      <c r="FA162" s="528">
        <f t="shared" si="416"/>
        <v>7.1066666666666682E-3</v>
      </c>
      <c r="FB162" s="460">
        <f t="shared" si="417"/>
        <v>708.29552992882066</v>
      </c>
      <c r="FC162" s="173">
        <f t="shared" si="418"/>
        <v>1.8235625938846125</v>
      </c>
      <c r="FD162" s="5">
        <f t="shared" si="419"/>
        <v>8.32</v>
      </c>
      <c r="FE162" s="173">
        <f t="shared" si="420"/>
        <v>0.82022464227863989</v>
      </c>
      <c r="FF162" s="5">
        <f t="shared" si="421"/>
        <v>82.022464227863992</v>
      </c>
      <c r="FI162" s="562">
        <f t="shared" si="422"/>
        <v>-50</v>
      </c>
      <c r="FJ162">
        <f t="shared" si="423"/>
        <v>-50</v>
      </c>
      <c r="FL162">
        <f t="shared" si="476"/>
        <v>0.51608280674193574</v>
      </c>
    </row>
    <row r="163" spans="5:168">
      <c r="E163" s="170">
        <v>53</v>
      </c>
      <c r="F163" s="217">
        <f t="shared" si="477"/>
        <v>0.53</v>
      </c>
      <c r="G163" s="217"/>
      <c r="H163" s="217">
        <f t="shared" si="442"/>
        <v>8.48</v>
      </c>
      <c r="I163" s="541">
        <f t="shared" si="443"/>
        <v>18.949762468971798</v>
      </c>
      <c r="J163" s="172">
        <f t="shared" si="444"/>
        <v>16.430142518616918</v>
      </c>
      <c r="K163" s="172">
        <f t="shared" si="445"/>
        <v>35.379904987588716</v>
      </c>
      <c r="L163" s="443"/>
      <c r="M163" s="217">
        <f t="shared" si="446"/>
        <v>0.46439760320690943</v>
      </c>
      <c r="N163" s="172">
        <f t="shared" si="447"/>
        <v>22.209566006285232</v>
      </c>
      <c r="O163" s="172">
        <f t="shared" si="438"/>
        <v>8.48</v>
      </c>
      <c r="P163" s="217">
        <f t="shared" si="448"/>
        <v>1.388097875392827</v>
      </c>
      <c r="Q163" s="217">
        <f t="shared" si="449"/>
        <v>16</v>
      </c>
      <c r="R163" s="217"/>
      <c r="S163" s="172">
        <f t="shared" si="450"/>
        <v>70.542754925730804</v>
      </c>
      <c r="T163" s="172">
        <f t="shared" si="451"/>
        <v>16</v>
      </c>
      <c r="U163" s="217">
        <f t="shared" si="452"/>
        <v>1.9790800159721653</v>
      </c>
      <c r="V163" s="217">
        <f t="shared" si="453"/>
        <v>1.2532589910059484</v>
      </c>
      <c r="W163" s="217">
        <f t="shared" si="454"/>
        <v>1.4454506505196865</v>
      </c>
      <c r="X163" s="197">
        <f t="shared" si="455"/>
        <v>350</v>
      </c>
      <c r="Y163" s="443">
        <f t="shared" si="328"/>
        <v>344.98108595439891</v>
      </c>
      <c r="AA163" s="217">
        <f t="shared" si="456"/>
        <v>2.0952659168447751</v>
      </c>
      <c r="AB163" s="173">
        <f t="shared" si="457"/>
        <v>1.5303087586518298</v>
      </c>
      <c r="AC163" s="173">
        <f t="shared" si="458"/>
        <v>0.5611206622441377</v>
      </c>
      <c r="AD163" s="173"/>
      <c r="AE163" s="173">
        <f t="shared" si="459"/>
        <v>0.73036493666460012</v>
      </c>
      <c r="AF163" s="545">
        <f t="shared" si="460"/>
        <v>1451.3292558111611</v>
      </c>
      <c r="AG163" s="528">
        <f t="shared" si="461"/>
        <v>0.12781386391630503</v>
      </c>
      <c r="AI163" s="173">
        <f t="shared" si="462"/>
        <v>2.0363337193601931</v>
      </c>
      <c r="AJ163" s="173">
        <f t="shared" si="463"/>
        <v>2.0363337193601931</v>
      </c>
      <c r="AK163" s="173">
        <f t="shared" si="464"/>
        <v>1.9676546069334764</v>
      </c>
      <c r="AM163" s="545">
        <f t="shared" si="465"/>
        <v>530</v>
      </c>
      <c r="AN163" s="460">
        <f t="shared" si="466"/>
        <v>344.98108595439891</v>
      </c>
      <c r="AP163">
        <f t="shared" si="467"/>
        <v>530</v>
      </c>
      <c r="AQ163">
        <f t="shared" si="468"/>
        <v>344.98108595439891</v>
      </c>
      <c r="AS163" s="5">
        <f t="shared" si="439"/>
        <v>2.8987096415256355</v>
      </c>
      <c r="AT163" s="5">
        <f t="shared" si="469"/>
        <v>1.2895150887687195</v>
      </c>
      <c r="AU163" s="5">
        <f t="shared" si="343"/>
        <v>1.609194552756916</v>
      </c>
      <c r="AV163" s="5"/>
      <c r="AW163" s="173">
        <f t="shared" si="344"/>
        <v>0.44485831567801593</v>
      </c>
      <c r="AX163" s="173">
        <f t="shared" si="435"/>
        <v>8.5831053042364118</v>
      </c>
      <c r="AY163" s="173">
        <f t="shared" si="436"/>
        <v>0.56522686540363398</v>
      </c>
      <c r="AZ163" s="173">
        <f t="shared" si="440"/>
        <v>15.18523946682388</v>
      </c>
      <c r="BA163" s="460">
        <f t="shared" si="433"/>
        <v>4.2715187315463838</v>
      </c>
      <c r="BB163" s="5">
        <f t="shared" si="434"/>
        <v>0.60009414496718438</v>
      </c>
      <c r="BD163" s="173">
        <f t="shared" si="441"/>
        <v>0.78415006352609729</v>
      </c>
      <c r="BE163" s="173">
        <f t="shared" si="437"/>
        <v>0.87597204107196835</v>
      </c>
      <c r="BG163" s="528">
        <f t="shared" si="347"/>
        <v>1.2297826442559648E-2</v>
      </c>
      <c r="BH163" s="528">
        <f t="shared" si="470"/>
        <v>0.45359031059704397</v>
      </c>
      <c r="BI163" s="528">
        <f t="shared" si="471"/>
        <v>0.15035812160784745</v>
      </c>
      <c r="BJ163" s="528">
        <f t="shared" si="350"/>
        <v>0.21267421788543064</v>
      </c>
      <c r="BK163">
        <f t="shared" si="351"/>
        <v>8.527393111037309E-3</v>
      </c>
      <c r="BL163" s="460">
        <f t="shared" si="427"/>
        <v>158.88551471888476</v>
      </c>
      <c r="BM163" s="528">
        <f t="shared" si="472"/>
        <v>0.68388104355505019</v>
      </c>
      <c r="BN163" s="460">
        <f t="shared" si="353"/>
        <v>683.88104355505016</v>
      </c>
      <c r="BO163" s="528">
        <f t="shared" si="354"/>
        <v>0.371</v>
      </c>
      <c r="BR163" s="460">
        <f t="shared" si="355"/>
        <v>371</v>
      </c>
      <c r="BS163" s="528">
        <f t="shared" si="356"/>
        <v>1.844673966383947E-2</v>
      </c>
      <c r="BT163" s="528">
        <f t="shared" si="357"/>
        <v>2.3019810502193705E-2</v>
      </c>
      <c r="BU163" s="528">
        <f t="shared" si="358"/>
        <v>0.65400429218285738</v>
      </c>
      <c r="BV163" s="528"/>
      <c r="BW163" s="528">
        <f t="shared" si="359"/>
        <v>7.1525877535303433E-3</v>
      </c>
      <c r="BX163" s="460">
        <f t="shared" si="360"/>
        <v>702.62343010242091</v>
      </c>
      <c r="BY163" s="173">
        <f t="shared" si="361"/>
        <v>1.9110712997463399</v>
      </c>
      <c r="BZ163" s="5">
        <f t="shared" si="362"/>
        <v>8.48</v>
      </c>
      <c r="CA163" s="173">
        <f t="shared" si="363"/>
        <v>0.81608524813096106</v>
      </c>
      <c r="CB163" s="5">
        <f t="shared" si="364"/>
        <v>81.608524813096111</v>
      </c>
      <c r="CE163" s="562">
        <f t="shared" si="473"/>
        <v>-50</v>
      </c>
      <c r="CF163">
        <f t="shared" si="474"/>
        <v>-50</v>
      </c>
      <c r="CG163" s="173">
        <f t="shared" si="475"/>
        <v>0.5274940757961174</v>
      </c>
      <c r="CI163" s="170">
        <v>53</v>
      </c>
      <c r="CJ163" s="217">
        <f t="shared" si="428"/>
        <v>0.53</v>
      </c>
      <c r="CK163" s="217"/>
      <c r="CL163" s="217">
        <f t="shared" si="368"/>
        <v>8.48</v>
      </c>
      <c r="CM163" s="541">
        <f t="shared" si="369"/>
        <v>19</v>
      </c>
      <c r="CN163" s="443">
        <f t="shared" si="370"/>
        <v>16.399999999999999</v>
      </c>
      <c r="CO163" s="443">
        <f t="shared" si="371"/>
        <v>35.4</v>
      </c>
      <c r="CP163" s="443"/>
      <c r="CQ163" s="217">
        <f t="shared" si="372"/>
        <v>0.4632768361581921</v>
      </c>
      <c r="CR163" s="172">
        <f t="shared" si="429"/>
        <v>22.214703389830511</v>
      </c>
      <c r="CS163" s="172">
        <f t="shared" si="373"/>
        <v>8.48</v>
      </c>
      <c r="CT163" s="217">
        <f t="shared" si="374"/>
        <v>1.3884189618644069</v>
      </c>
      <c r="CU163" s="217">
        <f t="shared" si="375"/>
        <v>16</v>
      </c>
      <c r="CV163" s="217"/>
      <c r="CW163" s="172">
        <f t="shared" si="376"/>
        <v>70.729488896051706</v>
      </c>
      <c r="CX163" s="172">
        <f t="shared" si="377"/>
        <v>16</v>
      </c>
      <c r="CY163" s="217">
        <f t="shared" si="378"/>
        <v>1.9267779204107829</v>
      </c>
      <c r="CZ163" s="217">
        <f t="shared" si="379"/>
        <v>1.2169123707857576</v>
      </c>
      <c r="DA163" s="217">
        <f t="shared" si="380"/>
        <v>1.4098375027395975</v>
      </c>
      <c r="DB163" s="197">
        <f t="shared" si="381"/>
        <v>350</v>
      </c>
      <c r="DC163" s="443">
        <f t="shared" si="382"/>
        <v>350</v>
      </c>
      <c r="DE163" s="217">
        <f t="shared" si="383"/>
        <v>2.0957761635727734</v>
      </c>
      <c r="DF163" s="173">
        <f t="shared" si="384"/>
        <v>1.5334947538337369</v>
      </c>
      <c r="DG163" s="173">
        <f t="shared" si="385"/>
        <v>0.5624258066085126</v>
      </c>
      <c r="DH163" s="173"/>
      <c r="DI163" s="173">
        <f t="shared" si="386"/>
        <v>0.73170731707317083</v>
      </c>
      <c r="DJ163" s="545">
        <f t="shared" si="387"/>
        <v>1448.6666666666665</v>
      </c>
      <c r="DK163" s="528">
        <f t="shared" si="388"/>
        <v>0.12804878048780488</v>
      </c>
      <c r="DM163" s="173">
        <f t="shared" si="389"/>
        <v>2.0344649466254312</v>
      </c>
      <c r="DN163" s="173">
        <f t="shared" si="390"/>
        <v>2.0344649466254312</v>
      </c>
      <c r="DO163" s="173">
        <f t="shared" si="391"/>
        <v>1.9662703308336527</v>
      </c>
      <c r="DQ163" s="545">
        <f t="shared" si="392"/>
        <v>530</v>
      </c>
      <c r="DR163" s="460">
        <f t="shared" si="393"/>
        <v>350</v>
      </c>
      <c r="DT163">
        <f t="shared" si="430"/>
        <v>530</v>
      </c>
      <c r="DU163">
        <f t="shared" si="431"/>
        <v>350</v>
      </c>
      <c r="DW163" s="5">
        <f t="shared" si="394"/>
        <v>2.8571428571428572</v>
      </c>
      <c r="DX163" s="5">
        <f t="shared" si="395"/>
        <v>1.284925229447641</v>
      </c>
      <c r="DY163" s="5">
        <f t="shared" si="396"/>
        <v>1.5722176276952162</v>
      </c>
      <c r="DZ163" s="5"/>
      <c r="EA163" s="173">
        <f t="shared" si="397"/>
        <v>0.44972383030667434</v>
      </c>
      <c r="EB163" s="173">
        <f t="shared" si="398"/>
        <v>8.6919999999999984</v>
      </c>
      <c r="EC163" s="173">
        <f t="shared" si="399"/>
        <v>0.55975878910218924</v>
      </c>
      <c r="ED163" s="173">
        <f t="shared" si="400"/>
        <v>15.528117055457599</v>
      </c>
      <c r="EE163" s="460">
        <f t="shared" si="401"/>
        <v>4.2563148225453116</v>
      </c>
      <c r="EF163" s="5">
        <f t="shared" si="402"/>
        <v>0.58475462644102771</v>
      </c>
      <c r="EH163" s="173">
        <f t="shared" si="403"/>
        <v>0.78770306356727593</v>
      </c>
      <c r="EI163" s="173">
        <f t="shared" si="404"/>
        <v>0.87132452239637304</v>
      </c>
      <c r="EK163" s="528">
        <f t="shared" si="405"/>
        <v>1.2409522327065438E-2</v>
      </c>
      <c r="EL163" s="528">
        <f t="shared" si="406"/>
        <v>0.47893339308509275</v>
      </c>
      <c r="EM163" s="528">
        <f t="shared" si="407"/>
        <v>4.0250000000000001E-2</v>
      </c>
      <c r="EN163" s="528">
        <f t="shared" si="408"/>
        <v>0.21601345499999997</v>
      </c>
      <c r="EO163">
        <f t="shared" si="409"/>
        <v>8.5500000000000003E-3</v>
      </c>
      <c r="EP163" s="460">
        <f t="shared" si="410"/>
        <v>48.800000000000004</v>
      </c>
      <c r="EQ163" s="460"/>
      <c r="ER163" s="460">
        <f t="shared" si="432"/>
        <v>756.15637041215803</v>
      </c>
      <c r="ES163" s="528">
        <f t="shared" si="411"/>
        <v>0.371</v>
      </c>
      <c r="EV163" s="460">
        <f t="shared" si="412"/>
        <v>371</v>
      </c>
      <c r="EW163" s="528">
        <f t="shared" si="413"/>
        <v>1.8614283490598158E-2</v>
      </c>
      <c r="EX163" s="528">
        <f t="shared" si="414"/>
        <v>2.2776192699878028E-2</v>
      </c>
      <c r="EY163" s="528">
        <f t="shared" si="415"/>
        <v>0.67649663992936993</v>
      </c>
      <c r="EZ163" s="528"/>
      <c r="FA163" s="528">
        <f t="shared" si="416"/>
        <v>7.2433333333333325E-3</v>
      </c>
      <c r="FB163" s="460">
        <f t="shared" si="417"/>
        <v>725.13044945317949</v>
      </c>
      <c r="FC163" s="173">
        <f t="shared" si="418"/>
        <v>1.8522868198653375</v>
      </c>
      <c r="FD163" s="5">
        <f t="shared" si="419"/>
        <v>8.48</v>
      </c>
      <c r="FE163" s="173">
        <f t="shared" si="420"/>
        <v>0.82072828095479844</v>
      </c>
      <c r="FF163" s="5">
        <f t="shared" si="421"/>
        <v>82.072828095479849</v>
      </c>
      <c r="FI163" s="562">
        <f t="shared" si="422"/>
        <v>-50</v>
      </c>
      <c r="FJ163">
        <f t="shared" si="423"/>
        <v>-50</v>
      </c>
      <c r="FL163">
        <f t="shared" si="476"/>
        <v>0.52102151072114711</v>
      </c>
    </row>
    <row r="164" spans="5:168">
      <c r="E164" s="170">
        <v>54</v>
      </c>
      <c r="F164" s="217">
        <f t="shared" si="477"/>
        <v>0.54</v>
      </c>
      <c r="G164" s="217"/>
      <c r="H164" s="217">
        <f t="shared" si="442"/>
        <v>8.64</v>
      </c>
      <c r="I164" s="541">
        <f t="shared" si="443"/>
        <v>18.948917168663012</v>
      </c>
      <c r="J164" s="172">
        <f t="shared" si="444"/>
        <v>16.430649698802192</v>
      </c>
      <c r="K164" s="172">
        <f t="shared" si="445"/>
        <v>35.379566867465201</v>
      </c>
      <c r="L164" s="443"/>
      <c r="M164" s="217">
        <f t="shared" si="446"/>
        <v>0.46441303669929185</v>
      </c>
      <c r="N164" s="172">
        <f t="shared" si="447"/>
        <v>22.209313360061319</v>
      </c>
      <c r="O164" s="172">
        <f t="shared" si="438"/>
        <v>8.64</v>
      </c>
      <c r="P164" s="217">
        <f t="shared" si="448"/>
        <v>1.3880820850038325</v>
      </c>
      <c r="Q164" s="217">
        <f t="shared" si="449"/>
        <v>16</v>
      </c>
      <c r="R164" s="217"/>
      <c r="S164" s="172">
        <f t="shared" si="450"/>
        <v>68.886945071970615</v>
      </c>
      <c r="T164" s="172">
        <f t="shared" si="451"/>
        <v>16</v>
      </c>
      <c r="U164" s="217">
        <f t="shared" si="452"/>
        <v>2.0164792536102643</v>
      </c>
      <c r="V164" s="217">
        <f t="shared" si="453"/>
        <v>1.2769991460694374</v>
      </c>
      <c r="W164" s="217">
        <f t="shared" si="454"/>
        <v>1.4727202811150681</v>
      </c>
      <c r="X164" s="197">
        <f t="shared" si="455"/>
        <v>350</v>
      </c>
      <c r="Y164" s="443">
        <f t="shared" si="328"/>
        <v>339.01529439852374</v>
      </c>
      <c r="AA164" s="217">
        <f t="shared" si="456"/>
        <v>2.0952571520827896</v>
      </c>
      <c r="AB164" s="173">
        <f t="shared" si="457"/>
        <v>1.5302551199071837</v>
      </c>
      <c r="AC164" s="173">
        <f t="shared" si="458"/>
        <v>0.56109864728694581</v>
      </c>
      <c r="AD164" s="173"/>
      <c r="AE164" s="173">
        <f t="shared" si="459"/>
        <v>0.7303423918090598</v>
      </c>
      <c r="AF164" s="545">
        <f t="shared" si="460"/>
        <v>1478.7584728921972</v>
      </c>
      <c r="AG164" s="528">
        <f t="shared" si="461"/>
        <v>0.12780991856658544</v>
      </c>
      <c r="AI164" s="173">
        <f t="shared" si="462"/>
        <v>2.0554863678125965</v>
      </c>
      <c r="AJ164" s="173">
        <f t="shared" si="463"/>
        <v>2.0554863678125965</v>
      </c>
      <c r="AK164" s="173">
        <f t="shared" si="464"/>
        <v>1.9818417539352566</v>
      </c>
      <c r="AM164" s="545">
        <f t="shared" si="465"/>
        <v>540</v>
      </c>
      <c r="AN164" s="460">
        <f t="shared" si="466"/>
        <v>339.01529439852374</v>
      </c>
      <c r="AP164">
        <f t="shared" si="467"/>
        <v>540</v>
      </c>
      <c r="AQ164">
        <f t="shared" si="468"/>
        <v>339.01529439852374</v>
      </c>
      <c r="AS164" s="5">
        <f t="shared" si="439"/>
        <v>2.9497194271845055</v>
      </c>
      <c r="AT164" s="5">
        <f t="shared" si="469"/>
        <v>1.3017016325630768</v>
      </c>
      <c r="AU164" s="5">
        <f t="shared" si="343"/>
        <v>1.6480177946214287</v>
      </c>
      <c r="AV164" s="5"/>
      <c r="AW164" s="173">
        <f t="shared" si="344"/>
        <v>0.44129676218241048</v>
      </c>
      <c r="AX164" s="173">
        <f t="shared" si="435"/>
        <v>8.5940869548318801</v>
      </c>
      <c r="AY164" s="173">
        <f t="shared" si="436"/>
        <v>0.57420344449340721</v>
      </c>
      <c r="AZ164" s="173">
        <f t="shared" si="440"/>
        <v>14.966972137225753</v>
      </c>
      <c r="BA164" s="460">
        <f t="shared" si="433"/>
        <v>4.3932430099003854</v>
      </c>
      <c r="BB164" s="5">
        <f t="shared" si="434"/>
        <v>0.62619557706956297</v>
      </c>
      <c r="BD164" s="173">
        <f t="shared" si="441"/>
        <v>0.78835049380525113</v>
      </c>
      <c r="BE164" s="173">
        <f t="shared" si="437"/>
        <v>0.88704278457777352</v>
      </c>
      <c r="BG164" s="528">
        <f t="shared" si="347"/>
        <v>1.2429930021659666E-2</v>
      </c>
      <c r="BH164" s="528">
        <f t="shared" si="470"/>
        <v>0.44993447689666743</v>
      </c>
      <c r="BI164" s="528">
        <f t="shared" si="471"/>
        <v>0.14775137284675327</v>
      </c>
      <c r="BJ164" s="528">
        <f t="shared" si="350"/>
        <v>0.20899242722727931</v>
      </c>
      <c r="BK164">
        <f t="shared" si="351"/>
        <v>8.5270127258983558E-3</v>
      </c>
      <c r="BL164" s="460">
        <f t="shared" si="427"/>
        <v>156.27838557265162</v>
      </c>
      <c r="BM164" s="528">
        <f t="shared" si="472"/>
        <v>0.67671148203614984</v>
      </c>
      <c r="BN164" s="460">
        <f t="shared" si="353"/>
        <v>676.71148203614985</v>
      </c>
      <c r="BO164" s="528">
        <f t="shared" si="354"/>
        <v>0.378</v>
      </c>
      <c r="BR164" s="460">
        <f t="shared" si="355"/>
        <v>378</v>
      </c>
      <c r="BS164" s="528">
        <f t="shared" si="356"/>
        <v>1.8644895032489499E-2</v>
      </c>
      <c r="BT164" s="528">
        <f t="shared" si="357"/>
        <v>2.360534705014471E-2</v>
      </c>
      <c r="BU164" s="528">
        <f t="shared" si="358"/>
        <v>0.64092134463852979</v>
      </c>
      <c r="BV164" s="528"/>
      <c r="BW164" s="528">
        <f t="shared" si="359"/>
        <v>7.1617391290265675E-3</v>
      </c>
      <c r="BX164" s="460">
        <f t="shared" si="360"/>
        <v>690.33332585019048</v>
      </c>
      <c r="BY164" s="173">
        <f t="shared" si="361"/>
        <v>1.8959685455684487</v>
      </c>
      <c r="BZ164" s="5">
        <f t="shared" si="362"/>
        <v>8.64</v>
      </c>
      <c r="CA164" s="173">
        <f t="shared" si="363"/>
        <v>0.82004800627789309</v>
      </c>
      <c r="CB164" s="5">
        <f t="shared" si="364"/>
        <v>82.004800627789308</v>
      </c>
      <c r="CE164" s="562">
        <f t="shared" si="473"/>
        <v>-50</v>
      </c>
      <c r="CF164">
        <f t="shared" si="474"/>
        <v>-50</v>
      </c>
      <c r="CG164" s="173">
        <f t="shared" si="475"/>
        <v>0.5285533180783224</v>
      </c>
      <c r="CI164" s="170">
        <v>54</v>
      </c>
      <c r="CJ164" s="217">
        <f t="shared" si="428"/>
        <v>0.54</v>
      </c>
      <c r="CK164" s="217"/>
      <c r="CL164" s="217">
        <f t="shared" si="368"/>
        <v>8.64</v>
      </c>
      <c r="CM164" s="541">
        <f t="shared" si="369"/>
        <v>19</v>
      </c>
      <c r="CN164" s="443">
        <f t="shared" si="370"/>
        <v>16.399999999999999</v>
      </c>
      <c r="CO164" s="443">
        <f t="shared" si="371"/>
        <v>35.4</v>
      </c>
      <c r="CP164" s="443"/>
      <c r="CQ164" s="217">
        <f t="shared" si="372"/>
        <v>0.4632768361581921</v>
      </c>
      <c r="CR164" s="172">
        <f t="shared" si="429"/>
        <v>22.214703389830511</v>
      </c>
      <c r="CS164" s="172">
        <f t="shared" si="373"/>
        <v>8.64</v>
      </c>
      <c r="CT164" s="217">
        <f t="shared" si="374"/>
        <v>1.3884189618644069</v>
      </c>
      <c r="CU164" s="217">
        <f t="shared" si="375"/>
        <v>16</v>
      </c>
      <c r="CV164" s="217"/>
      <c r="CW164" s="172">
        <f t="shared" si="376"/>
        <v>69.07235898910325</v>
      </c>
      <c r="CX164" s="172">
        <f t="shared" si="377"/>
        <v>16</v>
      </c>
      <c r="CY164" s="217">
        <f t="shared" si="378"/>
        <v>1.9631322207958921</v>
      </c>
      <c r="CZ164" s="217">
        <f t="shared" si="379"/>
        <v>1.2398729815553002</v>
      </c>
      <c r="DA164" s="217">
        <f t="shared" si="380"/>
        <v>1.4364382103384579</v>
      </c>
      <c r="DB164" s="197">
        <f t="shared" si="381"/>
        <v>350</v>
      </c>
      <c r="DC164" s="443">
        <f t="shared" si="382"/>
        <v>350</v>
      </c>
      <c r="DE164" s="217">
        <f t="shared" si="383"/>
        <v>2.0957761635727734</v>
      </c>
      <c r="DF164" s="173">
        <f t="shared" si="384"/>
        <v>1.5334947538337369</v>
      </c>
      <c r="DG164" s="173">
        <f t="shared" si="385"/>
        <v>0.5624258066085126</v>
      </c>
      <c r="DH164" s="173"/>
      <c r="DI164" s="173">
        <f t="shared" si="386"/>
        <v>0.73170731707317083</v>
      </c>
      <c r="DJ164" s="545">
        <f t="shared" si="387"/>
        <v>1476</v>
      </c>
      <c r="DK164" s="528">
        <f t="shared" si="388"/>
        <v>0.12804878048780488</v>
      </c>
      <c r="DM164" s="173">
        <f t="shared" si="389"/>
        <v>2.053568322979018</v>
      </c>
      <c r="DN164" s="173">
        <f t="shared" si="390"/>
        <v>2.053568322979018</v>
      </c>
      <c r="DO164" s="173">
        <f t="shared" si="391"/>
        <v>1.9804209799844577</v>
      </c>
      <c r="DQ164" s="545">
        <f t="shared" si="392"/>
        <v>540</v>
      </c>
      <c r="DR164" s="460">
        <f t="shared" si="393"/>
        <v>350</v>
      </c>
      <c r="DT164">
        <f t="shared" si="430"/>
        <v>540</v>
      </c>
      <c r="DU164">
        <f t="shared" si="431"/>
        <v>350</v>
      </c>
      <c r="DW164" s="5">
        <f t="shared" si="394"/>
        <v>2.8571428571428572</v>
      </c>
      <c r="DX164" s="5">
        <f t="shared" si="395"/>
        <v>1.2969905197762219</v>
      </c>
      <c r="DY164" s="5">
        <f t="shared" si="396"/>
        <v>1.5601523373666353</v>
      </c>
      <c r="DZ164" s="5"/>
      <c r="EA164" s="173">
        <f t="shared" si="397"/>
        <v>0.45394668192167764</v>
      </c>
      <c r="EB164" s="173">
        <f t="shared" si="398"/>
        <v>8.8559999999999981</v>
      </c>
      <c r="EC164" s="173">
        <f t="shared" si="399"/>
        <v>0.56067889833161433</v>
      </c>
      <c r="ED164" s="173">
        <f t="shared" si="400"/>
        <v>15.795136978317498</v>
      </c>
      <c r="EE164" s="460">
        <f t="shared" si="401"/>
        <v>4.3773430042447492</v>
      </c>
      <c r="EF164" s="5">
        <f t="shared" si="402"/>
        <v>0.59121562258104066</v>
      </c>
      <c r="EH164" s="173">
        <f t="shared" si="403"/>
        <v>0.79882372005962676</v>
      </c>
      <c r="EI164" s="173">
        <f t="shared" si="404"/>
        <v>0.87612496253923977</v>
      </c>
      <c r="EK164" s="528">
        <f t="shared" si="405"/>
        <v>1.276238671459802E-2</v>
      </c>
      <c r="EL164" s="528">
        <f t="shared" si="406"/>
        <v>0.48343051891249067</v>
      </c>
      <c r="EM164" s="528">
        <f t="shared" si="407"/>
        <v>4.0250000000000001E-2</v>
      </c>
      <c r="EN164" s="528">
        <f t="shared" si="408"/>
        <v>0.21601345499999997</v>
      </c>
      <c r="EO164">
        <f t="shared" si="409"/>
        <v>8.5500000000000003E-3</v>
      </c>
      <c r="EP164" s="460">
        <f t="shared" si="410"/>
        <v>48.800000000000004</v>
      </c>
      <c r="EQ164" s="460"/>
      <c r="ER164" s="460">
        <f t="shared" si="432"/>
        <v>761.00636062708861</v>
      </c>
      <c r="ES164" s="528">
        <f t="shared" si="411"/>
        <v>0.378</v>
      </c>
      <c r="EV164" s="460">
        <f t="shared" si="412"/>
        <v>378</v>
      </c>
      <c r="EW164" s="528">
        <f t="shared" si="413"/>
        <v>1.914358007189703E-2</v>
      </c>
      <c r="EX164" s="528">
        <f t="shared" si="414"/>
        <v>2.3027848499531527E-2</v>
      </c>
      <c r="EY164" s="528">
        <f t="shared" si="415"/>
        <v>0.69248920328704311</v>
      </c>
      <c r="EZ164" s="528"/>
      <c r="FA164" s="528">
        <f t="shared" si="416"/>
        <v>7.3799999999999977E-3</v>
      </c>
      <c r="FB164" s="460">
        <f t="shared" si="417"/>
        <v>742.04063185847156</v>
      </c>
      <c r="FC164" s="173">
        <f t="shared" si="418"/>
        <v>1.8810469924855602</v>
      </c>
      <c r="FD164" s="5">
        <f t="shared" si="419"/>
        <v>8.64</v>
      </c>
      <c r="FE164" s="173">
        <f t="shared" si="420"/>
        <v>0.82121104545687718</v>
      </c>
      <c r="FF164" s="5">
        <f t="shared" si="421"/>
        <v>82.121104545687714</v>
      </c>
      <c r="FI164" s="562">
        <f t="shared" si="422"/>
        <v>-50</v>
      </c>
      <c r="FJ164">
        <f t="shared" si="423"/>
        <v>-50</v>
      </c>
      <c r="FL164">
        <f t="shared" si="476"/>
        <v>0.52591383881169984</v>
      </c>
    </row>
    <row r="165" spans="5:168">
      <c r="E165" s="170">
        <v>55</v>
      </c>
      <c r="F165" s="217">
        <f t="shared" si="477"/>
        <v>0.55000000000000004</v>
      </c>
      <c r="G165" s="217"/>
      <c r="H165" s="217">
        <f t="shared" si="442"/>
        <v>8.8000000000000007</v>
      </c>
      <c r="I165" s="541">
        <f t="shared" si="443"/>
        <v>18.947556053873519</v>
      </c>
      <c r="J165" s="172">
        <f t="shared" si="444"/>
        <v>16.431466367675885</v>
      </c>
      <c r="K165" s="172">
        <f t="shared" si="445"/>
        <v>35.379022421549408</v>
      </c>
      <c r="L165" s="443"/>
      <c r="M165" s="217">
        <f t="shared" si="446"/>
        <v>0.4644352019826099</v>
      </c>
      <c r="N165" s="172">
        <f t="shared" si="447"/>
        <v>22.20877796793917</v>
      </c>
      <c r="O165" s="172">
        <f t="shared" si="438"/>
        <v>8.8000000000000007</v>
      </c>
      <c r="P165" s="217">
        <f t="shared" si="448"/>
        <v>1.3880486229961981</v>
      </c>
      <c r="Q165" s="217">
        <f t="shared" si="449"/>
        <v>16</v>
      </c>
      <c r="R165" s="217"/>
      <c r="S165" s="172">
        <f t="shared" si="450"/>
        <v>67.289665937311781</v>
      </c>
      <c r="T165" s="172">
        <f t="shared" si="451"/>
        <v>16</v>
      </c>
      <c r="U165" s="217">
        <f t="shared" si="452"/>
        <v>2.053906462994012</v>
      </c>
      <c r="V165" s="217">
        <f t="shared" si="453"/>
        <v>1.3007945449982976</v>
      </c>
      <c r="W165" s="217">
        <f t="shared" si="454"/>
        <v>1.4999804037218298</v>
      </c>
      <c r="X165" s="197">
        <f t="shared" si="455"/>
        <v>350</v>
      </c>
      <c r="Y165" s="443">
        <f t="shared" si="328"/>
        <v>333.24725015666831</v>
      </c>
      <c r="AA165" s="217">
        <f t="shared" si="456"/>
        <v>2.095243026457565</v>
      </c>
      <c r="AB165" s="173">
        <f t="shared" si="457"/>
        <v>1.5301687478697661</v>
      </c>
      <c r="AC165" s="173">
        <f t="shared" si="458"/>
        <v>0.56106319469855048</v>
      </c>
      <c r="AD165" s="173"/>
      <c r="AE165" s="173">
        <f t="shared" si="459"/>
        <v>0.7303060926812045</v>
      </c>
      <c r="AF165" s="545">
        <f t="shared" si="460"/>
        <v>1506.2177503702897</v>
      </c>
      <c r="AG165" s="528">
        <f t="shared" si="461"/>
        <v>0.1278035662192108</v>
      </c>
      <c r="AI165" s="173">
        <f t="shared" si="462"/>
        <v>2.0744828962351693</v>
      </c>
      <c r="AJ165" s="173">
        <f t="shared" si="463"/>
        <v>2.0744828962351693</v>
      </c>
      <c r="AK165" s="173">
        <f t="shared" si="464"/>
        <v>1.9959132564704958</v>
      </c>
      <c r="AM165" s="545">
        <f t="shared" si="465"/>
        <v>550</v>
      </c>
      <c r="AN165" s="460">
        <f t="shared" si="466"/>
        <v>333.24725015666831</v>
      </c>
      <c r="AP165">
        <f t="shared" si="467"/>
        <v>550</v>
      </c>
      <c r="AQ165">
        <f t="shared" si="468"/>
        <v>333.24725015666831</v>
      </c>
      <c r="AS165" s="5">
        <f t="shared" si="439"/>
        <v>3.0007749487201281</v>
      </c>
      <c r="AT165" s="5">
        <f t="shared" si="469"/>
        <v>1.3138261570010188</v>
      </c>
      <c r="AU165" s="5">
        <f t="shared" si="343"/>
        <v>1.6869487917191093</v>
      </c>
      <c r="AV165" s="5"/>
      <c r="AW165" s="173">
        <f t="shared" si="344"/>
        <v>0.43782895400449268</v>
      </c>
      <c r="AX165" s="173">
        <f t="shared" si="435"/>
        <v>8.6047358305382087</v>
      </c>
      <c r="AY165" s="173">
        <f t="shared" si="436"/>
        <v>0.58310710983815739</v>
      </c>
      <c r="AZ165" s="173">
        <f t="shared" si="440"/>
        <v>14.756698529926124</v>
      </c>
      <c r="BA165" s="460">
        <f t="shared" si="433"/>
        <v>4.5162774146910021</v>
      </c>
      <c r="BB165" s="5">
        <f t="shared" si="434"/>
        <v>0.65290519636230826</v>
      </c>
      <c r="BD165" s="173">
        <f t="shared" si="441"/>
        <v>0.79250401359814304</v>
      </c>
      <c r="BE165" s="173">
        <f t="shared" si="437"/>
        <v>0.8980147459933977</v>
      </c>
      <c r="BG165" s="528">
        <f t="shared" si="347"/>
        <v>1.2561252231383314E-2</v>
      </c>
      <c r="BH165" s="528">
        <f t="shared" si="470"/>
        <v>0.44635985746898021</v>
      </c>
      <c r="BI165" s="528">
        <f t="shared" si="471"/>
        <v>0.14522708189928174</v>
      </c>
      <c r="BJ165" s="528">
        <f t="shared" si="350"/>
        <v>0.20543028387013451</v>
      </c>
      <c r="BK165">
        <f t="shared" si="351"/>
        <v>8.5264002242430841E-3</v>
      </c>
      <c r="BL165" s="460">
        <f t="shared" si="427"/>
        <v>153.75348212352483</v>
      </c>
      <c r="BM165" s="528">
        <f t="shared" si="472"/>
        <v>0.66974181196217009</v>
      </c>
      <c r="BN165" s="460">
        <f t="shared" si="353"/>
        <v>669.74181196217012</v>
      </c>
      <c r="BO165" s="528">
        <f t="shared" si="354"/>
        <v>0.38500000000000001</v>
      </c>
      <c r="BR165" s="460">
        <f t="shared" si="355"/>
        <v>385</v>
      </c>
      <c r="BS165" s="528">
        <f t="shared" si="356"/>
        <v>1.8841878347074969E-2</v>
      </c>
      <c r="BT165" s="528">
        <f t="shared" si="357"/>
        <v>2.4192914520647597E-2</v>
      </c>
      <c r="BU165" s="528">
        <f t="shared" si="358"/>
        <v>0.62829135880722453</v>
      </c>
      <c r="BV165" s="528"/>
      <c r="BW165" s="528">
        <f t="shared" si="359"/>
        <v>7.1706131921151729E-3</v>
      </c>
      <c r="BX165" s="460">
        <f t="shared" si="360"/>
        <v>678.49676486706232</v>
      </c>
      <c r="BY165" s="173">
        <f t="shared" si="361"/>
        <v>1.8816016405610851</v>
      </c>
      <c r="BZ165" s="5">
        <f t="shared" si="362"/>
        <v>8.8000000000000007</v>
      </c>
      <c r="CA165" s="173">
        <f t="shared" si="363"/>
        <v>0.82384648820677719</v>
      </c>
      <c r="CB165" s="5">
        <f t="shared" si="364"/>
        <v>82.384648820677725</v>
      </c>
      <c r="CE165" s="562">
        <f t="shared" si="473"/>
        <v>-50</v>
      </c>
      <c r="CF165">
        <f t="shared" si="474"/>
        <v>-50</v>
      </c>
      <c r="CG165" s="173">
        <f t="shared" si="475"/>
        <v>0.5243693892461504</v>
      </c>
      <c r="CI165" s="170">
        <v>55</v>
      </c>
      <c r="CJ165" s="217">
        <f t="shared" si="428"/>
        <v>0.55000000000000004</v>
      </c>
      <c r="CK165" s="217"/>
      <c r="CL165" s="217">
        <f t="shared" si="368"/>
        <v>8.8000000000000007</v>
      </c>
      <c r="CM165" s="541">
        <f t="shared" si="369"/>
        <v>19</v>
      </c>
      <c r="CN165" s="443">
        <f t="shared" si="370"/>
        <v>16.399999999999999</v>
      </c>
      <c r="CO165" s="443">
        <f t="shared" si="371"/>
        <v>35.4</v>
      </c>
      <c r="CP165" s="443"/>
      <c r="CQ165" s="217">
        <f t="shared" si="372"/>
        <v>0.4632768361581921</v>
      </c>
      <c r="CR165" s="172">
        <f t="shared" si="429"/>
        <v>22.214703389830511</v>
      </c>
      <c r="CS165" s="172">
        <f t="shared" si="373"/>
        <v>8.8000000000000007</v>
      </c>
      <c r="CT165" s="217">
        <f t="shared" si="374"/>
        <v>1.3884189618644069</v>
      </c>
      <c r="CU165" s="217">
        <f t="shared" si="375"/>
        <v>16</v>
      </c>
      <c r="CV165" s="217"/>
      <c r="CW165" s="172">
        <f t="shared" si="376"/>
        <v>67.47560589819048</v>
      </c>
      <c r="CX165" s="172">
        <f t="shared" si="377"/>
        <v>16</v>
      </c>
      <c r="CY165" s="217">
        <f t="shared" si="378"/>
        <v>1.9994865211810013</v>
      </c>
      <c r="CZ165" s="217">
        <f t="shared" si="379"/>
        <v>1.262833592324843</v>
      </c>
      <c r="DA165" s="217">
        <f t="shared" si="380"/>
        <v>1.4630389179373182</v>
      </c>
      <c r="DB165" s="197">
        <f t="shared" si="381"/>
        <v>350</v>
      </c>
      <c r="DC165" s="443">
        <f t="shared" si="382"/>
        <v>350</v>
      </c>
      <c r="DE165" s="217">
        <f t="shared" si="383"/>
        <v>2.0957761635727734</v>
      </c>
      <c r="DF165" s="173">
        <f t="shared" si="384"/>
        <v>1.5334947538337369</v>
      </c>
      <c r="DG165" s="173">
        <f t="shared" si="385"/>
        <v>0.5624258066085126</v>
      </c>
      <c r="DH165" s="173"/>
      <c r="DI165" s="173">
        <f t="shared" si="386"/>
        <v>0.73170731707317083</v>
      </c>
      <c r="DJ165" s="545">
        <f t="shared" si="387"/>
        <v>1503.3333333333333</v>
      </c>
      <c r="DK165" s="528">
        <f t="shared" si="388"/>
        <v>0.12804878048780488</v>
      </c>
      <c r="DM165" s="173">
        <f t="shared" si="389"/>
        <v>2.0724956200769387</v>
      </c>
      <c r="DN165" s="173">
        <f t="shared" si="390"/>
        <v>2.0724956200769387</v>
      </c>
      <c r="DO165" s="173">
        <f t="shared" si="391"/>
        <v>1.9944412000569915</v>
      </c>
      <c r="DQ165" s="545">
        <f t="shared" si="392"/>
        <v>550</v>
      </c>
      <c r="DR165" s="460">
        <f t="shared" si="393"/>
        <v>350</v>
      </c>
      <c r="DT165">
        <f t="shared" si="430"/>
        <v>550</v>
      </c>
      <c r="DU165">
        <f t="shared" si="431"/>
        <v>350</v>
      </c>
      <c r="DW165" s="5">
        <f t="shared" si="394"/>
        <v>2.8571428571428572</v>
      </c>
      <c r="DX165" s="5">
        <f t="shared" si="395"/>
        <v>1.308944602153856</v>
      </c>
      <c r="DY165" s="5">
        <f t="shared" si="396"/>
        <v>1.5481982549890012</v>
      </c>
      <c r="DZ165" s="5"/>
      <c r="EA165" s="173">
        <f t="shared" si="397"/>
        <v>0.45813061075384959</v>
      </c>
      <c r="EB165" s="173">
        <f t="shared" si="398"/>
        <v>9.0199999999999978</v>
      </c>
      <c r="EC165" s="173">
        <f t="shared" si="399"/>
        <v>0.56151096793320621</v>
      </c>
      <c r="ED165" s="173">
        <f t="shared" si="400"/>
        <v>16.063800201802934</v>
      </c>
      <c r="EE165" s="460">
        <f t="shared" si="401"/>
        <v>4.4994970699038799</v>
      </c>
      <c r="EF165" s="5">
        <f t="shared" si="402"/>
        <v>0.59755020367996536</v>
      </c>
      <c r="EH165" s="173">
        <f t="shared" si="403"/>
        <v>0.80989300772892836</v>
      </c>
      <c r="EI165" s="173">
        <f t="shared" si="404"/>
        <v>0.8808060784178442</v>
      </c>
      <c r="EK165" s="528">
        <f t="shared" si="405"/>
        <v>1.31185336793642E-2</v>
      </c>
      <c r="EL165" s="528">
        <f t="shared" si="406"/>
        <v>0.48788619392231214</v>
      </c>
      <c r="EM165" s="528">
        <f t="shared" si="407"/>
        <v>4.0250000000000001E-2</v>
      </c>
      <c r="EN165" s="528">
        <f t="shared" si="408"/>
        <v>0.21601345499999997</v>
      </c>
      <c r="EO165">
        <f t="shared" si="409"/>
        <v>8.5500000000000003E-3</v>
      </c>
      <c r="EP165" s="460">
        <f t="shared" si="410"/>
        <v>48.800000000000004</v>
      </c>
      <c r="EQ165" s="460"/>
      <c r="ER165" s="460">
        <f t="shared" si="432"/>
        <v>765.8181826016762</v>
      </c>
      <c r="ES165" s="528">
        <f t="shared" si="411"/>
        <v>0.38500000000000001</v>
      </c>
      <c r="EV165" s="460">
        <f t="shared" si="412"/>
        <v>385</v>
      </c>
      <c r="EW165" s="528">
        <f t="shared" si="413"/>
        <v>1.9677800519046298E-2</v>
      </c>
      <c r="EX165" s="528">
        <f t="shared" si="414"/>
        <v>2.3274580433334642E-2</v>
      </c>
      <c r="EY165" s="528">
        <f t="shared" si="415"/>
        <v>0.70855598166321732</v>
      </c>
      <c r="EZ165" s="528"/>
      <c r="FA165" s="528">
        <f t="shared" si="416"/>
        <v>7.5166666666666654E-3</v>
      </c>
      <c r="FB165" s="460">
        <f t="shared" si="417"/>
        <v>759.02502928226488</v>
      </c>
      <c r="FC165" s="173">
        <f t="shared" si="418"/>
        <v>1.909843211883941</v>
      </c>
      <c r="FD165" s="5">
        <f t="shared" si="419"/>
        <v>8.8000000000000007</v>
      </c>
      <c r="FE165" s="173">
        <f t="shared" si="420"/>
        <v>0.82167402695823533</v>
      </c>
      <c r="FF165" s="5">
        <f t="shared" si="421"/>
        <v>82.167402695823526</v>
      </c>
      <c r="FI165" s="562">
        <f t="shared" si="422"/>
        <v>-50</v>
      </c>
      <c r="FJ165">
        <f t="shared" si="423"/>
        <v>-50</v>
      </c>
      <c r="FL165">
        <f t="shared" si="476"/>
        <v>0.53076107343433809</v>
      </c>
    </row>
    <row r="166" spans="5:168">
      <c r="E166" s="170">
        <v>56</v>
      </c>
      <c r="F166" s="217">
        <f t="shared" si="477"/>
        <v>0.56000000000000005</v>
      </c>
      <c r="G166" s="217"/>
      <c r="H166" s="217">
        <f t="shared" si="442"/>
        <v>8.9600000000000009</v>
      </c>
      <c r="I166" s="541">
        <f t="shared" si="443"/>
        <v>18.946176961736956</v>
      </c>
      <c r="J166" s="172">
        <f t="shared" si="444"/>
        <v>16.432293822957824</v>
      </c>
      <c r="K166" s="172">
        <f t="shared" si="445"/>
        <v>35.378470784694784</v>
      </c>
      <c r="L166" s="443"/>
      <c r="M166" s="217">
        <f t="shared" si="446"/>
        <v>0.46445756573648084</v>
      </c>
      <c r="N166" s="172">
        <f t="shared" si="447"/>
        <v>22.208230840904299</v>
      </c>
      <c r="O166" s="172">
        <f t="shared" si="438"/>
        <v>8.9600000000000009</v>
      </c>
      <c r="P166" s="217">
        <f t="shared" si="448"/>
        <v>1.3880144275565187</v>
      </c>
      <c r="Q166" s="217">
        <f t="shared" si="449"/>
        <v>16</v>
      </c>
      <c r="R166" s="217"/>
      <c r="S166" s="172">
        <f t="shared" si="450"/>
        <v>65.749535932652464</v>
      </c>
      <c r="T166" s="172">
        <f t="shared" si="451"/>
        <v>16</v>
      </c>
      <c r="U166" s="217">
        <f t="shared" si="452"/>
        <v>2.0913375455303189</v>
      </c>
      <c r="V166" s="217">
        <f t="shared" si="453"/>
        <v>1.3245970729106427</v>
      </c>
      <c r="W166" s="217">
        <f t="shared" si="454"/>
        <v>1.5272396426664263</v>
      </c>
      <c r="X166" s="197">
        <f t="shared" si="455"/>
        <v>350</v>
      </c>
      <c r="Y166" s="443">
        <f t="shared" si="328"/>
        <v>327.67152806565235</v>
      </c>
      <c r="AA166" s="217">
        <f t="shared" si="456"/>
        <v>2.0952286985608621</v>
      </c>
      <c r="AB166" s="173">
        <f t="shared" si="457"/>
        <v>1.5300812323355009</v>
      </c>
      <c r="AC166" s="173">
        <f t="shared" si="458"/>
        <v>0.56102726909577449</v>
      </c>
      <c r="AD166" s="173"/>
      <c r="AE166" s="173">
        <f t="shared" si="459"/>
        <v>0.73026931780118287</v>
      </c>
      <c r="AF166" s="545">
        <f t="shared" si="460"/>
        <v>1533.6807568093968</v>
      </c>
      <c r="AG166" s="528">
        <f t="shared" si="461"/>
        <v>0.12779713061520698</v>
      </c>
      <c r="AI166" s="173">
        <f t="shared" si="462"/>
        <v>2.0933095851916934</v>
      </c>
      <c r="AJ166" s="173">
        <f t="shared" si="463"/>
        <v>2.0933095851916934</v>
      </c>
      <c r="AK166" s="173">
        <f t="shared" si="464"/>
        <v>2.0098589519938468</v>
      </c>
      <c r="AM166" s="545">
        <f t="shared" si="465"/>
        <v>560</v>
      </c>
      <c r="AN166" s="460">
        <f t="shared" si="466"/>
        <v>327.67152806565235</v>
      </c>
      <c r="AP166">
        <f t="shared" si="467"/>
        <v>560</v>
      </c>
      <c r="AQ166">
        <f t="shared" si="468"/>
        <v>327.67152806565235</v>
      </c>
      <c r="AS166" s="5">
        <f t="shared" si="439"/>
        <v>3.0518367155770694</v>
      </c>
      <c r="AT166" s="5">
        <f t="shared" si="469"/>
        <v>1.325846109905509</v>
      </c>
      <c r="AU166" s="5">
        <f t="shared" si="343"/>
        <v>1.7259906056715604</v>
      </c>
      <c r="AV166" s="5"/>
      <c r="AW166" s="173">
        <f t="shared" si="344"/>
        <v>0.434442020812639</v>
      </c>
      <c r="AX166" s="173">
        <f t="shared" si="435"/>
        <v>8.6150317225477924</v>
      </c>
      <c r="AY166" s="173">
        <f t="shared" si="436"/>
        <v>0.59194396940727356</v>
      </c>
      <c r="AZ166" s="173">
        <f t="shared" si="440"/>
        <v>14.553795912768926</v>
      </c>
      <c r="BA166" s="460">
        <f t="shared" si="433"/>
        <v>4.6404613846692815</v>
      </c>
      <c r="BB166" s="5">
        <f t="shared" si="434"/>
        <v>0.68021092320496057</v>
      </c>
      <c r="BD166" s="173">
        <f t="shared" si="441"/>
        <v>0.79659714815417448</v>
      </c>
      <c r="BE166" s="173">
        <f t="shared" si="437"/>
        <v>0.90889016023450797</v>
      </c>
      <c r="BG166" s="528">
        <f t="shared" si="347"/>
        <v>1.2691340328947276E-2</v>
      </c>
      <c r="BH166" s="528">
        <f t="shared" si="470"/>
        <v>0.44286778914371139</v>
      </c>
      <c r="BI166" s="528">
        <f t="shared" si="471"/>
        <v>0.14278682338925597</v>
      </c>
      <c r="BJ166" s="528">
        <f t="shared" si="350"/>
        <v>0.20198683072472784</v>
      </c>
      <c r="BK166">
        <f t="shared" si="351"/>
        <v>8.5257796327816299E-3</v>
      </c>
      <c r="BL166" s="460">
        <f t="shared" si="427"/>
        <v>151.31260302203759</v>
      </c>
      <c r="BM166" s="528">
        <f t="shared" si="472"/>
        <v>0.66297178862828055</v>
      </c>
      <c r="BN166" s="460">
        <f t="shared" si="353"/>
        <v>662.97178862828059</v>
      </c>
      <c r="BO166" s="528">
        <f t="shared" si="354"/>
        <v>0.39200000000000002</v>
      </c>
      <c r="BR166" s="460">
        <f t="shared" si="355"/>
        <v>392</v>
      </c>
      <c r="BS166" s="528">
        <f t="shared" si="356"/>
        <v>1.9037010493420912E-2</v>
      </c>
      <c r="BT166" s="528">
        <f t="shared" si="357"/>
        <v>2.4782439701133287E-2</v>
      </c>
      <c r="BU166" s="528">
        <f t="shared" si="358"/>
        <v>0.61609888895146492</v>
      </c>
      <c r="BV166" s="528"/>
      <c r="BW166" s="528">
        <f t="shared" si="359"/>
        <v>7.179193102123161E-3</v>
      </c>
      <c r="BX166" s="460">
        <f t="shared" si="360"/>
        <v>667.09753224814233</v>
      </c>
      <c r="BY166" s="173">
        <f t="shared" si="361"/>
        <v>1.8679560954675667</v>
      </c>
      <c r="BZ166" s="5">
        <f t="shared" si="362"/>
        <v>8.9600000000000009</v>
      </c>
      <c r="CA166" s="173">
        <f t="shared" si="363"/>
        <v>0.82748765519565903</v>
      </c>
      <c r="CB166" s="5">
        <f t="shared" si="364"/>
        <v>82.748765519565907</v>
      </c>
      <c r="CE166" s="562">
        <f t="shared" si="473"/>
        <v>-50</v>
      </c>
      <c r="CF166">
        <f t="shared" si="474"/>
        <v>-50</v>
      </c>
      <c r="CG166" s="173">
        <f t="shared" si="475"/>
        <v>0.52022332635997126</v>
      </c>
      <c r="CI166" s="170">
        <v>56</v>
      </c>
      <c r="CJ166" s="217">
        <f t="shared" si="428"/>
        <v>0.56000000000000005</v>
      </c>
      <c r="CK166" s="217"/>
      <c r="CL166" s="217">
        <f t="shared" si="368"/>
        <v>8.9600000000000009</v>
      </c>
      <c r="CM166" s="541">
        <f t="shared" si="369"/>
        <v>19</v>
      </c>
      <c r="CN166" s="443">
        <f t="shared" si="370"/>
        <v>16.399999999999999</v>
      </c>
      <c r="CO166" s="443">
        <f t="shared" si="371"/>
        <v>35.4</v>
      </c>
      <c r="CP166" s="443"/>
      <c r="CQ166" s="217">
        <f t="shared" si="372"/>
        <v>0.4632768361581921</v>
      </c>
      <c r="CR166" s="172">
        <f t="shared" si="429"/>
        <v>22.214703389830511</v>
      </c>
      <c r="CS166" s="172">
        <f t="shared" si="373"/>
        <v>8.9600000000000009</v>
      </c>
      <c r="CT166" s="217">
        <f t="shared" si="374"/>
        <v>1.3884189618644069</v>
      </c>
      <c r="CU166" s="217">
        <f t="shared" si="375"/>
        <v>16</v>
      </c>
      <c r="CV166" s="217"/>
      <c r="CW166" s="172">
        <f t="shared" si="376"/>
        <v>65.935996835456478</v>
      </c>
      <c r="CX166" s="172">
        <f t="shared" si="377"/>
        <v>16</v>
      </c>
      <c r="CY166" s="217">
        <f t="shared" si="378"/>
        <v>2.0358408215661106</v>
      </c>
      <c r="CZ166" s="217">
        <f t="shared" si="379"/>
        <v>1.2857942030943856</v>
      </c>
      <c r="DA166" s="217">
        <f t="shared" si="380"/>
        <v>1.4896396255361786</v>
      </c>
      <c r="DB166" s="197">
        <f t="shared" si="381"/>
        <v>350</v>
      </c>
      <c r="DC166" s="443">
        <f t="shared" si="382"/>
        <v>350</v>
      </c>
      <c r="DE166" s="217">
        <f t="shared" si="383"/>
        <v>2.0957761635727734</v>
      </c>
      <c r="DF166" s="173">
        <f t="shared" si="384"/>
        <v>1.5334947538337369</v>
      </c>
      <c r="DG166" s="173">
        <f t="shared" si="385"/>
        <v>0.5624258066085126</v>
      </c>
      <c r="DH166" s="173"/>
      <c r="DI166" s="173">
        <f t="shared" si="386"/>
        <v>0.73170731707317083</v>
      </c>
      <c r="DJ166" s="545">
        <f t="shared" si="387"/>
        <v>1530.6666666666665</v>
      </c>
      <c r="DK166" s="528">
        <f t="shared" si="388"/>
        <v>0.12804878048780488</v>
      </c>
      <c r="DM166" s="173">
        <f t="shared" si="389"/>
        <v>2.0912516188477497</v>
      </c>
      <c r="DN166" s="173">
        <f t="shared" si="390"/>
        <v>2.0912516188477497</v>
      </c>
      <c r="DO166" s="173">
        <f t="shared" si="391"/>
        <v>2.0083345324798145</v>
      </c>
      <c r="DQ166" s="545">
        <f t="shared" si="392"/>
        <v>560</v>
      </c>
      <c r="DR166" s="460">
        <f t="shared" si="393"/>
        <v>350</v>
      </c>
      <c r="DT166">
        <f t="shared" si="430"/>
        <v>560</v>
      </c>
      <c r="DU166">
        <f t="shared" si="431"/>
        <v>350</v>
      </c>
      <c r="DW166" s="5">
        <f t="shared" si="394"/>
        <v>2.8571428571428572</v>
      </c>
      <c r="DX166" s="5">
        <f t="shared" si="395"/>
        <v>1.3207904961143682</v>
      </c>
      <c r="DY166" s="5">
        <f t="shared" si="396"/>
        <v>1.536352361028489</v>
      </c>
      <c r="DZ166" s="5"/>
      <c r="EA166" s="173">
        <f t="shared" si="397"/>
        <v>0.46227667364002883</v>
      </c>
      <c r="EB166" s="173">
        <f t="shared" si="398"/>
        <v>9.1840000000000011</v>
      </c>
      <c r="EC166" s="173">
        <f t="shared" si="399"/>
        <v>0.56225738837124328</v>
      </c>
      <c r="ED166" s="173">
        <f t="shared" si="400"/>
        <v>16.334156188866398</v>
      </c>
      <c r="EE166" s="460">
        <f t="shared" si="401"/>
        <v>4.6227667364002896</v>
      </c>
      <c r="EF166" s="5">
        <f t="shared" si="402"/>
        <v>0.60375952433400271</v>
      </c>
      <c r="EH166" s="173">
        <f t="shared" si="403"/>
        <v>0.82091209152835865</v>
      </c>
      <c r="EI166" s="173">
        <f t="shared" si="404"/>
        <v>0.88537060927066791</v>
      </c>
      <c r="EK166" s="528">
        <f t="shared" si="405"/>
        <v>1.3477933240349285E-2</v>
      </c>
      <c r="EL166" s="528">
        <f t="shared" si="406"/>
        <v>0.49230154359294875</v>
      </c>
      <c r="EM166" s="528">
        <f t="shared" si="407"/>
        <v>4.0250000000000001E-2</v>
      </c>
      <c r="EN166" s="528">
        <f t="shared" si="408"/>
        <v>0.21601345499999997</v>
      </c>
      <c r="EO166">
        <f t="shared" si="409"/>
        <v>8.5500000000000003E-3</v>
      </c>
      <c r="EP166" s="460">
        <f t="shared" si="410"/>
        <v>48.800000000000004</v>
      </c>
      <c r="EQ166" s="460"/>
      <c r="ER166" s="460">
        <f t="shared" si="432"/>
        <v>770.59293183329794</v>
      </c>
      <c r="ES166" s="528">
        <f t="shared" si="411"/>
        <v>0.39200000000000002</v>
      </c>
      <c r="EV166" s="460">
        <f t="shared" si="412"/>
        <v>392</v>
      </c>
      <c r="EW166" s="528">
        <f t="shared" si="413"/>
        <v>2.0216899860523926E-2</v>
      </c>
      <c r="EX166" s="528">
        <f t="shared" si="414"/>
        <v>2.3516433472809409E-2</v>
      </c>
      <c r="EY166" s="528">
        <f t="shared" si="415"/>
        <v>0.72469596061830166</v>
      </c>
      <c r="EZ166" s="528"/>
      <c r="FA166" s="528">
        <f t="shared" si="416"/>
        <v>7.6533333333333349E-3</v>
      </c>
      <c r="FB166" s="460">
        <f t="shared" si="417"/>
        <v>776.08262728496823</v>
      </c>
      <c r="FC166" s="173">
        <f t="shared" si="418"/>
        <v>1.9386755591182663</v>
      </c>
      <c r="FD166" s="5">
        <f t="shared" si="419"/>
        <v>8.9600000000000009</v>
      </c>
      <c r="FE166" s="173">
        <f t="shared" si="420"/>
        <v>0.8221182428449948</v>
      </c>
      <c r="FF166" s="5">
        <f t="shared" si="421"/>
        <v>82.211824284499485</v>
      </c>
      <c r="FI166" s="562">
        <f t="shared" si="422"/>
        <v>-50</v>
      </c>
      <c r="FJ166">
        <f t="shared" si="423"/>
        <v>-50</v>
      </c>
      <c r="FL166">
        <f t="shared" si="476"/>
        <v>0.53556443897320427</v>
      </c>
    </row>
    <row r="167" spans="5:168">
      <c r="E167" s="170">
        <v>57</v>
      </c>
      <c r="F167" s="217">
        <f t="shared" si="477"/>
        <v>0.56999999999999995</v>
      </c>
      <c r="G167" s="217"/>
      <c r="H167" s="217">
        <f t="shared" si="442"/>
        <v>9.1199999999999992</v>
      </c>
      <c r="I167" s="541">
        <f t="shared" si="443"/>
        <v>18.945655885473844</v>
      </c>
      <c r="J167" s="172">
        <f t="shared" si="444"/>
        <v>16.43260646871569</v>
      </c>
      <c r="K167" s="172">
        <f t="shared" si="445"/>
        <v>35.37826235418953</v>
      </c>
      <c r="L167" s="443"/>
      <c r="M167" s="217">
        <f t="shared" si="446"/>
        <v>0.46446862785564891</v>
      </c>
      <c r="N167" s="172">
        <f t="shared" si="447"/>
        <v>22.20814897371093</v>
      </c>
      <c r="O167" s="172">
        <f t="shared" si="438"/>
        <v>9.1199999999999992</v>
      </c>
      <c r="P167" s="217">
        <f t="shared" si="448"/>
        <v>1.3880093108569331</v>
      </c>
      <c r="Q167" s="217">
        <f t="shared" si="449"/>
        <v>16</v>
      </c>
      <c r="R167" s="217"/>
      <c r="S167" s="172">
        <f t="shared" si="450"/>
        <v>64.266515965495572</v>
      </c>
      <c r="T167" s="172">
        <f t="shared" si="451"/>
        <v>16</v>
      </c>
      <c r="U167" s="217">
        <f t="shared" si="452"/>
        <v>2.1287268296444748</v>
      </c>
      <c r="V167" s="217">
        <f t="shared" si="453"/>
        <v>1.3483155246855054</v>
      </c>
      <c r="W167" s="217">
        <f t="shared" si="454"/>
        <v>1.5545143130133132</v>
      </c>
      <c r="X167" s="197">
        <f t="shared" si="455"/>
        <v>350</v>
      </c>
      <c r="Y167" s="443">
        <f t="shared" si="328"/>
        <v>322.28644569875593</v>
      </c>
      <c r="AA167" s="217">
        <f t="shared" si="456"/>
        <v>2.0952232807929798</v>
      </c>
      <c r="AB167" s="173">
        <f t="shared" si="457"/>
        <v>1.5300481647498989</v>
      </c>
      <c r="AC167" s="173">
        <f t="shared" si="458"/>
        <v>0.56101369371574805</v>
      </c>
      <c r="AD167" s="173"/>
      <c r="AE167" s="173">
        <f t="shared" si="459"/>
        <v>0.73025542374215169</v>
      </c>
      <c r="AF167" s="545">
        <f t="shared" si="460"/>
        <v>1561.0976145279903</v>
      </c>
      <c r="AG167" s="528">
        <f t="shared" si="461"/>
        <v>0.12779469915487654</v>
      </c>
      <c r="AI167" s="173">
        <f t="shared" si="462"/>
        <v>2.111937238331528</v>
      </c>
      <c r="AJ167" s="173">
        <f t="shared" si="463"/>
        <v>2.1287268296444748</v>
      </c>
      <c r="AK167" s="173">
        <f t="shared" si="464"/>
        <v>2.0360939478847961</v>
      </c>
      <c r="AM167" s="545">
        <f t="shared" si="465"/>
        <v>570</v>
      </c>
      <c r="AN167" s="460">
        <f t="shared" si="466"/>
        <v>322.28644569875593</v>
      </c>
      <c r="AP167">
        <f t="shared" si="467"/>
        <v>570</v>
      </c>
      <c r="AQ167">
        <f t="shared" si="468"/>
        <v>322.28644569875593</v>
      </c>
      <c r="AS167" s="5">
        <f t="shared" si="439"/>
        <v>3.102829837698819</v>
      </c>
      <c r="AT167" s="5">
        <f t="shared" si="469"/>
        <v>1.3483155246855054</v>
      </c>
      <c r="AU167" s="5">
        <f t="shared" si="343"/>
        <v>1.7545143130133136</v>
      </c>
      <c r="AV167" s="5"/>
      <c r="AW167" s="173">
        <f t="shared" si="344"/>
        <v>0.43454381813134468</v>
      </c>
      <c r="AX167" s="173">
        <f t="shared" si="435"/>
        <v>8.7626034664065351</v>
      </c>
      <c r="AY167" s="173">
        <f t="shared" si="436"/>
        <v>0.60185087266606607</v>
      </c>
      <c r="AZ167" s="173">
        <f t="shared" si="440"/>
        <v>14.559426370173965</v>
      </c>
      <c r="BA167" s="460">
        <f t="shared" si="433"/>
        <v>4.803374056692113</v>
      </c>
      <c r="BB167" s="5">
        <f t="shared" si="434"/>
        <v>0.70381879938635228</v>
      </c>
      <c r="BD167" s="173">
        <f t="shared" si="441"/>
        <v>0.81016988240529453</v>
      </c>
      <c r="BE167" s="173">
        <f t="shared" si="437"/>
        <v>0.92418472182754874</v>
      </c>
      <c r="BG167" s="528">
        <f t="shared" si="347"/>
        <v>1.3127504767132175E-2</v>
      </c>
      <c r="BH167" s="528">
        <f t="shared" si="470"/>
        <v>0.44295676805672762</v>
      </c>
      <c r="BI167" s="528">
        <f t="shared" si="471"/>
        <v>0.14043634622550488</v>
      </c>
      <c r="BJ167" s="528">
        <f t="shared" si="350"/>
        <v>0.19866495908266826</v>
      </c>
      <c r="BK167">
        <f t="shared" si="351"/>
        <v>8.5255451484632302E-3</v>
      </c>
      <c r="BL167" s="460">
        <f t="shared" si="427"/>
        <v>148.96189137396811</v>
      </c>
      <c r="BM167" s="528">
        <f t="shared" si="472"/>
        <v>0.66035336315451176</v>
      </c>
      <c r="BN167" s="460">
        <f t="shared" si="353"/>
        <v>660.35336315451173</v>
      </c>
      <c r="BO167" s="528">
        <f t="shared" si="354"/>
        <v>0.39899999999999997</v>
      </c>
      <c r="BR167" s="460">
        <f t="shared" si="355"/>
        <v>398.99999999999994</v>
      </c>
      <c r="BS167" s="528">
        <f t="shared" si="356"/>
        <v>1.969125715069826E-2</v>
      </c>
      <c r="BT167" s="528">
        <f t="shared" si="357"/>
        <v>2.5623522001783909E-2</v>
      </c>
      <c r="BU167" s="528">
        <f t="shared" si="358"/>
        <v>0.6164174737534811</v>
      </c>
      <c r="BV167" s="528"/>
      <c r="BW167" s="528">
        <f t="shared" si="359"/>
        <v>7.3021695553387809E-3</v>
      </c>
      <c r="BX167" s="460">
        <f t="shared" si="360"/>
        <v>669.03442246130203</v>
      </c>
      <c r="BY167" s="173">
        <f t="shared" si="361"/>
        <v>1.8717455457417982</v>
      </c>
      <c r="BZ167" s="5">
        <f t="shared" si="362"/>
        <v>9.1199999999999992</v>
      </c>
      <c r="CA167" s="173">
        <f t="shared" si="363"/>
        <v>0.82971353021659866</v>
      </c>
      <c r="CB167" s="5">
        <f t="shared" si="364"/>
        <v>82.971353021659866</v>
      </c>
      <c r="CE167" s="562">
        <f t="shared" si="473"/>
        <v>-50</v>
      </c>
      <c r="CF167">
        <f t="shared" si="474"/>
        <v>-50</v>
      </c>
      <c r="CG167" s="173">
        <f t="shared" si="475"/>
        <v>0.52443581514762527</v>
      </c>
      <c r="CI167" s="170">
        <v>57</v>
      </c>
      <c r="CJ167" s="217">
        <f t="shared" si="428"/>
        <v>0.56999999999999995</v>
      </c>
      <c r="CK167" s="217"/>
      <c r="CL167" s="217">
        <f t="shared" si="368"/>
        <v>9.1199999999999992</v>
      </c>
      <c r="CM167" s="541">
        <f t="shared" si="369"/>
        <v>19</v>
      </c>
      <c r="CN167" s="443">
        <f t="shared" si="370"/>
        <v>16.399999999999999</v>
      </c>
      <c r="CO167" s="443">
        <f t="shared" si="371"/>
        <v>35.4</v>
      </c>
      <c r="CP167" s="443"/>
      <c r="CQ167" s="217">
        <f t="shared" si="372"/>
        <v>0.4632768361581921</v>
      </c>
      <c r="CR167" s="172">
        <f t="shared" si="429"/>
        <v>22.214703389830511</v>
      </c>
      <c r="CS167" s="172">
        <f t="shared" si="373"/>
        <v>9.1199999999999992</v>
      </c>
      <c r="CT167" s="217">
        <f t="shared" si="374"/>
        <v>1.3884189618644069</v>
      </c>
      <c r="CU167" s="217">
        <f t="shared" si="375"/>
        <v>16</v>
      </c>
      <c r="CV167" s="217"/>
      <c r="CW167" s="172">
        <f t="shared" si="376"/>
        <v>64.450525906466225</v>
      </c>
      <c r="CX167" s="172">
        <f t="shared" si="377"/>
        <v>16</v>
      </c>
      <c r="CY167" s="217">
        <f t="shared" si="378"/>
        <v>2.0721951219512191</v>
      </c>
      <c r="CZ167" s="217">
        <f t="shared" si="379"/>
        <v>1.308754813863928</v>
      </c>
      <c r="DA167" s="217">
        <f t="shared" si="380"/>
        <v>1.5162403331350385</v>
      </c>
      <c r="DB167" s="197">
        <f t="shared" si="381"/>
        <v>350</v>
      </c>
      <c r="DC167" s="443">
        <f t="shared" si="382"/>
        <v>350</v>
      </c>
      <c r="DE167" s="217">
        <f t="shared" si="383"/>
        <v>2.0957761635727734</v>
      </c>
      <c r="DF167" s="173">
        <f t="shared" si="384"/>
        <v>1.5334947538337369</v>
      </c>
      <c r="DG167" s="173">
        <f t="shared" si="385"/>
        <v>0.5624258066085126</v>
      </c>
      <c r="DH167" s="173"/>
      <c r="DI167" s="173">
        <f t="shared" si="386"/>
        <v>0.73170731707317083</v>
      </c>
      <c r="DJ167" s="545">
        <f t="shared" si="387"/>
        <v>1557.9999999999998</v>
      </c>
      <c r="DK167" s="528">
        <f t="shared" si="388"/>
        <v>0.12804878048780488</v>
      </c>
      <c r="DM167" s="173">
        <f t="shared" si="389"/>
        <v>2.1098408877042294</v>
      </c>
      <c r="DN167" s="173">
        <f t="shared" si="390"/>
        <v>2.0721951219512191</v>
      </c>
      <c r="DO167" s="173">
        <f t="shared" si="391"/>
        <v>1.9942186088527549</v>
      </c>
      <c r="DQ167" s="545">
        <f t="shared" si="392"/>
        <v>570</v>
      </c>
      <c r="DR167" s="460">
        <f t="shared" si="393"/>
        <v>350</v>
      </c>
      <c r="DT167">
        <f t="shared" si="430"/>
        <v>570</v>
      </c>
      <c r="DU167">
        <f t="shared" si="431"/>
        <v>350</v>
      </c>
      <c r="DW167" s="5">
        <f t="shared" si="394"/>
        <v>2.8571428571428572</v>
      </c>
      <c r="DX167" s="5">
        <f t="shared" si="395"/>
        <v>1.308754813863928</v>
      </c>
      <c r="DY167" s="5">
        <f t="shared" si="396"/>
        <v>1.5483880432789292</v>
      </c>
      <c r="DZ167" s="5"/>
      <c r="EA167" s="173">
        <f t="shared" si="397"/>
        <v>0.45806418485237477</v>
      </c>
      <c r="EB167" s="173">
        <f t="shared" si="398"/>
        <v>9.0173845092206992</v>
      </c>
      <c r="EC167" s="173">
        <f t="shared" si="399"/>
        <v>0.56149837627978327</v>
      </c>
      <c r="ED167" s="173">
        <f t="shared" si="400"/>
        <v>16.059502378200143</v>
      </c>
      <c r="EE167" s="460">
        <f t="shared" si="401"/>
        <v>4.6624390243902427</v>
      </c>
      <c r="EF167" s="5">
        <f t="shared" si="402"/>
        <v>0.61935521731157162</v>
      </c>
      <c r="EH167" s="173">
        <f t="shared" si="403"/>
        <v>0.80971687043835139</v>
      </c>
      <c r="EI167" s="173">
        <f t="shared" si="404"/>
        <v>0.88073234538479284</v>
      </c>
      <c r="EK167" s="528">
        <f t="shared" si="405"/>
        <v>1.3112828205449558E-2</v>
      </c>
      <c r="EL167" s="528">
        <f t="shared" si="406"/>
        <v>0.48781545365853651</v>
      </c>
      <c r="EM167" s="528">
        <f t="shared" si="407"/>
        <v>4.0250000000000001E-2</v>
      </c>
      <c r="EN167" s="528">
        <f t="shared" si="408"/>
        <v>0.21601345499999997</v>
      </c>
      <c r="EO167">
        <f t="shared" si="409"/>
        <v>8.5500000000000003E-3</v>
      </c>
      <c r="EP167" s="460">
        <f t="shared" si="410"/>
        <v>48.800000000000004</v>
      </c>
      <c r="EQ167" s="460"/>
      <c r="ER167" s="460">
        <f t="shared" si="432"/>
        <v>765.74173686398592</v>
      </c>
      <c r="ES167" s="528">
        <f t="shared" si="411"/>
        <v>0.39899999999999997</v>
      </c>
      <c r="EV167" s="460">
        <f t="shared" si="412"/>
        <v>398.99999999999994</v>
      </c>
      <c r="EW167" s="528">
        <f t="shared" si="413"/>
        <v>1.9669242308174337E-2</v>
      </c>
      <c r="EX167" s="528">
        <f t="shared" si="414"/>
        <v>2.3270683926209939E-2</v>
      </c>
      <c r="EY167" s="528">
        <f t="shared" si="415"/>
        <v>0.70829916979231278</v>
      </c>
      <c r="EZ167" s="528"/>
      <c r="FA167" s="528">
        <f t="shared" si="416"/>
        <v>7.5144870910172495E-3</v>
      </c>
      <c r="FB167" s="460">
        <f t="shared" si="417"/>
        <v>758.75358311771424</v>
      </c>
      <c r="FC167" s="173">
        <f t="shared" si="418"/>
        <v>1.9234953199817002</v>
      </c>
      <c r="FD167" s="5">
        <f t="shared" si="419"/>
        <v>9.1199999999999992</v>
      </c>
      <c r="FE167" s="173">
        <f t="shared" si="420"/>
        <v>0.82582549598211008</v>
      </c>
      <c r="FF167" s="5">
        <f t="shared" si="421"/>
        <v>82.582549598211003</v>
      </c>
      <c r="FI167" s="562">
        <f t="shared" si="422"/>
        <v>-50</v>
      </c>
      <c r="FJ167">
        <f t="shared" si="423"/>
        <v>-50</v>
      </c>
      <c r="FL167">
        <f t="shared" si="476"/>
        <v>0.54032510538766854</v>
      </c>
    </row>
    <row r="168" spans="5:168">
      <c r="E168" s="170">
        <v>58</v>
      </c>
      <c r="F168" s="217">
        <f t="shared" si="477"/>
        <v>0.57999999999999996</v>
      </c>
      <c r="G168" s="217"/>
      <c r="H168" s="217">
        <f t="shared" si="442"/>
        <v>9.2799999999999994</v>
      </c>
      <c r="I168" s="541">
        <f t="shared" si="443"/>
        <v>18.944158731424832</v>
      </c>
      <c r="J168" s="172">
        <f t="shared" si="444"/>
        <v>16.433504761145098</v>
      </c>
      <c r="K168" s="172">
        <f t="shared" si="445"/>
        <v>35.37766349256993</v>
      </c>
      <c r="L168" s="443"/>
      <c r="M168" s="217">
        <f t="shared" si="446"/>
        <v>0.4644999608658853</v>
      </c>
      <c r="N168" s="172">
        <f t="shared" si="447"/>
        <v>22.207892046957756</v>
      </c>
      <c r="O168" s="172">
        <f t="shared" si="438"/>
        <v>9.2799999999999994</v>
      </c>
      <c r="P168" s="217">
        <f t="shared" si="448"/>
        <v>1.3879932529348598</v>
      </c>
      <c r="Q168" s="217">
        <f t="shared" si="449"/>
        <v>16</v>
      </c>
      <c r="R168" s="217"/>
      <c r="S168" s="172">
        <f t="shared" si="450"/>
        <v>62.831537806314138</v>
      </c>
      <c r="T168" s="172">
        <f t="shared" si="451"/>
        <v>16</v>
      </c>
      <c r="U168" s="217">
        <f t="shared" si="452"/>
        <v>2.1661996549536782</v>
      </c>
      <c r="V168" s="217">
        <f t="shared" si="453"/>
        <v>1.3721588922459922</v>
      </c>
      <c r="W168" s="217">
        <f t="shared" si="454"/>
        <v>1.5817925778623032</v>
      </c>
      <c r="X168" s="197">
        <f t="shared" si="455"/>
        <v>350</v>
      </c>
      <c r="Y168" s="443">
        <f t="shared" si="328"/>
        <v>317.0625830731833</v>
      </c>
      <c r="AA168" s="217">
        <f t="shared" si="456"/>
        <v>2.0952077019292812</v>
      </c>
      <c r="AB168" s="173">
        <f t="shared" si="457"/>
        <v>1.5299531529389614</v>
      </c>
      <c r="AC168" s="173">
        <f t="shared" si="458"/>
        <v>0.56097468518502236</v>
      </c>
      <c r="AD168" s="173"/>
      <c r="AE168" s="173">
        <f t="shared" si="459"/>
        <v>0.73021550633389254</v>
      </c>
      <c r="AF168" s="545">
        <f t="shared" si="460"/>
        <v>1588.5721269106925</v>
      </c>
      <c r="AG168" s="528">
        <f t="shared" si="461"/>
        <v>0.12778771360843119</v>
      </c>
      <c r="AI168" s="173">
        <f t="shared" si="462"/>
        <v>2.1304406833937248</v>
      </c>
      <c r="AJ168" s="173">
        <f t="shared" si="463"/>
        <v>2.1661996549536782</v>
      </c>
      <c r="AK168" s="173">
        <f t="shared" si="464"/>
        <v>2.0638515962619839</v>
      </c>
      <c r="AM168" s="545">
        <f t="shared" si="465"/>
        <v>580</v>
      </c>
      <c r="AN168" s="460">
        <f t="shared" si="466"/>
        <v>317.0625830731833</v>
      </c>
      <c r="AP168">
        <f t="shared" si="467"/>
        <v>580</v>
      </c>
      <c r="AQ168">
        <f t="shared" si="468"/>
        <v>317.0625830731833</v>
      </c>
      <c r="AS168" s="5">
        <f t="shared" si="439"/>
        <v>3.1539514701082956</v>
      </c>
      <c r="AT168" s="5">
        <f t="shared" si="469"/>
        <v>1.3721588922459922</v>
      </c>
      <c r="AU168" s="5">
        <f t="shared" si="343"/>
        <v>1.7817925778623034</v>
      </c>
      <c r="AV168" s="5"/>
      <c r="AW168" s="173">
        <f t="shared" si="344"/>
        <v>0.43506024276235206</v>
      </c>
      <c r="AX168" s="173">
        <f t="shared" si="435"/>
        <v>8.9267466343614608</v>
      </c>
      <c r="AY168" s="173">
        <f t="shared" si="436"/>
        <v>0.61188615359890386</v>
      </c>
      <c r="AZ168" s="173">
        <f t="shared" si="440"/>
        <v>14.588901189963865</v>
      </c>
      <c r="BA168" s="460">
        <f t="shared" si="433"/>
        <v>4.9740759843917211</v>
      </c>
      <c r="BB168" s="5">
        <f t="shared" si="434"/>
        <v>0.72735855578592445</v>
      </c>
      <c r="BD168" s="173">
        <f t="shared" si="441"/>
        <v>0.8249213690867101</v>
      </c>
      <c r="BE168" s="173">
        <f t="shared" si="437"/>
        <v>0.94002396238850539</v>
      </c>
      <c r="BG168" s="528">
        <f t="shared" si="347"/>
        <v>1.3609905303517845E-2</v>
      </c>
      <c r="BH168" s="528">
        <f t="shared" si="470"/>
        <v>0.44344063882401691</v>
      </c>
      <c r="BI168" s="528">
        <f t="shared" si="471"/>
        <v>0.13814912973528101</v>
      </c>
      <c r="BJ168" s="528">
        <f t="shared" si="350"/>
        <v>0.19543823038568858</v>
      </c>
      <c r="BK168">
        <f t="shared" si="351"/>
        <v>8.5248714291411738E-3</v>
      </c>
      <c r="BL168" s="460">
        <f t="shared" si="427"/>
        <v>146.67400116442221</v>
      </c>
      <c r="BM168" s="528">
        <f t="shared" si="472"/>
        <v>0.6582921772457534</v>
      </c>
      <c r="BN168" s="460">
        <f t="shared" si="353"/>
        <v>658.29217724575335</v>
      </c>
      <c r="BO168" s="528">
        <f t="shared" si="354"/>
        <v>0.40599999999999997</v>
      </c>
      <c r="BR168" s="460">
        <f t="shared" si="355"/>
        <v>406</v>
      </c>
      <c r="BS168" s="528">
        <f t="shared" si="356"/>
        <v>2.0414857955276765E-2</v>
      </c>
      <c r="BT168" s="528">
        <f t="shared" si="357"/>
        <v>2.6509351495937583E-2</v>
      </c>
      <c r="BU168" s="528">
        <f t="shared" si="358"/>
        <v>0.61812839429366595</v>
      </c>
      <c r="BV168" s="528"/>
      <c r="BW168" s="528">
        <f t="shared" si="359"/>
        <v>7.4389555286345516E-3</v>
      </c>
      <c r="BX168" s="460">
        <f t="shared" si="360"/>
        <v>672.49155927351489</v>
      </c>
      <c r="BY168" s="173">
        <f t="shared" si="361"/>
        <v>1.8776543349511603</v>
      </c>
      <c r="BZ168" s="5">
        <f t="shared" si="362"/>
        <v>9.2799999999999994</v>
      </c>
      <c r="CA168" s="173">
        <f t="shared" si="363"/>
        <v>0.83171603290581964</v>
      </c>
      <c r="CB168" s="5">
        <f t="shared" si="364"/>
        <v>83.17160329058197</v>
      </c>
      <c r="CE168" s="562">
        <f t="shared" si="473"/>
        <v>-50</v>
      </c>
      <c r="CF168">
        <f t="shared" si="474"/>
        <v>-50</v>
      </c>
      <c r="CG168" s="173">
        <f t="shared" si="475"/>
        <v>0.51932917607277318</v>
      </c>
      <c r="CI168" s="170">
        <v>58</v>
      </c>
      <c r="CJ168" s="217">
        <f t="shared" si="428"/>
        <v>0.57999999999999996</v>
      </c>
      <c r="CK168" s="217"/>
      <c r="CL168" s="217">
        <f t="shared" si="368"/>
        <v>9.2799999999999994</v>
      </c>
      <c r="CM168" s="541">
        <f t="shared" si="369"/>
        <v>19</v>
      </c>
      <c r="CN168" s="443">
        <f t="shared" si="370"/>
        <v>16.399999999999999</v>
      </c>
      <c r="CO168" s="443">
        <f t="shared" si="371"/>
        <v>35.4</v>
      </c>
      <c r="CP168" s="443"/>
      <c r="CQ168" s="217">
        <f t="shared" si="372"/>
        <v>0.4632768361581921</v>
      </c>
      <c r="CR168" s="172">
        <f t="shared" si="429"/>
        <v>22.214703389830511</v>
      </c>
      <c r="CS168" s="172">
        <f t="shared" si="373"/>
        <v>9.2799999999999994</v>
      </c>
      <c r="CT168" s="217">
        <f t="shared" si="374"/>
        <v>1.3884189618644069</v>
      </c>
      <c r="CU168" s="217">
        <f t="shared" si="375"/>
        <v>16</v>
      </c>
      <c r="CV168" s="217"/>
      <c r="CW168" s="172">
        <f t="shared" si="376"/>
        <v>63.016394551119745</v>
      </c>
      <c r="CX168" s="172">
        <f t="shared" si="377"/>
        <v>16</v>
      </c>
      <c r="CY168" s="217">
        <f t="shared" si="378"/>
        <v>2.1085494223363281</v>
      </c>
      <c r="CZ168" s="217">
        <f t="shared" si="379"/>
        <v>1.3317154246334704</v>
      </c>
      <c r="DA168" s="217">
        <f t="shared" si="380"/>
        <v>1.5428410407338988</v>
      </c>
      <c r="DB168" s="197">
        <f t="shared" si="381"/>
        <v>350</v>
      </c>
      <c r="DC168" s="443">
        <f t="shared" si="382"/>
        <v>347.87975538069651</v>
      </c>
      <c r="DE168" s="217">
        <f t="shared" si="383"/>
        <v>2.0957761635727734</v>
      </c>
      <c r="DF168" s="173">
        <f t="shared" si="384"/>
        <v>1.5334947538337369</v>
      </c>
      <c r="DG168" s="173">
        <f t="shared" si="385"/>
        <v>0.5624258066085126</v>
      </c>
      <c r="DH168" s="173"/>
      <c r="DI168" s="173">
        <f t="shared" si="386"/>
        <v>0.73170731707317083</v>
      </c>
      <c r="DJ168" s="545">
        <f t="shared" si="387"/>
        <v>1585.333333333333</v>
      </c>
      <c r="DK168" s="528">
        <f t="shared" si="388"/>
        <v>0.12804878048780488</v>
      </c>
      <c r="DM168" s="173">
        <f t="shared" si="389"/>
        <v>2.1282677955379135</v>
      </c>
      <c r="DN168" s="173">
        <f t="shared" si="390"/>
        <v>2.1085494223363281</v>
      </c>
      <c r="DO168" s="173">
        <f t="shared" si="391"/>
        <v>2.0211477202491319</v>
      </c>
      <c r="DQ168" s="545">
        <f t="shared" si="392"/>
        <v>580</v>
      </c>
      <c r="DR168" s="460">
        <f t="shared" si="393"/>
        <v>347.87975538069651</v>
      </c>
      <c r="DT168">
        <f t="shared" si="430"/>
        <v>580</v>
      </c>
      <c r="DU168">
        <f t="shared" si="431"/>
        <v>347.87975538069651</v>
      </c>
      <c r="DW168" s="5">
        <f t="shared" si="394"/>
        <v>2.8745564653673692</v>
      </c>
      <c r="DX168" s="5">
        <f t="shared" si="395"/>
        <v>1.3317154246334704</v>
      </c>
      <c r="DY168" s="5">
        <f t="shared" si="396"/>
        <v>1.5428410407338988</v>
      </c>
      <c r="DZ168" s="5"/>
      <c r="EA168" s="173">
        <f t="shared" si="397"/>
        <v>0.46327683615819204</v>
      </c>
      <c r="EB168" s="173">
        <f t="shared" si="398"/>
        <v>9.2799999999999976</v>
      </c>
      <c r="EC168" s="173">
        <f t="shared" si="399"/>
        <v>0.56585365853658531</v>
      </c>
      <c r="ED168" s="173">
        <f t="shared" si="400"/>
        <v>16.399999999999999</v>
      </c>
      <c r="EE168" s="460">
        <f t="shared" si="401"/>
        <v>4.8274684142963293</v>
      </c>
      <c r="EF168" s="5">
        <f t="shared" si="402"/>
        <v>0.62796337096537624</v>
      </c>
      <c r="EH168" s="173">
        <f t="shared" si="403"/>
        <v>0.82859717932709087</v>
      </c>
      <c r="EI168" s="173">
        <f t="shared" si="404"/>
        <v>0.89186336951882739</v>
      </c>
      <c r="EK168" s="528">
        <f t="shared" si="405"/>
        <v>1.3731465711776223E-2</v>
      </c>
      <c r="EL168" s="528">
        <f t="shared" si="406"/>
        <v>0.49336666666666668</v>
      </c>
      <c r="EM168" s="528">
        <f t="shared" si="407"/>
        <v>4.0006171868780104E-2</v>
      </c>
      <c r="EN168" s="528">
        <f t="shared" si="408"/>
        <v>0.21470487966954024</v>
      </c>
      <c r="EO168">
        <f t="shared" si="409"/>
        <v>8.5500000000000003E-3</v>
      </c>
      <c r="EP168" s="460">
        <f t="shared" si="410"/>
        <v>48.556171868780105</v>
      </c>
      <c r="EQ168" s="460"/>
      <c r="ER168" s="460">
        <f t="shared" si="432"/>
        <v>770.35918391676319</v>
      </c>
      <c r="ES168" s="528">
        <f t="shared" si="411"/>
        <v>0.40599999999999997</v>
      </c>
      <c r="EV168" s="460">
        <f t="shared" si="412"/>
        <v>406</v>
      </c>
      <c r="EW168" s="528">
        <f t="shared" si="413"/>
        <v>2.0597198567664333E-2</v>
      </c>
      <c r="EX168" s="528">
        <f t="shared" si="414"/>
        <v>2.3862608096684293E-2</v>
      </c>
      <c r="EY168" s="528">
        <f t="shared" si="415"/>
        <v>0.72862212829464379</v>
      </c>
      <c r="EZ168" s="528"/>
      <c r="FA168" s="528">
        <f t="shared" si="416"/>
        <v>7.7333333333333308E-3</v>
      </c>
      <c r="FB168" s="460">
        <f t="shared" si="417"/>
        <v>780.81526829232575</v>
      </c>
      <c r="FC168" s="173">
        <f t="shared" si="418"/>
        <v>1.957174452209089</v>
      </c>
      <c r="FD168" s="5">
        <f t="shared" si="419"/>
        <v>9.2799999999999994</v>
      </c>
      <c r="FE168" s="173">
        <f t="shared" si="420"/>
        <v>0.82583037572898643</v>
      </c>
      <c r="FF168" s="5">
        <f t="shared" si="421"/>
        <v>82.583037572898647</v>
      </c>
      <c r="FI168" s="562">
        <f t="shared" si="422"/>
        <v>-50</v>
      </c>
      <c r="FJ168">
        <f t="shared" si="423"/>
        <v>-50</v>
      </c>
      <c r="FL168">
        <f t="shared" si="476"/>
        <v>0.53672316384180796</v>
      </c>
    </row>
    <row r="169" spans="5:168">
      <c r="E169" s="170">
        <v>59</v>
      </c>
      <c r="F169" s="217">
        <f t="shared" si="477"/>
        <v>0.59</v>
      </c>
      <c r="G169" s="217"/>
      <c r="H169" s="217">
        <f t="shared" si="442"/>
        <v>9.44</v>
      </c>
      <c r="I169" s="541">
        <f t="shared" si="443"/>
        <v>18.94322817922118</v>
      </c>
      <c r="J169" s="172">
        <f t="shared" si="444"/>
        <v>16.434063092467291</v>
      </c>
      <c r="K169" s="172">
        <f t="shared" si="445"/>
        <v>35.37729127168847</v>
      </c>
      <c r="L169" s="443"/>
      <c r="M169" s="217">
        <f t="shared" si="446"/>
        <v>0.46452064023999112</v>
      </c>
      <c r="N169" s="172">
        <f t="shared" si="447"/>
        <v>22.207789816508235</v>
      </c>
      <c r="O169" s="172">
        <f t="shared" si="438"/>
        <v>9.44</v>
      </c>
      <c r="P169" s="217">
        <f t="shared" si="448"/>
        <v>1.3879868635317647</v>
      </c>
      <c r="Q169" s="217">
        <f t="shared" si="449"/>
        <v>16</v>
      </c>
      <c r="R169" s="217"/>
      <c r="S169" s="172">
        <f t="shared" si="450"/>
        <v>61.447204145010375</v>
      </c>
      <c r="T169" s="172">
        <f t="shared" si="451"/>
        <v>16</v>
      </c>
      <c r="U169" s="217">
        <f t="shared" si="452"/>
        <v>2.2036330224359197</v>
      </c>
      <c r="V169" s="217">
        <f t="shared" si="453"/>
        <v>1.3959392780918412</v>
      </c>
      <c r="W169" s="217">
        <f t="shared" si="454"/>
        <v>1.6090723347260185</v>
      </c>
      <c r="X169" s="197">
        <f t="shared" si="455"/>
        <v>350</v>
      </c>
      <c r="Y169" s="443">
        <f t="shared" si="328"/>
        <v>312.011349974734</v>
      </c>
      <c r="AA169" s="217">
        <f t="shared" si="456"/>
        <v>2.0951980095387848</v>
      </c>
      <c r="AB169" s="173">
        <f t="shared" si="457"/>
        <v>1.5298940969740871</v>
      </c>
      <c r="AC169" s="173">
        <f t="shared" si="458"/>
        <v>0.56095043668741762</v>
      </c>
      <c r="AD169" s="173"/>
      <c r="AE169" s="173">
        <f t="shared" si="459"/>
        <v>0.73019069797172154</v>
      </c>
      <c r="AF169" s="545">
        <f t="shared" si="460"/>
        <v>1616.0162040926168</v>
      </c>
      <c r="AG169" s="528">
        <f t="shared" si="461"/>
        <v>0.12778337214505125</v>
      </c>
      <c r="AI169" s="173">
        <f t="shared" si="462"/>
        <v>2.148764564709297</v>
      </c>
      <c r="AJ169" s="173">
        <f t="shared" si="463"/>
        <v>2.2036330224359197</v>
      </c>
      <c r="AK169" s="173">
        <f t="shared" si="464"/>
        <v>2.0915800166191998</v>
      </c>
      <c r="AM169" s="545">
        <f t="shared" si="465"/>
        <v>590</v>
      </c>
      <c r="AN169" s="460">
        <f t="shared" si="466"/>
        <v>312.011349974734</v>
      </c>
      <c r="AP169">
        <f t="shared" si="467"/>
        <v>590</v>
      </c>
      <c r="AQ169">
        <f t="shared" si="468"/>
        <v>312.011349974734</v>
      </c>
      <c r="AS169" s="5">
        <f t="shared" si="439"/>
        <v>3.2050116128178598</v>
      </c>
      <c r="AT169" s="5">
        <f t="shared" si="469"/>
        <v>1.3959392780918412</v>
      </c>
      <c r="AU169" s="5">
        <f t="shared" si="343"/>
        <v>1.8090723347260187</v>
      </c>
      <c r="AV169" s="5"/>
      <c r="AW169" s="173">
        <f t="shared" si="344"/>
        <v>0.43554889864019103</v>
      </c>
      <c r="AX169" s="173">
        <f t="shared" si="435"/>
        <v>9.0907598802126994</v>
      </c>
      <c r="AY169" s="173">
        <f t="shared" si="436"/>
        <v>0.62192154325339988</v>
      </c>
      <c r="AZ169" s="173">
        <f t="shared" si="440"/>
        <v>14.617213342790892</v>
      </c>
      <c r="BA169" s="460">
        <f t="shared" si="433"/>
        <v>5.1475260879636648</v>
      </c>
      <c r="BB169" s="5">
        <f t="shared" si="434"/>
        <v>0.75126419312144455</v>
      </c>
      <c r="BD169" s="173">
        <f t="shared" si="441"/>
        <v>0.83964770338816608</v>
      </c>
      <c r="BE169" s="173">
        <f t="shared" si="437"/>
        <v>0.95585453916988206</v>
      </c>
      <c r="BG169" s="528">
        <f t="shared" si="347"/>
        <v>1.4100165316100435E-2</v>
      </c>
      <c r="BH169" s="528">
        <f t="shared" si="470"/>
        <v>0.4439122302596139</v>
      </c>
      <c r="BI169" s="528">
        <f t="shared" si="471"/>
        <v>0.13594155053279913</v>
      </c>
      <c r="BJ169" s="528">
        <f t="shared" si="350"/>
        <v>0.19232058968613094</v>
      </c>
      <c r="BK169">
        <f t="shared" si="351"/>
        <v>8.5244526806495299E-3</v>
      </c>
      <c r="BL169" s="460">
        <f t="shared" si="427"/>
        <v>144.46600321344866</v>
      </c>
      <c r="BM169" s="528">
        <f t="shared" si="472"/>
        <v>0.65633889599339845</v>
      </c>
      <c r="BN169" s="460">
        <f t="shared" si="353"/>
        <v>656.33889599339841</v>
      </c>
      <c r="BO169" s="528">
        <f t="shared" si="354"/>
        <v>0.41299999999999998</v>
      </c>
      <c r="BR169" s="460">
        <f t="shared" si="355"/>
        <v>413</v>
      </c>
      <c r="BS169" s="528">
        <f t="shared" si="356"/>
        <v>2.1150247974150653E-2</v>
      </c>
      <c r="BT169" s="528">
        <f t="shared" si="357"/>
        <v>2.7409737001550027E-2</v>
      </c>
      <c r="BU169" s="528">
        <f t="shared" si="358"/>
        <v>0.61978942986028451</v>
      </c>
      <c r="BV169" s="528"/>
      <c r="BW169" s="528">
        <f t="shared" si="359"/>
        <v>7.5756332335105824E-3</v>
      </c>
      <c r="BX169" s="460">
        <f t="shared" si="360"/>
        <v>675.9250480694958</v>
      </c>
      <c r="BY169" s="173">
        <f t="shared" si="361"/>
        <v>1.8837240365447898</v>
      </c>
      <c r="BZ169" s="5">
        <f t="shared" si="362"/>
        <v>9.44</v>
      </c>
      <c r="CA169" s="173">
        <f t="shared" si="363"/>
        <v>0.83364800921803717</v>
      </c>
      <c r="CB169" s="5">
        <f t="shared" si="364"/>
        <v>83.36480092180372</v>
      </c>
      <c r="CE169" s="562">
        <f t="shared" si="473"/>
        <v>-50</v>
      </c>
      <c r="CF169">
        <f t="shared" si="474"/>
        <v>-50</v>
      </c>
      <c r="CG169" s="173">
        <f t="shared" si="475"/>
        <v>0.51962398942479071</v>
      </c>
      <c r="CI169" s="170">
        <v>59</v>
      </c>
      <c r="CJ169" s="217">
        <f t="shared" si="428"/>
        <v>0.59</v>
      </c>
      <c r="CK169" s="217"/>
      <c r="CL169" s="217">
        <f t="shared" si="368"/>
        <v>9.44</v>
      </c>
      <c r="CM169" s="541">
        <f t="shared" si="369"/>
        <v>19</v>
      </c>
      <c r="CN169" s="443">
        <f t="shared" si="370"/>
        <v>16.399999999999999</v>
      </c>
      <c r="CO169" s="443">
        <f t="shared" si="371"/>
        <v>35.4</v>
      </c>
      <c r="CP169" s="443"/>
      <c r="CQ169" s="217">
        <f t="shared" si="372"/>
        <v>0.4632768361581921</v>
      </c>
      <c r="CR169" s="172">
        <f t="shared" si="429"/>
        <v>22.214703389830511</v>
      </c>
      <c r="CS169" s="172">
        <f t="shared" si="373"/>
        <v>9.44</v>
      </c>
      <c r="CT169" s="217">
        <f t="shared" si="374"/>
        <v>1.3884189618644069</v>
      </c>
      <c r="CU169" s="217">
        <f t="shared" si="375"/>
        <v>16</v>
      </c>
      <c r="CV169" s="217"/>
      <c r="CW169" s="172">
        <f t="shared" si="376"/>
        <v>61.630993973642603</v>
      </c>
      <c r="CX169" s="172">
        <f t="shared" si="377"/>
        <v>16</v>
      </c>
      <c r="CY169" s="217">
        <f t="shared" si="378"/>
        <v>2.1449037227214376</v>
      </c>
      <c r="CZ169" s="217">
        <f t="shared" si="379"/>
        <v>1.3546760354030134</v>
      </c>
      <c r="DA169" s="217">
        <f t="shared" si="380"/>
        <v>1.5694417483327594</v>
      </c>
      <c r="DB169" s="197">
        <f t="shared" si="381"/>
        <v>350</v>
      </c>
      <c r="DC169" s="443">
        <f t="shared" si="382"/>
        <v>341.98348834034562</v>
      </c>
      <c r="DE169" s="217">
        <f t="shared" si="383"/>
        <v>2.0957761635727734</v>
      </c>
      <c r="DF169" s="173">
        <f t="shared" si="384"/>
        <v>1.5334947538337369</v>
      </c>
      <c r="DG169" s="173">
        <f t="shared" si="385"/>
        <v>0.5624258066085126</v>
      </c>
      <c r="DH169" s="173"/>
      <c r="DI169" s="173">
        <f t="shared" si="386"/>
        <v>0.73170731707317083</v>
      </c>
      <c r="DJ169" s="545">
        <f t="shared" si="387"/>
        <v>1612.6666666666663</v>
      </c>
      <c r="DK169" s="528">
        <f t="shared" si="388"/>
        <v>0.12804878048780488</v>
      </c>
      <c r="DM169" s="173">
        <f t="shared" si="389"/>
        <v>2.1465365237095426</v>
      </c>
      <c r="DN169" s="173">
        <f t="shared" si="390"/>
        <v>2.1449037227214376</v>
      </c>
      <c r="DO169" s="173">
        <f t="shared" si="391"/>
        <v>2.0480768316455094</v>
      </c>
      <c r="DQ169" s="545">
        <f t="shared" si="392"/>
        <v>590</v>
      </c>
      <c r="DR169" s="460">
        <f t="shared" si="393"/>
        <v>341.98348834034562</v>
      </c>
      <c r="DT169">
        <f t="shared" si="430"/>
        <v>590</v>
      </c>
      <c r="DU169">
        <f t="shared" si="431"/>
        <v>341.98348834034562</v>
      </c>
      <c r="DW169" s="5">
        <f t="shared" si="394"/>
        <v>2.924117783735773</v>
      </c>
      <c r="DX169" s="5">
        <f t="shared" si="395"/>
        <v>1.3546760354030134</v>
      </c>
      <c r="DY169" s="5">
        <f t="shared" si="396"/>
        <v>1.5694417483327596</v>
      </c>
      <c r="DZ169" s="5"/>
      <c r="EA169" s="173">
        <f t="shared" si="397"/>
        <v>0.46327683615819204</v>
      </c>
      <c r="EB169" s="173">
        <f t="shared" si="398"/>
        <v>9.44</v>
      </c>
      <c r="EC169" s="173">
        <f t="shared" si="399"/>
        <v>0.57560975609756104</v>
      </c>
      <c r="ED169" s="173">
        <f t="shared" si="400"/>
        <v>16.399999999999999</v>
      </c>
      <c r="EE169" s="460">
        <f t="shared" si="401"/>
        <v>4.9953678805486117</v>
      </c>
      <c r="EF169" s="5">
        <f t="shared" si="402"/>
        <v>0.64980395194128282</v>
      </c>
      <c r="EH169" s="173">
        <f t="shared" si="403"/>
        <v>0.84288333759135126</v>
      </c>
      <c r="EI169" s="173">
        <f t="shared" si="404"/>
        <v>0.90724032416570388</v>
      </c>
      <c r="EK169" s="528">
        <f t="shared" si="405"/>
        <v>1.4209046415782717E-2</v>
      </c>
      <c r="EL169" s="528">
        <f t="shared" si="406"/>
        <v>0.49336666666666651</v>
      </c>
      <c r="EM169" s="528">
        <f t="shared" si="407"/>
        <v>3.9328101159139747E-2</v>
      </c>
      <c r="EN169" s="528">
        <f t="shared" si="408"/>
        <v>0.21106581391242932</v>
      </c>
      <c r="EO169">
        <f t="shared" si="409"/>
        <v>8.5500000000000003E-3</v>
      </c>
      <c r="EP169" s="460">
        <f t="shared" si="410"/>
        <v>47.878101159139746</v>
      </c>
      <c r="EQ169" s="460"/>
      <c r="ER169" s="460">
        <f t="shared" si="432"/>
        <v>766.51962815401816</v>
      </c>
      <c r="ES169" s="528">
        <f t="shared" si="411"/>
        <v>0.41299999999999998</v>
      </c>
      <c r="EV169" s="460">
        <f t="shared" si="412"/>
        <v>413</v>
      </c>
      <c r="EW169" s="528">
        <f t="shared" si="413"/>
        <v>2.1313569623674072E-2</v>
      </c>
      <c r="EX169" s="528">
        <f t="shared" si="414"/>
        <v>2.4692550173768743E-2</v>
      </c>
      <c r="EY169" s="528">
        <f t="shared" si="415"/>
        <v>0.72862212829464323</v>
      </c>
      <c r="EZ169" s="528"/>
      <c r="FA169" s="528">
        <f t="shared" si="416"/>
        <v>7.8666666666666659E-3</v>
      </c>
      <c r="FB169" s="460">
        <f t="shared" si="417"/>
        <v>782.49491475875277</v>
      </c>
      <c r="FC169" s="173">
        <f t="shared" si="418"/>
        <v>1.9620145429127709</v>
      </c>
      <c r="FD169" s="5">
        <f t="shared" si="419"/>
        <v>9.44</v>
      </c>
      <c r="FE169" s="173">
        <f t="shared" si="420"/>
        <v>0.82792386945933916</v>
      </c>
      <c r="FF169" s="5">
        <f t="shared" si="421"/>
        <v>82.792386945933913</v>
      </c>
      <c r="FI169" s="562">
        <f t="shared" si="422"/>
        <v>-50</v>
      </c>
      <c r="FJ169">
        <f t="shared" si="423"/>
        <v>-50</v>
      </c>
      <c r="FL169">
        <f t="shared" si="476"/>
        <v>0.53672316384180796</v>
      </c>
    </row>
    <row r="170" spans="5:168">
      <c r="E170" s="170">
        <v>60</v>
      </c>
      <c r="F170" s="217">
        <f t="shared" si="477"/>
        <v>0.6</v>
      </c>
      <c r="G170" s="217"/>
      <c r="H170" s="217">
        <f t="shared" si="442"/>
        <v>9.6</v>
      </c>
      <c r="I170" s="541">
        <f t="shared" si="443"/>
        <v>18.942297591685882</v>
      </c>
      <c r="J170" s="172">
        <f t="shared" si="444"/>
        <v>16.434621444988469</v>
      </c>
      <c r="K170" s="172">
        <f t="shared" si="445"/>
        <v>35.376919036674352</v>
      </c>
      <c r="L170" s="443"/>
      <c r="M170" s="217">
        <f t="shared" si="446"/>
        <v>0.46454132051251013</v>
      </c>
      <c r="N170" s="172">
        <f t="shared" si="447"/>
        <v>22.207687490455342</v>
      </c>
      <c r="O170" s="172">
        <f t="shared" si="438"/>
        <v>9.6</v>
      </c>
      <c r="P170" s="217">
        <f t="shared" si="448"/>
        <v>1.3879804681534589</v>
      </c>
      <c r="Q170" s="217">
        <f t="shared" si="449"/>
        <v>16</v>
      </c>
      <c r="R170" s="217"/>
      <c r="S170" s="172">
        <f t="shared" si="450"/>
        <v>60.109161742416958</v>
      </c>
      <c r="T170" s="172">
        <f t="shared" si="451"/>
        <v>16</v>
      </c>
      <c r="U170" s="217">
        <f t="shared" si="452"/>
        <v>2.2410692850260086</v>
      </c>
      <c r="V170" s="217">
        <f t="shared" si="453"/>
        <v>1.4197238370975576</v>
      </c>
      <c r="W170" s="217">
        <f t="shared" si="454"/>
        <v>1.6363523498445249</v>
      </c>
      <c r="X170" s="197">
        <f t="shared" si="455"/>
        <v>350</v>
      </c>
      <c r="Y170" s="443">
        <f t="shared" si="328"/>
        <v>307.1181208874421</v>
      </c>
      <c r="AA170" s="217">
        <f t="shared" si="456"/>
        <v>2.0951883095824337</v>
      </c>
      <c r="AB170" s="173">
        <f t="shared" si="457"/>
        <v>1.5298350375241543</v>
      </c>
      <c r="AC170" s="173">
        <f t="shared" si="458"/>
        <v>0.56092618508678704</v>
      </c>
      <c r="AD170" s="173"/>
      <c r="AE170" s="173">
        <f t="shared" si="459"/>
        <v>0.7301658903533339</v>
      </c>
      <c r="AF170" s="545">
        <f t="shared" si="460"/>
        <v>1643.4621444988468</v>
      </c>
      <c r="AG170" s="528">
        <f t="shared" si="461"/>
        <v>0.12777903081183342</v>
      </c>
      <c r="AI170" s="173">
        <f t="shared" si="462"/>
        <v>2.1669347307059255</v>
      </c>
      <c r="AJ170" s="173">
        <f t="shared" si="463"/>
        <v>2.2410692850260086</v>
      </c>
      <c r="AK170" s="173">
        <f t="shared" si="464"/>
        <v>2.1193105815007471</v>
      </c>
      <c r="AM170" s="545">
        <f t="shared" si="465"/>
        <v>600</v>
      </c>
      <c r="AN170" s="460">
        <f t="shared" si="466"/>
        <v>307.1181208874421</v>
      </c>
      <c r="AP170">
        <f t="shared" si="467"/>
        <v>600</v>
      </c>
      <c r="AQ170">
        <f t="shared" si="468"/>
        <v>307.1181208874421</v>
      </c>
      <c r="AS170" s="5">
        <f t="shared" si="439"/>
        <v>3.2560761869420825</v>
      </c>
      <c r="AT170" s="5">
        <f t="shared" si="469"/>
        <v>1.4197238370975576</v>
      </c>
      <c r="AU170" s="5">
        <f t="shared" ref="AU170:AU233" si="478">AS170-AT170</f>
        <v>1.8363523498445249</v>
      </c>
      <c r="AV170" s="5"/>
      <c r="AW170" s="173">
        <f t="shared" ref="AW170:AW233" si="479">AT170/AS170</f>
        <v>0.43602291702851081</v>
      </c>
      <c r="AX170" s="173">
        <f t="shared" si="435"/>
        <v>9.2548047132835478</v>
      </c>
      <c r="AY170" s="173">
        <f t="shared" si="436"/>
        <v>0.63195585905298457</v>
      </c>
      <c r="AZ170" s="173">
        <f t="shared" si="440"/>
        <v>14.6447011776302</v>
      </c>
      <c r="BA170" s="460">
        <f t="shared" si="433"/>
        <v>5.323964389115841</v>
      </c>
      <c r="BB170" s="5">
        <f t="shared" si="434"/>
        <v>0.77555632983003397</v>
      </c>
      <c r="BD170" s="173">
        <f t="shared" si="441"/>
        <v>0.85437653874140818</v>
      </c>
      <c r="BE170" s="173">
        <f t="shared" si="437"/>
        <v>0.97168474490301959</v>
      </c>
      <c r="BG170" s="528">
        <f t="shared" ref="BG170:BG210" si="480">Rdson*BD170^2</f>
        <v>1.4599185399034979E-2</v>
      </c>
      <c r="BH170" s="528">
        <f t="shared" si="470"/>
        <v>0.44436884407081362</v>
      </c>
      <c r="BI170" s="528">
        <f t="shared" si="471"/>
        <v>0.13380302535793362</v>
      </c>
      <c r="BJ170" s="528">
        <f t="shared" ref="BJ170:BJ210" si="481">0.5*(Coss+Csw)*K170^2*AN170*1000</f>
        <v>0.18930046991271901</v>
      </c>
      <c r="BK170">
        <f t="shared" ref="BK170:BK210" si="482">I170*IQ</f>
        <v>8.5240339162586474E-3</v>
      </c>
      <c r="BL170" s="460">
        <f t="shared" si="427"/>
        <v>142.32705927419227</v>
      </c>
      <c r="BM170" s="528">
        <f t="shared" si="472"/>
        <v>0.65448051950908936</v>
      </c>
      <c r="BN170" s="460">
        <f t="shared" si="353"/>
        <v>654.48051950908939</v>
      </c>
      <c r="BO170" s="528">
        <f t="shared" ref="BO170:BO210" si="483">Vfwd2*F170</f>
        <v>0.42</v>
      </c>
      <c r="BR170" s="460">
        <f t="shared" ref="BR170:BR210" si="484">SUM(BO170:BQ170)*1000</f>
        <v>420</v>
      </c>
      <c r="BS170" s="528">
        <f t="shared" ref="BS170:BS210" si="485">Rdcr_pri*BD170^2</f>
        <v>2.1898778098552469E-2</v>
      </c>
      <c r="BT170" s="528">
        <f t="shared" ref="BT170:BT210" si="486">Rdcr_sec*BE170^2</f>
        <v>2.8325137304317387E-2</v>
      </c>
      <c r="BU170" s="528">
        <f t="shared" ref="BU170:BU210" si="487">AJ170^2.5*AN170^2.5*k_core</f>
        <v>0.6214008136203566</v>
      </c>
      <c r="BV170" s="528"/>
      <c r="BW170" s="528">
        <f t="shared" ref="BW170:BW210" si="488">0.5*Lleak*0.000000001*AJ170^2*AN170*1000</f>
        <v>7.7123372610696239E-3</v>
      </c>
      <c r="BX170" s="460">
        <f t="shared" ref="BX170:BX210" si="489">SUM(BS170:BW170)*1000</f>
        <v>679.33706628429616</v>
      </c>
      <c r="BY170" s="173">
        <f t="shared" ref="BY170:BY210" si="490">SUM(BG170:BK170,BO170:BQ170,BS170:BW170)</f>
        <v>1.889932624941056</v>
      </c>
      <c r="BZ170" s="5">
        <f t="shared" ref="BZ170:BZ210" si="491">MIN(H170,O170)</f>
        <v>9.6</v>
      </c>
      <c r="CA170" s="173">
        <f t="shared" ref="CA170:CA210" si="492">BZ170/(BZ170+BY170)</f>
        <v>0.83551403766819299</v>
      </c>
      <c r="CB170" s="5">
        <f t="shared" ref="CB170:CB210" si="493">CA170*100</f>
        <v>83.551403766819305</v>
      </c>
      <c r="CE170" s="562">
        <f t="shared" si="473"/>
        <v>-50</v>
      </c>
      <c r="CF170">
        <f t="shared" si="474"/>
        <v>-50</v>
      </c>
      <c r="CG170" s="173">
        <f t="shared" si="475"/>
        <v>0.5199089756650741</v>
      </c>
      <c r="CI170" s="170">
        <v>60</v>
      </c>
      <c r="CJ170" s="217">
        <f t="shared" si="428"/>
        <v>0.6</v>
      </c>
      <c r="CK170" s="217"/>
      <c r="CL170" s="217">
        <f t="shared" si="368"/>
        <v>9.6</v>
      </c>
      <c r="CM170" s="541">
        <f t="shared" si="369"/>
        <v>19</v>
      </c>
      <c r="CN170" s="443">
        <f t="shared" si="370"/>
        <v>16.399999999999999</v>
      </c>
      <c r="CO170" s="443">
        <f t="shared" si="371"/>
        <v>35.4</v>
      </c>
      <c r="CP170" s="443"/>
      <c r="CQ170" s="217">
        <f t="shared" si="372"/>
        <v>0.4632768361581921</v>
      </c>
      <c r="CR170" s="172">
        <f t="shared" si="429"/>
        <v>22.214703389830511</v>
      </c>
      <c r="CS170" s="172">
        <f t="shared" si="373"/>
        <v>9.6</v>
      </c>
      <c r="CT170" s="217">
        <f t="shared" si="374"/>
        <v>1.3884189618644069</v>
      </c>
      <c r="CU170" s="217">
        <f t="shared" si="375"/>
        <v>16</v>
      </c>
      <c r="CV170" s="217"/>
      <c r="CW170" s="172">
        <f t="shared" si="376"/>
        <v>60.291889329594952</v>
      </c>
      <c r="CX170" s="172">
        <f t="shared" si="377"/>
        <v>16</v>
      </c>
      <c r="CY170" s="217">
        <f t="shared" si="378"/>
        <v>2.1812580231065466</v>
      </c>
      <c r="CZ170" s="217">
        <f t="shared" si="379"/>
        <v>1.377636646172556</v>
      </c>
      <c r="DA170" s="217">
        <f t="shared" si="380"/>
        <v>1.5960424559316198</v>
      </c>
      <c r="DB170" s="197">
        <f t="shared" si="381"/>
        <v>350</v>
      </c>
      <c r="DC170" s="443">
        <f t="shared" si="382"/>
        <v>336.28376353467326</v>
      </c>
      <c r="DE170" s="217">
        <f t="shared" si="383"/>
        <v>2.0957761635727734</v>
      </c>
      <c r="DF170" s="173">
        <f t="shared" si="384"/>
        <v>1.5334947538337369</v>
      </c>
      <c r="DG170" s="173">
        <f t="shared" si="385"/>
        <v>0.5624258066085126</v>
      </c>
      <c r="DH170" s="173"/>
      <c r="DI170" s="173">
        <f t="shared" si="386"/>
        <v>0.73170731707317083</v>
      </c>
      <c r="DJ170" s="545">
        <f t="shared" si="387"/>
        <v>1639.9999999999998</v>
      </c>
      <c r="DK170" s="528">
        <f t="shared" si="388"/>
        <v>0.12804878048780488</v>
      </c>
      <c r="DM170" s="173">
        <f t="shared" si="389"/>
        <v>2.164651077128664</v>
      </c>
      <c r="DN170" s="173">
        <f t="shared" si="390"/>
        <v>2.1812580231065466</v>
      </c>
      <c r="DO170" s="173">
        <f t="shared" si="391"/>
        <v>2.0750059430418863</v>
      </c>
      <c r="DQ170" s="545">
        <f t="shared" si="392"/>
        <v>600</v>
      </c>
      <c r="DR170" s="460">
        <f t="shared" si="393"/>
        <v>336.28376353467326</v>
      </c>
      <c r="DT170">
        <f t="shared" si="430"/>
        <v>600</v>
      </c>
      <c r="DU170">
        <f t="shared" si="431"/>
        <v>336.28376353467326</v>
      </c>
      <c r="DW170" s="5">
        <f t="shared" si="394"/>
        <v>2.9736791021041751</v>
      </c>
      <c r="DX170" s="5">
        <f t="shared" si="395"/>
        <v>1.377636646172556</v>
      </c>
      <c r="DY170" s="5">
        <f t="shared" si="396"/>
        <v>1.5960424559316191</v>
      </c>
      <c r="DZ170" s="5"/>
      <c r="EA170" s="173">
        <f t="shared" si="397"/>
        <v>0.46327683615819221</v>
      </c>
      <c r="EB170" s="173">
        <f t="shared" si="398"/>
        <v>9.5999999999999979</v>
      </c>
      <c r="EC170" s="173">
        <f t="shared" si="399"/>
        <v>0.58536585365853633</v>
      </c>
      <c r="ED170" s="173">
        <f t="shared" si="400"/>
        <v>16.400000000000002</v>
      </c>
      <c r="EE170" s="460">
        <f t="shared" si="401"/>
        <v>5.1661374231470845</v>
      </c>
      <c r="EF170" s="5">
        <f t="shared" si="402"/>
        <v>0.67201787618173436</v>
      </c>
      <c r="EH170" s="173">
        <f t="shared" si="403"/>
        <v>0.85716949585561153</v>
      </c>
      <c r="EI170" s="173">
        <f t="shared" si="404"/>
        <v>0.92261727881258004</v>
      </c>
      <c r="EK170" s="528">
        <f t="shared" si="405"/>
        <v>1.4694790892507265E-2</v>
      </c>
      <c r="EL170" s="528">
        <f t="shared" si="406"/>
        <v>0.49336666666666673</v>
      </c>
      <c r="EM170" s="528">
        <f t="shared" si="407"/>
        <v>3.8672632806487424E-2</v>
      </c>
      <c r="EN170" s="528">
        <f t="shared" si="408"/>
        <v>0.20754805034722221</v>
      </c>
      <c r="EO170">
        <f t="shared" si="409"/>
        <v>8.5500000000000003E-3</v>
      </c>
      <c r="EP170" s="460">
        <f t="shared" si="410"/>
        <v>47.222632806487425</v>
      </c>
      <c r="EQ170" s="460"/>
      <c r="ER170" s="460">
        <f t="shared" si="432"/>
        <v>762.83214071288364</v>
      </c>
      <c r="ES170" s="528">
        <f t="shared" si="411"/>
        <v>0.42</v>
      </c>
      <c r="EV170" s="460">
        <f t="shared" ref="EV170:EV210" si="494">SUM(ES170:EU170)*1000</f>
        <v>420</v>
      </c>
      <c r="EW170" s="528">
        <f t="shared" si="413"/>
        <v>2.2042186338760896E-2</v>
      </c>
      <c r="EX170" s="528">
        <f t="shared" si="414"/>
        <v>2.5536679294905901E-2</v>
      </c>
      <c r="EY170" s="528">
        <f t="shared" si="415"/>
        <v>0.7286221282946449</v>
      </c>
      <c r="EZ170" s="528"/>
      <c r="FA170" s="528">
        <f t="shared" si="416"/>
        <v>7.9999999999999984E-3</v>
      </c>
      <c r="FB170" s="460">
        <f t="shared" si="417"/>
        <v>784.20099392831162</v>
      </c>
      <c r="FC170" s="173">
        <f t="shared" si="418"/>
        <v>1.9670331346411953</v>
      </c>
      <c r="FD170" s="5">
        <f t="shared" si="419"/>
        <v>9.6</v>
      </c>
      <c r="FE170" s="173">
        <f t="shared" si="420"/>
        <v>0.82994488632091123</v>
      </c>
      <c r="FF170" s="5">
        <f t="shared" si="421"/>
        <v>82.994488632091119</v>
      </c>
      <c r="FI170" s="562">
        <f t="shared" si="422"/>
        <v>-50</v>
      </c>
      <c r="FJ170">
        <f t="shared" si="423"/>
        <v>-50</v>
      </c>
      <c r="FL170">
        <f t="shared" si="476"/>
        <v>0.53672316384180774</v>
      </c>
    </row>
    <row r="171" spans="5:168">
      <c r="E171" s="170">
        <v>61</v>
      </c>
      <c r="F171" s="217">
        <f t="shared" si="477"/>
        <v>0.61</v>
      </c>
      <c r="G171" s="217"/>
      <c r="H171" s="217">
        <f t="shared" si="442"/>
        <v>9.76</v>
      </c>
      <c r="I171" s="541">
        <f t="shared" si="443"/>
        <v>18.941366970611814</v>
      </c>
      <c r="J171" s="172">
        <f t="shared" si="444"/>
        <v>16.43517981763291</v>
      </c>
      <c r="K171" s="172">
        <f t="shared" si="445"/>
        <v>35.376546788244724</v>
      </c>
      <c r="L171" s="443"/>
      <c r="M171" s="217">
        <f t="shared" si="446"/>
        <v>0.46456200165998801</v>
      </c>
      <c r="N171" s="172">
        <f t="shared" si="447"/>
        <v>22.207585069768061</v>
      </c>
      <c r="O171" s="172">
        <f t="shared" si="438"/>
        <v>9.76</v>
      </c>
      <c r="P171" s="217">
        <f t="shared" si="448"/>
        <v>1.3879740668605038</v>
      </c>
      <c r="Q171" s="217">
        <f t="shared" si="449"/>
        <v>16</v>
      </c>
      <c r="R171" s="217"/>
      <c r="S171" s="172">
        <f t="shared" si="450"/>
        <v>58.815135684003245</v>
      </c>
      <c r="T171" s="172">
        <f t="shared" si="451"/>
        <v>16</v>
      </c>
      <c r="U171" s="217">
        <f t="shared" si="452"/>
        <v>2.2785084431480338</v>
      </c>
      <c r="V171" s="217">
        <f t="shared" si="453"/>
        <v>1.44351257014336</v>
      </c>
      <c r="W171" s="217">
        <f t="shared" si="454"/>
        <v>1.6636326235044729</v>
      </c>
      <c r="X171" s="197">
        <f t="shared" si="455"/>
        <v>350</v>
      </c>
      <c r="Y171" s="443">
        <f t="shared" si="328"/>
        <v>302.37559630606489</v>
      </c>
      <c r="AA171" s="217">
        <f t="shared" si="456"/>
        <v>2.0951786020778882</v>
      </c>
      <c r="AB171" s="173">
        <f t="shared" si="457"/>
        <v>1.5297759747027688</v>
      </c>
      <c r="AC171" s="173">
        <f t="shared" si="458"/>
        <v>0.56090193042976511</v>
      </c>
      <c r="AD171" s="173"/>
      <c r="AE171" s="173">
        <f t="shared" si="459"/>
        <v>0.73014108352653906</v>
      </c>
      <c r="AF171" s="545">
        <f t="shared" si="460"/>
        <v>1670.9099481260128</v>
      </c>
      <c r="AG171" s="528">
        <f t="shared" si="461"/>
        <v>0.12777468961714433</v>
      </c>
      <c r="AI171" s="173">
        <f t="shared" si="462"/>
        <v>2.1849550162914517</v>
      </c>
      <c r="AJ171" s="173">
        <f t="shared" si="463"/>
        <v>2.2785084431480338</v>
      </c>
      <c r="AK171" s="173">
        <f t="shared" si="464"/>
        <v>2.1470432912207658</v>
      </c>
      <c r="AM171" s="545">
        <f t="shared" si="465"/>
        <v>610</v>
      </c>
      <c r="AN171" s="460">
        <f t="shared" si="466"/>
        <v>302.37559630606489</v>
      </c>
      <c r="AP171">
        <f t="shared" si="467"/>
        <v>610</v>
      </c>
      <c r="AQ171">
        <f t="shared" si="468"/>
        <v>302.37559630606489</v>
      </c>
      <c r="AS171" s="5">
        <f t="shared" si="439"/>
        <v>3.3071451936478331</v>
      </c>
      <c r="AT171" s="5">
        <f t="shared" si="469"/>
        <v>1.44351257014336</v>
      </c>
      <c r="AU171" s="5">
        <f t="shared" si="478"/>
        <v>1.8636326235044731</v>
      </c>
      <c r="AV171" s="5"/>
      <c r="AW171" s="173">
        <f t="shared" si="479"/>
        <v>0.43648297417239879</v>
      </c>
      <c r="AX171" s="173">
        <f t="shared" si="435"/>
        <v>9.4188801909307038</v>
      </c>
      <c r="AY171" s="173">
        <f t="shared" si="436"/>
        <v>0.64198915060292905</v>
      </c>
      <c r="AZ171" s="173">
        <f t="shared" si="440"/>
        <v>14.671400882841851</v>
      </c>
      <c r="BA171" s="460">
        <f t="shared" si="433"/>
        <v>5.50339167367156</v>
      </c>
      <c r="BB171" s="5">
        <f t="shared" si="434"/>
        <v>0.8002350285147759</v>
      </c>
      <c r="BD171" s="173">
        <f t="shared" si="441"/>
        <v>0.86910784244159645</v>
      </c>
      <c r="BE171" s="173">
        <f t="shared" si="437"/>
        <v>0.98751462438393234</v>
      </c>
      <c r="BG171" s="528">
        <f t="shared" si="480"/>
        <v>1.5106968835869736E-2</v>
      </c>
      <c r="BH171" s="528">
        <f t="shared" si="470"/>
        <v>0.44481117212452337</v>
      </c>
      <c r="BI171" s="528">
        <f t="shared" si="471"/>
        <v>0.13173036404958724</v>
      </c>
      <c r="BJ171" s="528">
        <f t="shared" si="481"/>
        <v>0.18637336577914759</v>
      </c>
      <c r="BK171">
        <f t="shared" si="482"/>
        <v>8.523615136775315E-3</v>
      </c>
      <c r="BL171" s="460">
        <f t="shared" si="427"/>
        <v>140.25397918636256</v>
      </c>
      <c r="BM171" s="528">
        <f t="shared" si="472"/>
        <v>0.65271324756590698</v>
      </c>
      <c r="BN171" s="460">
        <f t="shared" si="353"/>
        <v>652.71324756590695</v>
      </c>
      <c r="BO171" s="528">
        <f t="shared" si="483"/>
        <v>0.42699999999999999</v>
      </c>
      <c r="BR171" s="460">
        <f t="shared" si="484"/>
        <v>427</v>
      </c>
      <c r="BS171" s="528">
        <f t="shared" si="485"/>
        <v>2.2660453253804603E-2</v>
      </c>
      <c r="BT171" s="528">
        <f t="shared" si="486"/>
        <v>2.9255554001164169E-2</v>
      </c>
      <c r="BU171" s="528">
        <f t="shared" si="487"/>
        <v>0.62296472325210273</v>
      </c>
      <c r="BV171" s="528"/>
      <c r="BW171" s="528">
        <f t="shared" si="488"/>
        <v>7.8490668257755868E-3</v>
      </c>
      <c r="BX171" s="460">
        <f t="shared" si="489"/>
        <v>682.72979733284706</v>
      </c>
      <c r="BY171" s="173">
        <f t="shared" si="490"/>
        <v>1.8962752832587504</v>
      </c>
      <c r="BZ171" s="5">
        <f t="shared" si="491"/>
        <v>9.76</v>
      </c>
      <c r="CA171" s="173">
        <f t="shared" si="492"/>
        <v>0.83731721865026099</v>
      </c>
      <c r="CB171" s="5">
        <f t="shared" si="493"/>
        <v>83.731721865026103</v>
      </c>
      <c r="CE171" s="562">
        <f t="shared" si="473"/>
        <v>-50</v>
      </c>
      <c r="CF171">
        <f t="shared" si="474"/>
        <v>-50</v>
      </c>
      <c r="CG171" s="173">
        <f t="shared" si="475"/>
        <v>0.52018461809420091</v>
      </c>
      <c r="CI171" s="170">
        <v>61</v>
      </c>
      <c r="CJ171" s="217">
        <f t="shared" si="428"/>
        <v>0.61</v>
      </c>
      <c r="CK171" s="217"/>
      <c r="CL171" s="217">
        <f t="shared" si="368"/>
        <v>9.76</v>
      </c>
      <c r="CM171" s="541">
        <f t="shared" si="369"/>
        <v>19</v>
      </c>
      <c r="CN171" s="443">
        <f t="shared" si="370"/>
        <v>16.399999999999999</v>
      </c>
      <c r="CO171" s="443">
        <f t="shared" si="371"/>
        <v>35.4</v>
      </c>
      <c r="CP171" s="443"/>
      <c r="CQ171" s="217">
        <f t="shared" si="372"/>
        <v>0.4632768361581921</v>
      </c>
      <c r="CR171" s="172">
        <f t="shared" si="429"/>
        <v>22.214703389830511</v>
      </c>
      <c r="CS171" s="172">
        <f t="shared" si="373"/>
        <v>9.76</v>
      </c>
      <c r="CT171" s="217">
        <f t="shared" si="374"/>
        <v>1.3884189618644069</v>
      </c>
      <c r="CU171" s="217">
        <f t="shared" si="375"/>
        <v>16</v>
      </c>
      <c r="CV171" s="217"/>
      <c r="CW171" s="172">
        <f t="shared" si="376"/>
        <v>58.996805468274772</v>
      </c>
      <c r="CX171" s="172">
        <f t="shared" si="377"/>
        <v>16</v>
      </c>
      <c r="CY171" s="217">
        <f t="shared" si="378"/>
        <v>2.2176123234916556</v>
      </c>
      <c r="CZ171" s="217">
        <f t="shared" si="379"/>
        <v>1.4005972569420984</v>
      </c>
      <c r="DA171" s="217">
        <f t="shared" si="380"/>
        <v>1.6226431635304799</v>
      </c>
      <c r="DB171" s="197">
        <f t="shared" si="381"/>
        <v>350</v>
      </c>
      <c r="DC171" s="443">
        <f t="shared" si="382"/>
        <v>330.77091495213767</v>
      </c>
      <c r="DE171" s="217">
        <f t="shared" si="383"/>
        <v>2.0957761635727734</v>
      </c>
      <c r="DF171" s="173">
        <f t="shared" si="384"/>
        <v>1.5334947538337369</v>
      </c>
      <c r="DG171" s="173">
        <f t="shared" si="385"/>
        <v>0.5624258066085126</v>
      </c>
      <c r="DH171" s="173"/>
      <c r="DI171" s="173">
        <f t="shared" si="386"/>
        <v>0.73170731707317083</v>
      </c>
      <c r="DJ171" s="545">
        <f t="shared" si="387"/>
        <v>1667.333333333333</v>
      </c>
      <c r="DK171" s="528">
        <f t="shared" si="388"/>
        <v>0.12804878048780488</v>
      </c>
      <c r="DM171" s="173">
        <f t="shared" si="389"/>
        <v>2.1826152945055441</v>
      </c>
      <c r="DN171" s="173">
        <f t="shared" si="390"/>
        <v>2.2176123234916556</v>
      </c>
      <c r="DO171" s="173">
        <f t="shared" si="391"/>
        <v>2.1019350544382633</v>
      </c>
      <c r="DQ171" s="545">
        <f t="shared" si="392"/>
        <v>610</v>
      </c>
      <c r="DR171" s="460">
        <f t="shared" si="393"/>
        <v>330.77091495213767</v>
      </c>
      <c r="DT171">
        <f t="shared" si="430"/>
        <v>610</v>
      </c>
      <c r="DU171">
        <f t="shared" si="431"/>
        <v>330.77091495213767</v>
      </c>
      <c r="DW171" s="5">
        <f t="shared" si="394"/>
        <v>3.0232404204725776</v>
      </c>
      <c r="DX171" s="5">
        <f t="shared" si="395"/>
        <v>1.4005972569420984</v>
      </c>
      <c r="DY171" s="5">
        <f t="shared" si="396"/>
        <v>1.6226431635304792</v>
      </c>
      <c r="DZ171" s="5"/>
      <c r="EA171" s="173">
        <f t="shared" si="397"/>
        <v>0.46327683615819221</v>
      </c>
      <c r="EB171" s="173">
        <f t="shared" si="398"/>
        <v>9.759999999999998</v>
      </c>
      <c r="EC171" s="173">
        <f t="shared" si="399"/>
        <v>0.59512195121951195</v>
      </c>
      <c r="ED171" s="173">
        <f t="shared" si="400"/>
        <v>16.400000000000002</v>
      </c>
      <c r="EE171" s="460">
        <f t="shared" si="401"/>
        <v>5.3397770420917494</v>
      </c>
      <c r="EF171" s="5">
        <f t="shared" si="402"/>
        <v>0.69460514368673132</v>
      </c>
      <c r="EH171" s="173">
        <f t="shared" si="403"/>
        <v>0.87145565411987158</v>
      </c>
      <c r="EI171" s="173">
        <f t="shared" si="404"/>
        <v>0.93799423345945632</v>
      </c>
      <c r="EK171" s="528">
        <f t="shared" si="405"/>
        <v>1.5188699141949865E-2</v>
      </c>
      <c r="EL171" s="528">
        <f t="shared" si="406"/>
        <v>0.49336666666666673</v>
      </c>
      <c r="EM171" s="528">
        <f t="shared" si="407"/>
        <v>3.8038655219495836E-2</v>
      </c>
      <c r="EN171" s="528">
        <f t="shared" si="408"/>
        <v>0.20414562329234973</v>
      </c>
      <c r="EO171">
        <f t="shared" si="409"/>
        <v>8.5500000000000003E-3</v>
      </c>
      <c r="EP171" s="460">
        <f t="shared" si="410"/>
        <v>46.588655219495841</v>
      </c>
      <c r="EQ171" s="460"/>
      <c r="ER171" s="460">
        <f t="shared" si="432"/>
        <v>759.28964432046212</v>
      </c>
      <c r="ES171" s="528">
        <f t="shared" si="411"/>
        <v>0.42699999999999999</v>
      </c>
      <c r="EV171" s="460">
        <f t="shared" si="494"/>
        <v>427</v>
      </c>
      <c r="EW171" s="528">
        <f t="shared" si="413"/>
        <v>2.2783048712924796E-2</v>
      </c>
      <c r="EX171" s="528">
        <f t="shared" si="414"/>
        <v>2.6394995460095789E-2</v>
      </c>
      <c r="EY171" s="528">
        <f t="shared" si="415"/>
        <v>0.72862212829464335</v>
      </c>
      <c r="EZ171" s="528"/>
      <c r="FA171" s="528">
        <f t="shared" si="416"/>
        <v>8.1333333333333327E-3</v>
      </c>
      <c r="FB171" s="460">
        <f t="shared" si="417"/>
        <v>785.9335058009973</v>
      </c>
      <c r="FC171" s="173">
        <f t="shared" si="418"/>
        <v>1.9722231501214593</v>
      </c>
      <c r="FD171" s="5">
        <f t="shared" si="419"/>
        <v>9.76</v>
      </c>
      <c r="FE171" s="173">
        <f t="shared" si="420"/>
        <v>0.83189689414482015</v>
      </c>
      <c r="FF171" s="5">
        <f t="shared" si="421"/>
        <v>83.189689414482018</v>
      </c>
      <c r="FI171" s="562">
        <f t="shared" si="422"/>
        <v>-50</v>
      </c>
      <c r="FJ171">
        <f t="shared" si="423"/>
        <v>-50</v>
      </c>
      <c r="FL171">
        <f t="shared" si="476"/>
        <v>0.53672316384180774</v>
      </c>
    </row>
    <row r="172" spans="5:168">
      <c r="E172" s="170">
        <v>62</v>
      </c>
      <c r="F172" s="217">
        <f t="shared" si="477"/>
        <v>0.62</v>
      </c>
      <c r="G172" s="217"/>
      <c r="H172" s="217">
        <f t="shared" si="442"/>
        <v>9.92</v>
      </c>
      <c r="I172" s="541">
        <f t="shared" si="443"/>
        <v>18.94043631767255</v>
      </c>
      <c r="J172" s="172">
        <f t="shared" si="444"/>
        <v>16.435738209396469</v>
      </c>
      <c r="K172" s="172">
        <f t="shared" si="445"/>
        <v>35.376174527069018</v>
      </c>
      <c r="L172" s="443"/>
      <c r="M172" s="217">
        <f t="shared" si="446"/>
        <v>0.46458268366053213</v>
      </c>
      <c r="N172" s="172">
        <f t="shared" si="447"/>
        <v>22.207482555350737</v>
      </c>
      <c r="O172" s="172">
        <f t="shared" si="438"/>
        <v>9.92</v>
      </c>
      <c r="P172" s="217">
        <f t="shared" si="448"/>
        <v>1.387967659709421</v>
      </c>
      <c r="Q172" s="217">
        <f t="shared" si="449"/>
        <v>16</v>
      </c>
      <c r="R172" s="217"/>
      <c r="S172" s="172">
        <f t="shared" si="450"/>
        <v>57.56299785539872</v>
      </c>
      <c r="T172" s="172">
        <f t="shared" si="451"/>
        <v>16</v>
      </c>
      <c r="U172" s="217">
        <f t="shared" si="452"/>
        <v>2.315950497226372</v>
      </c>
      <c r="V172" s="217">
        <f t="shared" si="453"/>
        <v>1.4673054781101023</v>
      </c>
      <c r="W172" s="217">
        <f t="shared" si="454"/>
        <v>1.6909131559924613</v>
      </c>
      <c r="X172" s="197">
        <f t="shared" si="455"/>
        <v>350</v>
      </c>
      <c r="Y172" s="443">
        <f t="shared" si="328"/>
        <v>297.77691953854452</v>
      </c>
      <c r="AA172" s="217">
        <f t="shared" si="456"/>
        <v>2.0951688870416212</v>
      </c>
      <c r="AB172" s="173">
        <f t="shared" si="457"/>
        <v>1.5297169086159765</v>
      </c>
      <c r="AC172" s="173">
        <f t="shared" si="458"/>
        <v>0.56087767275989486</v>
      </c>
      <c r="AD172" s="173"/>
      <c r="AE172" s="173">
        <f t="shared" si="459"/>
        <v>0.73011627753595421</v>
      </c>
      <c r="AF172" s="545">
        <f t="shared" si="460"/>
        <v>1698.3596149709683</v>
      </c>
      <c r="AG172" s="528">
        <f t="shared" si="461"/>
        <v>0.12777034856879199</v>
      </c>
      <c r="AI172" s="173">
        <f t="shared" si="462"/>
        <v>2.2028290997656166</v>
      </c>
      <c r="AJ172" s="173">
        <f t="shared" si="463"/>
        <v>2.315950497226372</v>
      </c>
      <c r="AK172" s="173">
        <f t="shared" si="464"/>
        <v>2.1747781460936091</v>
      </c>
      <c r="AM172" s="545">
        <f t="shared" si="465"/>
        <v>620</v>
      </c>
      <c r="AN172" s="460">
        <f t="shared" si="466"/>
        <v>297.77691953854452</v>
      </c>
      <c r="AP172">
        <f t="shared" si="467"/>
        <v>620</v>
      </c>
      <c r="AQ172">
        <f t="shared" si="468"/>
        <v>297.77691953854452</v>
      </c>
      <c r="AS172" s="5">
        <f t="shared" si="439"/>
        <v>3.3582186341025637</v>
      </c>
      <c r="AT172" s="5">
        <f t="shared" si="469"/>
        <v>1.4673054781101023</v>
      </c>
      <c r="AU172" s="5">
        <f t="shared" si="478"/>
        <v>1.8909131559924615</v>
      </c>
      <c r="AV172" s="5"/>
      <c r="AW172" s="173">
        <f t="shared" si="479"/>
        <v>0.43692970529365754</v>
      </c>
      <c r="AX172" s="173">
        <f t="shared" si="435"/>
        <v>9.5829854276949415</v>
      </c>
      <c r="AY172" s="173">
        <f t="shared" si="436"/>
        <v>0.65202146449927678</v>
      </c>
      <c r="AZ172" s="173">
        <f t="shared" si="440"/>
        <v>14.697346559064959</v>
      </c>
      <c r="BA172" s="460">
        <f t="shared" si="433"/>
        <v>5.6858087276766467</v>
      </c>
      <c r="BB172" s="5">
        <f t="shared" si="434"/>
        <v>0.82530035179913908</v>
      </c>
      <c r="BD172" s="173">
        <f t="shared" si="441"/>
        <v>0.88384158380416133</v>
      </c>
      <c r="BE172" s="173">
        <f t="shared" si="437"/>
        <v>1.0033442197336424</v>
      </c>
      <c r="BG172" s="528">
        <f t="shared" si="480"/>
        <v>1.5623518905228966E-2</v>
      </c>
      <c r="BH172" s="528">
        <f t="shared" si="470"/>
        <v>0.44523986431658913</v>
      </c>
      <c r="BI172" s="528">
        <f t="shared" si="471"/>
        <v>0.12972056997202763</v>
      </c>
      <c r="BJ172" s="528">
        <f t="shared" si="481"/>
        <v>0.1835350453048338</v>
      </c>
      <c r="BK172">
        <f t="shared" si="482"/>
        <v>8.5231963429526474E-3</v>
      </c>
      <c r="BL172" s="460">
        <f t="shared" si="427"/>
        <v>138.24376631498029</v>
      </c>
      <c r="BM172" s="528">
        <f t="shared" si="472"/>
        <v>0.6510335114383009</v>
      </c>
      <c r="BN172" s="460">
        <f t="shared" si="353"/>
        <v>651.03351143830093</v>
      </c>
      <c r="BO172" s="528">
        <f t="shared" si="483"/>
        <v>0.434</v>
      </c>
      <c r="BR172" s="460">
        <f t="shared" si="484"/>
        <v>434</v>
      </c>
      <c r="BS172" s="528">
        <f t="shared" si="485"/>
        <v>2.3435278357843446E-2</v>
      </c>
      <c r="BT172" s="528">
        <f t="shared" si="486"/>
        <v>3.020098869818735E-2</v>
      </c>
      <c r="BU172" s="528">
        <f t="shared" si="487"/>
        <v>0.62448321117528516</v>
      </c>
      <c r="BV172" s="528"/>
      <c r="BW172" s="528">
        <f t="shared" si="488"/>
        <v>7.9858211897457856E-3</v>
      </c>
      <c r="BX172" s="460">
        <f t="shared" si="489"/>
        <v>686.10529942106166</v>
      </c>
      <c r="BY172" s="173">
        <f t="shared" si="490"/>
        <v>1.9027474942626941</v>
      </c>
      <c r="BZ172" s="5">
        <f t="shared" si="491"/>
        <v>9.92</v>
      </c>
      <c r="CA172" s="173">
        <f t="shared" si="492"/>
        <v>0.83906046414456081</v>
      </c>
      <c r="CB172" s="5">
        <f t="shared" si="493"/>
        <v>83.906046414456085</v>
      </c>
      <c r="CE172" s="562">
        <f t="shared" si="473"/>
        <v>-50</v>
      </c>
      <c r="CF172">
        <f t="shared" si="474"/>
        <v>-50</v>
      </c>
      <c r="CG172" s="173">
        <f t="shared" si="475"/>
        <v>0.52045136883206555</v>
      </c>
      <c r="CI172" s="170">
        <v>62</v>
      </c>
      <c r="CJ172" s="217">
        <f t="shared" si="428"/>
        <v>0.62</v>
      </c>
      <c r="CK172" s="217"/>
      <c r="CL172" s="217">
        <f t="shared" si="368"/>
        <v>9.92</v>
      </c>
      <c r="CM172" s="541">
        <f t="shared" si="369"/>
        <v>19</v>
      </c>
      <c r="CN172" s="443">
        <f t="shared" si="370"/>
        <v>16.399999999999999</v>
      </c>
      <c r="CO172" s="443">
        <f t="shared" si="371"/>
        <v>35.4</v>
      </c>
      <c r="CP172" s="443"/>
      <c r="CQ172" s="217">
        <f t="shared" si="372"/>
        <v>0.4632768361581921</v>
      </c>
      <c r="CR172" s="172">
        <f t="shared" si="429"/>
        <v>22.214703389830511</v>
      </c>
      <c r="CS172" s="172">
        <f t="shared" si="373"/>
        <v>9.92</v>
      </c>
      <c r="CT172" s="217">
        <f t="shared" si="374"/>
        <v>1.3884189618644069</v>
      </c>
      <c r="CU172" s="217">
        <f t="shared" si="375"/>
        <v>16</v>
      </c>
      <c r="CV172" s="217"/>
      <c r="CW172" s="172">
        <f t="shared" si="376"/>
        <v>57.743614054906665</v>
      </c>
      <c r="CX172" s="172">
        <f t="shared" si="377"/>
        <v>16</v>
      </c>
      <c r="CY172" s="217">
        <f t="shared" si="378"/>
        <v>2.2539666238767651</v>
      </c>
      <c r="CZ172" s="217">
        <f t="shared" si="379"/>
        <v>1.4235578677116412</v>
      </c>
      <c r="DA172" s="217">
        <f t="shared" si="380"/>
        <v>1.6492438711293405</v>
      </c>
      <c r="DB172" s="197">
        <f t="shared" si="381"/>
        <v>350</v>
      </c>
      <c r="DC172" s="443">
        <f t="shared" si="382"/>
        <v>325.43590019484509</v>
      </c>
      <c r="DE172" s="217">
        <f t="shared" si="383"/>
        <v>2.0957761635727734</v>
      </c>
      <c r="DF172" s="173">
        <f t="shared" si="384"/>
        <v>1.5334947538337369</v>
      </c>
      <c r="DG172" s="173">
        <f t="shared" si="385"/>
        <v>0.5624258066085126</v>
      </c>
      <c r="DH172" s="173"/>
      <c r="DI172" s="173">
        <f t="shared" si="386"/>
        <v>0.73170731707317083</v>
      </c>
      <c r="DJ172" s="545">
        <f t="shared" si="387"/>
        <v>1694.6666666666665</v>
      </c>
      <c r="DK172" s="528">
        <f t="shared" si="388"/>
        <v>0.12804878048780488</v>
      </c>
      <c r="DM172" s="173">
        <f t="shared" si="389"/>
        <v>2.2004328578497372</v>
      </c>
      <c r="DN172" s="173">
        <f t="shared" si="390"/>
        <v>2.2539666238767651</v>
      </c>
      <c r="DO172" s="173">
        <f t="shared" si="391"/>
        <v>2.1288641658346408</v>
      </c>
      <c r="DQ172" s="545">
        <f t="shared" si="392"/>
        <v>620</v>
      </c>
      <c r="DR172" s="460">
        <f t="shared" si="393"/>
        <v>325.43590019484509</v>
      </c>
      <c r="DT172">
        <f t="shared" si="430"/>
        <v>620</v>
      </c>
      <c r="DU172">
        <f t="shared" si="431"/>
        <v>325.43590019484509</v>
      </c>
      <c r="DW172" s="5">
        <f t="shared" si="394"/>
        <v>3.072801738840981</v>
      </c>
      <c r="DX172" s="5">
        <f t="shared" si="395"/>
        <v>1.4235578677116412</v>
      </c>
      <c r="DY172" s="5">
        <f t="shared" si="396"/>
        <v>1.6492438711293398</v>
      </c>
      <c r="DZ172" s="5"/>
      <c r="EA172" s="173">
        <f t="shared" si="397"/>
        <v>0.46327683615819215</v>
      </c>
      <c r="EB172" s="173">
        <f t="shared" si="398"/>
        <v>9.9200000000000017</v>
      </c>
      <c r="EC172" s="173">
        <f t="shared" si="399"/>
        <v>0.60487804878048768</v>
      </c>
      <c r="ED172" s="173">
        <f t="shared" si="400"/>
        <v>16.400000000000006</v>
      </c>
      <c r="EE172" s="460">
        <f t="shared" si="401"/>
        <v>5.5162867373826092</v>
      </c>
      <c r="EF172" s="5">
        <f t="shared" si="402"/>
        <v>0.71756575445627402</v>
      </c>
      <c r="EH172" s="173">
        <f t="shared" si="403"/>
        <v>0.88574181238413197</v>
      </c>
      <c r="EI172" s="173">
        <f t="shared" si="404"/>
        <v>0.95337118810633292</v>
      </c>
      <c r="EK172" s="528">
        <f t="shared" si="405"/>
        <v>1.5690771164110537E-2</v>
      </c>
      <c r="EL172" s="528">
        <f t="shared" si="406"/>
        <v>0.49336666666666673</v>
      </c>
      <c r="EM172" s="528">
        <f t="shared" si="407"/>
        <v>3.7425128522407189E-2</v>
      </c>
      <c r="EN172" s="528">
        <f t="shared" si="408"/>
        <v>0.20085295194892472</v>
      </c>
      <c r="EO172">
        <f t="shared" si="409"/>
        <v>8.5500000000000003E-3</v>
      </c>
      <c r="EP172" s="460">
        <f t="shared" si="410"/>
        <v>45.975128522407189</v>
      </c>
      <c r="EQ172" s="460"/>
      <c r="ER172" s="460">
        <f t="shared" si="432"/>
        <v>755.88551830210918</v>
      </c>
      <c r="ES172" s="528">
        <f t="shared" si="411"/>
        <v>0.434</v>
      </c>
      <c r="EV172" s="460">
        <f t="shared" si="494"/>
        <v>434</v>
      </c>
      <c r="EW172" s="528">
        <f t="shared" si="413"/>
        <v>2.3536156746165805E-2</v>
      </c>
      <c r="EX172" s="528">
        <f t="shared" si="414"/>
        <v>2.7267498669338423E-2</v>
      </c>
      <c r="EY172" s="528">
        <f t="shared" si="415"/>
        <v>0.72862212829464412</v>
      </c>
      <c r="EZ172" s="528"/>
      <c r="FA172" s="528">
        <f t="shared" si="416"/>
        <v>8.266666666666667E-3</v>
      </c>
      <c r="FB172" s="460">
        <f t="shared" si="417"/>
        <v>787.69245037681503</v>
      </c>
      <c r="FC172" s="173">
        <f t="shared" si="418"/>
        <v>1.9775779686789241</v>
      </c>
      <c r="FD172" s="5">
        <f t="shared" si="419"/>
        <v>9.92</v>
      </c>
      <c r="FE172" s="173">
        <f t="shared" si="420"/>
        <v>0.83378314696612921</v>
      </c>
      <c r="FF172" s="5">
        <f t="shared" si="421"/>
        <v>83.378314696612918</v>
      </c>
      <c r="FI172" s="562">
        <f t="shared" si="422"/>
        <v>-50</v>
      </c>
      <c r="FJ172">
        <f t="shared" si="423"/>
        <v>-50</v>
      </c>
      <c r="FL172">
        <f t="shared" si="476"/>
        <v>0.53672316384180785</v>
      </c>
    </row>
    <row r="173" spans="5:168">
      <c r="E173" s="170">
        <v>63</v>
      </c>
      <c r="F173" s="217">
        <f t="shared" si="477"/>
        <v>0.63</v>
      </c>
      <c r="G173" s="217"/>
      <c r="H173" s="217">
        <f t="shared" si="442"/>
        <v>10.08</v>
      </c>
      <c r="I173" s="541">
        <f t="shared" si="443"/>
        <v>18.939505634432148</v>
      </c>
      <c r="J173" s="172">
        <f t="shared" si="444"/>
        <v>16.436296619340709</v>
      </c>
      <c r="K173" s="172">
        <f t="shared" si="445"/>
        <v>35.375802253772861</v>
      </c>
      <c r="L173" s="443"/>
      <c r="M173" s="217">
        <f t="shared" si="446"/>
        <v>0.46460336649368333</v>
      </c>
      <c r="N173" s="172">
        <f t="shared" si="447"/>
        <v>22.207379948048381</v>
      </c>
      <c r="O173" s="172">
        <f t="shared" si="438"/>
        <v>10.08</v>
      </c>
      <c r="P173" s="217">
        <f>N173/Vout</f>
        <v>1.3879612467530238</v>
      </c>
      <c r="Q173" s="217">
        <f t="shared" si="449"/>
        <v>16</v>
      </c>
      <c r="R173" s="217"/>
      <c r="S173" s="172">
        <f t="shared" si="450"/>
        <v>56.350755292345752</v>
      </c>
      <c r="T173" s="172">
        <f t="shared" si="451"/>
        <v>16</v>
      </c>
      <c r="U173" s="217">
        <f t="shared" si="452"/>
        <v>2.3533954476856729</v>
      </c>
      <c r="V173" s="217">
        <f t="shared" si="453"/>
        <v>1.49110256187924</v>
      </c>
      <c r="W173" s="217">
        <f t="shared" si="454"/>
        <v>1.718193947595043</v>
      </c>
      <c r="X173" s="197">
        <f t="shared" si="455"/>
        <v>350</v>
      </c>
      <c r="Y173" s="443">
        <f t="shared" si="328"/>
        <v>293.31564362942459</v>
      </c>
      <c r="AA173" s="217">
        <f t="shared" si="456"/>
        <v>2.0951591644890106</v>
      </c>
      <c r="AB173" s="173">
        <f t="shared" si="457"/>
        <v>1.5296578393628806</v>
      </c>
      <c r="AC173" s="173">
        <f t="shared" si="458"/>
        <v>0.56085341211787965</v>
      </c>
      <c r="AD173" s="173"/>
      <c r="AE173" s="173">
        <f t="shared" si="459"/>
        <v>0.73009147242326555</v>
      </c>
      <c r="AF173" s="545">
        <f t="shared" si="460"/>
        <v>1725.8111450307745</v>
      </c>
      <c r="AG173" s="528">
        <f t="shared" si="461"/>
        <v>0.12776600767407148</v>
      </c>
      <c r="AI173" s="173">
        <f t="shared" si="462"/>
        <v>2.2205605116281366</v>
      </c>
      <c r="AJ173" s="173">
        <f t="shared" si="463"/>
        <v>2.3533954476856729</v>
      </c>
      <c r="AK173" s="173">
        <f t="shared" si="464"/>
        <v>2.2025151464338317</v>
      </c>
      <c r="AM173" s="545">
        <f t="shared" si="465"/>
        <v>630</v>
      </c>
      <c r="AN173" s="460">
        <f t="shared" si="466"/>
        <v>293.31564362942459</v>
      </c>
      <c r="AP173">
        <f t="shared" si="467"/>
        <v>630</v>
      </c>
      <c r="AQ173">
        <f t="shared" si="468"/>
        <v>293.31564362942459</v>
      </c>
      <c r="AS173" s="5">
        <f t="shared" si="439"/>
        <v>3.4092965094742831</v>
      </c>
      <c r="AT173" s="5">
        <f t="shared" si="469"/>
        <v>1.49110256187924</v>
      </c>
      <c r="AU173" s="5">
        <f t="shared" si="478"/>
        <v>1.9181939475950431</v>
      </c>
      <c r="AV173" s="5"/>
      <c r="AW173" s="173">
        <f t="shared" si="479"/>
        <v>0.43736370765509319</v>
      </c>
      <c r="AX173" s="173">
        <f t="shared" si="435"/>
        <v>9.74711959102968</v>
      </c>
      <c r="AY173" s="173">
        <f t="shared" si="436"/>
        <v>0.66205284455362456</v>
      </c>
      <c r="AZ173" s="173">
        <f t="shared" si="440"/>
        <v>14.722570367628997</v>
      </c>
      <c r="BA173" s="460">
        <f t="shared" si="433"/>
        <v>5.8712163373995079</v>
      </c>
      <c r="BB173" s="5">
        <f t="shared" si="434"/>
        <v>0.85075236232698326</v>
      </c>
      <c r="BD173" s="173">
        <f t="shared" si="441"/>
        <v>0.89857773401228314</v>
      </c>
      <c r="BE173" s="173">
        <f t="shared" si="437"/>
        <v>1.0191735705952645</v>
      </c>
      <c r="BG173" s="528">
        <f t="shared" si="480"/>
        <v>1.6148838881252989E-2</v>
      </c>
      <c r="BH173" s="528">
        <f t="shared" si="470"/>
        <v>0.44565553170688876</v>
      </c>
      <c r="BI173" s="528">
        <f t="shared" si="471"/>
        <v>0.12777082555929131</v>
      </c>
      <c r="BJ173" s="528">
        <f t="shared" si="481"/>
        <v>0.18078152939998315</v>
      </c>
      <c r="BK173">
        <f t="shared" si="482"/>
        <v>8.522777535494467E-3</v>
      </c>
      <c r="BL173" s="460">
        <f t="shared" si="427"/>
        <v>136.29360309478577</v>
      </c>
      <c r="BM173" s="528">
        <f t="shared" si="472"/>
        <v>0.64943795662261206</v>
      </c>
      <c r="BN173" s="460">
        <f t="shared" si="353"/>
        <v>649.43795662261209</v>
      </c>
      <c r="BO173" s="528">
        <f t="shared" si="483"/>
        <v>0.44099999999999995</v>
      </c>
      <c r="BR173" s="460">
        <f t="shared" si="484"/>
        <v>440.99999999999994</v>
      </c>
      <c r="BS173" s="528">
        <f t="shared" si="485"/>
        <v>2.4223258321879482E-2</v>
      </c>
      <c r="BT173" s="528">
        <f t="shared" si="486"/>
        <v>3.1161443009997018E-2</v>
      </c>
      <c r="BU173" s="528">
        <f t="shared" si="487"/>
        <v>0.6259582134092474</v>
      </c>
      <c r="BV173" s="528"/>
      <c r="BW173" s="528">
        <f t="shared" si="488"/>
        <v>8.1225996591914006E-3</v>
      </c>
      <c r="BX173" s="460">
        <f t="shared" si="489"/>
        <v>689.46551440031521</v>
      </c>
      <c r="BY173" s="173">
        <f t="shared" si="490"/>
        <v>1.909345017483226</v>
      </c>
      <c r="BZ173" s="5">
        <f t="shared" si="491"/>
        <v>10.08</v>
      </c>
      <c r="CA173" s="173">
        <f t="shared" si="492"/>
        <v>0.84074651161519154</v>
      </c>
      <c r="CB173" s="5">
        <f t="shared" si="493"/>
        <v>84.074651161519157</v>
      </c>
      <c r="CE173" s="562">
        <f t="shared" si="473"/>
        <v>-50</v>
      </c>
      <c r="CF173">
        <f t="shared" si="474"/>
        <v>-50</v>
      </c>
      <c r="CG173" s="173">
        <f t="shared" si="475"/>
        <v>0.52070965129253777</v>
      </c>
      <c r="CI173" s="170">
        <v>63</v>
      </c>
      <c r="CJ173" s="217">
        <f t="shared" si="428"/>
        <v>0.63</v>
      </c>
      <c r="CK173" s="217"/>
      <c r="CL173" s="217">
        <f t="shared" si="368"/>
        <v>10.08</v>
      </c>
      <c r="CM173" s="541">
        <f t="shared" si="369"/>
        <v>19</v>
      </c>
      <c r="CN173" s="443">
        <f t="shared" si="370"/>
        <v>16.399999999999999</v>
      </c>
      <c r="CO173" s="443">
        <f t="shared" si="371"/>
        <v>35.4</v>
      </c>
      <c r="CP173" s="443"/>
      <c r="CQ173" s="217">
        <f t="shared" si="372"/>
        <v>0.4632768361581921</v>
      </c>
      <c r="CR173" s="172">
        <f t="shared" si="429"/>
        <v>22.214703389830511</v>
      </c>
      <c r="CS173" s="172">
        <f t="shared" si="373"/>
        <v>10.08</v>
      </c>
      <c r="CT173" s="217">
        <f t="shared" si="374"/>
        <v>1.3884189618644069</v>
      </c>
      <c r="CU173" s="217">
        <f t="shared" si="375"/>
        <v>16</v>
      </c>
      <c r="CV173" s="217"/>
      <c r="CW173" s="172">
        <f t="shared" si="376"/>
        <v>56.530321919307255</v>
      </c>
      <c r="CX173" s="172">
        <f t="shared" si="377"/>
        <v>16</v>
      </c>
      <c r="CY173" s="217">
        <f t="shared" si="378"/>
        <v>2.2903209242618741</v>
      </c>
      <c r="CZ173" s="217">
        <f t="shared" si="379"/>
        <v>1.4465184784811838</v>
      </c>
      <c r="DA173" s="217">
        <f t="shared" si="380"/>
        <v>1.6758445787282006</v>
      </c>
      <c r="DB173" s="197">
        <f t="shared" si="381"/>
        <v>350</v>
      </c>
      <c r="DC173" s="443">
        <f t="shared" si="382"/>
        <v>320.2702509854031</v>
      </c>
      <c r="DE173" s="217">
        <f t="shared" si="383"/>
        <v>2.0957761635727734</v>
      </c>
      <c r="DF173" s="173">
        <f t="shared" si="384"/>
        <v>1.5334947538337369</v>
      </c>
      <c r="DG173" s="173">
        <f t="shared" si="385"/>
        <v>0.5624258066085126</v>
      </c>
      <c r="DH173" s="173"/>
      <c r="DI173" s="173">
        <f t="shared" si="386"/>
        <v>0.73170731707317083</v>
      </c>
      <c r="DJ173" s="545">
        <f t="shared" si="387"/>
        <v>1721.9999999999998</v>
      </c>
      <c r="DK173" s="528">
        <f t="shared" si="388"/>
        <v>0.12804878048780488</v>
      </c>
      <c r="DM173" s="173">
        <f t="shared" si="389"/>
        <v>2.2181073012818833</v>
      </c>
      <c r="DN173" s="173">
        <f t="shared" si="390"/>
        <v>2.2903209242618741</v>
      </c>
      <c r="DO173" s="173">
        <f t="shared" si="391"/>
        <v>2.1557932772310178</v>
      </c>
      <c r="DQ173" s="545">
        <f t="shared" si="392"/>
        <v>630</v>
      </c>
      <c r="DR173" s="460">
        <f t="shared" si="393"/>
        <v>320.2702509854031</v>
      </c>
      <c r="DT173">
        <f t="shared" si="430"/>
        <v>630</v>
      </c>
      <c r="DU173">
        <f t="shared" si="431"/>
        <v>320.2702509854031</v>
      </c>
      <c r="DW173" s="5">
        <f t="shared" si="394"/>
        <v>3.1223630572093843</v>
      </c>
      <c r="DX173" s="5">
        <f t="shared" si="395"/>
        <v>1.4465184784811838</v>
      </c>
      <c r="DY173" s="5">
        <f t="shared" si="396"/>
        <v>1.6758445787282006</v>
      </c>
      <c r="DZ173" s="5"/>
      <c r="EA173" s="173">
        <f t="shared" si="397"/>
        <v>0.4632768361581921</v>
      </c>
      <c r="EB173" s="173">
        <f t="shared" si="398"/>
        <v>10.079999999999998</v>
      </c>
      <c r="EC173" s="173">
        <f t="shared" si="399"/>
        <v>0.61463414634146341</v>
      </c>
      <c r="ED173" s="173">
        <f t="shared" si="400"/>
        <v>16.399999999999999</v>
      </c>
      <c r="EE173" s="460">
        <f t="shared" si="401"/>
        <v>5.6956665090196612</v>
      </c>
      <c r="EF173" s="5">
        <f t="shared" si="402"/>
        <v>0.74089970849036235</v>
      </c>
      <c r="EH173" s="173">
        <f t="shared" si="403"/>
        <v>0.90002797064839202</v>
      </c>
      <c r="EI173" s="173">
        <f t="shared" si="404"/>
        <v>0.9687481427532092</v>
      </c>
      <c r="EK173" s="528">
        <f t="shared" si="405"/>
        <v>1.6201006958989256E-2</v>
      </c>
      <c r="EL173" s="528">
        <f t="shared" si="406"/>
        <v>0.49336666666666668</v>
      </c>
      <c r="EM173" s="528">
        <f t="shared" si="407"/>
        <v>3.6831078863321355E-2</v>
      </c>
      <c r="EN173" s="528">
        <f t="shared" si="408"/>
        <v>0.19766480985449733</v>
      </c>
      <c r="EO173">
        <f t="shared" si="409"/>
        <v>8.5500000000000003E-3</v>
      </c>
      <c r="EP173" s="460">
        <f t="shared" si="410"/>
        <v>45.381078863321356</v>
      </c>
      <c r="EQ173" s="460"/>
      <c r="ER173" s="460">
        <f t="shared" si="432"/>
        <v>752.61356234347454</v>
      </c>
      <c r="ES173" s="528">
        <f t="shared" si="411"/>
        <v>0.44099999999999995</v>
      </c>
      <c r="EV173" s="460">
        <f t="shared" si="494"/>
        <v>440.99999999999994</v>
      </c>
      <c r="EW173" s="528">
        <f t="shared" si="413"/>
        <v>2.4301510438483883E-2</v>
      </c>
      <c r="EX173" s="528">
        <f t="shared" si="414"/>
        <v>2.8154188922633761E-2</v>
      </c>
      <c r="EY173" s="528">
        <f t="shared" si="415"/>
        <v>0.7286221282946449</v>
      </c>
      <c r="EZ173" s="528"/>
      <c r="FA173" s="528">
        <f t="shared" si="416"/>
        <v>8.3999999999999995E-3</v>
      </c>
      <c r="FB173" s="460">
        <f t="shared" si="417"/>
        <v>789.47782765576244</v>
      </c>
      <c r="FC173" s="173">
        <f t="shared" si="418"/>
        <v>1.9830913899992368</v>
      </c>
      <c r="FD173" s="5">
        <f t="shared" si="419"/>
        <v>10.08</v>
      </c>
      <c r="FE173" s="173">
        <f t="shared" si="420"/>
        <v>0.83560670097854894</v>
      </c>
      <c r="FF173" s="5">
        <f t="shared" si="421"/>
        <v>83.560670097854896</v>
      </c>
      <c r="FI173" s="562">
        <f t="shared" si="422"/>
        <v>-50</v>
      </c>
      <c r="FJ173">
        <f t="shared" si="423"/>
        <v>-50</v>
      </c>
      <c r="FL173">
        <f t="shared" si="476"/>
        <v>0.53672316384180796</v>
      </c>
    </row>
    <row r="174" spans="5:168">
      <c r="E174" s="170">
        <v>64</v>
      </c>
      <c r="F174" s="217">
        <f t="shared" si="477"/>
        <v>0.64</v>
      </c>
      <c r="G174" s="217"/>
      <c r="H174" s="217">
        <f t="shared" ref="H174:H205" si="495">F174*Vout</f>
        <v>10.24</v>
      </c>
      <c r="I174" s="541">
        <f t="shared" ref="I174:I210" si="496">VIN_min-F174*(Rdcr_pri+RON/1000)/CG174/Nps</f>
        <v>18.938574922353951</v>
      </c>
      <c r="J174" s="172">
        <f t="shared" ref="J174:J210" si="497">(T174+Vfwd1+F174/CG174*Rdcr_sec)*Nps</f>
        <v>16.436855046587628</v>
      </c>
      <c r="K174" s="172">
        <f t="shared" ref="K174:K210" si="498">(Vout+Vfwd1+F174/CG174*Rdcr_sec)*Nps++I174</f>
        <v>35.375429968941575</v>
      </c>
      <c r="L174" s="443"/>
      <c r="M174" s="217">
        <f t="shared" ref="M174:M209" si="499">(Vout+Vfwd1+F174/FL174*Rdcr_sec)*Nps/((Vout+Vfwd1+F174/FL174*Rdcr_sec)*Nps+I174)</f>
        <v>0.46462405014030089</v>
      </c>
      <c r="N174" s="172">
        <f t="shared" ref="N174:N205" si="500">M174*I174*(Isw_max+VIN_min/Lmag*ILIM_delay)*0.5*Efficiency</f>
        <v>22.207277248651419</v>
      </c>
      <c r="O174" s="172">
        <f t="shared" si="438"/>
        <v>10.24</v>
      </c>
      <c r="P174" s="217">
        <f t="shared" ref="P174:P205" si="501">N174/Vout</f>
        <v>1.3879548280407137</v>
      </c>
      <c r="Q174" s="217">
        <f t="shared" ref="Q174:Q210" si="502">MIN(Vout,N174/F174)</f>
        <v>16</v>
      </c>
      <c r="R174" s="217"/>
      <c r="S174" s="172">
        <f t="shared" ref="S174:S210" si="503">(SQRT(Isw_max^2*Nps^2*I174^2+4*Isw_max*F174/Efficiency*(Nps^2*Vfwd1*I174-Nps*I174^2)+4*(F174/Efficiency)^2*Nps^2*Vfwd1^2+8*(F174/Efficiency)^2*Nps*Vfwd1*I174+4*(F174/Efficiency)^2*I174^2)-2*F174/Efficiency*I174-2*F174/Efficiency*Nps*Vfwd1+Isw_max*Nps*I174)/(4*F174/Efficiency*Nps)</f>
        <v>55.17653962285889</v>
      </c>
      <c r="T174" s="172">
        <f t="shared" ref="T174:T205" si="504">MIN(Vout, S174)</f>
        <v>16</v>
      </c>
      <c r="U174" s="217">
        <f t="shared" ref="U174:U209" si="505">MIN(2*(Vout+Vfwd1+F174/FL174*Rdcr_sec)*F174/(I174*M174), Isw_max)</f>
        <v>2.3908432949508418</v>
      </c>
      <c r="V174" s="217">
        <f t="shared" ref="V174:V205" si="506">L*U174/I174*1000000</f>
        <v>1.5149038223327997</v>
      </c>
      <c r="W174" s="217">
        <f t="shared" ref="W174:W210" si="507">L*U174/J174*1000000</f>
        <v>1.7454749985987321</v>
      </c>
      <c r="X174" s="197">
        <f t="shared" ref="X174:X210" si="508">IF(1/((350000*L)*(1/I174+1/J174))&gt;Isw_min, 350, 0.001/((Isw_min*L)*(1/I174+1/J174)))</f>
        <v>350</v>
      </c>
      <c r="Y174" s="443">
        <f t="shared" ref="Y174:Y209" si="509">MIN(1/(V174+W174+0.2)*1000, 350)</f>
        <v>288.98570120447118</v>
      </c>
      <c r="AA174" s="217">
        <f t="shared" ref="AA174:AA210" si="510">1/((X174*1000*L)*(1/I174+1/J174))</f>
        <v>2.0951494344344295</v>
      </c>
      <c r="AB174" s="173">
        <f t="shared" ref="AB174:AB205" si="511">L*AA174/J174*1000000</f>
        <v>1.5295987670361986</v>
      </c>
      <c r="AC174" s="173">
        <f t="shared" ref="AC174:AC205" si="512">0.5*AB174*AA174*Nps*X174/1000</f>
        <v>0.5608291485418111</v>
      </c>
      <c r="AD174" s="173"/>
      <c r="AE174" s="173">
        <f t="shared" ref="AE174:AE210" si="513">L*Isw_min/J174*1000000</f>
        <v>0.73006666822746358</v>
      </c>
      <c r="AF174" s="545">
        <f t="shared" ref="AF174:AF205" si="514">MAX(12000,F174/(0.5*AE174/1000000*Isw_min*Nps))/1000</f>
        <v>1753.2645383026802</v>
      </c>
      <c r="AG174" s="528">
        <f t="shared" ref="AG174:AG210" si="515">0.5*AE174/1000000*Isw_min*Nps*X174*1000</f>
        <v>0.12776166693980615</v>
      </c>
      <c r="AI174" s="173">
        <f t="shared" ref="AI174:AI210" si="516">SQRT(F174/(0.5*L/J174*Fsw_DCM*Nps))</f>
        <v>2.2381526427599554</v>
      </c>
      <c r="AJ174" s="173">
        <f t="shared" ref="AJ174:AJ205" si="517">MAX(IF(F174&gt;AC174,U174,AI174),Isw_min)</f>
        <v>2.3908432949508418</v>
      </c>
      <c r="AK174" s="173">
        <f t="shared" ref="AK174:AK205" si="518">IF(F174&gt;AG174, (AJ174-Isw_min)/1.08*0.8+1.2, AF174*0.2/350+1)</f>
        <v>2.2302542925561788</v>
      </c>
      <c r="AM174" s="545">
        <f t="shared" ref="AM174:AM210" si="519">F174*1000</f>
        <v>640</v>
      </c>
      <c r="AN174" s="460">
        <f t="shared" ref="AN174:AN210" si="520">IF(F174&gt;AG174, Y174, AF174)</f>
        <v>288.98570120447118</v>
      </c>
      <c r="AP174">
        <f t="shared" ref="AP174:AP210" si="521">IF(H174&gt;N174, "",AM174)</f>
        <v>640</v>
      </c>
      <c r="AQ174">
        <f t="shared" ref="AQ174:AQ210" si="522">IF(H174&gt;N174, "",AN174)</f>
        <v>288.98570120447118</v>
      </c>
      <c r="AS174" s="5">
        <f t="shared" si="439"/>
        <v>3.460378820931532</v>
      </c>
      <c r="AT174" s="5">
        <f t="shared" ref="AT174:AT210" si="523">L*AJ174/I174*1000000</f>
        <v>1.5149038223327997</v>
      </c>
      <c r="AU174" s="5">
        <f t="shared" si="478"/>
        <v>1.9454749985987323</v>
      </c>
      <c r="AV174" s="5"/>
      <c r="AW174" s="173">
        <f t="shared" si="479"/>
        <v>0.43778554335417774</v>
      </c>
      <c r="AX174" s="173">
        <f t="shared" si="435"/>
        <v>9.9112818974067451</v>
      </c>
      <c r="AY174" s="173">
        <f t="shared" si="436"/>
        <v>0.67208333199804748</v>
      </c>
      <c r="AZ174" s="173">
        <f t="shared" si="440"/>
        <v>14.747102666482345</v>
      </c>
      <c r="BA174" s="460">
        <f t="shared" si="433"/>
        <v>6.0596152893311999</v>
      </c>
      <c r="BB174" s="5">
        <f t="shared" si="434"/>
        <v>0.87659112276256357</v>
      </c>
      <c r="BD174" s="173">
        <f t="shared" si="441"/>
        <v>0.91331626597798221</v>
      </c>
      <c r="BE174" s="173">
        <f t="shared" si="437"/>
        <v>1.0350027143139133</v>
      </c>
      <c r="BG174" s="528">
        <f t="shared" si="480"/>
        <v>1.6682932033999287E-2</v>
      </c>
      <c r="BH174" s="528">
        <f t="shared" ref="BH174:BH210" si="524">0.5*K174*AJ174*AN174*1000*Tfall</f>
        <v>0.4460587493775437</v>
      </c>
      <c r="BI174" s="528">
        <f t="shared" ref="BI174:BI210" si="525">Qg*Vdd*AN174*1000*0+Qg*I174*AN174*1000</f>
        <v>0.125878479136247</v>
      </c>
      <c r="BJ174" s="528">
        <f t="shared" si="481"/>
        <v>0.17810907325362557</v>
      </c>
      <c r="BK174">
        <f t="shared" si="482"/>
        <v>8.5223587150592781E-3</v>
      </c>
      <c r="BL174" s="460">
        <f t="shared" si="427"/>
        <v>134.40083785130628</v>
      </c>
      <c r="BM174" s="528">
        <f t="shared" ref="BM174:BM210" si="526">(BH174+BI174*0+BJ174+BK174*0+BG174*(1+RdsonTC*(Ta-25)))/(1-BG174*RdsonTC*ThetaJA)</f>
        <v>0.64792342708370054</v>
      </c>
      <c r="BN174" s="460">
        <f t="shared" ref="BN174:BN210" si="527">BM174*1000</f>
        <v>647.92342708370052</v>
      </c>
      <c r="BO174" s="528">
        <f t="shared" si="483"/>
        <v>0.44799999999999995</v>
      </c>
      <c r="BR174" s="460">
        <f t="shared" si="484"/>
        <v>447.99999999999994</v>
      </c>
      <c r="BS174" s="528">
        <f t="shared" si="485"/>
        <v>2.5024398050998931E-2</v>
      </c>
      <c r="BT174" s="528">
        <f t="shared" si="486"/>
        <v>3.2136918559115039E-2</v>
      </c>
      <c r="BU174" s="528">
        <f t="shared" si="487"/>
        <v>0.62739155769150545</v>
      </c>
      <c r="BV174" s="528"/>
      <c r="BW174" s="528">
        <f t="shared" si="488"/>
        <v>8.2594015811722887E-3</v>
      </c>
      <c r="BX174" s="460">
        <f t="shared" si="489"/>
        <v>692.81227588279171</v>
      </c>
      <c r="BY174" s="173">
        <f t="shared" si="490"/>
        <v>1.9160638683992666</v>
      </c>
      <c r="BZ174" s="5">
        <f t="shared" si="491"/>
        <v>10.24</v>
      </c>
      <c r="CA174" s="173">
        <f t="shared" si="492"/>
        <v>0.84237793671187933</v>
      </c>
      <c r="CB174" s="5">
        <f t="shared" si="493"/>
        <v>84.23779367118793</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0.52095986242612013</v>
      </c>
      <c r="CI174" s="170">
        <v>64</v>
      </c>
      <c r="CJ174" s="217">
        <f t="shared" si="428"/>
        <v>0.64</v>
      </c>
      <c r="CK174" s="217"/>
      <c r="CL174" s="217">
        <f t="shared" ref="CL174:CL210" si="531">CJ174*Vout</f>
        <v>10.24</v>
      </c>
      <c r="CM174" s="541">
        <f t="shared" ref="CM174:CM212" si="532">VIN_min</f>
        <v>19</v>
      </c>
      <c r="CN174" s="443">
        <f t="shared" ref="CN174:CN210" si="533">(CX174+Vfwd1)*Nps</f>
        <v>16.399999999999999</v>
      </c>
      <c r="CO174" s="443">
        <f t="shared" ref="CO174:CO210" si="534">(Vout+Vfwd1)*Nps+CM174</f>
        <v>35.4</v>
      </c>
      <c r="CP174" s="443"/>
      <c r="CQ174" s="217">
        <f t="shared" ref="CQ174:CQ210" si="535">(Vout+Vfwd1)*Nps/((Vout+Vfwd1)*Nps+CM174)</f>
        <v>0.4632768361581921</v>
      </c>
      <c r="CR174" s="172">
        <f t="shared" si="429"/>
        <v>22.214703389830511</v>
      </c>
      <c r="CS174" s="172">
        <f t="shared" ref="CS174:CS210" si="536">CX174*CJ174</f>
        <v>10.24</v>
      </c>
      <c r="CT174" s="217">
        <f t="shared" ref="CT174:CT210" si="537">CR174/Vout</f>
        <v>1.3884189618644069</v>
      </c>
      <c r="CU174" s="217">
        <f t="shared" ref="CU174:CU210" si="538">MIN(Vout,CR174/CJ174)</f>
        <v>16</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55.355060496881713</v>
      </c>
      <c r="CX174" s="172">
        <f t="shared" ref="CX174:CX210" si="540">MIN(Vout, CW174)</f>
        <v>16</v>
      </c>
      <c r="CY174" s="217">
        <f t="shared" ref="CY174:CY210" si="541">MIN(2*Vout*CJ174/(Efficiency*CM174*CQ174), Isw_max)</f>
        <v>2.3266752246469831</v>
      </c>
      <c r="CZ174" s="217">
        <f t="shared" ref="CZ174:CZ210" si="542">L*CY174/CM174*1000000</f>
        <v>1.4694790892507263</v>
      </c>
      <c r="DA174" s="217">
        <f t="shared" ref="DA174:DA210" si="543">L*CY174/CN174*1000000</f>
        <v>1.7024452863270609</v>
      </c>
      <c r="DB174" s="197">
        <f t="shared" ref="DB174:DB210" si="544">IF(1/((350000*L)*(1/CM174+1/CN174))&gt;Isw_min, 350, 0.001/((Isw_min*L)*(1/CM174+1/CN174)))</f>
        <v>350</v>
      </c>
      <c r="DC174" s="443">
        <f t="shared" ref="DC174:DC210" si="545">MIN(1/(CZ174+DA174)*1000, 350)</f>
        <v>315.26602831375618</v>
      </c>
      <c r="DE174" s="217">
        <f t="shared" ref="DE174:DE210" si="546">1/((DB174*1000*L)*(1/CM174+1/CN174))</f>
        <v>2.0957761635727734</v>
      </c>
      <c r="DF174" s="173">
        <f t="shared" ref="DF174:DF210" si="547">L*DE174/CN174*1000000</f>
        <v>1.5334947538337369</v>
      </c>
      <c r="DG174" s="173">
        <f t="shared" ref="DG174:DG210" si="548">0.5*DF174*DE174*Nps*DB174/1000</f>
        <v>0.5624258066085126</v>
      </c>
      <c r="DH174" s="173"/>
      <c r="DI174" s="173">
        <f t="shared" ref="DI174:DI210" si="549">L*Isw_min/CN174*1000000</f>
        <v>0.73170731707317083</v>
      </c>
      <c r="DJ174" s="545">
        <f t="shared" ref="DJ174:DJ210" si="550">MAX(12000,CJ174/(0.5*DI174/1000000*Isw_min*Nps))/1000</f>
        <v>1749.3333333333333</v>
      </c>
      <c r="DK174" s="528">
        <f t="shared" ref="DK174:DK210" si="551">0.5*DI174/1000000*Isw_min*Nps*DB174*1000</f>
        <v>0.12804878048780488</v>
      </c>
      <c r="DM174" s="173">
        <f t="shared" ref="DM174:DM210" si="552">SQRT(CJ174/(0.5*L/CN174*Fsw_DCM*Nps))</f>
        <v>2.2356420192184698</v>
      </c>
      <c r="DN174" s="173">
        <f t="shared" ref="DN174:DN210" si="553">MAX(IF(CJ174&gt;DG174,CY174,DM174),Isw_min)</f>
        <v>2.3266752246469831</v>
      </c>
      <c r="DO174" s="173">
        <f t="shared" ref="DO174:DO210" si="554">IF(CJ174&gt;DK174, (DN174-Isw_min)/1.08*0.8+1.2, DJ174*0.2/350+1)</f>
        <v>2.1827223886273948</v>
      </c>
      <c r="DQ174" s="545">
        <f t="shared" ref="DQ174:DQ210" si="555">CJ174*1000</f>
        <v>640</v>
      </c>
      <c r="DR174" s="460">
        <f t="shared" ref="DR174:DR210" si="556">IF(CJ174&gt;DK174, DC174, DJ174)</f>
        <v>315.26602831375618</v>
      </c>
      <c r="DT174">
        <f t="shared" si="430"/>
        <v>640</v>
      </c>
      <c r="DU174">
        <f t="shared" si="431"/>
        <v>315.26602831375618</v>
      </c>
      <c r="DW174" s="5">
        <f t="shared" ref="DW174:DW210" si="557">1/DR174*1000</f>
        <v>3.1719243755777873</v>
      </c>
      <c r="DX174" s="5">
        <f t="shared" ref="DX174:DX210" si="558">L*DN174/CM174*1000000</f>
        <v>1.4694790892507263</v>
      </c>
      <c r="DY174" s="5">
        <f t="shared" ref="DY174:DY210" si="559">DW174-DX174</f>
        <v>1.7024452863270609</v>
      </c>
      <c r="DZ174" s="5"/>
      <c r="EA174" s="173">
        <f t="shared" ref="EA174:EA210" si="560">DX174/DW174</f>
        <v>0.4632768361581921</v>
      </c>
      <c r="EB174" s="173">
        <f t="shared" ref="EB174:EB210" si="561">0.5*L*DN174^2*DR174*1000</f>
        <v>10.239999999999998</v>
      </c>
      <c r="EC174" s="173">
        <f t="shared" ref="EC174:EC210" si="562">DN174*Nps/2*(1-EA174)</f>
        <v>0.62439024390243902</v>
      </c>
      <c r="ED174" s="173">
        <f t="shared" ref="ED174:ED210" si="563">EB174/EC174</f>
        <v>16.399999999999999</v>
      </c>
      <c r="EE174" s="460">
        <f t="shared" ref="EE174:EE210" si="564">CJ174*DX174/Vout_ripple*1000</f>
        <v>5.8779163570029054</v>
      </c>
      <c r="EF174" s="5">
        <f t="shared" ref="EF174:EF210" si="565">CL174/Efficiency/CM174*DY174/Vinripple1</f>
        <v>0.76460700578899565</v>
      </c>
      <c r="EH174" s="173">
        <f t="shared" ref="EH174:EH210" si="566">DN174*SQRT(EA174/3)</f>
        <v>0.91431412891265218</v>
      </c>
      <c r="EI174" s="173">
        <f t="shared" ref="EI174:EI210" si="567">DN174*Nps*SQRT((1-EA174)/3)</f>
        <v>0.98412509740008547</v>
      </c>
      <c r="EK174" s="528">
        <f t="shared" ref="EK174:EK210" si="568">Rdson*EH174^2</f>
        <v>1.6719406526586038E-2</v>
      </c>
      <c r="EL174" s="528">
        <f t="shared" ref="EL174:EL210" si="569">0.5*CO174*DN174*DR174*1000*Trise</f>
        <v>0.49336666666666668</v>
      </c>
      <c r="EM174" s="528">
        <f t="shared" ref="EM174:EM210" si="570">Qg*Vdd*DR174*1000</f>
        <v>3.6255593256081964E-2</v>
      </c>
      <c r="EN174" s="528">
        <f t="shared" ref="EN174:EN210" si="571">0.5*(Coss+Csw)*CO174^2*DR174*1000</f>
        <v>0.19457629720052083</v>
      </c>
      <c r="EO174">
        <f t="shared" ref="EO174:EO210" si="572">CM174*IQ</f>
        <v>8.5500000000000003E-3</v>
      </c>
      <c r="EP174" s="460">
        <f t="shared" ref="EP174:EP210" si="573">(EO174+EM174)*1000</f>
        <v>44.805593256081963</v>
      </c>
      <c r="EQ174" s="460"/>
      <c r="ER174" s="460">
        <f t="shared" si="432"/>
        <v>749.46796364985551</v>
      </c>
      <c r="ES174" s="528">
        <f t="shared" ref="ES174:ES210" si="574">Vfwd2*CJ174</f>
        <v>0.44799999999999995</v>
      </c>
      <c r="EV174" s="460">
        <f t="shared" si="494"/>
        <v>447.99999999999994</v>
      </c>
      <c r="EW174" s="528">
        <f t="shared" ref="EW174:EW210" si="575">Rdcr_pri*EH174^2</f>
        <v>2.5079109789879057E-2</v>
      </c>
      <c r="EX174" s="528">
        <f t="shared" ref="EX174:EX210" si="576">Rdcr_sec*EI174^2</f>
        <v>2.9055066219981832E-2</v>
      </c>
      <c r="EY174" s="528">
        <f t="shared" ref="EY174:EY210" si="577">DN174^2.5*DR174^2.5*k_core</f>
        <v>0.72862212829464479</v>
      </c>
      <c r="EZ174" s="528"/>
      <c r="FA174" s="528">
        <f t="shared" ref="FA174:FA210" si="578">0.5*Lleak*0.000000001*DN174^2*DR174*1000</f>
        <v>8.5333333333333337E-3</v>
      </c>
      <c r="FB174" s="460">
        <f t="shared" ref="FB174:FB210" si="579">SUM(EW174:FA174)*1000</f>
        <v>791.28963763783895</v>
      </c>
      <c r="FC174" s="173">
        <f t="shared" ref="FC174:FC210" si="580">SUM(EK174:EO174,ES174:EU174,EW174:FA174)</f>
        <v>1.9887576012876944</v>
      </c>
      <c r="FD174" s="5">
        <f t="shared" ref="FD174:FD210" si="581">MIN(CL174,CS174)</f>
        <v>10.24</v>
      </c>
      <c r="FE174" s="173">
        <f t="shared" ref="FE174:FE210" si="582">FD174/(FD174+FC174)</f>
        <v>0.83737042910407533</v>
      </c>
      <c r="FF174" s="5">
        <f t="shared" ref="FF174:FF210" si="583">FE174*100</f>
        <v>83.737042910407538</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0.53672316384180796</v>
      </c>
    </row>
    <row r="175" spans="5:168">
      <c r="E175" s="170">
        <v>65</v>
      </c>
      <c r="F175" s="217">
        <f t="shared" ref="F175:F206" si="587">IF(PLOT_TYPE=1, E175/100*Iout_max, min_I*EXP(N175*rr/100))</f>
        <v>0.65</v>
      </c>
      <c r="G175" s="217"/>
      <c r="H175" s="217">
        <f t="shared" si="495"/>
        <v>10.4</v>
      </c>
      <c r="I175" s="541">
        <f t="shared" si="496"/>
        <v>18.937644182808569</v>
      </c>
      <c r="J175" s="172">
        <f t="shared" si="497"/>
        <v>16.437413490314857</v>
      </c>
      <c r="K175" s="172">
        <f t="shared" si="498"/>
        <v>35.375057673123422</v>
      </c>
      <c r="L175" s="443"/>
      <c r="M175" s="217">
        <f t="shared" si="499"/>
        <v>0.46464473458245736</v>
      </c>
      <c r="N175" s="172">
        <f t="shared" si="500"/>
        <v>22.207174457900042</v>
      </c>
      <c r="O175" s="172">
        <f t="shared" si="438"/>
        <v>10.4</v>
      </c>
      <c r="P175" s="217">
        <f t="shared" si="501"/>
        <v>1.3879484036187526</v>
      </c>
      <c r="Q175" s="217">
        <f t="shared" si="502"/>
        <v>16</v>
      </c>
      <c r="R175" s="217"/>
      <c r="S175" s="172">
        <f t="shared" si="503"/>
        <v>54.038597483969809</v>
      </c>
      <c r="T175" s="172">
        <f t="shared" si="504"/>
        <v>16</v>
      </c>
      <c r="U175" s="217">
        <f t="shared" si="505"/>
        <v>2.4282940394470276</v>
      </c>
      <c r="V175" s="217">
        <f t="shared" si="506"/>
        <v>1.5387092603533519</v>
      </c>
      <c r="W175" s="217">
        <f t="shared" si="507"/>
        <v>1.7727563092900067</v>
      </c>
      <c r="X175" s="197">
        <f t="shared" si="508"/>
        <v>350</v>
      </c>
      <c r="Y175" s="443">
        <f t="shared" si="509"/>
        <v>284.78137693987554</v>
      </c>
      <c r="AA175" s="217">
        <f t="shared" si="510"/>
        <v>2.0951396968913265</v>
      </c>
      <c r="AB175" s="173">
        <f t="shared" si="511"/>
        <v>1.5295396917227719</v>
      </c>
      <c r="AC175" s="173">
        <f t="shared" si="512"/>
        <v>0.56080488206737777</v>
      </c>
      <c r="AD175" s="173"/>
      <c r="AE175" s="173">
        <f t="shared" si="513"/>
        <v>0.73004186498505741</v>
      </c>
      <c r="AF175" s="545">
        <f t="shared" si="514"/>
        <v>1780.7197947841096</v>
      </c>
      <c r="AG175" s="528">
        <f t="shared" si="515"/>
        <v>0.12775732637238504</v>
      </c>
      <c r="AI175" s="173">
        <f t="shared" si="516"/>
        <v>2.2556087520313253</v>
      </c>
      <c r="AJ175" s="173">
        <f t="shared" si="517"/>
        <v>2.4282940394470276</v>
      </c>
      <c r="AK175" s="173">
        <f t="shared" si="518"/>
        <v>2.2579955847755757</v>
      </c>
      <c r="AM175" s="545">
        <f t="shared" si="519"/>
        <v>650</v>
      </c>
      <c r="AN175" s="460">
        <f t="shared" si="520"/>
        <v>284.78137693987554</v>
      </c>
      <c r="AP175">
        <f t="shared" si="521"/>
        <v>650</v>
      </c>
      <c r="AQ175">
        <f t="shared" si="522"/>
        <v>284.78137693987554</v>
      </c>
      <c r="AS175" s="5">
        <f t="shared" si="439"/>
        <v>3.5114655696433581</v>
      </c>
      <c r="AT175" s="5">
        <f t="shared" si="523"/>
        <v>1.5387092603533519</v>
      </c>
      <c r="AU175" s="5">
        <f t="shared" si="478"/>
        <v>1.9727563092900062</v>
      </c>
      <c r="AV175" s="5"/>
      <c r="AW175" s="173">
        <f t="shared" si="479"/>
        <v>0.43819574187356503</v>
      </c>
      <c r="AX175" s="173">
        <f t="shared" si="435"/>
        <v>10.075471608761099</v>
      </c>
      <c r="AY175" s="173">
        <f t="shared" si="436"/>
        <v>0.68211296567219071</v>
      </c>
      <c r="AZ175" s="173">
        <f t="shared" si="440"/>
        <v>14.770972134846005</v>
      </c>
      <c r="BA175" s="460">
        <f t="shared" si="433"/>
        <v>6.2510063701854923</v>
      </c>
      <c r="BB175" s="5">
        <f t="shared" si="434"/>
        <v>0.90281669579053359</v>
      </c>
      <c r="BD175" s="173">
        <f t="shared" si="441"/>
        <v>0.92805715421543067</v>
      </c>
      <c r="BE175" s="173">
        <f t="shared" si="437"/>
        <v>1.0508316861011617</v>
      </c>
      <c r="BG175" s="528">
        <f t="shared" si="480"/>
        <v>1.7225801629808874E-2</v>
      </c>
      <c r="BH175" s="528">
        <f t="shared" si="524"/>
        <v>0.44645005904236618</v>
      </c>
      <c r="BI175" s="528">
        <f t="shared" si="525"/>
        <v>0.12404103288668591</v>
      </c>
      <c r="BJ175" s="528">
        <f t="shared" si="481"/>
        <v>0.17551414934154511</v>
      </c>
      <c r="BK175">
        <f t="shared" si="482"/>
        <v>8.5219398822638549E-3</v>
      </c>
      <c r="BL175" s="460">
        <f t="shared" ref="BL175:BL210" si="588">(BK175+BI175)*1000</f>
        <v>132.56297276894978</v>
      </c>
      <c r="BM175" s="528">
        <f t="shared" si="526"/>
        <v>0.64648695087271424</v>
      </c>
      <c r="BN175" s="460">
        <f t="shared" si="527"/>
        <v>646.48695087271426</v>
      </c>
      <c r="BO175" s="528">
        <f t="shared" si="483"/>
        <v>0.45499999999999996</v>
      </c>
      <c r="BR175" s="460">
        <f t="shared" si="484"/>
        <v>454.99999999999994</v>
      </c>
      <c r="BS175" s="528">
        <f t="shared" si="485"/>
        <v>2.5838702444713306E-2</v>
      </c>
      <c r="BT175" s="528">
        <f t="shared" si="486"/>
        <v>3.3127416975426316E-2</v>
      </c>
      <c r="BU175" s="528">
        <f t="shared" si="487"/>
        <v>0.62878497092778873</v>
      </c>
      <c r="BV175" s="528"/>
      <c r="BW175" s="528">
        <f t="shared" si="488"/>
        <v>8.3962263406342479E-3</v>
      </c>
      <c r="BX175" s="460">
        <f t="shared" si="489"/>
        <v>696.14731668856257</v>
      </c>
      <c r="BY175" s="173">
        <f t="shared" si="490"/>
        <v>1.9229002994712323</v>
      </c>
      <c r="BZ175" s="5">
        <f t="shared" si="491"/>
        <v>10.4</v>
      </c>
      <c r="CA175" s="173">
        <f t="shared" si="492"/>
        <v>0.84395716489293171</v>
      </c>
      <c r="CB175" s="5">
        <f t="shared" si="493"/>
        <v>84.395716489293164</v>
      </c>
      <c r="CE175" s="562">
        <f t="shared" si="528"/>
        <v>-50</v>
      </c>
      <c r="CF175">
        <f t="shared" si="529"/>
        <v>-50</v>
      </c>
      <c r="CG175" s="173">
        <f t="shared" si="530"/>
        <v>0.52120237475559228</v>
      </c>
      <c r="CI175" s="170">
        <v>65</v>
      </c>
      <c r="CJ175" s="217">
        <f t="shared" ref="CJ175:CJ210" si="589">IF(PLOT_TYPE=1, CI175/100*Iout_max, min_I*EXP(CR175*rr/100))</f>
        <v>0.65</v>
      </c>
      <c r="CK175" s="217"/>
      <c r="CL175" s="217">
        <f t="shared" si="531"/>
        <v>10.4</v>
      </c>
      <c r="CM175" s="541">
        <f t="shared" si="532"/>
        <v>19</v>
      </c>
      <c r="CN175" s="443">
        <f t="shared" si="533"/>
        <v>16.399999999999999</v>
      </c>
      <c r="CO175" s="443">
        <f t="shared" si="534"/>
        <v>35.4</v>
      </c>
      <c r="CP175" s="443"/>
      <c r="CQ175" s="217">
        <f t="shared" si="535"/>
        <v>0.4632768361581921</v>
      </c>
      <c r="CR175" s="172">
        <f t="shared" ref="CR175:CR210" si="590">CQ175*CM175*(Isw_max+VIN_min/Lmag*ILIM_delay)*0.5*Efficiency</f>
        <v>22.214703389830511</v>
      </c>
      <c r="CS175" s="172">
        <f t="shared" si="536"/>
        <v>10.4</v>
      </c>
      <c r="CT175" s="217">
        <f t="shared" si="537"/>
        <v>1.3884189618644069</v>
      </c>
      <c r="CU175" s="217">
        <f t="shared" si="538"/>
        <v>16</v>
      </c>
      <c r="CV175" s="217"/>
      <c r="CW175" s="172">
        <f t="shared" si="539"/>
        <v>54.216076244316547</v>
      </c>
      <c r="CX175" s="172">
        <f t="shared" si="540"/>
        <v>16</v>
      </c>
      <c r="CY175" s="217">
        <f t="shared" si="541"/>
        <v>2.3630295250320921</v>
      </c>
      <c r="CZ175" s="217">
        <f t="shared" si="542"/>
        <v>1.4924397000202687</v>
      </c>
      <c r="DA175" s="217">
        <f t="shared" si="543"/>
        <v>1.7290459939259213</v>
      </c>
      <c r="DB175" s="197">
        <f t="shared" si="544"/>
        <v>350</v>
      </c>
      <c r="DC175" s="443">
        <f t="shared" si="545"/>
        <v>310.41578172431377</v>
      </c>
      <c r="DE175" s="217">
        <f t="shared" si="546"/>
        <v>2.0957761635727734</v>
      </c>
      <c r="DF175" s="173">
        <f t="shared" si="547"/>
        <v>1.5334947538337369</v>
      </c>
      <c r="DG175" s="173">
        <f t="shared" si="548"/>
        <v>0.5624258066085126</v>
      </c>
      <c r="DH175" s="173"/>
      <c r="DI175" s="173">
        <f t="shared" si="549"/>
        <v>0.73170731707317083</v>
      </c>
      <c r="DJ175" s="545">
        <f t="shared" si="550"/>
        <v>1776.6666666666665</v>
      </c>
      <c r="DK175" s="528">
        <f t="shared" si="551"/>
        <v>0.12804878048780488</v>
      </c>
      <c r="DM175" s="173">
        <f t="shared" si="552"/>
        <v>2.2530402739832405</v>
      </c>
      <c r="DN175" s="173">
        <f t="shared" si="553"/>
        <v>2.3630295250320921</v>
      </c>
      <c r="DO175" s="173">
        <f t="shared" si="554"/>
        <v>2.2096515000237718</v>
      </c>
      <c r="DQ175" s="545">
        <f t="shared" si="555"/>
        <v>650</v>
      </c>
      <c r="DR175" s="460">
        <f t="shared" si="556"/>
        <v>310.41578172431377</v>
      </c>
      <c r="DT175">
        <f t="shared" ref="DT175:DT209" si="591">IF(CL175&gt;CR175, " ",DQ175)</f>
        <v>650</v>
      </c>
      <c r="DU175">
        <f t="shared" ref="DU175:DU209" si="592">IF(CL175&gt;CR175, " ",DR175)</f>
        <v>310.41578172431377</v>
      </c>
      <c r="DW175" s="5">
        <f t="shared" si="557"/>
        <v>3.2214856939461902</v>
      </c>
      <c r="DX175" s="5">
        <f t="shared" si="558"/>
        <v>1.4924397000202687</v>
      </c>
      <c r="DY175" s="5">
        <f t="shared" si="559"/>
        <v>1.7290459939259215</v>
      </c>
      <c r="DZ175" s="5"/>
      <c r="EA175" s="173">
        <f t="shared" si="560"/>
        <v>0.46327683615819204</v>
      </c>
      <c r="EB175" s="173">
        <f t="shared" si="561"/>
        <v>10.399999999999999</v>
      </c>
      <c r="EC175" s="173">
        <f t="shared" si="562"/>
        <v>0.63414634146341464</v>
      </c>
      <c r="ED175" s="173">
        <f t="shared" si="563"/>
        <v>16.399999999999999</v>
      </c>
      <c r="EE175" s="460">
        <f t="shared" si="564"/>
        <v>6.0630362813323417</v>
      </c>
      <c r="EF175" s="5">
        <f t="shared" si="565"/>
        <v>0.7886876463521747</v>
      </c>
      <c r="EH175" s="173">
        <f t="shared" si="566"/>
        <v>0.92860028717691223</v>
      </c>
      <c r="EI175" s="173">
        <f t="shared" si="567"/>
        <v>0.99950205204696185</v>
      </c>
      <c r="EK175" s="528">
        <f t="shared" si="568"/>
        <v>1.7245969866900877E-2</v>
      </c>
      <c r="EL175" s="528">
        <f t="shared" si="569"/>
        <v>0.49336666666666656</v>
      </c>
      <c r="EM175" s="528">
        <f t="shared" si="570"/>
        <v>3.5697814898296085E-2</v>
      </c>
      <c r="EN175" s="528">
        <f t="shared" si="571"/>
        <v>0.1915828157051282</v>
      </c>
      <c r="EO175">
        <f t="shared" si="572"/>
        <v>8.5500000000000003E-3</v>
      </c>
      <c r="EP175" s="460">
        <f t="shared" si="573"/>
        <v>44.247814898296085</v>
      </c>
      <c r="EQ175" s="460"/>
      <c r="ER175" s="460">
        <f t="shared" ref="ER175:ER210" si="593">SUM(EK175:EO175)*1000</f>
        <v>746.44326713699172</v>
      </c>
      <c r="ES175" s="528">
        <f t="shared" si="574"/>
        <v>0.45499999999999996</v>
      </c>
      <c r="EV175" s="460">
        <f t="shared" si="494"/>
        <v>454.99999999999994</v>
      </c>
      <c r="EW175" s="528">
        <f t="shared" si="575"/>
        <v>2.5868954800351313E-2</v>
      </c>
      <c r="EX175" s="528">
        <f t="shared" si="576"/>
        <v>2.9970130561382629E-2</v>
      </c>
      <c r="EY175" s="528">
        <f t="shared" si="577"/>
        <v>0.72862212829464423</v>
      </c>
      <c r="EZ175" s="528"/>
      <c r="FA175" s="528">
        <f t="shared" si="578"/>
        <v>8.6666666666666645E-3</v>
      </c>
      <c r="FB175" s="460">
        <f t="shared" si="579"/>
        <v>793.12788032304491</v>
      </c>
      <c r="FC175" s="173">
        <f t="shared" si="580"/>
        <v>1.9945711474600363</v>
      </c>
      <c r="FD175" s="5">
        <f t="shared" si="581"/>
        <v>10.4</v>
      </c>
      <c r="FE175" s="173">
        <f t="shared" si="582"/>
        <v>0.83907703431362579</v>
      </c>
      <c r="FF175" s="5">
        <f t="shared" si="583"/>
        <v>83.907703431362577</v>
      </c>
      <c r="FI175" s="562">
        <f t="shared" si="584"/>
        <v>-50</v>
      </c>
      <c r="FJ175">
        <f t="shared" si="585"/>
        <v>-50</v>
      </c>
      <c r="FL175">
        <f t="shared" si="586"/>
        <v>0.53672316384180796</v>
      </c>
    </row>
    <row r="176" spans="5:168">
      <c r="E176" s="170">
        <v>66</v>
      </c>
      <c r="F176" s="217">
        <f t="shared" si="587"/>
        <v>0.66</v>
      </c>
      <c r="G176" s="217"/>
      <c r="H176" s="217">
        <f t="shared" si="495"/>
        <v>10.56</v>
      </c>
      <c r="I176" s="541">
        <f t="shared" si="496"/>
        <v>18.936713417081108</v>
      </c>
      <c r="J176" s="172">
        <f t="shared" si="497"/>
        <v>16.437971949751333</v>
      </c>
      <c r="K176" s="172">
        <f t="shared" si="498"/>
        <v>35.374685366832438</v>
      </c>
      <c r="L176" s="443"/>
      <c r="M176" s="217">
        <f t="shared" si="499"/>
        <v>0.46466541980334525</v>
      </c>
      <c r="N176" s="172">
        <f t="shared" si="500"/>
        <v>22.207071576488119</v>
      </c>
      <c r="O176" s="172">
        <f t="shared" si="438"/>
        <v>10.56</v>
      </c>
      <c r="P176" s="217">
        <f t="shared" si="501"/>
        <v>1.3879419735305074</v>
      </c>
      <c r="Q176" s="217">
        <f t="shared" si="502"/>
        <v>16</v>
      </c>
      <c r="R176" s="217"/>
      <c r="S176" s="172">
        <f t="shared" si="503"/>
        <v>52.935281809693251</v>
      </c>
      <c r="T176" s="536">
        <f t="shared" si="504"/>
        <v>16</v>
      </c>
      <c r="U176" s="217">
        <f t="shared" si="505"/>
        <v>2.4657476815996069</v>
      </c>
      <c r="V176" s="217">
        <f t="shared" si="506"/>
        <v>1.5625188768239862</v>
      </c>
      <c r="W176" s="217">
        <f t="shared" si="507"/>
        <v>1.8000378799553123</v>
      </c>
      <c r="X176" s="197">
        <f t="shared" si="508"/>
        <v>350</v>
      </c>
      <c r="Y176" s="443">
        <f t="shared" si="509"/>
        <v>280.69728239334552</v>
      </c>
      <c r="AA176" s="217">
        <f t="shared" si="510"/>
        <v>2.0951299518722966</v>
      </c>
      <c r="AB176" s="173">
        <f t="shared" si="511"/>
        <v>1.5294806135040213</v>
      </c>
      <c r="AC176" s="173">
        <f t="shared" si="512"/>
        <v>0.56078061272805091</v>
      </c>
      <c r="AD176" s="173"/>
      <c r="AE176" s="173">
        <f t="shared" si="513"/>
        <v>0.73001706273026767</v>
      </c>
      <c r="AF176" s="545">
        <f t="shared" si="514"/>
        <v>1808.1769144726468</v>
      </c>
      <c r="AG176" s="528">
        <f t="shared" si="515"/>
        <v>0.12775298597779686</v>
      </c>
      <c r="AI176" s="173">
        <f t="shared" si="516"/>
        <v>2.2729319733850666</v>
      </c>
      <c r="AJ176" s="173">
        <f t="shared" si="517"/>
        <v>2.4657476815996069</v>
      </c>
      <c r="AK176" s="173">
        <f t="shared" si="518"/>
        <v>2.2857390234071162</v>
      </c>
      <c r="AM176" s="545">
        <f t="shared" si="519"/>
        <v>660</v>
      </c>
      <c r="AN176" s="460">
        <f t="shared" si="520"/>
        <v>280.69728239334552</v>
      </c>
      <c r="AP176">
        <f t="shared" si="521"/>
        <v>660</v>
      </c>
      <c r="AQ176">
        <f t="shared" si="522"/>
        <v>280.69728239334552</v>
      </c>
      <c r="AS176" s="5">
        <f t="shared" si="439"/>
        <v>3.5625567567792991</v>
      </c>
      <c r="AT176" s="5">
        <f t="shared" si="523"/>
        <v>1.5625188768239862</v>
      </c>
      <c r="AU176" s="5">
        <f t="shared" si="478"/>
        <v>2.0000378799553129</v>
      </c>
      <c r="AV176" s="5"/>
      <c r="AW176" s="173">
        <f t="shared" si="479"/>
        <v>0.43859480241279547</v>
      </c>
      <c r="AX176" s="173">
        <f t="shared" si="435"/>
        <v>10.239688029240549</v>
      </c>
      <c r="AY176" s="173">
        <f t="shared" si="436"/>
        <v>0.69214178219430944</v>
      </c>
      <c r="AZ176" s="173">
        <f t="shared" si="440"/>
        <v>14.794205887668685</v>
      </c>
      <c r="BA176" s="460">
        <f t="shared" si="433"/>
        <v>6.4453903668989421</v>
      </c>
      <c r="BB176" s="5">
        <f t="shared" si="434"/>
        <v>0.92942914411595157</v>
      </c>
      <c r="BD176" s="173">
        <f t="shared" si="441"/>
        <v>0.94280037472524003</v>
      </c>
      <c r="BE176" s="173">
        <f t="shared" si="437"/>
        <v>1.066660519185568</v>
      </c>
      <c r="BG176" s="528">
        <f t="shared" si="480"/>
        <v>1.7777450931641063E-2</v>
      </c>
      <c r="BH176" s="528">
        <f t="shared" si="524"/>
        <v>0.44682997143243797</v>
      </c>
      <c r="BI176" s="528">
        <f t="shared" si="525"/>
        <v>0.12225613185363424</v>
      </c>
      <c r="BJ176" s="528">
        <f t="shared" si="481"/>
        <v>0.17299343189196983</v>
      </c>
      <c r="BK176">
        <f t="shared" si="482"/>
        <v>8.5215210376864987E-3</v>
      </c>
      <c r="BL176" s="460">
        <f t="shared" si="588"/>
        <v>130.77765289132074</v>
      </c>
      <c r="BM176" s="528">
        <f t="shared" si="526"/>
        <v>0.64512572697876225</v>
      </c>
      <c r="BN176" s="460">
        <f t="shared" si="527"/>
        <v>645.12572697876226</v>
      </c>
      <c r="BO176" s="528">
        <f t="shared" si="483"/>
        <v>0.46199999999999997</v>
      </c>
      <c r="BR176" s="460">
        <f t="shared" si="484"/>
        <v>461.99999999999994</v>
      </c>
      <c r="BS176" s="528">
        <f t="shared" si="485"/>
        <v>2.6666176397461591E-2</v>
      </c>
      <c r="BT176" s="528">
        <f t="shared" si="486"/>
        <v>3.4132939895676763E-2</v>
      </c>
      <c r="BU176" s="528">
        <f t="shared" si="487"/>
        <v>0.63014008603667726</v>
      </c>
      <c r="BV176" s="528"/>
      <c r="BW176" s="528">
        <f t="shared" si="488"/>
        <v>8.5330733577004582E-3</v>
      </c>
      <c r="BX176" s="460">
        <f t="shared" si="489"/>
        <v>699.47227568751612</v>
      </c>
      <c r="BY176" s="173">
        <f t="shared" si="490"/>
        <v>1.9298507828348856</v>
      </c>
      <c r="BZ176" s="5">
        <f t="shared" si="491"/>
        <v>10.56</v>
      </c>
      <c r="CA176" s="173">
        <f t="shared" si="492"/>
        <v>0.84548648207333854</v>
      </c>
      <c r="CB176" s="5">
        <f t="shared" si="493"/>
        <v>84.548648207333855</v>
      </c>
      <c r="CE176" s="562">
        <f t="shared" si="528"/>
        <v>-50</v>
      </c>
      <c r="CF176">
        <f t="shared" si="529"/>
        <v>-50</v>
      </c>
      <c r="CG176" s="173">
        <f t="shared" si="530"/>
        <v>0.52143753822659555</v>
      </c>
      <c r="CI176" s="170">
        <v>66</v>
      </c>
      <c r="CJ176" s="217">
        <f t="shared" si="589"/>
        <v>0.66</v>
      </c>
      <c r="CK176" s="217"/>
      <c r="CL176" s="217">
        <f t="shared" si="531"/>
        <v>10.56</v>
      </c>
      <c r="CM176" s="541">
        <f t="shared" si="532"/>
        <v>19</v>
      </c>
      <c r="CN176" s="443">
        <f t="shared" si="533"/>
        <v>16.399999999999999</v>
      </c>
      <c r="CO176" s="443">
        <f t="shared" si="534"/>
        <v>35.4</v>
      </c>
      <c r="CP176" s="443"/>
      <c r="CQ176" s="217">
        <f t="shared" si="535"/>
        <v>0.4632768361581921</v>
      </c>
      <c r="CR176" s="172">
        <f t="shared" si="590"/>
        <v>22.214703389830511</v>
      </c>
      <c r="CS176" s="172">
        <f t="shared" si="536"/>
        <v>10.56</v>
      </c>
      <c r="CT176" s="217">
        <f t="shared" si="537"/>
        <v>1.3884189618644069</v>
      </c>
      <c r="CU176" s="217">
        <f t="shared" si="538"/>
        <v>16</v>
      </c>
      <c r="CV176" s="217"/>
      <c r="CW176" s="172">
        <f t="shared" si="539"/>
        <v>53.111721926591947</v>
      </c>
      <c r="CX176" s="536">
        <f t="shared" si="540"/>
        <v>16</v>
      </c>
      <c r="CY176" s="217">
        <f t="shared" si="541"/>
        <v>2.3993838254172015</v>
      </c>
      <c r="CZ176" s="217">
        <f t="shared" si="542"/>
        <v>1.5154003107898115</v>
      </c>
      <c r="DA176" s="217">
        <f t="shared" si="543"/>
        <v>1.7556467015247819</v>
      </c>
      <c r="DB176" s="197">
        <f t="shared" si="544"/>
        <v>350</v>
      </c>
      <c r="DC176" s="443">
        <f t="shared" si="545"/>
        <v>305.71251230424838</v>
      </c>
      <c r="DE176" s="217">
        <f t="shared" si="546"/>
        <v>2.0957761635727734</v>
      </c>
      <c r="DF176" s="173">
        <f t="shared" si="547"/>
        <v>1.5334947538337369</v>
      </c>
      <c r="DG176" s="173">
        <f t="shared" si="548"/>
        <v>0.5624258066085126</v>
      </c>
      <c r="DH176" s="173"/>
      <c r="DI176" s="173">
        <f t="shared" si="549"/>
        <v>0.73170731707317083</v>
      </c>
      <c r="DJ176" s="545">
        <f t="shared" si="550"/>
        <v>1803.9999999999998</v>
      </c>
      <c r="DK176" s="528">
        <f t="shared" si="551"/>
        <v>0.12804878048780488</v>
      </c>
      <c r="DM176" s="173">
        <f t="shared" si="552"/>
        <v>2.2703052028935922</v>
      </c>
      <c r="DN176" s="173">
        <f t="shared" si="553"/>
        <v>2.3993838254172015</v>
      </c>
      <c r="DO176" s="173">
        <f t="shared" si="554"/>
        <v>2.2365806114201492</v>
      </c>
      <c r="DQ176" s="545">
        <f t="shared" si="555"/>
        <v>660</v>
      </c>
      <c r="DR176" s="460">
        <f t="shared" si="556"/>
        <v>305.71251230424838</v>
      </c>
      <c r="DT176">
        <f t="shared" si="591"/>
        <v>660</v>
      </c>
      <c r="DU176">
        <f t="shared" si="592"/>
        <v>305.71251230424838</v>
      </c>
      <c r="DW176" s="5">
        <f t="shared" si="557"/>
        <v>3.2710470123145932</v>
      </c>
      <c r="DX176" s="5">
        <f t="shared" si="558"/>
        <v>1.5154003107898115</v>
      </c>
      <c r="DY176" s="5">
        <f t="shared" si="559"/>
        <v>1.7556467015247816</v>
      </c>
      <c r="DZ176" s="5"/>
      <c r="EA176" s="173">
        <f t="shared" si="560"/>
        <v>0.4632768361581921</v>
      </c>
      <c r="EB176" s="173">
        <f t="shared" si="561"/>
        <v>10.559999999999999</v>
      </c>
      <c r="EC176" s="173">
        <f t="shared" si="562"/>
        <v>0.64390243902439026</v>
      </c>
      <c r="ED176" s="173">
        <f t="shared" si="563"/>
        <v>16.399999999999999</v>
      </c>
      <c r="EE176" s="460">
        <f t="shared" si="564"/>
        <v>6.2510262820079721</v>
      </c>
      <c r="EF176" s="5">
        <f t="shared" si="565"/>
        <v>0.81314163017989871</v>
      </c>
      <c r="EH176" s="173">
        <f t="shared" si="566"/>
        <v>0.94288644544117262</v>
      </c>
      <c r="EI176" s="173">
        <f t="shared" si="567"/>
        <v>1.0148790066938382</v>
      </c>
      <c r="EK176" s="528">
        <f t="shared" si="568"/>
        <v>1.7780696979933789E-2</v>
      </c>
      <c r="EL176" s="528">
        <f t="shared" si="569"/>
        <v>0.49336666666666668</v>
      </c>
      <c r="EM176" s="528">
        <f t="shared" si="570"/>
        <v>3.5156938914988563E-2</v>
      </c>
      <c r="EN176" s="528">
        <f t="shared" si="571"/>
        <v>0.18868004577020198</v>
      </c>
      <c r="EO176">
        <f t="shared" si="572"/>
        <v>8.5500000000000003E-3</v>
      </c>
      <c r="EP176" s="460">
        <f t="shared" si="573"/>
        <v>43.706938914988562</v>
      </c>
      <c r="EQ176" s="460"/>
      <c r="ER176" s="460">
        <f t="shared" si="593"/>
        <v>743.53434833179097</v>
      </c>
      <c r="ES176" s="528">
        <f t="shared" si="574"/>
        <v>0.46199999999999997</v>
      </c>
      <c r="EV176" s="460">
        <f t="shared" si="494"/>
        <v>461.99999999999994</v>
      </c>
      <c r="EW176" s="528">
        <f t="shared" si="575"/>
        <v>2.6671045469900682E-2</v>
      </c>
      <c r="EX176" s="528">
        <f t="shared" si="576"/>
        <v>3.0899381946836151E-2</v>
      </c>
      <c r="EY176" s="528">
        <f t="shared" si="577"/>
        <v>0.7286221282946449</v>
      </c>
      <c r="EZ176" s="528"/>
      <c r="FA176" s="528">
        <f t="shared" si="578"/>
        <v>8.7999999999999988E-3</v>
      </c>
      <c r="FB176" s="460">
        <f t="shared" si="579"/>
        <v>794.99255571138167</v>
      </c>
      <c r="FC176" s="173">
        <f t="shared" si="580"/>
        <v>2.0005269040431726</v>
      </c>
      <c r="FD176" s="5">
        <f t="shared" si="581"/>
        <v>10.56</v>
      </c>
      <c r="FE176" s="173">
        <f t="shared" si="582"/>
        <v>0.84072906181991358</v>
      </c>
      <c r="FF176" s="5">
        <f t="shared" si="583"/>
        <v>84.072906181991357</v>
      </c>
      <c r="FI176" s="562">
        <f t="shared" si="584"/>
        <v>-50</v>
      </c>
      <c r="FJ176">
        <f t="shared" si="585"/>
        <v>-50</v>
      </c>
      <c r="FL176">
        <f t="shared" si="586"/>
        <v>0.53672316384180796</v>
      </c>
    </row>
    <row r="177" spans="5:168">
      <c r="E177" s="170">
        <v>67</v>
      </c>
      <c r="F177" s="217">
        <f t="shared" si="587"/>
        <v>0.67</v>
      </c>
      <c r="G177" s="217"/>
      <c r="H177" s="217">
        <f t="shared" si="495"/>
        <v>10.72</v>
      </c>
      <c r="I177" s="541">
        <f t="shared" si="496"/>
        <v>18.935782626377744</v>
      </c>
      <c r="J177" s="172">
        <f t="shared" si="497"/>
        <v>16.438530424173354</v>
      </c>
      <c r="K177" s="172">
        <f t="shared" si="498"/>
        <v>35.374313050551095</v>
      </c>
      <c r="L177" s="443"/>
      <c r="M177" s="217">
        <f t="shared" si="499"/>
        <v>0.46468610578718977</v>
      </c>
      <c r="N177" s="172">
        <f t="shared" si="500"/>
        <v>22.206968605066749</v>
      </c>
      <c r="O177" s="172">
        <f t="shared" si="438"/>
        <v>10.72</v>
      </c>
      <c r="P177" s="217">
        <f t="shared" si="501"/>
        <v>1.3879355378166718</v>
      </c>
      <c r="Q177" s="217">
        <f t="shared" si="502"/>
        <v>16</v>
      </c>
      <c r="R177" s="217"/>
      <c r="S177" s="172">
        <f t="shared" si="503"/>
        <v>51.865043899191932</v>
      </c>
      <c r="T177" s="536">
        <f t="shared" si="504"/>
        <v>16</v>
      </c>
      <c r="U177" s="217">
        <f t="shared" si="505"/>
        <v>2.5032042218341766</v>
      </c>
      <c r="V177" s="217">
        <f t="shared" si="506"/>
        <v>1.5863326726282885</v>
      </c>
      <c r="W177" s="217">
        <f t="shared" si="507"/>
        <v>1.8273197108810697</v>
      </c>
      <c r="X177" s="197">
        <f t="shared" si="508"/>
        <v>350</v>
      </c>
      <c r="Y177" s="443">
        <f t="shared" si="509"/>
        <v>276.72833296401939</v>
      </c>
      <c r="AA177" s="217">
        <f t="shared" si="510"/>
        <v>2.0951201993891466</v>
      </c>
      <c r="AB177" s="173">
        <f t="shared" si="511"/>
        <v>1.5294215324563631</v>
      </c>
      <c r="AC177" s="173">
        <f t="shared" si="512"/>
        <v>0.56075634055525514</v>
      </c>
      <c r="AD177" s="173"/>
      <c r="AE177" s="173">
        <f t="shared" si="513"/>
        <v>0.72999226149520269</v>
      </c>
      <c r="AF177" s="545">
        <f t="shared" si="514"/>
        <v>1835.6358973660249</v>
      </c>
      <c r="AG177" s="528">
        <f t="shared" si="515"/>
        <v>0.12774864576166045</v>
      </c>
      <c r="AI177" s="173">
        <f t="shared" si="516"/>
        <v>2.2901253224385685</v>
      </c>
      <c r="AJ177" s="173">
        <f t="shared" si="517"/>
        <v>2.5032042218341766</v>
      </c>
      <c r="AK177" s="173">
        <f t="shared" si="518"/>
        <v>2.3134846087660565</v>
      </c>
      <c r="AM177" s="545">
        <f t="shared" si="519"/>
        <v>670</v>
      </c>
      <c r="AN177" s="460">
        <f t="shared" si="520"/>
        <v>276.72833296401939</v>
      </c>
      <c r="AP177">
        <f t="shared" si="521"/>
        <v>670</v>
      </c>
      <c r="AQ177">
        <f t="shared" si="522"/>
        <v>276.72833296401939</v>
      </c>
      <c r="AS177" s="5">
        <f t="shared" si="439"/>
        <v>3.6136523835093586</v>
      </c>
      <c r="AT177" s="5">
        <f t="shared" si="523"/>
        <v>1.5863326726282885</v>
      </c>
      <c r="AU177" s="5">
        <f t="shared" si="478"/>
        <v>2.0273197108810699</v>
      </c>
      <c r="AV177" s="5"/>
      <c r="AW177" s="173">
        <f t="shared" si="479"/>
        <v>0.43898319602278374</v>
      </c>
      <c r="AX177" s="173">
        <f t="shared" si="435"/>
        <v>10.403930502230422</v>
      </c>
      <c r="AY177" s="173">
        <f t="shared" si="436"/>
        <v>0.70216981611784224</v>
      </c>
      <c r="AZ177" s="173">
        <f t="shared" si="440"/>
        <v>14.816829580843693</v>
      </c>
      <c r="BA177" s="460">
        <f t="shared" si="433"/>
        <v>6.6427680666309579</v>
      </c>
      <c r="BB177" s="5">
        <f t="shared" si="434"/>
        <v>0.95642853046428244</v>
      </c>
      <c r="BD177" s="173">
        <f t="shared" si="441"/>
        <v>0.95754590488864211</v>
      </c>
      <c r="BE177" s="173">
        <f t="shared" si="437"/>
        <v>1.08248924495064</v>
      </c>
      <c r="BG177" s="528">
        <f t="shared" si="480"/>
        <v>1.8337883199380171E-2</v>
      </c>
      <c r="BH177" s="528">
        <f t="shared" si="524"/>
        <v>0.44719896847991614</v>
      </c>
      <c r="BI177" s="528">
        <f t="shared" si="525"/>
        <v>0.12052155387003075</v>
      </c>
      <c r="BJ177" s="528">
        <f t="shared" si="481"/>
        <v>0.17054378266517367</v>
      </c>
      <c r="BK177">
        <f t="shared" si="482"/>
        <v>8.5211021818699852E-3</v>
      </c>
      <c r="BL177" s="460">
        <f t="shared" si="588"/>
        <v>129.04265605190074</v>
      </c>
      <c r="BM177" s="528">
        <f t="shared" si="526"/>
        <v>0.64383711329274063</v>
      </c>
      <c r="BN177" s="460">
        <f t="shared" si="527"/>
        <v>643.83711329274058</v>
      </c>
      <c r="BO177" s="528">
        <f t="shared" si="483"/>
        <v>0.46899999999999997</v>
      </c>
      <c r="BR177" s="460">
        <f t="shared" si="484"/>
        <v>469</v>
      </c>
      <c r="BS177" s="528">
        <f t="shared" si="485"/>
        <v>2.7506824799070254E-2</v>
      </c>
      <c r="BT177" s="528">
        <f t="shared" si="486"/>
        <v>3.51534889630142E-2</v>
      </c>
      <c r="BU177" s="528">
        <f t="shared" si="487"/>
        <v>0.63145844824538233</v>
      </c>
      <c r="BV177" s="528"/>
      <c r="BW177" s="528">
        <f t="shared" si="488"/>
        <v>8.6699420851920166E-3</v>
      </c>
      <c r="BX177" s="460">
        <f t="shared" si="489"/>
        <v>702.7887040926588</v>
      </c>
      <c r="BY177" s="173">
        <f t="shared" si="490"/>
        <v>1.9369119944890298</v>
      </c>
      <c r="BZ177" s="5">
        <f t="shared" si="491"/>
        <v>10.72</v>
      </c>
      <c r="CA177" s="173">
        <f t="shared" si="492"/>
        <v>0.84696804439089213</v>
      </c>
      <c r="CB177" s="5">
        <f t="shared" si="493"/>
        <v>84.696804439089206</v>
      </c>
      <c r="CE177" s="562">
        <f t="shared" si="528"/>
        <v>-50</v>
      </c>
      <c r="CF177">
        <f t="shared" si="529"/>
        <v>-50</v>
      </c>
      <c r="CG177" s="173">
        <f t="shared" si="530"/>
        <v>0.52166568189249407</v>
      </c>
      <c r="CI177" s="170">
        <v>67</v>
      </c>
      <c r="CJ177" s="217">
        <f t="shared" si="589"/>
        <v>0.67</v>
      </c>
      <c r="CK177" s="217"/>
      <c r="CL177" s="217">
        <f t="shared" si="531"/>
        <v>10.72</v>
      </c>
      <c r="CM177" s="541">
        <f t="shared" si="532"/>
        <v>19</v>
      </c>
      <c r="CN177" s="443">
        <f t="shared" si="533"/>
        <v>16.399999999999999</v>
      </c>
      <c r="CO177" s="443">
        <f t="shared" si="534"/>
        <v>35.4</v>
      </c>
      <c r="CP177" s="443"/>
      <c r="CQ177" s="217">
        <f t="shared" si="535"/>
        <v>0.4632768361581921</v>
      </c>
      <c r="CR177" s="172">
        <f t="shared" si="590"/>
        <v>22.214703389830511</v>
      </c>
      <c r="CS177" s="172">
        <f t="shared" si="536"/>
        <v>10.72</v>
      </c>
      <c r="CT177" s="217">
        <f t="shared" si="537"/>
        <v>1.3884189618644069</v>
      </c>
      <c r="CU177" s="217">
        <f t="shared" si="538"/>
        <v>16</v>
      </c>
      <c r="CV177" s="217"/>
      <c r="CW177" s="172">
        <f t="shared" si="539"/>
        <v>52.040448684281081</v>
      </c>
      <c r="CX177" s="536">
        <f t="shared" si="540"/>
        <v>16</v>
      </c>
      <c r="CY177" s="217">
        <f t="shared" si="541"/>
        <v>2.4357381258023105</v>
      </c>
      <c r="CZ177" s="217">
        <f t="shared" si="542"/>
        <v>1.5383609215593541</v>
      </c>
      <c r="DA177" s="217">
        <f t="shared" si="543"/>
        <v>1.782247409123642</v>
      </c>
      <c r="DB177" s="197">
        <f t="shared" si="544"/>
        <v>350</v>
      </c>
      <c r="DC177" s="443">
        <f t="shared" si="545"/>
        <v>301.14963898627457</v>
      </c>
      <c r="DE177" s="217">
        <f t="shared" si="546"/>
        <v>2.0957761635727734</v>
      </c>
      <c r="DF177" s="173">
        <f t="shared" si="547"/>
        <v>1.5334947538337369</v>
      </c>
      <c r="DG177" s="173">
        <f t="shared" si="548"/>
        <v>0.5624258066085126</v>
      </c>
      <c r="DH177" s="173"/>
      <c r="DI177" s="173">
        <f t="shared" si="549"/>
        <v>0.73170731707317083</v>
      </c>
      <c r="DJ177" s="545">
        <f t="shared" si="550"/>
        <v>1831.3333333333333</v>
      </c>
      <c r="DK177" s="528">
        <f t="shared" si="551"/>
        <v>0.12804878048780488</v>
      </c>
      <c r="DM177" s="173">
        <f t="shared" si="552"/>
        <v>2.2874398248655532</v>
      </c>
      <c r="DN177" s="173">
        <f t="shared" si="553"/>
        <v>2.4357381258023105</v>
      </c>
      <c r="DO177" s="173">
        <f t="shared" si="554"/>
        <v>2.2635097228165262</v>
      </c>
      <c r="DQ177" s="545">
        <f t="shared" si="555"/>
        <v>670</v>
      </c>
      <c r="DR177" s="460">
        <f t="shared" si="556"/>
        <v>301.14963898627457</v>
      </c>
      <c r="DT177">
        <f t="shared" si="591"/>
        <v>670</v>
      </c>
      <c r="DU177">
        <f t="shared" si="592"/>
        <v>301.14963898627457</v>
      </c>
      <c r="DW177" s="5">
        <f t="shared" si="557"/>
        <v>3.3206083306829957</v>
      </c>
      <c r="DX177" s="5">
        <f t="shared" si="558"/>
        <v>1.5383609215593541</v>
      </c>
      <c r="DY177" s="5">
        <f t="shared" si="559"/>
        <v>1.7822474091236415</v>
      </c>
      <c r="DZ177" s="5"/>
      <c r="EA177" s="173">
        <f t="shared" si="560"/>
        <v>0.46327683615819215</v>
      </c>
      <c r="EB177" s="173">
        <f t="shared" si="561"/>
        <v>10.719999999999999</v>
      </c>
      <c r="EC177" s="173">
        <f t="shared" si="562"/>
        <v>0.65365853658536577</v>
      </c>
      <c r="ED177" s="173">
        <f t="shared" si="563"/>
        <v>16.400000000000002</v>
      </c>
      <c r="EE177" s="460">
        <f t="shared" si="564"/>
        <v>6.4418863590297955</v>
      </c>
      <c r="EF177" s="5">
        <f t="shared" si="565"/>
        <v>0.83796895727216814</v>
      </c>
      <c r="EH177" s="173">
        <f t="shared" si="566"/>
        <v>0.95717260370543289</v>
      </c>
      <c r="EI177" s="173">
        <f t="shared" si="567"/>
        <v>1.0302559613407145</v>
      </c>
      <c r="EK177" s="528">
        <f t="shared" si="568"/>
        <v>1.8323587865684755E-2</v>
      </c>
      <c r="EL177" s="528">
        <f t="shared" si="569"/>
        <v>0.49336666666666673</v>
      </c>
      <c r="EM177" s="528">
        <f t="shared" si="570"/>
        <v>3.4632208483421578E-2</v>
      </c>
      <c r="EN177" s="528">
        <f t="shared" si="571"/>
        <v>0.18586392568407961</v>
      </c>
      <c r="EO177">
        <f t="shared" si="572"/>
        <v>8.5500000000000003E-3</v>
      </c>
      <c r="EP177" s="460">
        <f t="shared" si="573"/>
        <v>43.182208483421583</v>
      </c>
      <c r="EQ177" s="460"/>
      <c r="ER177" s="460">
        <f t="shared" si="593"/>
        <v>740.73638869985257</v>
      </c>
      <c r="ES177" s="528">
        <f t="shared" si="574"/>
        <v>0.46899999999999997</v>
      </c>
      <c r="EV177" s="460">
        <f t="shared" si="494"/>
        <v>469</v>
      </c>
      <c r="EW177" s="528">
        <f t="shared" si="575"/>
        <v>2.748538179852713E-2</v>
      </c>
      <c r="EX177" s="528">
        <f t="shared" si="576"/>
        <v>3.1842820376342396E-2</v>
      </c>
      <c r="EY177" s="528">
        <f t="shared" si="577"/>
        <v>0.72862212829464446</v>
      </c>
      <c r="EZ177" s="528"/>
      <c r="FA177" s="528">
        <f t="shared" si="578"/>
        <v>8.9333333333333331E-3</v>
      </c>
      <c r="FB177" s="460">
        <f t="shared" si="579"/>
        <v>796.88366380284731</v>
      </c>
      <c r="FC177" s="173">
        <f t="shared" si="580"/>
        <v>2.0066200525026998</v>
      </c>
      <c r="FD177" s="5">
        <f t="shared" si="581"/>
        <v>10.72</v>
      </c>
      <c r="FE177" s="173">
        <f t="shared" si="582"/>
        <v>0.84232891025075463</v>
      </c>
      <c r="FF177" s="5">
        <f t="shared" si="583"/>
        <v>84.23289102507546</v>
      </c>
      <c r="FI177" s="562">
        <f t="shared" si="584"/>
        <v>-50</v>
      </c>
      <c r="FJ177">
        <f t="shared" si="585"/>
        <v>-50</v>
      </c>
      <c r="FL177">
        <f t="shared" si="586"/>
        <v>0.53672316384180785</v>
      </c>
    </row>
    <row r="178" spans="5:168">
      <c r="E178" s="170">
        <v>68</v>
      </c>
      <c r="F178" s="217">
        <f t="shared" si="587"/>
        <v>0.68</v>
      </c>
      <c r="G178" s="217"/>
      <c r="H178" s="217">
        <f t="shared" si="495"/>
        <v>10.88</v>
      </c>
      <c r="I178" s="541">
        <f t="shared" si="496"/>
        <v>18.93485181183167</v>
      </c>
      <c r="J178" s="172">
        <f t="shared" si="497"/>
        <v>16.439088912900996</v>
      </c>
      <c r="K178" s="172">
        <f t="shared" si="498"/>
        <v>35.373940724732662</v>
      </c>
      <c r="L178" s="443"/>
      <c r="M178" s="217">
        <f t="shared" si="499"/>
        <v>0.46470679251917185</v>
      </c>
      <c r="N178" s="172">
        <f t="shared" si="500"/>
        <v>22.206865544247492</v>
      </c>
      <c r="O178" s="172">
        <f t="shared" si="438"/>
        <v>10.88</v>
      </c>
      <c r="P178" s="217">
        <f t="shared" si="501"/>
        <v>1.3879290965154683</v>
      </c>
      <c r="Q178" s="217">
        <f t="shared" si="502"/>
        <v>16</v>
      </c>
      <c r="R178" s="217"/>
      <c r="S178" s="172">
        <f t="shared" si="503"/>
        <v>50.826426184826389</v>
      </c>
      <c r="T178" s="536">
        <f t="shared" si="504"/>
        <v>16</v>
      </c>
      <c r="U178" s="217">
        <f t="shared" si="505"/>
        <v>2.5406636605765436</v>
      </c>
      <c r="V178" s="217">
        <f t="shared" si="506"/>
        <v>1.6101506486503239</v>
      </c>
      <c r="W178" s="217">
        <f t="shared" si="507"/>
        <v>1.8546018023536763</v>
      </c>
      <c r="X178" s="197">
        <f t="shared" si="508"/>
        <v>350</v>
      </c>
      <c r="Y178" s="443">
        <f t="shared" si="509"/>
        <v>272.86972677405231</v>
      </c>
      <c r="AA178" s="217">
        <f t="shared" si="510"/>
        <v>2.0951104394529554</v>
      </c>
      <c r="AB178" s="173">
        <f t="shared" si="511"/>
        <v>1.5293624486515895</v>
      </c>
      <c r="AC178" s="173">
        <f t="shared" si="512"/>
        <v>0.56073206557852395</v>
      </c>
      <c r="AD178" s="173"/>
      <c r="AE178" s="173">
        <f t="shared" si="513"/>
        <v>0.72996746131001777</v>
      </c>
      <c r="AF178" s="545">
        <f t="shared" si="514"/>
        <v>1863.096743462113</v>
      </c>
      <c r="AG178" s="528">
        <f t="shared" si="515"/>
        <v>0.1277443057292531</v>
      </c>
      <c r="AI178" s="173">
        <f t="shared" si="516"/>
        <v>2.3071917026439079</v>
      </c>
      <c r="AJ178" s="173">
        <f t="shared" si="517"/>
        <v>2.5406636605765436</v>
      </c>
      <c r="AK178" s="173">
        <f t="shared" si="518"/>
        <v>2.3412323411678102</v>
      </c>
      <c r="AM178" s="545">
        <f t="shared" si="519"/>
        <v>680</v>
      </c>
      <c r="AN178" s="460">
        <f t="shared" si="520"/>
        <v>272.86972677405231</v>
      </c>
      <c r="AP178">
        <f t="shared" si="521"/>
        <v>680</v>
      </c>
      <c r="AQ178">
        <f t="shared" si="522"/>
        <v>272.86972677405231</v>
      </c>
      <c r="AS178" s="5">
        <f t="shared" si="439"/>
        <v>3.6647524510039999</v>
      </c>
      <c r="AT178" s="5">
        <f t="shared" si="523"/>
        <v>1.6101506486503239</v>
      </c>
      <c r="AU178" s="5">
        <f t="shared" si="478"/>
        <v>2.0546018023536758</v>
      </c>
      <c r="AV178" s="5"/>
      <c r="AW178" s="173">
        <f t="shared" si="479"/>
        <v>0.43936136756227701</v>
      </c>
      <c r="AX178" s="173">
        <f t="shared" si="435"/>
        <v>10.568198407626346</v>
      </c>
      <c r="AY178" s="173">
        <f t="shared" si="436"/>
        <v>0.71219710007492643</v>
      </c>
      <c r="AZ178" s="173">
        <f t="shared" si="440"/>
        <v>14.838867508045908</v>
      </c>
      <c r="BA178" s="460">
        <f t="shared" si="433"/>
        <v>6.8431402567638768</v>
      </c>
      <c r="BB178" s="5">
        <f t="shared" si="434"/>
        <v>0.98381491758140693</v>
      </c>
      <c r="BD178" s="173">
        <f t="shared" si="441"/>
        <v>0.9722937233705804</v>
      </c>
      <c r="BE178" s="173">
        <f t="shared" si="437"/>
        <v>1.0983178930614341</v>
      </c>
      <c r="BG178" s="528">
        <f t="shared" si="480"/>
        <v>1.8907101690116536E-2</v>
      </c>
      <c r="BH178" s="528">
        <f t="shared" si="524"/>
        <v>0.44755750531969407</v>
      </c>
      <c r="BI178" s="528">
        <f t="shared" si="525"/>
        <v>0.11883520032923857</v>
      </c>
      <c r="BJ178" s="528">
        <f t="shared" si="481"/>
        <v>0.16816223791913651</v>
      </c>
      <c r="BK178">
        <f t="shared" si="482"/>
        <v>8.5206833153242522E-3</v>
      </c>
      <c r="BL178" s="460">
        <f t="shared" si="588"/>
        <v>127.35588364456282</v>
      </c>
      <c r="BM178" s="528">
        <f t="shared" si="526"/>
        <v>0.64261861557508193</v>
      </c>
      <c r="BN178" s="460">
        <f t="shared" si="527"/>
        <v>642.61861557508189</v>
      </c>
      <c r="BO178" s="528">
        <f t="shared" si="483"/>
        <v>0.47599999999999998</v>
      </c>
      <c r="BR178" s="460">
        <f t="shared" si="484"/>
        <v>476</v>
      </c>
      <c r="BS178" s="528">
        <f t="shared" si="485"/>
        <v>2.83606525351748E-2</v>
      </c>
      <c r="BT178" s="528">
        <f t="shared" si="486"/>
        <v>3.6189065826567231E-2</v>
      </c>
      <c r="BU178" s="528">
        <f t="shared" si="487"/>
        <v>0.63274152088716629</v>
      </c>
      <c r="BV178" s="528"/>
      <c r="BW178" s="528">
        <f t="shared" si="488"/>
        <v>8.8068320063552866E-3</v>
      </c>
      <c r="BX178" s="460">
        <f t="shared" si="489"/>
        <v>706.09807125526356</v>
      </c>
      <c r="BY178" s="173">
        <f t="shared" si="490"/>
        <v>1.9440807998287737</v>
      </c>
      <c r="BZ178" s="5">
        <f t="shared" si="491"/>
        <v>10.88</v>
      </c>
      <c r="CA178" s="173">
        <f t="shared" si="492"/>
        <v>0.84840388717336135</v>
      </c>
      <c r="CB178" s="5">
        <f t="shared" si="493"/>
        <v>84.84038871733614</v>
      </c>
      <c r="CE178" s="562">
        <f t="shared" si="528"/>
        <v>-50</v>
      </c>
      <c r="CF178">
        <f t="shared" si="529"/>
        <v>-50</v>
      </c>
      <c r="CG178" s="173">
        <f t="shared" si="530"/>
        <v>0.52188711545057231</v>
      </c>
      <c r="CI178" s="170">
        <v>68</v>
      </c>
      <c r="CJ178" s="217">
        <f t="shared" si="589"/>
        <v>0.68</v>
      </c>
      <c r="CK178" s="217"/>
      <c r="CL178" s="217">
        <f t="shared" si="531"/>
        <v>10.88</v>
      </c>
      <c r="CM178" s="541">
        <f t="shared" si="532"/>
        <v>19</v>
      </c>
      <c r="CN178" s="443">
        <f t="shared" si="533"/>
        <v>16.399999999999999</v>
      </c>
      <c r="CO178" s="443">
        <f t="shared" si="534"/>
        <v>35.4</v>
      </c>
      <c r="CP178" s="443"/>
      <c r="CQ178" s="217">
        <f t="shared" si="535"/>
        <v>0.4632768361581921</v>
      </c>
      <c r="CR178" s="172">
        <f t="shared" si="590"/>
        <v>22.214703389830511</v>
      </c>
      <c r="CS178" s="172">
        <f t="shared" si="536"/>
        <v>10.88</v>
      </c>
      <c r="CT178" s="217">
        <f t="shared" si="537"/>
        <v>1.3884189618644069</v>
      </c>
      <c r="CU178" s="217">
        <f t="shared" si="538"/>
        <v>16</v>
      </c>
      <c r="CV178" s="217"/>
      <c r="CW178" s="172">
        <f t="shared" si="539"/>
        <v>51.000798800813186</v>
      </c>
      <c r="CX178" s="536">
        <f t="shared" si="540"/>
        <v>16</v>
      </c>
      <c r="CY178" s="217">
        <f t="shared" si="541"/>
        <v>2.4720924261874195</v>
      </c>
      <c r="CZ178" s="217">
        <f t="shared" si="542"/>
        <v>1.5613215323288967</v>
      </c>
      <c r="DA178" s="217">
        <f t="shared" si="543"/>
        <v>1.8088481167225023</v>
      </c>
      <c r="DB178" s="197">
        <f t="shared" si="544"/>
        <v>350</v>
      </c>
      <c r="DC178" s="443">
        <f t="shared" si="545"/>
        <v>296.72096782471169</v>
      </c>
      <c r="DE178" s="217">
        <f t="shared" si="546"/>
        <v>2.0957761635727734</v>
      </c>
      <c r="DF178" s="173">
        <f t="shared" si="547"/>
        <v>1.5334947538337369</v>
      </c>
      <c r="DG178" s="173">
        <f t="shared" si="548"/>
        <v>0.5624258066085126</v>
      </c>
      <c r="DH178" s="173"/>
      <c r="DI178" s="173">
        <f t="shared" si="549"/>
        <v>0.73170731707317083</v>
      </c>
      <c r="DJ178" s="545">
        <f t="shared" si="550"/>
        <v>1858.6666666666665</v>
      </c>
      <c r="DK178" s="528">
        <f t="shared" si="551"/>
        <v>0.12804878048780488</v>
      </c>
      <c r="DM178" s="173">
        <f t="shared" si="552"/>
        <v>2.3044470465767248</v>
      </c>
      <c r="DN178" s="173">
        <f t="shared" si="553"/>
        <v>2.4720924261874195</v>
      </c>
      <c r="DO178" s="173">
        <f t="shared" si="554"/>
        <v>2.2904388342129032</v>
      </c>
      <c r="DQ178" s="545">
        <f t="shared" si="555"/>
        <v>680</v>
      </c>
      <c r="DR178" s="460">
        <f t="shared" si="556"/>
        <v>296.72096782471169</v>
      </c>
      <c r="DT178">
        <f t="shared" si="591"/>
        <v>680</v>
      </c>
      <c r="DU178">
        <f t="shared" si="592"/>
        <v>296.72096782471169</v>
      </c>
      <c r="DW178" s="5">
        <f t="shared" si="557"/>
        <v>3.3701696490513986</v>
      </c>
      <c r="DX178" s="5">
        <f t="shared" si="558"/>
        <v>1.5613215323288967</v>
      </c>
      <c r="DY178" s="5">
        <f t="shared" si="559"/>
        <v>1.8088481167225019</v>
      </c>
      <c r="DZ178" s="5"/>
      <c r="EA178" s="173">
        <f t="shared" si="560"/>
        <v>0.46327683615819215</v>
      </c>
      <c r="EB178" s="173">
        <f t="shared" si="561"/>
        <v>10.879999999999999</v>
      </c>
      <c r="EC178" s="173">
        <f t="shared" si="562"/>
        <v>0.66341463414634128</v>
      </c>
      <c r="ED178" s="173">
        <f t="shared" si="563"/>
        <v>16.400000000000002</v>
      </c>
      <c r="EE178" s="460">
        <f t="shared" si="564"/>
        <v>6.635616512397811</v>
      </c>
      <c r="EF178" s="5">
        <f t="shared" si="565"/>
        <v>0.86316962762898342</v>
      </c>
      <c r="EH178" s="173">
        <f t="shared" si="566"/>
        <v>0.97145876196969305</v>
      </c>
      <c r="EI178" s="173">
        <f t="shared" si="567"/>
        <v>1.0456329159875908</v>
      </c>
      <c r="EK178" s="528">
        <f t="shared" si="568"/>
        <v>1.8874642524153776E-2</v>
      </c>
      <c r="EL178" s="528">
        <f t="shared" si="569"/>
        <v>0.49336666666666668</v>
      </c>
      <c r="EM178" s="528">
        <f t="shared" si="570"/>
        <v>3.4122911299841845E-2</v>
      </c>
      <c r="EN178" s="528">
        <f t="shared" si="571"/>
        <v>0.1831306326593137</v>
      </c>
      <c r="EO178">
        <f t="shared" si="572"/>
        <v>8.5500000000000003E-3</v>
      </c>
      <c r="EP178" s="460">
        <f t="shared" si="573"/>
        <v>42.67291129984185</v>
      </c>
      <c r="EQ178" s="460"/>
      <c r="ER178" s="460">
        <f t="shared" si="593"/>
        <v>738.04485314997589</v>
      </c>
      <c r="ES178" s="528">
        <f t="shared" si="574"/>
        <v>0.47599999999999998</v>
      </c>
      <c r="EV178" s="460">
        <f t="shared" si="494"/>
        <v>476</v>
      </c>
      <c r="EW178" s="528">
        <f t="shared" si="575"/>
        <v>2.8311963786230663E-2</v>
      </c>
      <c r="EX178" s="528">
        <f t="shared" si="576"/>
        <v>3.2800445849901362E-2</v>
      </c>
      <c r="EY178" s="528">
        <f t="shared" si="577"/>
        <v>0.72862212829464312</v>
      </c>
      <c r="EZ178" s="528"/>
      <c r="FA178" s="528">
        <f t="shared" si="578"/>
        <v>9.0666666666666656E-3</v>
      </c>
      <c r="FB178" s="460">
        <f t="shared" si="579"/>
        <v>798.80120459744182</v>
      </c>
      <c r="FC178" s="173">
        <f t="shared" si="580"/>
        <v>2.0128460577474176</v>
      </c>
      <c r="FD178" s="5">
        <f t="shared" si="581"/>
        <v>10.88</v>
      </c>
      <c r="FE178" s="173">
        <f t="shared" si="582"/>
        <v>0.84387884189946705</v>
      </c>
      <c r="FF178" s="5">
        <f t="shared" si="583"/>
        <v>84.387884189946703</v>
      </c>
      <c r="FI178" s="562">
        <f t="shared" si="584"/>
        <v>-50</v>
      </c>
      <c r="FJ178">
        <f t="shared" si="585"/>
        <v>-50</v>
      </c>
      <c r="FL178">
        <f t="shared" si="586"/>
        <v>0.53672316384180785</v>
      </c>
    </row>
    <row r="179" spans="5:168">
      <c r="E179" s="170">
        <v>69</v>
      </c>
      <c r="F179" s="217">
        <f t="shared" si="587"/>
        <v>0.69</v>
      </c>
      <c r="G179" s="217"/>
      <c r="H179" s="217">
        <f t="shared" si="495"/>
        <v>11.04</v>
      </c>
      <c r="I179" s="541">
        <f t="shared" si="496"/>
        <v>18.933920974508567</v>
      </c>
      <c r="J179" s="172">
        <f t="shared" si="497"/>
        <v>16.439647415294861</v>
      </c>
      <c r="K179" s="172">
        <f t="shared" si="498"/>
        <v>35.373568389803424</v>
      </c>
      <c r="L179" s="443"/>
      <c r="M179" s="217">
        <f t="shared" si="499"/>
        <v>0.46472747998535574</v>
      </c>
      <c r="N179" s="172">
        <f t="shared" si="500"/>
        <v>22.206762394605317</v>
      </c>
      <c r="O179" s="172">
        <f t="shared" si="438"/>
        <v>11.04</v>
      </c>
      <c r="P179" s="217">
        <f t="shared" si="501"/>
        <v>1.3879226496628323</v>
      </c>
      <c r="Q179" s="217">
        <f t="shared" si="502"/>
        <v>16</v>
      </c>
      <c r="R179" s="217"/>
      <c r="S179" s="172">
        <f t="shared" si="503"/>
        <v>49.818055629088171</v>
      </c>
      <c r="T179" s="536">
        <f t="shared" si="504"/>
        <v>16</v>
      </c>
      <c r="U179" s="217">
        <f t="shared" si="505"/>
        <v>2.578125998252712</v>
      </c>
      <c r="V179" s="217">
        <f t="shared" si="506"/>
        <v>1.6339728057746123</v>
      </c>
      <c r="W179" s="217">
        <f t="shared" si="507"/>
        <v>1.8818841546595086</v>
      </c>
      <c r="X179" s="197">
        <f t="shared" si="508"/>
        <v>350</v>
      </c>
      <c r="Y179" s="443">
        <f t="shared" si="509"/>
        <v>269.11692528744993</v>
      </c>
      <c r="AA179" s="217">
        <f t="shared" si="510"/>
        <v>2.0951006720741296</v>
      </c>
      <c r="AB179" s="173">
        <f t="shared" si="511"/>
        <v>1.5293033621572123</v>
      </c>
      <c r="AC179" s="173">
        <f t="shared" si="512"/>
        <v>0.56070778782564024</v>
      </c>
      <c r="AD179" s="173"/>
      <c r="AE179" s="173">
        <f t="shared" si="513"/>
        <v>0.72994266220306092</v>
      </c>
      <c r="AF179" s="545">
        <f t="shared" si="514"/>
        <v>1890.5594527589087</v>
      </c>
      <c r="AG179" s="528">
        <f t="shared" si="515"/>
        <v>0.12773996588553568</v>
      </c>
      <c r="AI179" s="173">
        <f t="shared" si="516"/>
        <v>2.3241339110417081</v>
      </c>
      <c r="AJ179" s="173">
        <f t="shared" si="517"/>
        <v>2.578125998252712</v>
      </c>
      <c r="AK179" s="173">
        <f t="shared" si="518"/>
        <v>2.3689822209279345</v>
      </c>
      <c r="AM179" s="545">
        <f t="shared" si="519"/>
        <v>690</v>
      </c>
      <c r="AN179" s="460">
        <f t="shared" si="520"/>
        <v>269.11692528744993</v>
      </c>
      <c r="AP179">
        <f t="shared" si="521"/>
        <v>690</v>
      </c>
      <c r="AQ179">
        <f t="shared" si="522"/>
        <v>269.11692528744993</v>
      </c>
      <c r="AS179" s="5">
        <f t="shared" si="439"/>
        <v>3.7158569604341207</v>
      </c>
      <c r="AT179" s="5">
        <f t="shared" si="523"/>
        <v>1.6339728057746123</v>
      </c>
      <c r="AU179" s="5">
        <f t="shared" si="478"/>
        <v>2.0818841546595084</v>
      </c>
      <c r="AV179" s="5"/>
      <c r="AW179" s="173">
        <f t="shared" si="479"/>
        <v>0.43972973749337124</v>
      </c>
      <c r="AX179" s="173">
        <f t="shared" si="435"/>
        <v>10.732491159331405</v>
      </c>
      <c r="AY179" s="173">
        <f t="shared" si="436"/>
        <v>0.72222366490810552</v>
      </c>
      <c r="AZ179" s="173">
        <f t="shared" si="440"/>
        <v>14.860342689957394</v>
      </c>
      <c r="BA179" s="460">
        <f t="shared" si="433"/>
        <v>7.0465077249030159</v>
      </c>
      <c r="BB179" s="5">
        <f t="shared" si="434"/>
        <v>1.011588368233622</v>
      </c>
      <c r="BD179" s="173">
        <f t="shared" si="441"/>
        <v>0.98704381003085151</v>
      </c>
      <c r="BE179" s="173">
        <f t="shared" si="437"/>
        <v>1.1141464915808699</v>
      </c>
      <c r="BG179" s="528">
        <f t="shared" si="480"/>
        <v>1.9485109658404394E-2</v>
      </c>
      <c r="BH179" s="528">
        <f t="shared" si="524"/>
        <v>0.44790601212640357</v>
      </c>
      <c r="BI179" s="528">
        <f t="shared" si="525"/>
        <v>0.11719508771479198</v>
      </c>
      <c r="BJ179" s="528">
        <f t="shared" si="481"/>
        <v>0.16584599644743647</v>
      </c>
      <c r="BK179">
        <f t="shared" si="482"/>
        <v>8.5202644385288552E-3</v>
      </c>
      <c r="BL179" s="460">
        <f t="shared" si="588"/>
        <v>125.71535215332084</v>
      </c>
      <c r="BM179" s="528">
        <f t="shared" si="526"/>
        <v>0.64146787733109012</v>
      </c>
      <c r="BN179" s="460">
        <f t="shared" si="527"/>
        <v>641.46787733109011</v>
      </c>
      <c r="BO179" s="528">
        <f t="shared" si="483"/>
        <v>0.48299999999999993</v>
      </c>
      <c r="BR179" s="460">
        <f t="shared" si="484"/>
        <v>482.99999999999994</v>
      </c>
      <c r="BS179" s="528">
        <f t="shared" si="485"/>
        <v>2.9227664487606591E-2</v>
      </c>
      <c r="BT179" s="528">
        <f t="shared" si="486"/>
        <v>3.723967214105884E-2</v>
      </c>
      <c r="BU179" s="528">
        <f t="shared" si="487"/>
        <v>0.63399069074577286</v>
      </c>
      <c r="BV179" s="528"/>
      <c r="BW179" s="528">
        <f t="shared" si="488"/>
        <v>8.9437426327761693E-3</v>
      </c>
      <c r="BX179" s="460">
        <f t="shared" si="489"/>
        <v>709.40177000721451</v>
      </c>
      <c r="BY179" s="173">
        <f t="shared" si="490"/>
        <v>1.9513542403927795</v>
      </c>
      <c r="BZ179" s="5">
        <f t="shared" si="491"/>
        <v>11.04</v>
      </c>
      <c r="CA179" s="173">
        <f t="shared" si="492"/>
        <v>0.84979593318103663</v>
      </c>
      <c r="CB179" s="5">
        <f t="shared" si="493"/>
        <v>84.979593318103667</v>
      </c>
      <c r="CE179" s="562">
        <f t="shared" si="528"/>
        <v>-50</v>
      </c>
      <c r="CF179">
        <f t="shared" si="529"/>
        <v>-50</v>
      </c>
      <c r="CG179" s="173">
        <f t="shared" si="530"/>
        <v>0.52210213064464828</v>
      </c>
      <c r="CI179" s="170">
        <v>69</v>
      </c>
      <c r="CJ179" s="217">
        <f t="shared" si="589"/>
        <v>0.69</v>
      </c>
      <c r="CK179" s="217"/>
      <c r="CL179" s="217">
        <f t="shared" si="531"/>
        <v>11.04</v>
      </c>
      <c r="CM179" s="541">
        <f t="shared" si="532"/>
        <v>19</v>
      </c>
      <c r="CN179" s="443">
        <f t="shared" si="533"/>
        <v>16.399999999999999</v>
      </c>
      <c r="CO179" s="443">
        <f t="shared" si="534"/>
        <v>35.4</v>
      </c>
      <c r="CP179" s="443"/>
      <c r="CQ179" s="217">
        <f t="shared" si="535"/>
        <v>0.4632768361581921</v>
      </c>
      <c r="CR179" s="172">
        <f t="shared" si="590"/>
        <v>22.214703389830511</v>
      </c>
      <c r="CS179" s="172">
        <f t="shared" si="536"/>
        <v>11.04</v>
      </c>
      <c r="CT179" s="217">
        <f t="shared" si="537"/>
        <v>1.3884189618644069</v>
      </c>
      <c r="CU179" s="217">
        <f t="shared" si="538"/>
        <v>16</v>
      </c>
      <c r="CV179" s="217"/>
      <c r="CW179" s="172">
        <f t="shared" si="539"/>
        <v>49.991399098690103</v>
      </c>
      <c r="CX179" s="536">
        <f t="shared" si="540"/>
        <v>16</v>
      </c>
      <c r="CY179" s="217">
        <f t="shared" si="541"/>
        <v>2.5084467265725285</v>
      </c>
      <c r="CZ179" s="217">
        <f t="shared" si="542"/>
        <v>1.5842821430984391</v>
      </c>
      <c r="DA179" s="217">
        <f t="shared" si="543"/>
        <v>1.8354488243213625</v>
      </c>
      <c r="DB179" s="197">
        <f t="shared" si="544"/>
        <v>350</v>
      </c>
      <c r="DC179" s="443">
        <f t="shared" si="545"/>
        <v>292.42066394319414</v>
      </c>
      <c r="DE179" s="217">
        <f t="shared" si="546"/>
        <v>2.0957761635727734</v>
      </c>
      <c r="DF179" s="173">
        <f t="shared" si="547"/>
        <v>1.5334947538337369</v>
      </c>
      <c r="DG179" s="173">
        <f t="shared" si="548"/>
        <v>0.5624258066085126</v>
      </c>
      <c r="DH179" s="173"/>
      <c r="DI179" s="173">
        <f t="shared" si="549"/>
        <v>0.73170731707317083</v>
      </c>
      <c r="DJ179" s="545">
        <f t="shared" si="550"/>
        <v>1885.9999999999995</v>
      </c>
      <c r="DK179" s="528">
        <f t="shared" si="551"/>
        <v>0.12804878048780488</v>
      </c>
      <c r="DM179" s="173">
        <f t="shared" si="552"/>
        <v>2.3213296682228113</v>
      </c>
      <c r="DN179" s="173">
        <f t="shared" si="553"/>
        <v>2.5084467265725285</v>
      </c>
      <c r="DO179" s="173">
        <f t="shared" si="554"/>
        <v>2.3173679456092802</v>
      </c>
      <c r="DQ179" s="545">
        <f t="shared" si="555"/>
        <v>690</v>
      </c>
      <c r="DR179" s="460">
        <f t="shared" si="556"/>
        <v>292.42066394319414</v>
      </c>
      <c r="DT179">
        <f t="shared" si="591"/>
        <v>690</v>
      </c>
      <c r="DU179">
        <f t="shared" si="592"/>
        <v>292.42066394319414</v>
      </c>
      <c r="DW179" s="5">
        <f t="shared" si="557"/>
        <v>3.4197309674198015</v>
      </c>
      <c r="DX179" s="5">
        <f t="shared" si="558"/>
        <v>1.5842821430984391</v>
      </c>
      <c r="DY179" s="5">
        <f t="shared" si="559"/>
        <v>1.8354488243213625</v>
      </c>
      <c r="DZ179" s="5"/>
      <c r="EA179" s="173">
        <f t="shared" si="560"/>
        <v>0.4632768361581921</v>
      </c>
      <c r="EB179" s="173">
        <f t="shared" si="561"/>
        <v>11.039999999999997</v>
      </c>
      <c r="EC179" s="173">
        <f t="shared" si="562"/>
        <v>0.673170731707317</v>
      </c>
      <c r="ED179" s="173">
        <f t="shared" si="563"/>
        <v>16.399999999999999</v>
      </c>
      <c r="EE179" s="460">
        <f t="shared" si="564"/>
        <v>6.8322167421120179</v>
      </c>
      <c r="EF179" s="5">
        <f t="shared" si="565"/>
        <v>0.88874364125034377</v>
      </c>
      <c r="EH179" s="173">
        <f t="shared" si="566"/>
        <v>0.98574492023395299</v>
      </c>
      <c r="EI179" s="173">
        <f t="shared" si="567"/>
        <v>1.0610098706344673</v>
      </c>
      <c r="EK179" s="528">
        <f t="shared" si="568"/>
        <v>1.9433860955340849E-2</v>
      </c>
      <c r="EL179" s="528">
        <f t="shared" si="569"/>
        <v>0.49336666666666668</v>
      </c>
      <c r="EM179" s="528">
        <f t="shared" si="570"/>
        <v>3.3628376353467326E-2</v>
      </c>
      <c r="EN179" s="528">
        <f t="shared" si="571"/>
        <v>0.18047656551932367</v>
      </c>
      <c r="EO179">
        <f t="shared" si="572"/>
        <v>8.5500000000000003E-3</v>
      </c>
      <c r="EP179" s="460">
        <f t="shared" si="573"/>
        <v>42.178376353467328</v>
      </c>
      <c r="EQ179" s="460"/>
      <c r="ER179" s="460">
        <f t="shared" si="593"/>
        <v>735.45546949479842</v>
      </c>
      <c r="ES179" s="528">
        <f t="shared" si="574"/>
        <v>0.48299999999999993</v>
      </c>
      <c r="EV179" s="460">
        <f t="shared" si="494"/>
        <v>482.99999999999994</v>
      </c>
      <c r="EW179" s="528">
        <f t="shared" si="575"/>
        <v>2.9150791433011268E-2</v>
      </c>
      <c r="EX179" s="528">
        <f t="shared" si="576"/>
        <v>3.3772258367513068E-2</v>
      </c>
      <c r="EY179" s="528">
        <f t="shared" si="577"/>
        <v>0.72862212829464357</v>
      </c>
      <c r="EZ179" s="528"/>
      <c r="FA179" s="528">
        <f t="shared" si="578"/>
        <v>9.1999999999999981E-3</v>
      </c>
      <c r="FB179" s="460">
        <f t="shared" si="579"/>
        <v>800.74517809516783</v>
      </c>
      <c r="FC179" s="173">
        <f t="shared" si="580"/>
        <v>2.0192006475899662</v>
      </c>
      <c r="FD179" s="5">
        <f t="shared" si="581"/>
        <v>11.04</v>
      </c>
      <c r="FE179" s="173">
        <f t="shared" si="582"/>
        <v>0.84538099213885631</v>
      </c>
      <c r="FF179" s="5">
        <f t="shared" si="583"/>
        <v>84.53809921388563</v>
      </c>
      <c r="FI179" s="562">
        <f t="shared" si="584"/>
        <v>-50</v>
      </c>
      <c r="FJ179">
        <f t="shared" si="585"/>
        <v>-50</v>
      </c>
      <c r="FL179">
        <f t="shared" si="586"/>
        <v>0.53672316384180796</v>
      </c>
    </row>
    <row r="180" spans="5:168">
      <c r="E180" s="170">
        <v>70</v>
      </c>
      <c r="F180" s="217">
        <f t="shared" si="587"/>
        <v>0.7</v>
      </c>
      <c r="G180" s="217"/>
      <c r="H180" s="217">
        <f t="shared" si="495"/>
        <v>11.2</v>
      </c>
      <c r="I180" s="541">
        <f t="shared" si="496"/>
        <v>18.932990115411517</v>
      </c>
      <c r="J180" s="172">
        <f t="shared" si="497"/>
        <v>16.440205930753088</v>
      </c>
      <c r="K180" s="172">
        <f t="shared" si="498"/>
        <v>35.373196046164608</v>
      </c>
      <c r="L180" s="443"/>
      <c r="M180" s="217">
        <f t="shared" si="499"/>
        <v>0.46474816817262504</v>
      </c>
      <c r="N180" s="172">
        <f t="shared" si="500"/>
        <v>22.20665915668129</v>
      </c>
      <c r="O180" s="172">
        <f t="shared" si="438"/>
        <v>11.2</v>
      </c>
      <c r="P180" s="217">
        <f t="shared" si="501"/>
        <v>1.3879161972925806</v>
      </c>
      <c r="Q180" s="217">
        <f t="shared" si="502"/>
        <v>16</v>
      </c>
      <c r="R180" s="217"/>
      <c r="S180" s="172">
        <f t="shared" si="503"/>
        <v>48.838637687527999</v>
      </c>
      <c r="T180" s="536">
        <f t="shared" si="504"/>
        <v>16</v>
      </c>
      <c r="U180" s="217">
        <f t="shared" si="505"/>
        <v>2.615591235288881</v>
      </c>
      <c r="V180" s="217">
        <f t="shared" si="506"/>
        <v>1.6577991448861198</v>
      </c>
      <c r="W180" s="217">
        <f t="shared" si="507"/>
        <v>1.9091667680849302</v>
      </c>
      <c r="X180" s="197">
        <f t="shared" si="508"/>
        <v>350</v>
      </c>
      <c r="Y180" s="443">
        <f t="shared" si="509"/>
        <v>265.46563550167309</v>
      </c>
      <c r="AA180" s="217">
        <f t="shared" si="510"/>
        <v>2.0950908972624496</v>
      </c>
      <c r="AB180" s="173">
        <f t="shared" si="511"/>
        <v>1.5292442730367759</v>
      </c>
      <c r="AC180" s="173">
        <f t="shared" si="512"/>
        <v>0.56068350732276429</v>
      </c>
      <c r="AD180" s="173"/>
      <c r="AE180" s="173">
        <f t="shared" si="513"/>
        <v>0.72991786420100568</v>
      </c>
      <c r="AF180" s="545">
        <f t="shared" si="514"/>
        <v>1918.0240252545266</v>
      </c>
      <c r="AG180" s="528">
        <f t="shared" si="515"/>
        <v>0.12773562623517598</v>
      </c>
      <c r="AI180" s="173">
        <f t="shared" si="516"/>
        <v>2.3409546436410005</v>
      </c>
      <c r="AJ180" s="173">
        <f t="shared" si="517"/>
        <v>2.615591235288881</v>
      </c>
      <c r="AK180" s="173">
        <f t="shared" si="518"/>
        <v>2.3967342483621339</v>
      </c>
      <c r="AM180" s="545">
        <f t="shared" si="519"/>
        <v>700</v>
      </c>
      <c r="AN180" s="460">
        <f t="shared" si="520"/>
        <v>265.46563550167309</v>
      </c>
      <c r="AP180">
        <f t="shared" si="521"/>
        <v>700</v>
      </c>
      <c r="AQ180">
        <f t="shared" si="522"/>
        <v>265.46563550167309</v>
      </c>
      <c r="AS180" s="5">
        <f t="shared" si="439"/>
        <v>3.7669659129710502</v>
      </c>
      <c r="AT180" s="5">
        <f t="shared" si="523"/>
        <v>1.6577991448861198</v>
      </c>
      <c r="AU180" s="5">
        <f t="shared" si="478"/>
        <v>2.1091667680849304</v>
      </c>
      <c r="AV180" s="5"/>
      <c r="AW180" s="173">
        <f t="shared" si="479"/>
        <v>0.44008870353132401</v>
      </c>
      <c r="AX180" s="173">
        <f t="shared" si="435"/>
        <v>10.8968082029564</v>
      </c>
      <c r="AY180" s="173">
        <f t="shared" si="436"/>
        <v>0.73224953979135154</v>
      </c>
      <c r="AZ180" s="173">
        <f t="shared" si="440"/>
        <v>14.88127695657051</v>
      </c>
      <c r="BA180" s="460">
        <f t="shared" si="433"/>
        <v>7.2528712588767732</v>
      </c>
      <c r="BB180" s="5">
        <f t="shared" si="434"/>
        <v>1.0397489452076512</v>
      </c>
      <c r="BD180" s="173">
        <f t="shared" si="441"/>
        <v>1.0017961458425333</v>
      </c>
      <c r="BE180" s="173">
        <f t="shared" si="437"/>
        <v>1.1299750670767257</v>
      </c>
      <c r="BG180" s="528">
        <f t="shared" si="480"/>
        <v>2.0071910356499086E-2</v>
      </c>
      <c r="BH180" s="528">
        <f t="shared" si="524"/>
        <v>0.44824489580234345</v>
      </c>
      <c r="BI180" s="528">
        <f t="shared" si="525"/>
        <v>0.11559933981749611</v>
      </c>
      <c r="BJ180" s="528">
        <f t="shared" si="481"/>
        <v>0.16359240858785831</v>
      </c>
      <c r="BK180">
        <f t="shared" si="482"/>
        <v>8.5198455519351832E-3</v>
      </c>
      <c r="BL180" s="460">
        <f t="shared" si="588"/>
        <v>124.11918536943128</v>
      </c>
      <c r="BM180" s="528">
        <f t="shared" si="526"/>
        <v>0.6403826705079303</v>
      </c>
      <c r="BN180" s="460">
        <f t="shared" si="527"/>
        <v>640.38267050793024</v>
      </c>
      <c r="BO180" s="528">
        <f t="shared" si="483"/>
        <v>0.48999999999999994</v>
      </c>
      <c r="BR180" s="460">
        <f t="shared" si="484"/>
        <v>489.99999999999994</v>
      </c>
      <c r="BS180" s="528">
        <f t="shared" si="485"/>
        <v>3.0107865534748628E-2</v>
      </c>
      <c r="BT180" s="528">
        <f t="shared" si="486"/>
        <v>3.830530956645152E-2</v>
      </c>
      <c r="BU180" s="528">
        <f t="shared" si="487"/>
        <v>0.63520727298751078</v>
      </c>
      <c r="BV180" s="528"/>
      <c r="BW180" s="528">
        <f t="shared" si="488"/>
        <v>9.0806735024636688E-3</v>
      </c>
      <c r="BX180" s="460">
        <f t="shared" si="489"/>
        <v>712.70112159117457</v>
      </c>
      <c r="BY180" s="173">
        <f t="shared" si="490"/>
        <v>1.9587295217073069</v>
      </c>
      <c r="BZ180" s="5">
        <f t="shared" si="491"/>
        <v>11.2</v>
      </c>
      <c r="CA180" s="173">
        <f t="shared" si="492"/>
        <v>0.85114600019127318</v>
      </c>
      <c r="CB180" s="5">
        <f t="shared" si="493"/>
        <v>85.114600019127323</v>
      </c>
      <c r="CE180" s="562">
        <f t="shared" si="528"/>
        <v>-50</v>
      </c>
      <c r="CF180">
        <f t="shared" si="529"/>
        <v>-50</v>
      </c>
      <c r="CG180" s="173">
        <f t="shared" si="530"/>
        <v>0.52231100254746465</v>
      </c>
      <c r="CI180" s="170">
        <v>70</v>
      </c>
      <c r="CJ180" s="217">
        <f t="shared" si="589"/>
        <v>0.7</v>
      </c>
      <c r="CK180" s="217"/>
      <c r="CL180" s="217">
        <f t="shared" si="531"/>
        <v>11.2</v>
      </c>
      <c r="CM180" s="541">
        <f t="shared" si="532"/>
        <v>19</v>
      </c>
      <c r="CN180" s="443">
        <f t="shared" si="533"/>
        <v>16.399999999999999</v>
      </c>
      <c r="CO180" s="443">
        <f t="shared" si="534"/>
        <v>35.4</v>
      </c>
      <c r="CP180" s="443"/>
      <c r="CQ180" s="217">
        <f t="shared" si="535"/>
        <v>0.4632768361581921</v>
      </c>
      <c r="CR180" s="172">
        <f t="shared" si="590"/>
        <v>22.214703389830511</v>
      </c>
      <c r="CS180" s="172">
        <f t="shared" si="536"/>
        <v>11.2</v>
      </c>
      <c r="CT180" s="217">
        <f t="shared" si="537"/>
        <v>1.3884189618644069</v>
      </c>
      <c r="CU180" s="217">
        <f t="shared" si="538"/>
        <v>16</v>
      </c>
      <c r="CV180" s="217"/>
      <c r="CW180" s="172">
        <f t="shared" si="539"/>
        <v>49.010954901761508</v>
      </c>
      <c r="CX180" s="536">
        <f t="shared" si="540"/>
        <v>16</v>
      </c>
      <c r="CY180" s="217">
        <f t="shared" si="541"/>
        <v>2.5448010269576375</v>
      </c>
      <c r="CZ180" s="217">
        <f t="shared" si="542"/>
        <v>1.6072427538679817</v>
      </c>
      <c r="DA180" s="217">
        <f t="shared" si="543"/>
        <v>1.8620495319202226</v>
      </c>
      <c r="DB180" s="197">
        <f t="shared" si="544"/>
        <v>350</v>
      </c>
      <c r="DC180" s="443">
        <f t="shared" si="545"/>
        <v>288.24322588686283</v>
      </c>
      <c r="DE180" s="217">
        <f t="shared" si="546"/>
        <v>2.0957761635727734</v>
      </c>
      <c r="DF180" s="173">
        <f t="shared" si="547"/>
        <v>1.5334947538337369</v>
      </c>
      <c r="DG180" s="173">
        <f t="shared" si="548"/>
        <v>0.5624258066085126</v>
      </c>
      <c r="DH180" s="173"/>
      <c r="DI180" s="173">
        <f t="shared" si="549"/>
        <v>0.73170731707317083</v>
      </c>
      <c r="DJ180" s="545">
        <f t="shared" si="550"/>
        <v>1913.333333333333</v>
      </c>
      <c r="DK180" s="528">
        <f t="shared" si="551"/>
        <v>0.12804878048780488</v>
      </c>
      <c r="DM180" s="173">
        <f t="shared" si="552"/>
        <v>2.338090388900024</v>
      </c>
      <c r="DN180" s="173">
        <f t="shared" si="553"/>
        <v>2.5448010269576375</v>
      </c>
      <c r="DO180" s="173">
        <f t="shared" si="554"/>
        <v>2.3442970570056572</v>
      </c>
      <c r="DQ180" s="545">
        <f t="shared" si="555"/>
        <v>700</v>
      </c>
      <c r="DR180" s="460">
        <f t="shared" si="556"/>
        <v>288.24322588686283</v>
      </c>
      <c r="DT180">
        <f t="shared" si="591"/>
        <v>700</v>
      </c>
      <c r="DU180">
        <f t="shared" si="592"/>
        <v>288.24322588686283</v>
      </c>
      <c r="DW180" s="5">
        <f t="shared" si="557"/>
        <v>3.469292285788204</v>
      </c>
      <c r="DX180" s="5">
        <f t="shared" si="558"/>
        <v>1.6072427538679817</v>
      </c>
      <c r="DY180" s="5">
        <f t="shared" si="559"/>
        <v>1.8620495319202224</v>
      </c>
      <c r="DZ180" s="5"/>
      <c r="EA180" s="173">
        <f t="shared" si="560"/>
        <v>0.46327683615819215</v>
      </c>
      <c r="EB180" s="173">
        <f t="shared" si="561"/>
        <v>11.199999999999998</v>
      </c>
      <c r="EC180" s="173">
        <f t="shared" si="562"/>
        <v>0.68292682926829251</v>
      </c>
      <c r="ED180" s="173">
        <f t="shared" si="563"/>
        <v>16.400000000000002</v>
      </c>
      <c r="EE180" s="460">
        <f t="shared" si="564"/>
        <v>7.0316870481724187</v>
      </c>
      <c r="EF180" s="5">
        <f t="shared" si="565"/>
        <v>0.91469099813624932</v>
      </c>
      <c r="EH180" s="173">
        <f t="shared" si="566"/>
        <v>1.0000310784982134</v>
      </c>
      <c r="EI180" s="173">
        <f t="shared" si="567"/>
        <v>1.0763868252813436</v>
      </c>
      <c r="EK180" s="528">
        <f t="shared" si="568"/>
        <v>2.0001243159246E-2</v>
      </c>
      <c r="EL180" s="528">
        <f t="shared" si="569"/>
        <v>0.49336666666666668</v>
      </c>
      <c r="EM180" s="528">
        <f t="shared" si="570"/>
        <v>3.3147970976989224E-2</v>
      </c>
      <c r="EN180" s="528">
        <f t="shared" si="571"/>
        <v>0.17789832886904763</v>
      </c>
      <c r="EO180">
        <f t="shared" si="572"/>
        <v>8.5500000000000003E-3</v>
      </c>
      <c r="EP180" s="460">
        <f t="shared" si="573"/>
        <v>41.697970976989225</v>
      </c>
      <c r="EQ180" s="460"/>
      <c r="ER180" s="460">
        <f t="shared" si="593"/>
        <v>732.96420967194945</v>
      </c>
      <c r="ES180" s="528">
        <f t="shared" si="574"/>
        <v>0.48999999999999994</v>
      </c>
      <c r="EV180" s="460">
        <f t="shared" si="494"/>
        <v>489.99999999999994</v>
      </c>
      <c r="EW180" s="528">
        <f t="shared" si="575"/>
        <v>3.0001864738868997E-2</v>
      </c>
      <c r="EX180" s="528">
        <f t="shared" si="576"/>
        <v>3.4758257929177486E-2</v>
      </c>
      <c r="EY180" s="528">
        <f t="shared" si="577"/>
        <v>0.72862212829464423</v>
      </c>
      <c r="EZ180" s="528"/>
      <c r="FA180" s="528">
        <f t="shared" si="578"/>
        <v>9.3333333333333324E-3</v>
      </c>
      <c r="FB180" s="460">
        <f t="shared" si="579"/>
        <v>802.71558429602396</v>
      </c>
      <c r="FC180" s="173">
        <f t="shared" si="580"/>
        <v>2.0256797939679729</v>
      </c>
      <c r="FD180" s="5">
        <f t="shared" si="581"/>
        <v>11.2</v>
      </c>
      <c r="FE180" s="173">
        <f t="shared" si="582"/>
        <v>0.84683737807625936</v>
      </c>
      <c r="FF180" s="5">
        <f t="shared" si="583"/>
        <v>84.683737807625931</v>
      </c>
      <c r="FI180" s="562">
        <f t="shared" si="584"/>
        <v>-50</v>
      </c>
      <c r="FJ180">
        <f t="shared" si="585"/>
        <v>-50</v>
      </c>
      <c r="FL180">
        <f t="shared" si="586"/>
        <v>0.53672316384180785</v>
      </c>
    </row>
    <row r="181" spans="5:168">
      <c r="E181" s="170">
        <v>71</v>
      </c>
      <c r="F181" s="217">
        <f t="shared" si="587"/>
        <v>0.71</v>
      </c>
      <c r="G181" s="217"/>
      <c r="H181" s="217">
        <f t="shared" si="495"/>
        <v>11.36</v>
      </c>
      <c r="I181" s="541">
        <f t="shared" si="496"/>
        <v>18.932059235485575</v>
      </c>
      <c r="J181" s="172">
        <f t="shared" si="497"/>
        <v>16.440764458708653</v>
      </c>
      <c r="K181" s="172">
        <f t="shared" si="498"/>
        <v>35.372823694194224</v>
      </c>
      <c r="L181" s="443"/>
      <c r="M181" s="217">
        <f t="shared" si="499"/>
        <v>0.46476885706862348</v>
      </c>
      <c r="N181" s="172">
        <f t="shared" si="500"/>
        <v>22.206555830985035</v>
      </c>
      <c r="O181" s="172">
        <f t="shared" si="438"/>
        <v>11.36</v>
      </c>
      <c r="P181" s="217">
        <f t="shared" si="501"/>
        <v>1.3879097394365647</v>
      </c>
      <c r="Q181" s="217">
        <f t="shared" si="502"/>
        <v>16</v>
      </c>
      <c r="R181" s="217"/>
      <c r="S181" s="172">
        <f t="shared" si="503"/>
        <v>47.886950781878262</v>
      </c>
      <c r="T181" s="536">
        <f t="shared" si="504"/>
        <v>16</v>
      </c>
      <c r="U181" s="217">
        <f t="shared" si="505"/>
        <v>2.6530593721114282</v>
      </c>
      <c r="V181" s="217">
        <f t="shared" si="506"/>
        <v>1.6816296668702337</v>
      </c>
      <c r="W181" s="217">
        <f t="shared" si="507"/>
        <v>1.9364496429162861</v>
      </c>
      <c r="X181" s="197">
        <f t="shared" si="508"/>
        <v>350</v>
      </c>
      <c r="Y181" s="443">
        <f t="shared" si="509"/>
        <v>261.91179356510355</v>
      </c>
      <c r="AA181" s="217">
        <f t="shared" si="510"/>
        <v>2.0950811150271162</v>
      </c>
      <c r="AB181" s="173">
        <f t="shared" si="511"/>
        <v>1.529185181350144</v>
      </c>
      <c r="AC181" s="173">
        <f t="shared" si="512"/>
        <v>0.56065922409455049</v>
      </c>
      <c r="AD181" s="173"/>
      <c r="AE181" s="173">
        <f t="shared" si="513"/>
        <v>0.72989306732897175</v>
      </c>
      <c r="AF181" s="545">
        <f t="shared" si="514"/>
        <v>1945.4904609471905</v>
      </c>
      <c r="AG181" s="528">
        <f t="shared" si="515"/>
        <v>0.12773128678257006</v>
      </c>
      <c r="AI181" s="173">
        <f t="shared" si="516"/>
        <v>2.3576565004543877</v>
      </c>
      <c r="AJ181" s="173">
        <f t="shared" si="517"/>
        <v>2.6530593721114282</v>
      </c>
      <c r="AK181" s="173">
        <f t="shared" si="518"/>
        <v>2.4244884237862432</v>
      </c>
      <c r="AM181" s="545">
        <f t="shared" si="519"/>
        <v>710</v>
      </c>
      <c r="AN181" s="460">
        <f t="shared" si="520"/>
        <v>261.91179356510355</v>
      </c>
      <c r="AP181">
        <f t="shared" si="521"/>
        <v>710</v>
      </c>
      <c r="AQ181">
        <f t="shared" si="522"/>
        <v>261.91179356510355</v>
      </c>
      <c r="AS181" s="5">
        <f t="shared" si="439"/>
        <v>3.8180793097865195</v>
      </c>
      <c r="AT181" s="5">
        <f t="shared" si="523"/>
        <v>1.6816296668702337</v>
      </c>
      <c r="AU181" s="5">
        <f t="shared" si="478"/>
        <v>2.1364496429162858</v>
      </c>
      <c r="AV181" s="5"/>
      <c r="AW181" s="173">
        <f t="shared" si="479"/>
        <v>0.44043864216227052</v>
      </c>
      <c r="AX181" s="173">
        <f t="shared" si="435"/>
        <v>11.061149013704236</v>
      </c>
      <c r="AY181" s="173">
        <f t="shared" si="436"/>
        <v>0.74227475234139229</v>
      </c>
      <c r="AZ181" s="173">
        <f t="shared" si="440"/>
        <v>14.901691023187212</v>
      </c>
      <c r="BA181" s="460">
        <f t="shared" ref="BA181:BA244" si="594">F181*AT181/Vout_ripple*1000</f>
        <v>7.4622316467366616</v>
      </c>
      <c r="BB181" s="5">
        <f t="shared" ref="BB181:BB244" si="595">H181/Efficiency/I181*AU181/Vinripple1</f>
        <v>1.0682967113106416</v>
      </c>
      <c r="BD181" s="173">
        <f t="shared" si="441"/>
        <v>1.0165507128169988</v>
      </c>
      <c r="BE181" s="173">
        <f t="shared" si="437"/>
        <v>1.1458036447201647</v>
      </c>
      <c r="BG181" s="528">
        <f t="shared" si="480"/>
        <v>2.066750703457497E-2</v>
      </c>
      <c r="BH181" s="528">
        <f t="shared" si="524"/>
        <v>0.44857454153026305</v>
      </c>
      <c r="BI181" s="528">
        <f t="shared" si="525"/>
        <v>0.11404618057567664</v>
      </c>
      <c r="BJ181" s="528">
        <f t="shared" si="481"/>
        <v>0.1613989661110459</v>
      </c>
      <c r="BK181">
        <f t="shared" si="482"/>
        <v>8.5194266559685088E-3</v>
      </c>
      <c r="BL181" s="460">
        <f t="shared" si="588"/>
        <v>122.56560723164516</v>
      </c>
      <c r="BM181" s="528">
        <f t="shared" si="526"/>
        <v>0.63936088693652537</v>
      </c>
      <c r="BN181" s="460">
        <f t="shared" si="527"/>
        <v>639.36088693652539</v>
      </c>
      <c r="BO181" s="528">
        <f t="shared" si="483"/>
        <v>0.49699999999999994</v>
      </c>
      <c r="BR181" s="460">
        <f t="shared" si="484"/>
        <v>496.99999999999994</v>
      </c>
      <c r="BS181" s="528">
        <f t="shared" si="485"/>
        <v>3.1001260551862454E-2</v>
      </c>
      <c r="BT181" s="528">
        <f t="shared" si="486"/>
        <v>3.9385979767620399E-2</v>
      </c>
      <c r="BU181" s="528">
        <f t="shared" si="487"/>
        <v>0.6363925157175836</v>
      </c>
      <c r="BV181" s="528"/>
      <c r="BW181" s="528">
        <f t="shared" si="488"/>
        <v>9.2176241780868636E-3</v>
      </c>
      <c r="BX181" s="460">
        <f t="shared" si="489"/>
        <v>715.99738021515338</v>
      </c>
      <c r="BY181" s="173">
        <f t="shared" si="490"/>
        <v>1.9662040021226821</v>
      </c>
      <c r="BZ181" s="5">
        <f t="shared" si="491"/>
        <v>11.36</v>
      </c>
      <c r="CA181" s="173">
        <f t="shared" si="492"/>
        <v>0.85245580798481757</v>
      </c>
      <c r="CB181" s="5">
        <f t="shared" si="493"/>
        <v>85.245580798481754</v>
      </c>
      <c r="CE181" s="562">
        <f t="shared" si="528"/>
        <v>-50</v>
      </c>
      <c r="CF181">
        <f t="shared" si="529"/>
        <v>-50</v>
      </c>
      <c r="CG181" s="173">
        <f t="shared" si="530"/>
        <v>0.52251399073470906</v>
      </c>
      <c r="CI181" s="170">
        <v>71</v>
      </c>
      <c r="CJ181" s="217">
        <f t="shared" si="589"/>
        <v>0.71</v>
      </c>
      <c r="CK181" s="217"/>
      <c r="CL181" s="217">
        <f t="shared" si="531"/>
        <v>11.36</v>
      </c>
      <c r="CM181" s="541">
        <f t="shared" si="532"/>
        <v>19</v>
      </c>
      <c r="CN181" s="443">
        <f t="shared" si="533"/>
        <v>16.399999999999999</v>
      </c>
      <c r="CO181" s="443">
        <f t="shared" si="534"/>
        <v>35.4</v>
      </c>
      <c r="CP181" s="443"/>
      <c r="CQ181" s="217">
        <f t="shared" si="535"/>
        <v>0.4632768361581921</v>
      </c>
      <c r="CR181" s="172">
        <f t="shared" si="590"/>
        <v>22.214703389830511</v>
      </c>
      <c r="CS181" s="172">
        <f t="shared" si="536"/>
        <v>11.36</v>
      </c>
      <c r="CT181" s="217">
        <f t="shared" si="537"/>
        <v>1.3884189618644069</v>
      </c>
      <c r="CU181" s="217">
        <f t="shared" si="538"/>
        <v>16</v>
      </c>
      <c r="CV181" s="217"/>
      <c r="CW181" s="172">
        <f t="shared" si="539"/>
        <v>48.058244507750913</v>
      </c>
      <c r="CX181" s="536">
        <f t="shared" si="540"/>
        <v>16</v>
      </c>
      <c r="CY181" s="217">
        <f t="shared" si="541"/>
        <v>2.5811553273427466</v>
      </c>
      <c r="CZ181" s="217">
        <f t="shared" si="542"/>
        <v>1.630203364637524</v>
      </c>
      <c r="DA181" s="217">
        <f t="shared" si="543"/>
        <v>1.888650239519083</v>
      </c>
      <c r="DB181" s="197">
        <f t="shared" si="544"/>
        <v>350</v>
      </c>
      <c r="DC181" s="443">
        <f t="shared" si="545"/>
        <v>284.18346214197743</v>
      </c>
      <c r="DE181" s="217">
        <f t="shared" si="546"/>
        <v>2.0957761635727734</v>
      </c>
      <c r="DF181" s="173">
        <f t="shared" si="547"/>
        <v>1.5334947538337369</v>
      </c>
      <c r="DG181" s="173">
        <f t="shared" si="548"/>
        <v>0.5624258066085126</v>
      </c>
      <c r="DH181" s="173"/>
      <c r="DI181" s="173">
        <f t="shared" si="549"/>
        <v>0.73170731707317083</v>
      </c>
      <c r="DJ181" s="545">
        <f t="shared" si="550"/>
        <v>1940.6666666666663</v>
      </c>
      <c r="DK181" s="528">
        <f t="shared" si="551"/>
        <v>0.12804878048780488</v>
      </c>
      <c r="DM181" s="173">
        <f t="shared" si="552"/>
        <v>2.3547318116426559</v>
      </c>
      <c r="DN181" s="173">
        <f t="shared" si="553"/>
        <v>2.5811553273427466</v>
      </c>
      <c r="DO181" s="173">
        <f t="shared" si="554"/>
        <v>2.3712261684020346</v>
      </c>
      <c r="DQ181" s="545">
        <f t="shared" si="555"/>
        <v>710</v>
      </c>
      <c r="DR181" s="460">
        <f t="shared" si="556"/>
        <v>284.18346214197743</v>
      </c>
      <c r="DT181">
        <f t="shared" si="591"/>
        <v>710</v>
      </c>
      <c r="DU181">
        <f t="shared" si="592"/>
        <v>284.18346214197743</v>
      </c>
      <c r="DW181" s="5">
        <f t="shared" si="557"/>
        <v>3.5188536041566074</v>
      </c>
      <c r="DX181" s="5">
        <f t="shared" si="558"/>
        <v>1.630203364637524</v>
      </c>
      <c r="DY181" s="5">
        <f t="shared" si="559"/>
        <v>1.8886502395190834</v>
      </c>
      <c r="DZ181" s="5"/>
      <c r="EA181" s="173">
        <f t="shared" si="560"/>
        <v>0.46327683615819198</v>
      </c>
      <c r="EB181" s="173">
        <f t="shared" si="561"/>
        <v>11.359999999999996</v>
      </c>
      <c r="EC181" s="173">
        <f t="shared" si="562"/>
        <v>0.69268292682926824</v>
      </c>
      <c r="ED181" s="173">
        <f t="shared" si="563"/>
        <v>16.399999999999995</v>
      </c>
      <c r="EE181" s="460">
        <f t="shared" si="564"/>
        <v>7.2340274305790118</v>
      </c>
      <c r="EF181" s="5">
        <f t="shared" si="565"/>
        <v>0.94101169828670106</v>
      </c>
      <c r="EH181" s="173">
        <f t="shared" si="566"/>
        <v>1.0143172367624733</v>
      </c>
      <c r="EI181" s="173">
        <f t="shared" si="567"/>
        <v>1.0917637799282198</v>
      </c>
      <c r="EK181" s="528">
        <f t="shared" si="568"/>
        <v>2.0576789135869186E-2</v>
      </c>
      <c r="EL181" s="528">
        <f t="shared" si="569"/>
        <v>0.49336666666666668</v>
      </c>
      <c r="EM181" s="528">
        <f t="shared" si="570"/>
        <v>3.2681098146327407E-2</v>
      </c>
      <c r="EN181" s="528">
        <f t="shared" si="571"/>
        <v>0.1753927186032864</v>
      </c>
      <c r="EO181">
        <f t="shared" si="572"/>
        <v>8.5500000000000003E-3</v>
      </c>
      <c r="EP181" s="460">
        <f t="shared" si="573"/>
        <v>41.231098146327412</v>
      </c>
      <c r="EQ181" s="460"/>
      <c r="ER181" s="460">
        <f t="shared" si="593"/>
        <v>730.56727255214957</v>
      </c>
      <c r="ES181" s="528">
        <f t="shared" si="574"/>
        <v>0.49699999999999994</v>
      </c>
      <c r="EV181" s="460">
        <f t="shared" si="494"/>
        <v>496.99999999999994</v>
      </c>
      <c r="EW181" s="528">
        <f t="shared" si="575"/>
        <v>3.086518370380378E-2</v>
      </c>
      <c r="EX181" s="528">
        <f t="shared" si="576"/>
        <v>3.5758444534894629E-2</v>
      </c>
      <c r="EY181" s="528">
        <f t="shared" si="577"/>
        <v>0.72862212829464368</v>
      </c>
      <c r="EZ181" s="528"/>
      <c r="FA181" s="528">
        <f t="shared" si="578"/>
        <v>9.4666666666666649E-3</v>
      </c>
      <c r="FB181" s="460">
        <f t="shared" si="579"/>
        <v>804.71242320000874</v>
      </c>
      <c r="FC181" s="173">
        <f t="shared" si="580"/>
        <v>2.0322796957521581</v>
      </c>
      <c r="FD181" s="5">
        <f t="shared" si="581"/>
        <v>11.36</v>
      </c>
      <c r="FE181" s="173">
        <f t="shared" si="582"/>
        <v>0.84824990651914411</v>
      </c>
      <c r="FF181" s="5">
        <f t="shared" si="583"/>
        <v>84.824990651914405</v>
      </c>
      <c r="FI181" s="562">
        <f t="shared" si="584"/>
        <v>-50</v>
      </c>
      <c r="FJ181">
        <f t="shared" si="585"/>
        <v>-50</v>
      </c>
      <c r="FL181">
        <f t="shared" si="586"/>
        <v>0.53672316384180796</v>
      </c>
    </row>
    <row r="182" spans="5:168">
      <c r="E182" s="170">
        <v>72</v>
      </c>
      <c r="F182" s="217">
        <f t="shared" si="587"/>
        <v>0.72</v>
      </c>
      <c r="G182" s="217"/>
      <c r="H182" s="217">
        <f t="shared" si="495"/>
        <v>11.52</v>
      </c>
      <c r="I182" s="541">
        <f t="shared" si="496"/>
        <v>18.931128335621867</v>
      </c>
      <c r="J182" s="172">
        <f t="shared" si="497"/>
        <v>16.441322998626877</v>
      </c>
      <c r="K182" s="172">
        <f t="shared" si="498"/>
        <v>35.372451334248744</v>
      </c>
      <c r="L182" s="443"/>
      <c r="M182" s="217">
        <f t="shared" si="499"/>
        <v>0.46478954666169997</v>
      </c>
      <c r="N182" s="172">
        <f t="shared" si="500"/>
        <v>22.206452417996942</v>
      </c>
      <c r="O182" s="172">
        <f t="shared" si="438"/>
        <v>11.52</v>
      </c>
      <c r="P182" s="217">
        <f t="shared" si="501"/>
        <v>1.3879032761248089</v>
      </c>
      <c r="Q182" s="217">
        <f t="shared" si="502"/>
        <v>16</v>
      </c>
      <c r="R182" s="217"/>
      <c r="S182" s="172">
        <f t="shared" si="503"/>
        <v>46.961841233767402</v>
      </c>
      <c r="T182" s="536">
        <f t="shared" si="504"/>
        <v>16</v>
      </c>
      <c r="U182" s="217">
        <f t="shared" si="505"/>
        <v>2.6905304091469109</v>
      </c>
      <c r="V182" s="217">
        <f t="shared" si="506"/>
        <v>1.705464372612757</v>
      </c>
      <c r="W182" s="217">
        <f t="shared" si="507"/>
        <v>1.9637327794399138</v>
      </c>
      <c r="X182" s="197">
        <f t="shared" si="508"/>
        <v>350</v>
      </c>
      <c r="Y182" s="443">
        <f t="shared" si="509"/>
        <v>258.45154968892814</v>
      </c>
      <c r="AA182" s="217">
        <f t="shared" si="510"/>
        <v>2.0950713253767939</v>
      </c>
      <c r="AB182" s="173">
        <f t="shared" si="511"/>
        <v>1.5291260871537653</v>
      </c>
      <c r="AC182" s="173">
        <f t="shared" si="512"/>
        <v>0.56063493816425725</v>
      </c>
      <c r="AD182" s="173"/>
      <c r="AE182" s="173">
        <f t="shared" si="513"/>
        <v>0.72986827161063617</v>
      </c>
      <c r="AF182" s="545">
        <f t="shared" si="514"/>
        <v>1972.958759835225</v>
      </c>
      <c r="AG182" s="528">
        <f t="shared" si="515"/>
        <v>0.12772694753186134</v>
      </c>
      <c r="AI182" s="173">
        <f t="shared" si="516"/>
        <v>2.3742419902151175</v>
      </c>
      <c r="AJ182" s="173">
        <f t="shared" si="517"/>
        <v>2.6905304091469109</v>
      </c>
      <c r="AK182" s="173">
        <f t="shared" si="518"/>
        <v>2.4522447475162306</v>
      </c>
      <c r="AM182" s="545">
        <f t="shared" si="519"/>
        <v>720</v>
      </c>
      <c r="AN182" s="460">
        <f t="shared" si="520"/>
        <v>258.45154968892814</v>
      </c>
      <c r="AP182">
        <f t="shared" si="521"/>
        <v>720</v>
      </c>
      <c r="AQ182">
        <f t="shared" si="522"/>
        <v>258.45154968892814</v>
      </c>
      <c r="AS182" s="5">
        <f t="shared" si="439"/>
        <v>3.8691971520526702</v>
      </c>
      <c r="AT182" s="5">
        <f t="shared" si="523"/>
        <v>1.705464372612757</v>
      </c>
      <c r="AU182" s="5">
        <f t="shared" si="478"/>
        <v>2.163732779439913</v>
      </c>
      <c r="AV182" s="5"/>
      <c r="AW182" s="173">
        <f t="shared" si="479"/>
        <v>0.44077991004102263</v>
      </c>
      <c r="AX182" s="173">
        <f t="shared" si="435"/>
        <v>11.225513094421457</v>
      </c>
      <c r="AY182" s="173">
        <f t="shared" si="436"/>
        <v>0.75229932872024996</v>
      </c>
      <c r="AZ182" s="173">
        <f t="shared" si="440"/>
        <v>14.921604560670525</v>
      </c>
      <c r="BA182" s="460">
        <f t="shared" si="594"/>
        <v>7.6745896767574049</v>
      </c>
      <c r="BB182" s="5">
        <f t="shared" si="595"/>
        <v>1.0972317293701779</v>
      </c>
      <c r="BD182" s="173">
        <f t="shared" si="441"/>
        <v>1.0313074939349181</v>
      </c>
      <c r="BE182" s="173">
        <f t="shared" si="437"/>
        <v>1.1616322483765793</v>
      </c>
      <c r="BG182" s="528">
        <f t="shared" si="480"/>
        <v>2.1271902940926419E-2</v>
      </c>
      <c r="BH182" s="528">
        <f t="shared" si="524"/>
        <v>0.44889531420345458</v>
      </c>
      <c r="BI182" s="528">
        <f t="shared" si="525"/>
        <v>0.11253392748113338</v>
      </c>
      <c r="BJ182" s="528">
        <f t="shared" si="481"/>
        <v>0.15926329290807251</v>
      </c>
      <c r="BK182">
        <f t="shared" si="482"/>
        <v>8.5190077510298393E-3</v>
      </c>
      <c r="BL182" s="460">
        <f t="shared" si="588"/>
        <v>121.05293523216322</v>
      </c>
      <c r="BM182" s="528">
        <f t="shared" si="526"/>
        <v>0.63840053044969169</v>
      </c>
      <c r="BN182" s="460">
        <f t="shared" si="527"/>
        <v>638.4005304496917</v>
      </c>
      <c r="BO182" s="528">
        <f t="shared" si="483"/>
        <v>0.504</v>
      </c>
      <c r="BR182" s="460">
        <f t="shared" si="484"/>
        <v>504</v>
      </c>
      <c r="BS182" s="528">
        <f t="shared" si="485"/>
        <v>3.190785441138963E-2</v>
      </c>
      <c r="BT182" s="528">
        <f t="shared" si="486"/>
        <v>4.0481684414052803E-2</v>
      </c>
      <c r="BU182" s="528">
        <f t="shared" si="487"/>
        <v>0.63754760419355583</v>
      </c>
      <c r="BV182" s="528"/>
      <c r="BW182" s="528">
        <f t="shared" si="488"/>
        <v>9.3545942453512158E-3</v>
      </c>
      <c r="BX182" s="460">
        <f t="shared" si="489"/>
        <v>719.29173726434942</v>
      </c>
      <c r="BY182" s="173">
        <f t="shared" si="490"/>
        <v>1.973775182548966</v>
      </c>
      <c r="BZ182" s="5">
        <f t="shared" si="491"/>
        <v>11.52</v>
      </c>
      <c r="CA182" s="173">
        <f t="shared" si="492"/>
        <v>0.85372698478765363</v>
      </c>
      <c r="CB182" s="5">
        <f t="shared" si="493"/>
        <v>85.372698478765358</v>
      </c>
      <c r="CE182" s="562">
        <f t="shared" si="528"/>
        <v>-50</v>
      </c>
      <c r="CF182">
        <f t="shared" si="529"/>
        <v>-50</v>
      </c>
      <c r="CG182" s="173">
        <f t="shared" si="530"/>
        <v>0.5227113403611966</v>
      </c>
      <c r="CI182" s="170">
        <v>72</v>
      </c>
      <c r="CJ182" s="217">
        <f t="shared" si="589"/>
        <v>0.72</v>
      </c>
      <c r="CK182" s="217"/>
      <c r="CL182" s="217">
        <f t="shared" si="531"/>
        <v>11.52</v>
      </c>
      <c r="CM182" s="541">
        <f t="shared" si="532"/>
        <v>19</v>
      </c>
      <c r="CN182" s="443">
        <f t="shared" si="533"/>
        <v>16.399999999999999</v>
      </c>
      <c r="CO182" s="443">
        <f t="shared" si="534"/>
        <v>35.4</v>
      </c>
      <c r="CP182" s="443"/>
      <c r="CQ182" s="217">
        <f t="shared" si="535"/>
        <v>0.4632768361581921</v>
      </c>
      <c r="CR182" s="172">
        <f t="shared" si="590"/>
        <v>22.214703389830511</v>
      </c>
      <c r="CS182" s="172">
        <f t="shared" si="536"/>
        <v>11.52</v>
      </c>
      <c r="CT182" s="217">
        <f t="shared" si="537"/>
        <v>1.3884189618644069</v>
      </c>
      <c r="CU182" s="217">
        <f t="shared" si="538"/>
        <v>16</v>
      </c>
      <c r="CV182" s="217"/>
      <c r="CW182" s="172">
        <f t="shared" si="539"/>
        <v>47.132114121425055</v>
      </c>
      <c r="CX182" s="536">
        <f t="shared" si="540"/>
        <v>16</v>
      </c>
      <c r="CY182" s="217">
        <f t="shared" si="541"/>
        <v>2.617509627727856</v>
      </c>
      <c r="CZ182" s="217">
        <f t="shared" si="542"/>
        <v>1.6531639754070668</v>
      </c>
      <c r="DA182" s="217">
        <f t="shared" si="543"/>
        <v>1.9152509471179435</v>
      </c>
      <c r="DB182" s="197">
        <f t="shared" si="544"/>
        <v>350</v>
      </c>
      <c r="DC182" s="443">
        <f t="shared" si="545"/>
        <v>280.23646961222772</v>
      </c>
      <c r="DE182" s="217">
        <f t="shared" si="546"/>
        <v>2.0957761635727734</v>
      </c>
      <c r="DF182" s="173">
        <f t="shared" si="547"/>
        <v>1.5334947538337369</v>
      </c>
      <c r="DG182" s="173">
        <f t="shared" si="548"/>
        <v>0.5624258066085126</v>
      </c>
      <c r="DH182" s="173"/>
      <c r="DI182" s="173">
        <f t="shared" si="549"/>
        <v>0.73170731707317083</v>
      </c>
      <c r="DJ182" s="545">
        <f t="shared" si="550"/>
        <v>1967.9999999999998</v>
      </c>
      <c r="DK182" s="528">
        <f t="shared" si="551"/>
        <v>0.12804878048780488</v>
      </c>
      <c r="DM182" s="173">
        <f t="shared" si="552"/>
        <v>2.3712564481424492</v>
      </c>
      <c r="DN182" s="173">
        <f t="shared" si="553"/>
        <v>2.617509627727856</v>
      </c>
      <c r="DO182" s="173">
        <f t="shared" si="554"/>
        <v>2.398155279798412</v>
      </c>
      <c r="DQ182" s="545">
        <f t="shared" si="555"/>
        <v>720</v>
      </c>
      <c r="DR182" s="460">
        <f t="shared" si="556"/>
        <v>280.23646961222772</v>
      </c>
      <c r="DT182">
        <f t="shared" si="591"/>
        <v>720</v>
      </c>
      <c r="DU182">
        <f t="shared" si="592"/>
        <v>280.23646961222772</v>
      </c>
      <c r="DW182" s="5">
        <f t="shared" si="557"/>
        <v>3.5684149225250104</v>
      </c>
      <c r="DX182" s="5">
        <f t="shared" si="558"/>
        <v>1.6531639754070668</v>
      </c>
      <c r="DY182" s="5">
        <f t="shared" si="559"/>
        <v>1.9152509471179435</v>
      </c>
      <c r="DZ182" s="5"/>
      <c r="EA182" s="173">
        <f t="shared" si="560"/>
        <v>0.46327683615819204</v>
      </c>
      <c r="EB182" s="173">
        <f t="shared" si="561"/>
        <v>11.52</v>
      </c>
      <c r="EC182" s="173">
        <f t="shared" si="562"/>
        <v>0.70243902439024386</v>
      </c>
      <c r="ED182" s="173">
        <f t="shared" si="563"/>
        <v>16.400000000000002</v>
      </c>
      <c r="EE182" s="460">
        <f t="shared" si="564"/>
        <v>7.4392378893317996</v>
      </c>
      <c r="EF182" s="5">
        <f t="shared" si="565"/>
        <v>0.96770574170169754</v>
      </c>
      <c r="EH182" s="173">
        <f t="shared" si="566"/>
        <v>1.0286033950267337</v>
      </c>
      <c r="EI182" s="173">
        <f t="shared" si="567"/>
        <v>1.1071407345750963</v>
      </c>
      <c r="EK182" s="528">
        <f t="shared" si="568"/>
        <v>2.1160498885210457E-2</v>
      </c>
      <c r="EL182" s="528">
        <f t="shared" si="569"/>
        <v>0.49336666666666668</v>
      </c>
      <c r="EM182" s="528">
        <f t="shared" si="570"/>
        <v>3.222719400540619E-2</v>
      </c>
      <c r="EN182" s="528">
        <f t="shared" si="571"/>
        <v>0.17295670862268517</v>
      </c>
      <c r="EO182">
        <f t="shared" si="572"/>
        <v>8.5500000000000003E-3</v>
      </c>
      <c r="EP182" s="460">
        <f t="shared" si="573"/>
        <v>40.777194005406194</v>
      </c>
      <c r="EQ182" s="460"/>
      <c r="ER182" s="460">
        <f t="shared" si="593"/>
        <v>728.26106817996845</v>
      </c>
      <c r="ES182" s="528">
        <f t="shared" si="574"/>
        <v>0.504</v>
      </c>
      <c r="EV182" s="460">
        <f t="shared" si="494"/>
        <v>504</v>
      </c>
      <c r="EW182" s="528">
        <f t="shared" si="575"/>
        <v>3.1740748327815684E-2</v>
      </c>
      <c r="EX182" s="528">
        <f t="shared" si="576"/>
        <v>3.6772818184664512E-2</v>
      </c>
      <c r="EY182" s="528">
        <f t="shared" si="577"/>
        <v>0.7286221282946429</v>
      </c>
      <c r="EZ182" s="528"/>
      <c r="FA182" s="528">
        <f t="shared" si="578"/>
        <v>9.5999999999999974E-3</v>
      </c>
      <c r="FB182" s="460">
        <f t="shared" si="579"/>
        <v>806.7356948071232</v>
      </c>
      <c r="FC182" s="173">
        <f t="shared" si="580"/>
        <v>2.0389967629870913</v>
      </c>
      <c r="FD182" s="5">
        <f t="shared" si="581"/>
        <v>11.52</v>
      </c>
      <c r="FE182" s="173">
        <f t="shared" si="582"/>
        <v>0.84962038131367668</v>
      </c>
      <c r="FF182" s="5">
        <f t="shared" si="583"/>
        <v>84.962038131367663</v>
      </c>
      <c r="FI182" s="562">
        <f t="shared" si="584"/>
        <v>-50</v>
      </c>
      <c r="FJ182">
        <f t="shared" si="585"/>
        <v>-50</v>
      </c>
      <c r="FL182">
        <f t="shared" si="586"/>
        <v>0.53672316384180796</v>
      </c>
    </row>
    <row r="183" spans="5:168">
      <c r="E183" s="170">
        <v>73</v>
      </c>
      <c r="F183" s="217">
        <f t="shared" si="587"/>
        <v>0.73</v>
      </c>
      <c r="G183" s="217"/>
      <c r="H183" s="217">
        <f t="shared" si="495"/>
        <v>11.68</v>
      </c>
      <c r="I183" s="541">
        <f t="shared" si="496"/>
        <v>18.930197416661414</v>
      </c>
      <c r="J183" s="172">
        <f t="shared" si="497"/>
        <v>16.441881550003149</v>
      </c>
      <c r="K183" s="172">
        <f t="shared" si="498"/>
        <v>35.37207896666456</v>
      </c>
      <c r="L183" s="443"/>
      <c r="M183" s="217">
        <f t="shared" si="499"/>
        <v>0.46481023694085988</v>
      </c>
      <c r="N183" s="172">
        <f t="shared" si="500"/>
        <v>22.206348918170288</v>
      </c>
      <c r="O183" s="172">
        <f t="shared" si="438"/>
        <v>11.68</v>
      </c>
      <c r="P183" s="217">
        <f t="shared" si="501"/>
        <v>1.387896807385643</v>
      </c>
      <c r="Q183" s="217">
        <f t="shared" si="502"/>
        <v>16</v>
      </c>
      <c r="R183" s="217"/>
      <c r="S183" s="172">
        <f t="shared" si="503"/>
        <v>46.062218614861372</v>
      </c>
      <c r="T183" s="536">
        <f t="shared" si="504"/>
        <v>16</v>
      </c>
      <c r="U183" s="217">
        <f t="shared" si="505"/>
        <v>2.7280043468220549</v>
      </c>
      <c r="V183" s="217">
        <f t="shared" si="506"/>
        <v>1.7293032629998892</v>
      </c>
      <c r="W183" s="217">
        <f t="shared" si="507"/>
        <v>1.9910161779421398</v>
      </c>
      <c r="X183" s="197">
        <f t="shared" si="508"/>
        <v>350</v>
      </c>
      <c r="Y183" s="443">
        <f t="shared" si="509"/>
        <v>255.08125423567679</v>
      </c>
      <c r="AA183" s="217">
        <f t="shared" si="510"/>
        <v>2.0950615283196461</v>
      </c>
      <c r="AB183" s="173">
        <f t="shared" si="511"/>
        <v>1.52906699050091</v>
      </c>
      <c r="AC183" s="173">
        <f t="shared" si="512"/>
        <v>0.56061064955384265</v>
      </c>
      <c r="AD183" s="173"/>
      <c r="AE183" s="173">
        <f t="shared" si="513"/>
        <v>0.72984347706833475</v>
      </c>
      <c r="AF183" s="545">
        <f t="shared" si="514"/>
        <v>2000.4289219170498</v>
      </c>
      <c r="AG183" s="528">
        <f t="shared" si="515"/>
        <v>0.12772260848695857</v>
      </c>
      <c r="AI183" s="173">
        <f t="shared" si="516"/>
        <v>2.3907135348002875</v>
      </c>
      <c r="AJ183" s="173">
        <f t="shared" si="517"/>
        <v>2.7280043468220549</v>
      </c>
      <c r="AK183" s="173">
        <f t="shared" si="518"/>
        <v>2.4800032198681885</v>
      </c>
      <c r="AM183" s="545">
        <f t="shared" si="519"/>
        <v>730</v>
      </c>
      <c r="AN183" s="460">
        <f t="shared" si="520"/>
        <v>255.08125423567679</v>
      </c>
      <c r="AP183">
        <f t="shared" si="521"/>
        <v>730</v>
      </c>
      <c r="AQ183">
        <f t="shared" si="522"/>
        <v>255.08125423567679</v>
      </c>
      <c r="AS183" s="5">
        <f t="shared" si="439"/>
        <v>3.9203194409420288</v>
      </c>
      <c r="AT183" s="5">
        <f t="shared" si="523"/>
        <v>1.7293032629998892</v>
      </c>
      <c r="AU183" s="5">
        <f t="shared" si="478"/>
        <v>2.1910161779421395</v>
      </c>
      <c r="AV183" s="5"/>
      <c r="AW183" s="173">
        <f t="shared" si="479"/>
        <v>0.44111284527986022</v>
      </c>
      <c r="AX183" s="173">
        <f t="shared" si="435"/>
        <v>11.389899973801763</v>
      </c>
      <c r="AY183" s="173">
        <f t="shared" si="436"/>
        <v>0.76232329372977581</v>
      </c>
      <c r="AZ183" s="173">
        <f t="shared" si="440"/>
        <v>14.941036260449351</v>
      </c>
      <c r="BA183" s="460">
        <f t="shared" si="594"/>
        <v>7.8899461374369944</v>
      </c>
      <c r="BB183" s="5">
        <f t="shared" si="595"/>
        <v>1.1265540622342818</v>
      </c>
      <c r="BD183" s="173">
        <f t="shared" si="441"/>
        <v>1.0460664730826872</v>
      </c>
      <c r="BE183" s="173">
        <f t="shared" si="437"/>
        <v>1.1774609006894268</v>
      </c>
      <c r="BG183" s="528">
        <f t="shared" si="480"/>
        <v>2.1885101322153044E-2</v>
      </c>
      <c r="BH183" s="528">
        <f t="shared" si="524"/>
        <v>0.44920755974432086</v>
      </c>
      <c r="BI183" s="528">
        <f t="shared" si="525"/>
        <v>0.11106098549933213</v>
      </c>
      <c r="BJ183" s="528">
        <f t="shared" si="481"/>
        <v>0.15718313640424311</v>
      </c>
      <c r="BK183">
        <f t="shared" si="482"/>
        <v>8.518588837497636E-3</v>
      </c>
      <c r="BL183" s="460">
        <f t="shared" si="588"/>
        <v>119.57957433682977</v>
      </c>
      <c r="BM183" s="528">
        <f t="shared" si="526"/>
        <v>0.63749970961499192</v>
      </c>
      <c r="BN183" s="460">
        <f t="shared" si="527"/>
        <v>637.49970961499196</v>
      </c>
      <c r="BO183" s="528">
        <f t="shared" si="483"/>
        <v>0.51100000000000001</v>
      </c>
      <c r="BR183" s="460">
        <f t="shared" si="484"/>
        <v>511</v>
      </c>
      <c r="BS183" s="528">
        <f t="shared" si="485"/>
        <v>3.2827651983229567E-2</v>
      </c>
      <c r="BT183" s="528">
        <f t="shared" si="486"/>
        <v>4.1592425179570687E-2</v>
      </c>
      <c r="BU183" s="528">
        <f t="shared" si="487"/>
        <v>0.63867366472564313</v>
      </c>
      <c r="BV183" s="528"/>
      <c r="BW183" s="528">
        <f t="shared" si="488"/>
        <v>9.4915833115014701E-3</v>
      </c>
      <c r="BX183" s="460">
        <f t="shared" si="489"/>
        <v>722.5853251999448</v>
      </c>
      <c r="BY183" s="173">
        <f t="shared" si="490"/>
        <v>1.9814406970074918</v>
      </c>
      <c r="BZ183" s="5">
        <f t="shared" si="491"/>
        <v>11.68</v>
      </c>
      <c r="CA183" s="173">
        <f t="shared" si="492"/>
        <v>0.85496107321671255</v>
      </c>
      <c r="CB183" s="5">
        <f t="shared" si="493"/>
        <v>85.496107321671261</v>
      </c>
      <c r="CE183" s="562">
        <f t="shared" si="528"/>
        <v>-50</v>
      </c>
      <c r="CF183">
        <f t="shared" si="529"/>
        <v>-50</v>
      </c>
      <c r="CG183" s="173">
        <f t="shared" si="530"/>
        <v>0.52290328314860213</v>
      </c>
      <c r="CI183" s="170">
        <v>73</v>
      </c>
      <c r="CJ183" s="217">
        <f t="shared" si="589"/>
        <v>0.73</v>
      </c>
      <c r="CK183" s="217"/>
      <c r="CL183" s="217">
        <f t="shared" si="531"/>
        <v>11.68</v>
      </c>
      <c r="CM183" s="541">
        <f t="shared" si="532"/>
        <v>19</v>
      </c>
      <c r="CN183" s="443">
        <f t="shared" si="533"/>
        <v>16.399999999999999</v>
      </c>
      <c r="CO183" s="443">
        <f t="shared" si="534"/>
        <v>35.4</v>
      </c>
      <c r="CP183" s="443"/>
      <c r="CQ183" s="217">
        <f t="shared" si="535"/>
        <v>0.4632768361581921</v>
      </c>
      <c r="CR183" s="172">
        <f t="shared" si="590"/>
        <v>22.214703389830511</v>
      </c>
      <c r="CS183" s="172">
        <f t="shared" si="536"/>
        <v>11.68</v>
      </c>
      <c r="CT183" s="217">
        <f t="shared" si="537"/>
        <v>1.3884189618644069</v>
      </c>
      <c r="CU183" s="217">
        <f t="shared" si="538"/>
        <v>16</v>
      </c>
      <c r="CV183" s="217"/>
      <c r="CW183" s="172">
        <f t="shared" si="539"/>
        <v>46.231473204236188</v>
      </c>
      <c r="CX183" s="536">
        <f t="shared" si="540"/>
        <v>16</v>
      </c>
      <c r="CY183" s="217">
        <f t="shared" si="541"/>
        <v>2.653863928112965</v>
      </c>
      <c r="CZ183" s="217">
        <f t="shared" si="542"/>
        <v>1.6761245861766092</v>
      </c>
      <c r="DA183" s="217">
        <f t="shared" si="543"/>
        <v>1.9418516547168034</v>
      </c>
      <c r="DB183" s="197">
        <f t="shared" si="544"/>
        <v>350</v>
      </c>
      <c r="DC183" s="443">
        <f t="shared" si="545"/>
        <v>276.3976138641151</v>
      </c>
      <c r="DE183" s="217">
        <f t="shared" si="546"/>
        <v>2.0957761635727734</v>
      </c>
      <c r="DF183" s="173">
        <f t="shared" si="547"/>
        <v>1.5334947538337369</v>
      </c>
      <c r="DG183" s="173">
        <f t="shared" si="548"/>
        <v>0.5624258066085126</v>
      </c>
      <c r="DH183" s="173"/>
      <c r="DI183" s="173">
        <f t="shared" si="549"/>
        <v>0.73170731707317083</v>
      </c>
      <c r="DJ183" s="545">
        <f t="shared" si="550"/>
        <v>1995.333333333333</v>
      </c>
      <c r="DK183" s="528">
        <f t="shared" si="551"/>
        <v>0.12804878048780488</v>
      </c>
      <c r="DM183" s="173">
        <f t="shared" si="552"/>
        <v>2.3876667231739819</v>
      </c>
      <c r="DN183" s="173">
        <f t="shared" si="553"/>
        <v>2.653863928112965</v>
      </c>
      <c r="DO183" s="173">
        <f t="shared" si="554"/>
        <v>2.4250843911947886</v>
      </c>
      <c r="DQ183" s="545">
        <f t="shared" si="555"/>
        <v>730</v>
      </c>
      <c r="DR183" s="460">
        <f t="shared" si="556"/>
        <v>276.3976138641151</v>
      </c>
      <c r="DT183">
        <f t="shared" si="591"/>
        <v>730</v>
      </c>
      <c r="DU183">
        <f t="shared" si="592"/>
        <v>276.3976138641151</v>
      </c>
      <c r="DW183" s="5">
        <f t="shared" si="557"/>
        <v>3.617976240893412</v>
      </c>
      <c r="DX183" s="5">
        <f t="shared" si="558"/>
        <v>1.6761245861766092</v>
      </c>
      <c r="DY183" s="5">
        <f t="shared" si="559"/>
        <v>1.9418516547168028</v>
      </c>
      <c r="DZ183" s="5"/>
      <c r="EA183" s="173">
        <f t="shared" si="560"/>
        <v>0.46327683615819215</v>
      </c>
      <c r="EB183" s="173">
        <f t="shared" si="561"/>
        <v>11.680000000000001</v>
      </c>
      <c r="EC183" s="173">
        <f t="shared" si="562"/>
        <v>0.71219512195121937</v>
      </c>
      <c r="ED183" s="173">
        <f t="shared" si="563"/>
        <v>16.400000000000006</v>
      </c>
      <c r="EE183" s="460">
        <f t="shared" si="564"/>
        <v>7.6473184244307797</v>
      </c>
      <c r="EF183" s="5">
        <f t="shared" si="565"/>
        <v>0.9947731283812391</v>
      </c>
      <c r="EH183" s="173">
        <f t="shared" si="566"/>
        <v>1.0428895532909939</v>
      </c>
      <c r="EI183" s="173">
        <f t="shared" si="567"/>
        <v>1.1225176892219726</v>
      </c>
      <c r="EK183" s="528">
        <f t="shared" si="568"/>
        <v>2.1752372407269776E-2</v>
      </c>
      <c r="EL183" s="528">
        <f t="shared" si="569"/>
        <v>0.49336666666666684</v>
      </c>
      <c r="EM183" s="528">
        <f t="shared" si="570"/>
        <v>3.1785725594373246E-2</v>
      </c>
      <c r="EN183" s="528">
        <f t="shared" si="571"/>
        <v>0.17058743864155257</v>
      </c>
      <c r="EO183">
        <f t="shared" si="572"/>
        <v>8.5500000000000003E-3</v>
      </c>
      <c r="EP183" s="460">
        <f t="shared" si="573"/>
        <v>40.335725594373251</v>
      </c>
      <c r="EQ183" s="460"/>
      <c r="ER183" s="460">
        <f t="shared" si="593"/>
        <v>726.04220330986232</v>
      </c>
      <c r="ES183" s="528">
        <f t="shared" si="574"/>
        <v>0.51100000000000001</v>
      </c>
      <c r="EV183" s="460">
        <f t="shared" si="494"/>
        <v>511</v>
      </c>
      <c r="EW183" s="528">
        <f t="shared" si="575"/>
        <v>3.2628558610904662E-2</v>
      </c>
      <c r="EX183" s="528">
        <f t="shared" si="576"/>
        <v>3.7801378878487106E-2</v>
      </c>
      <c r="EY183" s="528">
        <f t="shared" si="577"/>
        <v>0.72862212829464401</v>
      </c>
      <c r="EZ183" s="528"/>
      <c r="FA183" s="528">
        <f t="shared" si="578"/>
        <v>9.7333333333333334E-3</v>
      </c>
      <c r="FB183" s="460">
        <f t="shared" si="579"/>
        <v>808.78539911736914</v>
      </c>
      <c r="FC183" s="173">
        <f t="shared" si="580"/>
        <v>2.0458276024272313</v>
      </c>
      <c r="FD183" s="5">
        <f t="shared" si="581"/>
        <v>11.68</v>
      </c>
      <c r="FE183" s="173">
        <f t="shared" si="582"/>
        <v>0.85095051011237721</v>
      </c>
      <c r="FF183" s="5">
        <f t="shared" si="583"/>
        <v>85.095051011237715</v>
      </c>
      <c r="FI183" s="562">
        <f t="shared" si="584"/>
        <v>-50</v>
      </c>
      <c r="FJ183">
        <f t="shared" si="585"/>
        <v>-50</v>
      </c>
      <c r="FL183">
        <f t="shared" si="586"/>
        <v>0.53672316384180785</v>
      </c>
    </row>
    <row r="184" spans="5:168">
      <c r="E184" s="170">
        <v>74</v>
      </c>
      <c r="F184" s="217">
        <f t="shared" si="587"/>
        <v>0.74</v>
      </c>
      <c r="G184" s="217"/>
      <c r="H184" s="217">
        <f t="shared" si="495"/>
        <v>11.84</v>
      </c>
      <c r="I184" s="541">
        <f t="shared" si="496"/>
        <v>18.929266479398585</v>
      </c>
      <c r="J184" s="172">
        <f t="shared" si="497"/>
        <v>16.442440112360845</v>
      </c>
      <c r="K184" s="172">
        <f t="shared" si="498"/>
        <v>35.371706591759434</v>
      </c>
      <c r="L184" s="443"/>
      <c r="M184" s="217">
        <f t="shared" si="499"/>
        <v>0.46483092789571889</v>
      </c>
      <c r="N184" s="172">
        <f t="shared" si="500"/>
        <v>22.206245331933033</v>
      </c>
      <c r="O184" s="172">
        <f t="shared" si="438"/>
        <v>11.84</v>
      </c>
      <c r="P184" s="217">
        <f t="shared" si="501"/>
        <v>1.3878903332458146</v>
      </c>
      <c r="Q184" s="217">
        <f t="shared" si="502"/>
        <v>16</v>
      </c>
      <c r="R184" s="217"/>
      <c r="S184" s="172">
        <f t="shared" si="503"/>
        <v>45.187051474040402</v>
      </c>
      <c r="T184" s="536">
        <f t="shared" si="504"/>
        <v>16</v>
      </c>
      <c r="U184" s="217">
        <f t="shared" si="505"/>
        <v>2.7654811855637513</v>
      </c>
      <c r="V184" s="217">
        <f t="shared" si="506"/>
        <v>1.7531463389182202</v>
      </c>
      <c r="W184" s="217">
        <f t="shared" si="507"/>
        <v>2.0182998387092881</v>
      </c>
      <c r="X184" s="197">
        <f t="shared" si="508"/>
        <v>350</v>
      </c>
      <c r="Y184" s="443">
        <f t="shared" si="509"/>
        <v>251.79744487872864</v>
      </c>
      <c r="AA184" s="217">
        <f t="shared" si="510"/>
        <v>2.0950517238633712</v>
      </c>
      <c r="AB184" s="173">
        <f t="shared" si="511"/>
        <v>1.529007891441893</v>
      </c>
      <c r="AC184" s="173">
        <f t="shared" si="512"/>
        <v>0.56058635828405634</v>
      </c>
      <c r="AD184" s="173"/>
      <c r="AE184" s="173">
        <f t="shared" si="513"/>
        <v>0.72981868372315517</v>
      </c>
      <c r="AF184" s="545">
        <f t="shared" si="514"/>
        <v>2027.9009471911709</v>
      </c>
      <c r="AG184" s="528">
        <f t="shared" si="515"/>
        <v>0.12771826965155217</v>
      </c>
      <c r="AI184" s="173">
        <f t="shared" si="516"/>
        <v>2.4070734733822499</v>
      </c>
      <c r="AJ184" s="173">
        <f t="shared" si="517"/>
        <v>2.7654811855637513</v>
      </c>
      <c r="AK184" s="173">
        <f t="shared" si="518"/>
        <v>2.5077638411583343</v>
      </c>
      <c r="AM184" s="545">
        <f t="shared" si="519"/>
        <v>740</v>
      </c>
      <c r="AN184" s="460">
        <f t="shared" si="520"/>
        <v>251.79744487872864</v>
      </c>
      <c r="AP184">
        <f t="shared" si="521"/>
        <v>740</v>
      </c>
      <c r="AQ184">
        <f t="shared" si="522"/>
        <v>251.79744487872864</v>
      </c>
      <c r="AS184" s="5">
        <f t="shared" si="439"/>
        <v>3.9714461776275081</v>
      </c>
      <c r="AT184" s="5">
        <f t="shared" si="523"/>
        <v>1.7531463389182202</v>
      </c>
      <c r="AU184" s="5">
        <f t="shared" si="478"/>
        <v>2.2182998387092878</v>
      </c>
      <c r="AV184" s="5"/>
      <c r="AW184" s="173">
        <f t="shared" si="479"/>
        <v>0.44143776863810547</v>
      </c>
      <c r="AX184" s="173">
        <f t="shared" si="435"/>
        <v>11.554309204727799</v>
      </c>
      <c r="AY184" s="173">
        <f t="shared" si="436"/>
        <v>0.77234667089891318</v>
      </c>
      <c r="AZ184" s="173">
        <f t="shared" si="440"/>
        <v>14.96000389472781</v>
      </c>
      <c r="BA184" s="460">
        <f t="shared" si="594"/>
        <v>8.108301817496768</v>
      </c>
      <c r="BB184" s="5">
        <f t="shared" si="595"/>
        <v>1.1562637727714193</v>
      </c>
      <c r="BD184" s="173">
        <f t="shared" si="441"/>
        <v>1.0608276349937982</v>
      </c>
      <c r="BE184" s="173">
        <f t="shared" si="437"/>
        <v>1.1932896231576928</v>
      </c>
      <c r="BG184" s="528">
        <f t="shared" si="480"/>
        <v>2.2507105423330703E-2</v>
      </c>
      <c r="BH184" s="528">
        <f t="shared" si="524"/>
        <v>0.44951160632143261</v>
      </c>
      <c r="BI184" s="528">
        <f t="shared" si="525"/>
        <v>0.10962584145764602</v>
      </c>
      <c r="BJ184" s="528">
        <f t="shared" si="481"/>
        <v>0.15515635963390159</v>
      </c>
      <c r="BK184">
        <f t="shared" si="482"/>
        <v>8.5181699157293629E-3</v>
      </c>
      <c r="BL184" s="460">
        <f t="shared" si="588"/>
        <v>118.14401137337538</v>
      </c>
      <c r="BM184" s="528">
        <f t="shared" si="526"/>
        <v>0.63665663102709047</v>
      </c>
      <c r="BN184" s="460">
        <f t="shared" si="527"/>
        <v>636.6566310270905</v>
      </c>
      <c r="BO184" s="528">
        <f t="shared" si="483"/>
        <v>0.51800000000000002</v>
      </c>
      <c r="BR184" s="460">
        <f t="shared" si="484"/>
        <v>518</v>
      </c>
      <c r="BS184" s="528">
        <f t="shared" si="485"/>
        <v>3.3760658134996055E-2</v>
      </c>
      <c r="BT184" s="528">
        <f t="shared" si="486"/>
        <v>4.2718203742074856E-2</v>
      </c>
      <c r="BU184" s="528">
        <f t="shared" si="487"/>
        <v>0.639771768290605</v>
      </c>
      <c r="BV184" s="528"/>
      <c r="BW184" s="528">
        <f t="shared" si="488"/>
        <v>9.6285910039398317E-3</v>
      </c>
      <c r="BX184" s="460">
        <f t="shared" si="489"/>
        <v>725.87922117161577</v>
      </c>
      <c r="BY184" s="173">
        <f t="shared" si="490"/>
        <v>1.989198303923656</v>
      </c>
      <c r="BZ184" s="5">
        <f t="shared" si="491"/>
        <v>11.84</v>
      </c>
      <c r="CA184" s="173">
        <f t="shared" si="492"/>
        <v>0.85615953577299742</v>
      </c>
      <c r="CB184" s="5">
        <f t="shared" si="493"/>
        <v>85.615953577299734</v>
      </c>
      <c r="CE184" s="562">
        <f t="shared" si="528"/>
        <v>-50</v>
      </c>
      <c r="CF184">
        <f t="shared" si="529"/>
        <v>-50</v>
      </c>
      <c r="CG184" s="173">
        <f t="shared" si="530"/>
        <v>0.52309003829310496</v>
      </c>
      <c r="CI184" s="170">
        <v>74</v>
      </c>
      <c r="CJ184" s="217">
        <f t="shared" si="589"/>
        <v>0.74</v>
      </c>
      <c r="CK184" s="217"/>
      <c r="CL184" s="217">
        <f t="shared" si="531"/>
        <v>11.84</v>
      </c>
      <c r="CM184" s="541">
        <f t="shared" si="532"/>
        <v>19</v>
      </c>
      <c r="CN184" s="443">
        <f t="shared" si="533"/>
        <v>16.399999999999999</v>
      </c>
      <c r="CO184" s="443">
        <f t="shared" si="534"/>
        <v>35.4</v>
      </c>
      <c r="CP184" s="443"/>
      <c r="CQ184" s="217">
        <f t="shared" si="535"/>
        <v>0.4632768361581921</v>
      </c>
      <c r="CR184" s="172">
        <f t="shared" si="590"/>
        <v>22.214703389830511</v>
      </c>
      <c r="CS184" s="172">
        <f t="shared" si="536"/>
        <v>11.84</v>
      </c>
      <c r="CT184" s="217">
        <f t="shared" si="537"/>
        <v>1.3884189618644069</v>
      </c>
      <c r="CU184" s="217">
        <f t="shared" si="538"/>
        <v>16</v>
      </c>
      <c r="CV184" s="217"/>
      <c r="CW184" s="172">
        <f t="shared" si="539"/>
        <v>45.35529020104174</v>
      </c>
      <c r="CX184" s="536">
        <f t="shared" si="540"/>
        <v>16</v>
      </c>
      <c r="CY184" s="217">
        <f t="shared" si="541"/>
        <v>2.690218228498074</v>
      </c>
      <c r="CZ184" s="217">
        <f t="shared" si="542"/>
        <v>1.6990851969461522</v>
      </c>
      <c r="DA184" s="217">
        <f t="shared" si="543"/>
        <v>1.9684523623156642</v>
      </c>
      <c r="DB184" s="197">
        <f t="shared" si="544"/>
        <v>350</v>
      </c>
      <c r="DC184" s="443">
        <f t="shared" si="545"/>
        <v>272.66251097405933</v>
      </c>
      <c r="DE184" s="217">
        <f t="shared" si="546"/>
        <v>2.0957761635727734</v>
      </c>
      <c r="DF184" s="173">
        <f t="shared" si="547"/>
        <v>1.5334947538337369</v>
      </c>
      <c r="DG184" s="173">
        <f t="shared" si="548"/>
        <v>0.5624258066085126</v>
      </c>
      <c r="DH184" s="173"/>
      <c r="DI184" s="173">
        <f t="shared" si="549"/>
        <v>0.73170731707317083</v>
      </c>
      <c r="DJ184" s="545">
        <f t="shared" si="550"/>
        <v>2022.6666666666663</v>
      </c>
      <c r="DK184" s="528">
        <f t="shared" si="551"/>
        <v>0.12804878048780488</v>
      </c>
      <c r="DM184" s="173">
        <f t="shared" si="552"/>
        <v>2.4039649787481552</v>
      </c>
      <c r="DN184" s="173">
        <f t="shared" si="553"/>
        <v>2.690218228498074</v>
      </c>
      <c r="DO184" s="173">
        <f t="shared" si="554"/>
        <v>2.452013502591166</v>
      </c>
      <c r="DQ184" s="545">
        <f t="shared" si="555"/>
        <v>740</v>
      </c>
      <c r="DR184" s="460">
        <f t="shared" si="556"/>
        <v>272.66251097405933</v>
      </c>
      <c r="DT184">
        <f t="shared" si="591"/>
        <v>740</v>
      </c>
      <c r="DU184">
        <f t="shared" si="592"/>
        <v>272.66251097405933</v>
      </c>
      <c r="DW184" s="5">
        <f t="shared" si="557"/>
        <v>3.6675375592618171</v>
      </c>
      <c r="DX184" s="5">
        <f t="shared" si="558"/>
        <v>1.6990851969461522</v>
      </c>
      <c r="DY184" s="5">
        <f t="shared" si="559"/>
        <v>1.9684523623156649</v>
      </c>
      <c r="DZ184" s="5"/>
      <c r="EA184" s="173">
        <f t="shared" si="560"/>
        <v>0.46327683615819198</v>
      </c>
      <c r="EB184" s="173">
        <f t="shared" si="561"/>
        <v>11.839999999999995</v>
      </c>
      <c r="EC184" s="173">
        <f t="shared" si="562"/>
        <v>0.7219512195121951</v>
      </c>
      <c r="ED184" s="173">
        <f t="shared" si="563"/>
        <v>16.399999999999991</v>
      </c>
      <c r="EE184" s="460">
        <f t="shared" si="564"/>
        <v>7.8582690358759546</v>
      </c>
      <c r="EF184" s="5">
        <f t="shared" si="565"/>
        <v>1.0222138583253277</v>
      </c>
      <c r="EH184" s="173">
        <f t="shared" si="566"/>
        <v>1.057175711555254</v>
      </c>
      <c r="EI184" s="173">
        <f t="shared" si="567"/>
        <v>1.1378946438688489</v>
      </c>
      <c r="EK184" s="528">
        <f t="shared" si="568"/>
        <v>2.2352409702047153E-2</v>
      </c>
      <c r="EL184" s="528">
        <f t="shared" si="569"/>
        <v>0.49336666666666651</v>
      </c>
      <c r="EM184" s="528">
        <f t="shared" si="570"/>
        <v>3.1356188762016825E-2</v>
      </c>
      <c r="EN184" s="528">
        <f t="shared" si="571"/>
        <v>0.16828220298423416</v>
      </c>
      <c r="EO184">
        <f t="shared" si="572"/>
        <v>8.5500000000000003E-3</v>
      </c>
      <c r="EP184" s="460">
        <f t="shared" si="573"/>
        <v>39.906188762016825</v>
      </c>
      <c r="EQ184" s="460"/>
      <c r="ER184" s="460">
        <f t="shared" si="593"/>
        <v>723.90746811496456</v>
      </c>
      <c r="ES184" s="528">
        <f t="shared" si="574"/>
        <v>0.51800000000000002</v>
      </c>
      <c r="EV184" s="460">
        <f t="shared" si="494"/>
        <v>518</v>
      </c>
      <c r="EW184" s="528">
        <f t="shared" si="575"/>
        <v>3.3528614553070726E-2</v>
      </c>
      <c r="EX184" s="528">
        <f t="shared" si="576"/>
        <v>3.8844126616362433E-2</v>
      </c>
      <c r="EY184" s="528">
        <f t="shared" si="577"/>
        <v>0.7286221282946429</v>
      </c>
      <c r="EZ184" s="528"/>
      <c r="FA184" s="528">
        <f t="shared" si="578"/>
        <v>9.8666666666666625E-3</v>
      </c>
      <c r="FB184" s="460">
        <f t="shared" si="579"/>
        <v>810.86153613074271</v>
      </c>
      <c r="FC184" s="173">
        <f t="shared" si="580"/>
        <v>2.052769004245707</v>
      </c>
      <c r="FD184" s="5">
        <f t="shared" si="581"/>
        <v>11.84</v>
      </c>
      <c r="FE184" s="173">
        <f t="shared" si="582"/>
        <v>0.85224191062139087</v>
      </c>
      <c r="FF184" s="5">
        <f t="shared" si="583"/>
        <v>85.224191062139084</v>
      </c>
      <c r="FI184" s="562">
        <f t="shared" si="584"/>
        <v>-50</v>
      </c>
      <c r="FJ184">
        <f t="shared" si="585"/>
        <v>-50</v>
      </c>
      <c r="FL184">
        <f t="shared" si="586"/>
        <v>0.53672316384180796</v>
      </c>
    </row>
    <row r="185" spans="5:168">
      <c r="E185" s="170">
        <v>75</v>
      </c>
      <c r="F185" s="217">
        <f t="shared" si="587"/>
        <v>0.75</v>
      </c>
      <c r="G185" s="217"/>
      <c r="H185" s="217">
        <f t="shared" si="495"/>
        <v>12</v>
      </c>
      <c r="I185" s="541">
        <f t="shared" si="496"/>
        <v>18.928335524584295</v>
      </c>
      <c r="J185" s="172">
        <f t="shared" si="497"/>
        <v>16.442998685249421</v>
      </c>
      <c r="K185" s="172">
        <f t="shared" si="498"/>
        <v>35.371334209833719</v>
      </c>
      <c r="L185" s="443"/>
      <c r="M185" s="217">
        <f t="shared" si="499"/>
        <v>0.4648516195164617</v>
      </c>
      <c r="N185" s="172">
        <f t="shared" si="500"/>
        <v>22.206141659689621</v>
      </c>
      <c r="O185" s="172">
        <f t="shared" si="438"/>
        <v>12</v>
      </c>
      <c r="P185" s="217">
        <f t="shared" si="501"/>
        <v>1.3878838537306013</v>
      </c>
      <c r="Q185" s="217">
        <f t="shared" si="502"/>
        <v>16</v>
      </c>
      <c r="R185" s="217"/>
      <c r="S185" s="172">
        <f t="shared" si="503"/>
        <v>44.335363406422346</v>
      </c>
      <c r="T185" s="536">
        <f t="shared" si="504"/>
        <v>16</v>
      </c>
      <c r="U185" s="217">
        <f t="shared" si="505"/>
        <v>2.8029609257990478</v>
      </c>
      <c r="V185" s="217">
        <f t="shared" si="506"/>
        <v>1.7769936012547134</v>
      </c>
      <c r="W185" s="217">
        <f t="shared" si="507"/>
        <v>2.0455837620276718</v>
      </c>
      <c r="X185" s="197">
        <f t="shared" si="508"/>
        <v>350</v>
      </c>
      <c r="Y185" s="443">
        <f t="shared" si="509"/>
        <v>248.59683473781826</v>
      </c>
      <c r="AA185" s="217">
        <f t="shared" si="510"/>
        <v>2.0950419120152337</v>
      </c>
      <c r="AB185" s="173">
        <f t="shared" si="511"/>
        <v>1.5289487900242724</v>
      </c>
      <c r="AC185" s="173">
        <f t="shared" si="512"/>
        <v>0.56056206437452016</v>
      </c>
      <c r="AD185" s="173"/>
      <c r="AE185" s="173">
        <f t="shared" si="513"/>
        <v>0.72979389159502173</v>
      </c>
      <c r="AF185" s="545">
        <f t="shared" si="514"/>
        <v>2055.3748356561773</v>
      </c>
      <c r="AG185" s="528">
        <f t="shared" si="515"/>
        <v>0.12771393102912879</v>
      </c>
      <c r="AI185" s="173">
        <f t="shared" si="516"/>
        <v>2.4233240663283606</v>
      </c>
      <c r="AJ185" s="173">
        <f t="shared" si="517"/>
        <v>2.8029609257990478</v>
      </c>
      <c r="AK185" s="173">
        <f t="shared" si="518"/>
        <v>2.5355266117029984</v>
      </c>
      <c r="AM185" s="545">
        <f t="shared" si="519"/>
        <v>750</v>
      </c>
      <c r="AN185" s="460">
        <f t="shared" si="520"/>
        <v>248.59683473781826</v>
      </c>
      <c r="AP185">
        <f t="shared" si="521"/>
        <v>750</v>
      </c>
      <c r="AQ185">
        <f t="shared" si="522"/>
        <v>248.59683473781826</v>
      </c>
      <c r="AS185" s="5">
        <f t="shared" si="439"/>
        <v>4.0225773632823865</v>
      </c>
      <c r="AT185" s="5">
        <f t="shared" si="523"/>
        <v>1.7769936012547134</v>
      </c>
      <c r="AU185" s="5">
        <f t="shared" si="478"/>
        <v>2.2455837620276728</v>
      </c>
      <c r="AV185" s="5"/>
      <c r="AW185" s="173">
        <f t="shared" si="479"/>
        <v>0.44175498462127843</v>
      </c>
      <c r="AX185" s="173">
        <f t="shared" si="435"/>
        <v>11.718740362739002</v>
      </c>
      <c r="AY185" s="173">
        <f t="shared" si="436"/>
        <v>0.78236948256432248</v>
      </c>
      <c r="AZ185" s="173">
        <f t="shared" si="440"/>
        <v>14.978524372307104</v>
      </c>
      <c r="BA185" s="460">
        <f t="shared" si="594"/>
        <v>8.3296575058814692</v>
      </c>
      <c r="BB185" s="5">
        <f t="shared" si="595"/>
        <v>1.1863609238705051</v>
      </c>
      <c r="BD185" s="173">
        <f t="shared" si="441"/>
        <v>1.0755909651947038</v>
      </c>
      <c r="BE185" s="173">
        <f t="shared" si="437"/>
        <v>1.2091184362075302</v>
      </c>
      <c r="BG185" s="528">
        <f t="shared" si="480"/>
        <v>2.3137918488169488E-2</v>
      </c>
      <c r="BH185" s="528">
        <f t="shared" si="524"/>
        <v>0.44980776547407864</v>
      </c>
      <c r="BI185" s="528">
        <f t="shared" si="525"/>
        <v>0.10822705886014229</v>
      </c>
      <c r="BJ185" s="528">
        <f t="shared" si="481"/>
        <v>0.15318093391762624</v>
      </c>
      <c r="BK185">
        <f t="shared" si="482"/>
        <v>8.517750986062932E-3</v>
      </c>
      <c r="BL185" s="460">
        <f t="shared" si="588"/>
        <v>116.74480984620523</v>
      </c>
      <c r="BM185" s="528">
        <f t="shared" si="526"/>
        <v>0.63586959311000169</v>
      </c>
      <c r="BN185" s="460">
        <f t="shared" si="527"/>
        <v>635.86959311000169</v>
      </c>
      <c r="BO185" s="528">
        <f t="shared" si="483"/>
        <v>0.52499999999999991</v>
      </c>
      <c r="BR185" s="460">
        <f t="shared" si="484"/>
        <v>524.99999999999989</v>
      </c>
      <c r="BS185" s="528">
        <f t="shared" si="485"/>
        <v>3.4706877732254234E-2</v>
      </c>
      <c r="BT185" s="528">
        <f t="shared" si="486"/>
        <v>4.3859021783308298E-2</v>
      </c>
      <c r="BU185" s="528">
        <f t="shared" si="487"/>
        <v>0.64084293388340385</v>
      </c>
      <c r="BV185" s="528"/>
      <c r="BW185" s="528">
        <f t="shared" si="488"/>
        <v>9.7656169689491687E-3</v>
      </c>
      <c r="BX185" s="460">
        <f t="shared" si="489"/>
        <v>729.17445036791548</v>
      </c>
      <c r="BY185" s="173">
        <f t="shared" si="490"/>
        <v>1.997045878093995</v>
      </c>
      <c r="BZ185" s="5">
        <f t="shared" si="491"/>
        <v>12</v>
      </c>
      <c r="CA185" s="173">
        <f t="shared" si="492"/>
        <v>0.85732375992140875</v>
      </c>
      <c r="CB185" s="5">
        <f t="shared" si="493"/>
        <v>85.732375992140874</v>
      </c>
      <c r="CE185" s="562">
        <f t="shared" si="528"/>
        <v>-50</v>
      </c>
      <c r="CF185">
        <f t="shared" si="529"/>
        <v>-50</v>
      </c>
      <c r="CG185" s="173">
        <f t="shared" si="530"/>
        <v>0.52327181330042105</v>
      </c>
      <c r="CI185" s="170">
        <v>75</v>
      </c>
      <c r="CJ185" s="217">
        <f t="shared" si="589"/>
        <v>0.75</v>
      </c>
      <c r="CK185" s="217"/>
      <c r="CL185" s="217">
        <f t="shared" si="531"/>
        <v>12</v>
      </c>
      <c r="CM185" s="541">
        <f t="shared" si="532"/>
        <v>19</v>
      </c>
      <c r="CN185" s="443">
        <f t="shared" si="533"/>
        <v>16.399999999999999</v>
      </c>
      <c r="CO185" s="443">
        <f t="shared" si="534"/>
        <v>35.4</v>
      </c>
      <c r="CP185" s="443"/>
      <c r="CQ185" s="217">
        <f t="shared" si="535"/>
        <v>0.4632768361581921</v>
      </c>
      <c r="CR185" s="172">
        <f t="shared" si="590"/>
        <v>22.214703389830511</v>
      </c>
      <c r="CS185" s="172">
        <f t="shared" si="536"/>
        <v>12</v>
      </c>
      <c r="CT185" s="217">
        <f t="shared" si="537"/>
        <v>1.3884189618644069</v>
      </c>
      <c r="CU185" s="217">
        <f t="shared" si="538"/>
        <v>16</v>
      </c>
      <c r="CV185" s="217"/>
      <c r="CW185" s="172">
        <f t="shared" si="539"/>
        <v>44.502588608707953</v>
      </c>
      <c r="CX185" s="536">
        <f t="shared" si="540"/>
        <v>16</v>
      </c>
      <c r="CY185" s="217">
        <f t="shared" si="541"/>
        <v>2.7265725288831835</v>
      </c>
      <c r="CZ185" s="217">
        <f t="shared" si="542"/>
        <v>1.722045807715695</v>
      </c>
      <c r="DA185" s="217">
        <f t="shared" si="543"/>
        <v>1.995053069914525</v>
      </c>
      <c r="DB185" s="197">
        <f t="shared" si="544"/>
        <v>350</v>
      </c>
      <c r="DC185" s="443">
        <f t="shared" si="545"/>
        <v>269.02701082773854</v>
      </c>
      <c r="DE185" s="217">
        <f t="shared" si="546"/>
        <v>2.0957761635727734</v>
      </c>
      <c r="DF185" s="173">
        <f t="shared" si="547"/>
        <v>1.5334947538337369</v>
      </c>
      <c r="DG185" s="173">
        <f t="shared" si="548"/>
        <v>0.5624258066085126</v>
      </c>
      <c r="DH185" s="173"/>
      <c r="DI185" s="173">
        <f t="shared" si="549"/>
        <v>0.73170731707317083</v>
      </c>
      <c r="DJ185" s="545">
        <f t="shared" si="550"/>
        <v>2049.9999999999995</v>
      </c>
      <c r="DK185" s="528">
        <f t="shared" si="551"/>
        <v>0.12804878048780488</v>
      </c>
      <c r="DM185" s="173">
        <f t="shared" si="552"/>
        <v>2.4201534780139164</v>
      </c>
      <c r="DN185" s="173">
        <f t="shared" si="553"/>
        <v>2.7265725288831835</v>
      </c>
      <c r="DO185" s="173">
        <f t="shared" si="554"/>
        <v>2.4789426139875435</v>
      </c>
      <c r="DQ185" s="545">
        <f t="shared" si="555"/>
        <v>750</v>
      </c>
      <c r="DR185" s="460">
        <f t="shared" si="556"/>
        <v>269.02701082773854</v>
      </c>
      <c r="DT185">
        <f t="shared" si="591"/>
        <v>750</v>
      </c>
      <c r="DU185">
        <f t="shared" si="592"/>
        <v>269.02701082773854</v>
      </c>
      <c r="DW185" s="5">
        <f t="shared" si="557"/>
        <v>3.7170988776302201</v>
      </c>
      <c r="DX185" s="5">
        <f t="shared" si="558"/>
        <v>1.722045807715695</v>
      </c>
      <c r="DY185" s="5">
        <f t="shared" si="559"/>
        <v>1.995053069914525</v>
      </c>
      <c r="DZ185" s="5"/>
      <c r="EA185" s="173">
        <f t="shared" si="560"/>
        <v>0.46327683615819204</v>
      </c>
      <c r="EB185" s="173">
        <f t="shared" si="561"/>
        <v>11.999999999999998</v>
      </c>
      <c r="EC185" s="173">
        <f t="shared" si="562"/>
        <v>0.73170731707317083</v>
      </c>
      <c r="ED185" s="173">
        <f t="shared" si="563"/>
        <v>16.399999999999995</v>
      </c>
      <c r="EE185" s="460">
        <f t="shared" si="564"/>
        <v>8.0720897236673217</v>
      </c>
      <c r="EF185" s="5">
        <f t="shared" si="565"/>
        <v>1.0500279315339605</v>
      </c>
      <c r="EH185" s="173">
        <f t="shared" si="566"/>
        <v>1.0714618698195142</v>
      </c>
      <c r="EI185" s="173">
        <f t="shared" si="567"/>
        <v>1.1532715985157254</v>
      </c>
      <c r="EK185" s="528">
        <f t="shared" si="568"/>
        <v>2.2960610769542592E-2</v>
      </c>
      <c r="EL185" s="528">
        <f t="shared" si="569"/>
        <v>0.49336666666666656</v>
      </c>
      <c r="EM185" s="528">
        <f t="shared" si="570"/>
        <v>3.0938106245189934E-2</v>
      </c>
      <c r="EN185" s="528">
        <f t="shared" si="571"/>
        <v>0.16603844027777773</v>
      </c>
      <c r="EO185">
        <f t="shared" si="572"/>
        <v>8.5500000000000003E-3</v>
      </c>
      <c r="EP185" s="460">
        <f t="shared" si="573"/>
        <v>39.488106245189933</v>
      </c>
      <c r="EQ185" s="460"/>
      <c r="ER185" s="460">
        <f t="shared" si="593"/>
        <v>721.85382395917679</v>
      </c>
      <c r="ES185" s="528">
        <f t="shared" si="574"/>
        <v>0.52499999999999991</v>
      </c>
      <c r="EV185" s="460">
        <f t="shared" si="494"/>
        <v>524.99999999999989</v>
      </c>
      <c r="EW185" s="528">
        <f t="shared" si="575"/>
        <v>3.444091615431389E-2</v>
      </c>
      <c r="EX185" s="528">
        <f t="shared" si="576"/>
        <v>3.9901061398290492E-2</v>
      </c>
      <c r="EY185" s="528">
        <f t="shared" si="577"/>
        <v>0.72862212829464279</v>
      </c>
      <c r="EZ185" s="528"/>
      <c r="FA185" s="528">
        <f t="shared" si="578"/>
        <v>9.9999999999999967E-3</v>
      </c>
      <c r="FB185" s="460">
        <f t="shared" si="579"/>
        <v>812.9641058472472</v>
      </c>
      <c r="FC185" s="173">
        <f t="shared" si="580"/>
        <v>2.0598179298064236</v>
      </c>
      <c r="FD185" s="5">
        <f t="shared" si="581"/>
        <v>12</v>
      </c>
      <c r="FE185" s="173">
        <f t="shared" si="582"/>
        <v>0.85349611637291067</v>
      </c>
      <c r="FF185" s="5">
        <f t="shared" si="583"/>
        <v>85.349611637291062</v>
      </c>
      <c r="FI185" s="562">
        <f t="shared" si="584"/>
        <v>-50</v>
      </c>
      <c r="FJ185">
        <f t="shared" si="585"/>
        <v>-50</v>
      </c>
      <c r="FL185">
        <f t="shared" si="586"/>
        <v>0.53672316384180796</v>
      </c>
    </row>
    <row r="186" spans="5:168">
      <c r="E186" s="170">
        <v>76</v>
      </c>
      <c r="F186" s="217">
        <f t="shared" si="587"/>
        <v>0.76</v>
      </c>
      <c r="G186" s="217"/>
      <c r="H186" s="217">
        <f t="shared" si="495"/>
        <v>12.16</v>
      </c>
      <c r="I186" s="541">
        <f t="shared" si="496"/>
        <v>18.92740455292893</v>
      </c>
      <c r="J186" s="172">
        <f t="shared" si="497"/>
        <v>16.443557268242639</v>
      </c>
      <c r="K186" s="172">
        <f t="shared" si="498"/>
        <v>35.370961821171569</v>
      </c>
      <c r="L186" s="443"/>
      <c r="M186" s="217">
        <f t="shared" si="499"/>
        <v>0.46487231179380317</v>
      </c>
      <c r="N186" s="172">
        <f t="shared" si="500"/>
        <v>22.206037901822516</v>
      </c>
      <c r="O186" s="172">
        <f t="shared" si="438"/>
        <v>12.16</v>
      </c>
      <c r="P186" s="217">
        <f t="shared" si="501"/>
        <v>1.3878773688639072</v>
      </c>
      <c r="Q186" s="217">
        <f t="shared" si="502"/>
        <v>16</v>
      </c>
      <c r="R186" s="217"/>
      <c r="S186" s="172">
        <f t="shared" si="503"/>
        <v>43.506229432747119</v>
      </c>
      <c r="T186" s="536">
        <f t="shared" si="504"/>
        <v>16</v>
      </c>
      <c r="U186" s="217">
        <f t="shared" si="505"/>
        <v>2.8404435679551483</v>
      </c>
      <c r="V186" s="217">
        <f t="shared" si="506"/>
        <v>1.8008450508967029</v>
      </c>
      <c r="W186" s="217">
        <f t="shared" si="507"/>
        <v>2.0728679481836085</v>
      </c>
      <c r="X186" s="197">
        <f t="shared" si="508"/>
        <v>350</v>
      </c>
      <c r="Y186" s="443">
        <f t="shared" si="509"/>
        <v>245.47630140507243</v>
      </c>
      <c r="AA186" s="217">
        <f t="shared" si="510"/>
        <v>2.0950320927820933</v>
      </c>
      <c r="AB186" s="173">
        <f t="shared" si="511"/>
        <v>1.5288896862930397</v>
      </c>
      <c r="AC186" s="173">
        <f t="shared" si="512"/>
        <v>0.56053776784380638</v>
      </c>
      <c r="AD186" s="173"/>
      <c r="AE186" s="173">
        <f t="shared" si="513"/>
        <v>0.72976910070277434</v>
      </c>
      <c r="AF186" s="545">
        <f t="shared" si="514"/>
        <v>2082.8505873107342</v>
      </c>
      <c r="AG186" s="528">
        <f t="shared" si="515"/>
        <v>0.12770959262298551</v>
      </c>
      <c r="AI186" s="173">
        <f t="shared" si="516"/>
        <v>2.4394674988674616</v>
      </c>
      <c r="AJ186" s="173">
        <f t="shared" si="517"/>
        <v>2.8404435679551483</v>
      </c>
      <c r="AK186" s="173">
        <f t="shared" si="518"/>
        <v>2.5632915318186287</v>
      </c>
      <c r="AM186" s="545">
        <f t="shared" si="519"/>
        <v>760</v>
      </c>
      <c r="AN186" s="460">
        <f t="shared" si="520"/>
        <v>245.47630140507243</v>
      </c>
      <c r="AP186">
        <f t="shared" si="521"/>
        <v>760</v>
      </c>
      <c r="AQ186">
        <f t="shared" si="522"/>
        <v>245.47630140507243</v>
      </c>
      <c r="AS186" s="5">
        <f t="shared" si="439"/>
        <v>4.0737129990803105</v>
      </c>
      <c r="AT186" s="5">
        <f t="shared" si="523"/>
        <v>1.8008450508967029</v>
      </c>
      <c r="AU186" s="5">
        <f t="shared" si="478"/>
        <v>2.2728679481836078</v>
      </c>
      <c r="AV186" s="5"/>
      <c r="AW186" s="173">
        <f t="shared" si="479"/>
        <v>0.44206478249775211</v>
      </c>
      <c r="AX186" s="173">
        <f t="shared" si="435"/>
        <v>11.883193044614453</v>
      </c>
      <c r="AY186" s="173">
        <f t="shared" si="436"/>
        <v>0.79239174994495831</v>
      </c>
      <c r="AZ186" s="173">
        <f t="shared" si="440"/>
        <v>14.996613790388267</v>
      </c>
      <c r="BA186" s="460">
        <f t="shared" si="594"/>
        <v>8.554013991759339</v>
      </c>
      <c r="BB186" s="5">
        <f t="shared" si="595"/>
        <v>1.2168455784409085</v>
      </c>
      <c r="BD186" s="173">
        <f t="shared" si="441"/>
        <v>1.0903564499547858</v>
      </c>
      <c r="BE186" s="173">
        <f t="shared" si="437"/>
        <v>1.2249473592585876</v>
      </c>
      <c r="BG186" s="528">
        <f t="shared" si="480"/>
        <v>2.3777543759160063E-2</v>
      </c>
      <c r="BH186" s="528">
        <f t="shared" si="524"/>
        <v>0.45009633315240727</v>
      </c>
      <c r="BI186" s="528">
        <f t="shared" si="525"/>
        <v>0.10686327309156202</v>
      </c>
      <c r="BJ186" s="528">
        <f t="shared" si="481"/>
        <v>0.15125493208906349</v>
      </c>
      <c r="BK186">
        <f t="shared" si="482"/>
        <v>8.5173320488180181E-3</v>
      </c>
      <c r="BL186" s="460">
        <f t="shared" si="588"/>
        <v>115.38060514038004</v>
      </c>
      <c r="BM186" s="528">
        <f t="shared" si="526"/>
        <v>0.63513698038457533</v>
      </c>
      <c r="BN186" s="460">
        <f t="shared" si="527"/>
        <v>635.13698038457528</v>
      </c>
      <c r="BO186" s="528">
        <f t="shared" si="483"/>
        <v>0.53199999999999992</v>
      </c>
      <c r="BR186" s="460">
        <f t="shared" si="484"/>
        <v>531.99999999999989</v>
      </c>
      <c r="BS186" s="528">
        <f t="shared" si="485"/>
        <v>3.5666315638740093E-2</v>
      </c>
      <c r="BT186" s="528">
        <f t="shared" si="486"/>
        <v>4.5014880988637609E-2</v>
      </c>
      <c r="BU186" s="528">
        <f t="shared" si="487"/>
        <v>0.64188813162856506</v>
      </c>
      <c r="BV186" s="528"/>
      <c r="BW186" s="528">
        <f t="shared" si="488"/>
        <v>9.902660870512045E-3</v>
      </c>
      <c r="BX186" s="460">
        <f t="shared" si="489"/>
        <v>732.47198912645479</v>
      </c>
      <c r="BY186" s="173">
        <f t="shared" si="490"/>
        <v>2.0049814032674655</v>
      </c>
      <c r="BZ186" s="5">
        <f t="shared" si="491"/>
        <v>12.16</v>
      </c>
      <c r="CA186" s="173">
        <f t="shared" si="492"/>
        <v>0.85845506279274242</v>
      </c>
      <c r="CB186" s="5">
        <f t="shared" si="493"/>
        <v>85.845506279274247</v>
      </c>
      <c r="CE186" s="562">
        <f t="shared" si="528"/>
        <v>-50</v>
      </c>
      <c r="CF186">
        <f t="shared" si="529"/>
        <v>-50</v>
      </c>
      <c r="CG186" s="173">
        <f t="shared" si="530"/>
        <v>0.52344880475491296</v>
      </c>
      <c r="CI186" s="170">
        <v>76</v>
      </c>
      <c r="CJ186" s="217">
        <f t="shared" si="589"/>
        <v>0.76</v>
      </c>
      <c r="CK186" s="217"/>
      <c r="CL186" s="217">
        <f t="shared" si="531"/>
        <v>12.16</v>
      </c>
      <c r="CM186" s="541">
        <f t="shared" si="532"/>
        <v>19</v>
      </c>
      <c r="CN186" s="443">
        <f t="shared" si="533"/>
        <v>16.399999999999999</v>
      </c>
      <c r="CO186" s="443">
        <f t="shared" si="534"/>
        <v>35.4</v>
      </c>
      <c r="CP186" s="443"/>
      <c r="CQ186" s="217">
        <f t="shared" si="535"/>
        <v>0.4632768361581921</v>
      </c>
      <c r="CR186" s="172">
        <f t="shared" si="590"/>
        <v>22.214703389830511</v>
      </c>
      <c r="CS186" s="172">
        <f t="shared" si="536"/>
        <v>12.16</v>
      </c>
      <c r="CT186" s="217">
        <f t="shared" si="537"/>
        <v>1.3884189618644069</v>
      </c>
      <c r="CU186" s="217">
        <f t="shared" si="538"/>
        <v>16</v>
      </c>
      <c r="CV186" s="217"/>
      <c r="CW186" s="172">
        <f t="shared" si="539"/>
        <v>43.672443355108861</v>
      </c>
      <c r="CX186" s="536">
        <f t="shared" si="540"/>
        <v>16</v>
      </c>
      <c r="CY186" s="217">
        <f t="shared" si="541"/>
        <v>2.7629268292682925</v>
      </c>
      <c r="CZ186" s="217">
        <f t="shared" si="542"/>
        <v>1.7450064184852374</v>
      </c>
      <c r="DA186" s="217">
        <f t="shared" si="543"/>
        <v>2.0216537775133849</v>
      </c>
      <c r="DB186" s="197">
        <f t="shared" si="544"/>
        <v>350</v>
      </c>
      <c r="DC186" s="443">
        <f t="shared" si="545"/>
        <v>265.4871817378999</v>
      </c>
      <c r="DE186" s="217">
        <f t="shared" si="546"/>
        <v>2.0957761635727734</v>
      </c>
      <c r="DF186" s="173">
        <f t="shared" si="547"/>
        <v>1.5334947538337369</v>
      </c>
      <c r="DG186" s="173">
        <f t="shared" si="548"/>
        <v>0.5624258066085126</v>
      </c>
      <c r="DH186" s="173"/>
      <c r="DI186" s="173">
        <f t="shared" si="549"/>
        <v>0.73170731707317083</v>
      </c>
      <c r="DJ186" s="545">
        <f t="shared" si="550"/>
        <v>2077.333333333333</v>
      </c>
      <c r="DK186" s="528">
        <f t="shared" si="551"/>
        <v>0.12804878048780488</v>
      </c>
      <c r="DM186" s="173">
        <f t="shared" si="552"/>
        <v>2.4362344089266319</v>
      </c>
      <c r="DN186" s="173">
        <f t="shared" si="553"/>
        <v>2.7629268292682925</v>
      </c>
      <c r="DO186" s="173">
        <f t="shared" si="554"/>
        <v>2.50587172538392</v>
      </c>
      <c r="DQ186" s="545">
        <f t="shared" si="555"/>
        <v>760</v>
      </c>
      <c r="DR186" s="460">
        <f t="shared" si="556"/>
        <v>265.4871817378999</v>
      </c>
      <c r="DT186">
        <f t="shared" si="591"/>
        <v>760</v>
      </c>
      <c r="DU186">
        <f t="shared" si="592"/>
        <v>265.4871817378999</v>
      </c>
      <c r="DW186" s="5">
        <f t="shared" si="557"/>
        <v>3.7666601959986226</v>
      </c>
      <c r="DX186" s="5">
        <f t="shared" si="558"/>
        <v>1.7450064184852374</v>
      </c>
      <c r="DY186" s="5">
        <f t="shared" si="559"/>
        <v>2.0216537775133849</v>
      </c>
      <c r="DZ186" s="5"/>
      <c r="EA186" s="173">
        <f t="shared" si="560"/>
        <v>0.46327683615819204</v>
      </c>
      <c r="EB186" s="173">
        <f t="shared" si="561"/>
        <v>12.159999999999997</v>
      </c>
      <c r="EC186" s="173">
        <f t="shared" si="562"/>
        <v>0.74146341463414633</v>
      </c>
      <c r="ED186" s="173">
        <f t="shared" si="563"/>
        <v>16.399999999999995</v>
      </c>
      <c r="EE186" s="460">
        <f t="shared" si="564"/>
        <v>8.2887804878048783</v>
      </c>
      <c r="EF186" s="5">
        <f t="shared" si="565"/>
        <v>1.0782153480071384</v>
      </c>
      <c r="EH186" s="173">
        <f t="shared" si="566"/>
        <v>1.0857480280837744</v>
      </c>
      <c r="EI186" s="173">
        <f t="shared" si="567"/>
        <v>1.1686485531626016</v>
      </c>
      <c r="EK186" s="528">
        <f t="shared" si="568"/>
        <v>2.3576975609756089E-2</v>
      </c>
      <c r="EL186" s="528">
        <f t="shared" si="569"/>
        <v>0.49336666666666656</v>
      </c>
      <c r="EM186" s="528">
        <f t="shared" si="570"/>
        <v>3.0531025899858493E-2</v>
      </c>
      <c r="EN186" s="528">
        <f t="shared" si="571"/>
        <v>0.16385372395833331</v>
      </c>
      <c r="EO186">
        <f t="shared" si="572"/>
        <v>8.5500000000000003E-3</v>
      </c>
      <c r="EP186" s="460">
        <f t="shared" si="573"/>
        <v>39.081025899858489</v>
      </c>
      <c r="EQ186" s="460"/>
      <c r="ER186" s="460">
        <f t="shared" si="593"/>
        <v>719.87839213461439</v>
      </c>
      <c r="ES186" s="528">
        <f t="shared" si="574"/>
        <v>0.53199999999999992</v>
      </c>
      <c r="EV186" s="460">
        <f t="shared" si="494"/>
        <v>531.99999999999989</v>
      </c>
      <c r="EW186" s="528">
        <f t="shared" si="575"/>
        <v>3.5365463414634132E-2</v>
      </c>
      <c r="EX186" s="528">
        <f t="shared" si="576"/>
        <v>4.0972183224271264E-2</v>
      </c>
      <c r="EY186" s="528">
        <f t="shared" si="577"/>
        <v>0.72862212829464379</v>
      </c>
      <c r="EZ186" s="528"/>
      <c r="FA186" s="528">
        <f t="shared" si="578"/>
        <v>1.0133333333333331E-2</v>
      </c>
      <c r="FB186" s="460">
        <f t="shared" si="579"/>
        <v>815.0931082668825</v>
      </c>
      <c r="FC186" s="173">
        <f t="shared" si="580"/>
        <v>2.0669715004014968</v>
      </c>
      <c r="FD186" s="5">
        <f t="shared" si="581"/>
        <v>12.16</v>
      </c>
      <c r="FE186" s="173">
        <f t="shared" si="582"/>
        <v>0.85471458206385209</v>
      </c>
      <c r="FF186" s="5">
        <f t="shared" si="583"/>
        <v>85.471458206385208</v>
      </c>
      <c r="FI186" s="562">
        <f t="shared" si="584"/>
        <v>-50</v>
      </c>
      <c r="FJ186">
        <f t="shared" si="585"/>
        <v>-50</v>
      </c>
      <c r="FL186">
        <f t="shared" si="586"/>
        <v>0.53672316384180796</v>
      </c>
    </row>
    <row r="187" spans="5:168">
      <c r="E187" s="170">
        <v>77</v>
      </c>
      <c r="F187" s="217">
        <f t="shared" si="587"/>
        <v>0.77</v>
      </c>
      <c r="G187" s="217"/>
      <c r="H187" s="217">
        <f t="shared" si="495"/>
        <v>12.32</v>
      </c>
      <c r="I187" s="541">
        <f t="shared" si="496"/>
        <v>18.926473565105059</v>
      </c>
      <c r="J187" s="172">
        <f t="shared" si="497"/>
        <v>16.444115860936964</v>
      </c>
      <c r="K187" s="172">
        <f t="shared" si="498"/>
        <v>35.370589426042024</v>
      </c>
      <c r="L187" s="443"/>
      <c r="M187" s="217">
        <f t="shared" si="499"/>
        <v>0.46489300471895351</v>
      </c>
      <c r="N187" s="172">
        <f t="shared" si="500"/>
        <v>22.20593405869371</v>
      </c>
      <c r="O187" s="172">
        <f t="shared" si="438"/>
        <v>12.32</v>
      </c>
      <c r="P187" s="217">
        <f t="shared" si="501"/>
        <v>1.3878708786683569</v>
      </c>
      <c r="Q187" s="217">
        <f t="shared" si="502"/>
        <v>16</v>
      </c>
      <c r="R187" s="217"/>
      <c r="S187" s="172">
        <f t="shared" si="503"/>
        <v>42.698772660908361</v>
      </c>
      <c r="T187" s="536">
        <f t="shared" si="504"/>
        <v>16</v>
      </c>
      <c r="U187" s="217">
        <f t="shared" si="505"/>
        <v>2.8779291124594026</v>
      </c>
      <c r="V187" s="217">
        <f t="shared" si="506"/>
        <v>1.8247006887318753</v>
      </c>
      <c r="W187" s="217">
        <f t="shared" si="507"/>
        <v>2.1001523974634089</v>
      </c>
      <c r="X187" s="197">
        <f t="shared" si="508"/>
        <v>350</v>
      </c>
      <c r="Y187" s="443">
        <f t="shared" si="509"/>
        <v>242.43287678456159</v>
      </c>
      <c r="AA187" s="217">
        <f t="shared" si="510"/>
        <v>2.0950222661704339</v>
      </c>
      <c r="AB187" s="173">
        <f t="shared" si="511"/>
        <v>1.5288305802907878</v>
      </c>
      <c r="AC187" s="173">
        <f t="shared" si="512"/>
        <v>0.56051346870950647</v>
      </c>
      <c r="AD187" s="173"/>
      <c r="AE187" s="173">
        <f t="shared" si="513"/>
        <v>0.72974431106424076</v>
      </c>
      <c r="AF187" s="545">
        <f t="shared" si="514"/>
        <v>2110.328202153577</v>
      </c>
      <c r="AG187" s="528">
        <f t="shared" si="515"/>
        <v>0.12770525443624214</v>
      </c>
      <c r="AI187" s="173">
        <f t="shared" si="516"/>
        <v>2.4555058845399294</v>
      </c>
      <c r="AJ187" s="173">
        <f t="shared" si="517"/>
        <v>2.8779291124594026</v>
      </c>
      <c r="AK187" s="173">
        <f t="shared" si="518"/>
        <v>2.5910586018217794</v>
      </c>
      <c r="AM187" s="545">
        <f t="shared" si="519"/>
        <v>770</v>
      </c>
      <c r="AN187" s="460">
        <f t="shared" si="520"/>
        <v>242.43287678456159</v>
      </c>
      <c r="AP187">
        <f t="shared" si="521"/>
        <v>770</v>
      </c>
      <c r="AQ187">
        <f t="shared" si="522"/>
        <v>242.43287678456159</v>
      </c>
      <c r="AS187" s="5">
        <f t="shared" si="439"/>
        <v>4.1248530861952846</v>
      </c>
      <c r="AT187" s="5">
        <f t="shared" si="523"/>
        <v>1.8247006887318753</v>
      </c>
      <c r="AU187" s="5">
        <f t="shared" si="478"/>
        <v>2.3001523974634095</v>
      </c>
      <c r="AV187" s="5"/>
      <c r="AW187" s="173">
        <f t="shared" si="479"/>
        <v>0.44236743724003941</v>
      </c>
      <c r="AX187" s="173">
        <f t="shared" si="435"/>
        <v>12.047666867060746</v>
      </c>
      <c r="AY187" s="173">
        <f t="shared" si="436"/>
        <v>0.80241349321111766</v>
      </c>
      <c r="AZ187" s="173">
        <f t="shared" si="440"/>
        <v>15.014287482689383</v>
      </c>
      <c r="BA187" s="460">
        <f t="shared" si="594"/>
        <v>8.7813720645221505</v>
      </c>
      <c r="BB187" s="5">
        <f t="shared" si="595"/>
        <v>1.2477177994124611</v>
      </c>
      <c r="BD187" s="173">
        <f t="shared" si="441"/>
        <v>1.1051240762400576</v>
      </c>
      <c r="BE187" s="173">
        <f t="shared" si="437"/>
        <v>1.2407764107854728</v>
      </c>
      <c r="BG187" s="528">
        <f t="shared" si="480"/>
        <v>2.4425984477708811E-2</v>
      </c>
      <c r="BH187" s="528">
        <f t="shared" si="524"/>
        <v>0.45037759068046312</v>
      </c>
      <c r="BI187" s="528">
        <f t="shared" si="525"/>
        <v>0.10553318697683368</v>
      </c>
      <c r="BJ187" s="528">
        <f t="shared" si="481"/>
        <v>0.14937652222386441</v>
      </c>
      <c r="BK187">
        <f t="shared" si="482"/>
        <v>8.5169131042972766E-3</v>
      </c>
      <c r="BL187" s="460">
        <f t="shared" si="588"/>
        <v>114.05010008113096</v>
      </c>
      <c r="BM187" s="528">
        <f t="shared" si="526"/>
        <v>0.63445725816098908</v>
      </c>
      <c r="BN187" s="460">
        <f t="shared" si="527"/>
        <v>634.45725816098911</v>
      </c>
      <c r="BO187" s="528">
        <f t="shared" si="483"/>
        <v>0.53899999999999992</v>
      </c>
      <c r="BR187" s="460">
        <f t="shared" si="484"/>
        <v>538.99999999999989</v>
      </c>
      <c r="BS187" s="528">
        <f t="shared" si="485"/>
        <v>3.6638976716563215E-2</v>
      </c>
      <c r="BT187" s="528">
        <f t="shared" si="486"/>
        <v>4.6185783046850414E-2</v>
      </c>
      <c r="BU187" s="528">
        <f t="shared" si="487"/>
        <v>0.64290828567104685</v>
      </c>
      <c r="BV187" s="528"/>
      <c r="BW187" s="528">
        <f t="shared" si="488"/>
        <v>1.0039722389217288E-2</v>
      </c>
      <c r="BX187" s="460">
        <f t="shared" si="489"/>
        <v>735.77276782367778</v>
      </c>
      <c r="BY187" s="173">
        <f t="shared" si="490"/>
        <v>2.0130029652868449</v>
      </c>
      <c r="BZ187" s="5">
        <f t="shared" si="491"/>
        <v>12.32</v>
      </c>
      <c r="CA187" s="173">
        <f t="shared" si="492"/>
        <v>0.85955469553992669</v>
      </c>
      <c r="CB187" s="5">
        <f t="shared" si="493"/>
        <v>85.955469553992671</v>
      </c>
      <c r="CE187" s="562">
        <f t="shared" si="528"/>
        <v>-50</v>
      </c>
      <c r="CF187">
        <f t="shared" si="529"/>
        <v>-50</v>
      </c>
      <c r="CG187" s="173">
        <f t="shared" si="530"/>
        <v>0.52362119902876869</v>
      </c>
      <c r="CI187" s="170">
        <v>77</v>
      </c>
      <c r="CJ187" s="217">
        <f t="shared" si="589"/>
        <v>0.77</v>
      </c>
      <c r="CK187" s="217"/>
      <c r="CL187" s="217">
        <f t="shared" si="531"/>
        <v>12.32</v>
      </c>
      <c r="CM187" s="541">
        <f t="shared" si="532"/>
        <v>19</v>
      </c>
      <c r="CN187" s="443">
        <f t="shared" si="533"/>
        <v>16.399999999999999</v>
      </c>
      <c r="CO187" s="443">
        <f t="shared" si="534"/>
        <v>35.4</v>
      </c>
      <c r="CP187" s="443"/>
      <c r="CQ187" s="217">
        <f t="shared" si="535"/>
        <v>0.4632768361581921</v>
      </c>
      <c r="CR187" s="172">
        <f t="shared" si="590"/>
        <v>22.214703389830511</v>
      </c>
      <c r="CS187" s="172">
        <f t="shared" si="536"/>
        <v>12.32</v>
      </c>
      <c r="CT187" s="217">
        <f t="shared" si="537"/>
        <v>1.3884189618644069</v>
      </c>
      <c r="CU187" s="217">
        <f t="shared" si="538"/>
        <v>16</v>
      </c>
      <c r="CV187" s="217"/>
      <c r="CW187" s="172">
        <f t="shared" si="539"/>
        <v>42.863977460303488</v>
      </c>
      <c r="CX187" s="536">
        <f t="shared" si="540"/>
        <v>16</v>
      </c>
      <c r="CY187" s="217">
        <f t="shared" si="541"/>
        <v>2.7992811296534015</v>
      </c>
      <c r="CZ187" s="217">
        <f t="shared" si="542"/>
        <v>1.7679670292547798</v>
      </c>
      <c r="DA187" s="217">
        <f t="shared" si="543"/>
        <v>2.0482544851122455</v>
      </c>
      <c r="DB187" s="197">
        <f t="shared" si="544"/>
        <v>350</v>
      </c>
      <c r="DC187" s="443">
        <f t="shared" si="545"/>
        <v>262.0392962607844</v>
      </c>
      <c r="DE187" s="217">
        <f t="shared" si="546"/>
        <v>2.0957761635727734</v>
      </c>
      <c r="DF187" s="173">
        <f t="shared" si="547"/>
        <v>1.5334947538337369</v>
      </c>
      <c r="DG187" s="173">
        <f t="shared" si="548"/>
        <v>0.5624258066085126</v>
      </c>
      <c r="DH187" s="173"/>
      <c r="DI187" s="173">
        <f t="shared" si="549"/>
        <v>0.73170731707317083</v>
      </c>
      <c r="DJ187" s="545">
        <f t="shared" si="550"/>
        <v>2104.6666666666665</v>
      </c>
      <c r="DK187" s="528">
        <f t="shared" si="551"/>
        <v>0.12804878048780488</v>
      </c>
      <c r="DM187" s="173">
        <f t="shared" si="552"/>
        <v>2.4522098876999361</v>
      </c>
      <c r="DN187" s="173">
        <f t="shared" si="553"/>
        <v>2.7992811296534015</v>
      </c>
      <c r="DO187" s="173">
        <f t="shared" si="554"/>
        <v>2.5328008367802974</v>
      </c>
      <c r="DQ187" s="545">
        <f t="shared" si="555"/>
        <v>770</v>
      </c>
      <c r="DR187" s="460">
        <f t="shared" si="556"/>
        <v>262.0392962607844</v>
      </c>
      <c r="DT187">
        <f t="shared" si="591"/>
        <v>770</v>
      </c>
      <c r="DU187">
        <f t="shared" si="592"/>
        <v>262.0392962607844</v>
      </c>
      <c r="DW187" s="5">
        <f t="shared" si="557"/>
        <v>3.8162215143670246</v>
      </c>
      <c r="DX187" s="5">
        <f t="shared" si="558"/>
        <v>1.7679670292547798</v>
      </c>
      <c r="DY187" s="5">
        <f t="shared" si="559"/>
        <v>2.0482544851122446</v>
      </c>
      <c r="DZ187" s="5"/>
      <c r="EA187" s="173">
        <f t="shared" si="560"/>
        <v>0.4632768361581921</v>
      </c>
      <c r="EB187" s="173">
        <f t="shared" si="561"/>
        <v>12.32</v>
      </c>
      <c r="EC187" s="173">
        <f t="shared" si="562"/>
        <v>0.75121951219512195</v>
      </c>
      <c r="ED187" s="173">
        <f t="shared" si="563"/>
        <v>16.399999999999999</v>
      </c>
      <c r="EE187" s="460">
        <f t="shared" si="564"/>
        <v>8.508341328288628</v>
      </c>
      <c r="EF187" s="5">
        <f t="shared" si="565"/>
        <v>1.1067761077448619</v>
      </c>
      <c r="EH187" s="173">
        <f t="shared" si="566"/>
        <v>1.1000341863480345</v>
      </c>
      <c r="EI187" s="173">
        <f t="shared" si="567"/>
        <v>1.1840255078094779</v>
      </c>
      <c r="EK187" s="528">
        <f t="shared" si="568"/>
        <v>2.4201504222687648E-2</v>
      </c>
      <c r="EL187" s="528">
        <f t="shared" si="569"/>
        <v>0.49336666666666673</v>
      </c>
      <c r="EM187" s="528">
        <f t="shared" si="570"/>
        <v>3.013451906999021E-2</v>
      </c>
      <c r="EN187" s="528">
        <f t="shared" si="571"/>
        <v>0.16172575351731602</v>
      </c>
      <c r="EO187">
        <f t="shared" si="572"/>
        <v>8.5500000000000003E-3</v>
      </c>
      <c r="EP187" s="460">
        <f t="shared" si="573"/>
        <v>38.684519069990209</v>
      </c>
      <c r="EQ187" s="460"/>
      <c r="ER187" s="460">
        <f t="shared" si="593"/>
        <v>717.97844347666046</v>
      </c>
      <c r="ES187" s="528">
        <f t="shared" si="574"/>
        <v>0.53899999999999992</v>
      </c>
      <c r="EV187" s="460">
        <f t="shared" si="494"/>
        <v>538.99999999999989</v>
      </c>
      <c r="EW187" s="528">
        <f t="shared" si="575"/>
        <v>3.6302256334031474E-2</v>
      </c>
      <c r="EX187" s="528">
        <f t="shared" si="576"/>
        <v>4.205749209430476E-2</v>
      </c>
      <c r="EY187" s="528">
        <f t="shared" si="577"/>
        <v>0.72862212829464545</v>
      </c>
      <c r="EZ187" s="528"/>
      <c r="FA187" s="528">
        <f t="shared" si="578"/>
        <v>1.0266666666666665E-2</v>
      </c>
      <c r="FB187" s="460">
        <f t="shared" si="579"/>
        <v>817.24854338964838</v>
      </c>
      <c r="FC187" s="173">
        <f t="shared" si="580"/>
        <v>2.0742269868663086</v>
      </c>
      <c r="FD187" s="5">
        <f t="shared" si="581"/>
        <v>12.32</v>
      </c>
      <c r="FE187" s="173">
        <f t="shared" si="582"/>
        <v>0.85589868849790329</v>
      </c>
      <c r="FF187" s="5">
        <f t="shared" si="583"/>
        <v>85.589868849790335</v>
      </c>
      <c r="FI187" s="562">
        <f t="shared" si="584"/>
        <v>-50</v>
      </c>
      <c r="FJ187">
        <f t="shared" si="585"/>
        <v>-50</v>
      </c>
      <c r="FL187">
        <f t="shared" si="586"/>
        <v>0.53672316384180796</v>
      </c>
    </row>
    <row r="188" spans="5:168">
      <c r="E188" s="170">
        <v>78</v>
      </c>
      <c r="F188" s="217">
        <f t="shared" si="587"/>
        <v>0.78</v>
      </c>
      <c r="G188" s="217"/>
      <c r="H188" s="217">
        <f t="shared" si="495"/>
        <v>12.48</v>
      </c>
      <c r="I188" s="541">
        <f t="shared" si="496"/>
        <v>18.9255425617499</v>
      </c>
      <c r="J188" s="172">
        <f t="shared" si="497"/>
        <v>16.444674462950058</v>
      </c>
      <c r="K188" s="172">
        <f t="shared" si="498"/>
        <v>35.370217024699954</v>
      </c>
      <c r="L188" s="443"/>
      <c r="M188" s="217">
        <f t="shared" si="499"/>
        <v>0.4649136982835857</v>
      </c>
      <c r="N188" s="172">
        <f t="shared" si="500"/>
        <v>22.205830130646039</v>
      </c>
      <c r="O188" s="172">
        <f t="shared" si="438"/>
        <v>12.48</v>
      </c>
      <c r="P188" s="217">
        <f t="shared" si="501"/>
        <v>1.3878643831653774</v>
      </c>
      <c r="Q188" s="217">
        <f t="shared" si="502"/>
        <v>16</v>
      </c>
      <c r="R188" s="217"/>
      <c r="S188" s="172">
        <f t="shared" si="503"/>
        <v>41.912161204312106</v>
      </c>
      <c r="T188" s="536">
        <f t="shared" si="504"/>
        <v>16</v>
      </c>
      <c r="U188" s="217">
        <f t="shared" si="505"/>
        <v>2.9154175597393084</v>
      </c>
      <c r="V188" s="217">
        <f t="shared" si="506"/>
        <v>1.8485605156482714</v>
      </c>
      <c r="W188" s="217">
        <f t="shared" si="507"/>
        <v>2.1274371101533891</v>
      </c>
      <c r="X188" s="197">
        <f t="shared" si="508"/>
        <v>350</v>
      </c>
      <c r="Y188" s="443">
        <f t="shared" si="509"/>
        <v>239.46373767586405</v>
      </c>
      <c r="AA188" s="217">
        <f t="shared" si="510"/>
        <v>2.0950124321863837</v>
      </c>
      <c r="AB188" s="173">
        <f t="shared" si="511"/>
        <v>1.5287714720578689</v>
      </c>
      <c r="AC188" s="173">
        <f t="shared" si="512"/>
        <v>0.56048916698829498</v>
      </c>
      <c r="AD188" s="173"/>
      <c r="AE188" s="173">
        <f t="shared" si="513"/>
        <v>0.72971952269630302</v>
      </c>
      <c r="AF188" s="545">
        <f t="shared" si="514"/>
        <v>2137.8076801835077</v>
      </c>
      <c r="AG188" s="528">
        <f t="shared" si="515"/>
        <v>0.12770091647185303</v>
      </c>
      <c r="AI188" s="173">
        <f t="shared" si="516"/>
        <v>2.4714412684467035</v>
      </c>
      <c r="AJ188" s="173">
        <f t="shared" si="517"/>
        <v>2.9154175597393084</v>
      </c>
      <c r="AK188" s="173">
        <f t="shared" si="518"/>
        <v>2.6188278220291172</v>
      </c>
      <c r="AM188" s="545">
        <f t="shared" si="519"/>
        <v>780</v>
      </c>
      <c r="AN188" s="460">
        <f t="shared" si="520"/>
        <v>239.46373767586405</v>
      </c>
      <c r="AP188">
        <f t="shared" si="521"/>
        <v>780</v>
      </c>
      <c r="AQ188">
        <f t="shared" si="522"/>
        <v>239.46373767586405</v>
      </c>
      <c r="AS188" s="5">
        <f t="shared" si="439"/>
        <v>4.1759976258016609</v>
      </c>
      <c r="AT188" s="5">
        <f t="shared" si="523"/>
        <v>1.8485605156482714</v>
      </c>
      <c r="AU188" s="5">
        <f t="shared" si="478"/>
        <v>2.3274371101533893</v>
      </c>
      <c r="AV188" s="5"/>
      <c r="AW188" s="173">
        <f t="shared" si="479"/>
        <v>0.44266321039715761</v>
      </c>
      <c r="AX188" s="173">
        <f t="shared" si="435"/>
        <v>12.212161465495999</v>
      </c>
      <c r="AY188" s="173">
        <f t="shared" si="436"/>
        <v>0.8124347315484296</v>
      </c>
      <c r="AZ188" s="173">
        <f t="shared" si="440"/>
        <v>15.031560064179786</v>
      </c>
      <c r="BA188" s="460">
        <f t="shared" si="594"/>
        <v>9.0117325137853239</v>
      </c>
      <c r="BB188" s="5">
        <f t="shared" si="595"/>
        <v>1.278977649735457</v>
      </c>
      <c r="BD188" s="173">
        <f t="shared" si="441"/>
        <v>1.1198938316702971</v>
      </c>
      <c r="BE188" s="173">
        <f t="shared" si="437"/>
        <v>1.2566056083747683</v>
      </c>
      <c r="BG188" s="528">
        <f t="shared" si="480"/>
        <v>2.5083243884263594E-2</v>
      </c>
      <c r="BH188" s="528">
        <f t="shared" si="524"/>
        <v>0.45065180564870155</v>
      </c>
      <c r="BI188" s="528">
        <f t="shared" si="525"/>
        <v>0.1042355666657464</v>
      </c>
      <c r="BJ188" s="528">
        <f t="shared" si="481"/>
        <v>0.14754396182782772</v>
      </c>
      <c r="BK188">
        <f t="shared" si="482"/>
        <v>8.516494152787454E-3</v>
      </c>
      <c r="BL188" s="460">
        <f t="shared" si="588"/>
        <v>112.75206081853385</v>
      </c>
      <c r="BM188" s="528">
        <f t="shared" si="526"/>
        <v>0.63382896761993546</v>
      </c>
      <c r="BN188" s="460">
        <f t="shared" si="527"/>
        <v>633.8289676199355</v>
      </c>
      <c r="BO188" s="528">
        <f t="shared" si="483"/>
        <v>0.54599999999999993</v>
      </c>
      <c r="BR188" s="460">
        <f t="shared" si="484"/>
        <v>545.99999999999989</v>
      </c>
      <c r="BS188" s="528">
        <f t="shared" si="485"/>
        <v>3.762486582639539E-2</v>
      </c>
      <c r="BT188" s="528">
        <f t="shared" si="486"/>
        <v>4.737172964996765E-2</v>
      </c>
      <c r="BU188" s="528">
        <f t="shared" si="487"/>
        <v>0.64390427686459983</v>
      </c>
      <c r="BV188" s="528"/>
      <c r="BW188" s="528">
        <f t="shared" si="488"/>
        <v>1.0176801221246666E-2</v>
      </c>
      <c r="BX188" s="460">
        <f t="shared" si="489"/>
        <v>739.0776735622095</v>
      </c>
      <c r="BY188" s="173">
        <f t="shared" si="490"/>
        <v>2.021108745741536</v>
      </c>
      <c r="BZ188" s="5">
        <f t="shared" si="491"/>
        <v>12.48</v>
      </c>
      <c r="CA188" s="173">
        <f t="shared" si="492"/>
        <v>0.86062384737752795</v>
      </c>
      <c r="CB188" s="5">
        <f t="shared" si="493"/>
        <v>86.062384737752794</v>
      </c>
      <c r="CE188" s="562">
        <f t="shared" si="528"/>
        <v>-50</v>
      </c>
      <c r="CF188">
        <f t="shared" si="529"/>
        <v>-50</v>
      </c>
      <c r="CG188" s="173">
        <f t="shared" si="530"/>
        <v>0.52378917293662808</v>
      </c>
      <c r="CI188" s="170">
        <v>78</v>
      </c>
      <c r="CJ188" s="217">
        <f t="shared" si="589"/>
        <v>0.78</v>
      </c>
      <c r="CK188" s="217"/>
      <c r="CL188" s="217">
        <f t="shared" si="531"/>
        <v>12.48</v>
      </c>
      <c r="CM188" s="541">
        <f t="shared" si="532"/>
        <v>19</v>
      </c>
      <c r="CN188" s="443">
        <f t="shared" si="533"/>
        <v>16.399999999999999</v>
      </c>
      <c r="CO188" s="443">
        <f t="shared" si="534"/>
        <v>35.4</v>
      </c>
      <c r="CP188" s="443"/>
      <c r="CQ188" s="217">
        <f t="shared" si="535"/>
        <v>0.4632768361581921</v>
      </c>
      <c r="CR188" s="172">
        <f t="shared" si="590"/>
        <v>22.214703389830511</v>
      </c>
      <c r="CS188" s="172">
        <f t="shared" si="536"/>
        <v>12.48</v>
      </c>
      <c r="CT188" s="217">
        <f t="shared" si="537"/>
        <v>1.3884189618644069</v>
      </c>
      <c r="CU188" s="217">
        <f t="shared" si="538"/>
        <v>16</v>
      </c>
      <c r="CV188" s="217"/>
      <c r="CW188" s="172">
        <f t="shared" si="539"/>
        <v>42.076358954568185</v>
      </c>
      <c r="CX188" s="536">
        <f t="shared" si="540"/>
        <v>16</v>
      </c>
      <c r="CY188" s="217">
        <f t="shared" si="541"/>
        <v>2.8356354300385109</v>
      </c>
      <c r="CZ188" s="217">
        <f t="shared" si="542"/>
        <v>1.7909276400243228</v>
      </c>
      <c r="DA188" s="217">
        <f t="shared" si="543"/>
        <v>2.0748551927111056</v>
      </c>
      <c r="DB188" s="197">
        <f t="shared" si="544"/>
        <v>350</v>
      </c>
      <c r="DC188" s="443">
        <f t="shared" si="545"/>
        <v>258.67981810359481</v>
      </c>
      <c r="DE188" s="217">
        <f t="shared" si="546"/>
        <v>2.0957761635727734</v>
      </c>
      <c r="DF188" s="173">
        <f t="shared" si="547"/>
        <v>1.5334947538337369</v>
      </c>
      <c r="DG188" s="173">
        <f t="shared" si="548"/>
        <v>0.5624258066085126</v>
      </c>
      <c r="DH188" s="173"/>
      <c r="DI188" s="173">
        <f t="shared" si="549"/>
        <v>0.73170731707317083</v>
      </c>
      <c r="DJ188" s="545">
        <f t="shared" si="550"/>
        <v>2132</v>
      </c>
      <c r="DK188" s="528">
        <f t="shared" si="551"/>
        <v>0.12804878048780488</v>
      </c>
      <c r="DM188" s="173">
        <f t="shared" si="552"/>
        <v>2.4680819620564813</v>
      </c>
      <c r="DN188" s="173">
        <f t="shared" si="553"/>
        <v>2.8356354300385109</v>
      </c>
      <c r="DO188" s="173">
        <f t="shared" si="554"/>
        <v>2.5597299481766749</v>
      </c>
      <c r="DQ188" s="545">
        <f t="shared" si="555"/>
        <v>780</v>
      </c>
      <c r="DR188" s="460">
        <f t="shared" si="556"/>
        <v>258.67981810359481</v>
      </c>
      <c r="DT188">
        <f t="shared" si="591"/>
        <v>780</v>
      </c>
      <c r="DU188">
        <f t="shared" si="592"/>
        <v>258.67981810359481</v>
      </c>
      <c r="DW188" s="5">
        <f t="shared" si="557"/>
        <v>3.865782832735428</v>
      </c>
      <c r="DX188" s="5">
        <f t="shared" si="558"/>
        <v>1.7909276400243228</v>
      </c>
      <c r="DY188" s="5">
        <f t="shared" si="559"/>
        <v>2.0748551927111052</v>
      </c>
      <c r="DZ188" s="5"/>
      <c r="EA188" s="173">
        <f t="shared" si="560"/>
        <v>0.46327683615819215</v>
      </c>
      <c r="EB188" s="173">
        <f t="shared" si="561"/>
        <v>12.480000000000002</v>
      </c>
      <c r="EC188" s="173">
        <f t="shared" si="562"/>
        <v>0.76097560975609746</v>
      </c>
      <c r="ED188" s="173">
        <f t="shared" si="563"/>
        <v>16.400000000000006</v>
      </c>
      <c r="EE188" s="460">
        <f t="shared" si="564"/>
        <v>8.7307722451185743</v>
      </c>
      <c r="EF188" s="5">
        <f t="shared" si="565"/>
        <v>1.1357102107471311</v>
      </c>
      <c r="EH188" s="173">
        <f t="shared" si="566"/>
        <v>1.1143203446122951</v>
      </c>
      <c r="EI188" s="173">
        <f t="shared" si="567"/>
        <v>1.1994024624563544</v>
      </c>
      <c r="EK188" s="528">
        <f t="shared" si="568"/>
        <v>2.4834196608337283E-2</v>
      </c>
      <c r="EL188" s="528">
        <f t="shared" si="569"/>
        <v>0.49336666666666668</v>
      </c>
      <c r="EM188" s="528">
        <f t="shared" si="570"/>
        <v>2.9748179081913406E-2</v>
      </c>
      <c r="EN188" s="528">
        <f t="shared" si="571"/>
        <v>0.15965234642094017</v>
      </c>
      <c r="EO188">
        <f t="shared" si="572"/>
        <v>8.5500000000000003E-3</v>
      </c>
      <c r="EP188" s="460">
        <f t="shared" si="573"/>
        <v>38.29817908191341</v>
      </c>
      <c r="EQ188" s="460"/>
      <c r="ER188" s="460">
        <f t="shared" si="593"/>
        <v>716.15138877785739</v>
      </c>
      <c r="ES188" s="528">
        <f t="shared" si="574"/>
        <v>0.54599999999999993</v>
      </c>
      <c r="EV188" s="460">
        <f t="shared" si="494"/>
        <v>545.99999999999989</v>
      </c>
      <c r="EW188" s="528">
        <f t="shared" si="575"/>
        <v>3.7251294912505922E-2</v>
      </c>
      <c r="EX188" s="528">
        <f t="shared" si="576"/>
        <v>4.3156988008390997E-2</v>
      </c>
      <c r="EY188" s="528">
        <f t="shared" si="577"/>
        <v>0.72862212829464423</v>
      </c>
      <c r="EZ188" s="528"/>
      <c r="FA188" s="528">
        <f t="shared" si="578"/>
        <v>1.0400000000000001E-2</v>
      </c>
      <c r="FB188" s="460">
        <f t="shared" si="579"/>
        <v>819.43041121554108</v>
      </c>
      <c r="FC188" s="173">
        <f t="shared" si="580"/>
        <v>2.0815817999933985</v>
      </c>
      <c r="FD188" s="5">
        <f t="shared" si="581"/>
        <v>12.48</v>
      </c>
      <c r="FE188" s="173">
        <f t="shared" si="582"/>
        <v>0.85704974716453253</v>
      </c>
      <c r="FF188" s="5">
        <f t="shared" si="583"/>
        <v>85.70497471645325</v>
      </c>
      <c r="FI188" s="562">
        <f t="shared" si="584"/>
        <v>-50</v>
      </c>
      <c r="FJ188">
        <f t="shared" si="585"/>
        <v>-50</v>
      </c>
      <c r="FL188">
        <f t="shared" si="586"/>
        <v>0.53672316384180785</v>
      </c>
    </row>
    <row r="189" spans="5:168">
      <c r="E189" s="170">
        <v>79</v>
      </c>
      <c r="F189" s="217">
        <f t="shared" si="587"/>
        <v>0.79</v>
      </c>
      <c r="G189" s="217"/>
      <c r="H189" s="217">
        <f t="shared" si="495"/>
        <v>12.64</v>
      </c>
      <c r="I189" s="541">
        <f t="shared" si="496"/>
        <v>18.924611543467627</v>
      </c>
      <c r="J189" s="172">
        <f t="shared" si="497"/>
        <v>16.445233073919422</v>
      </c>
      <c r="K189" s="172">
        <f t="shared" si="498"/>
        <v>35.369844617387045</v>
      </c>
      <c r="L189" s="443"/>
      <c r="M189" s="217">
        <f t="shared" si="499"/>
        <v>0.46493439247980489</v>
      </c>
      <c r="N189" s="172">
        <f t="shared" si="500"/>
        <v>22.205726118004424</v>
      </c>
      <c r="O189" s="172">
        <f t="shared" si="438"/>
        <v>12.64</v>
      </c>
      <c r="P189" s="217">
        <f t="shared" si="501"/>
        <v>1.3878578823752765</v>
      </c>
      <c r="Q189" s="217">
        <f t="shared" si="502"/>
        <v>16</v>
      </c>
      <c r="R189" s="217"/>
      <c r="S189" s="172">
        <f t="shared" si="503"/>
        <v>41.145605334306325</v>
      </c>
      <c r="T189" s="536">
        <f t="shared" si="504"/>
        <v>16</v>
      </c>
      <c r="U189" s="217">
        <f t="shared" si="505"/>
        <v>2.9529089102225017</v>
      </c>
      <c r="V189" s="217">
        <f t="shared" si="506"/>
        <v>1.8724245325342699</v>
      </c>
      <c r="W189" s="217">
        <f t="shared" si="507"/>
        <v>2.1547220865398629</v>
      </c>
      <c r="X189" s="197">
        <f t="shared" si="508"/>
        <v>350</v>
      </c>
      <c r="Y189" s="443">
        <f t="shared" si="509"/>
        <v>236.56619703885005</v>
      </c>
      <c r="AA189" s="217">
        <f t="shared" si="510"/>
        <v>2.0950025908357448</v>
      </c>
      <c r="AB189" s="173">
        <f t="shared" si="511"/>
        <v>1.5287123616325415</v>
      </c>
      <c r="AC189" s="173">
        <f t="shared" si="512"/>
        <v>0.56046486269599072</v>
      </c>
      <c r="AD189" s="173"/>
      <c r="AE189" s="173">
        <f t="shared" si="513"/>
        <v>0.72969473561495823</v>
      </c>
      <c r="AF189" s="545">
        <f t="shared" si="514"/>
        <v>2165.289021399391</v>
      </c>
      <c r="AG189" s="528">
        <f t="shared" si="515"/>
        <v>0.12769657873261769</v>
      </c>
      <c r="AI189" s="173">
        <f t="shared" si="516"/>
        <v>2.4872756303114287</v>
      </c>
      <c r="AJ189" s="173">
        <f t="shared" si="517"/>
        <v>2.9529089102225017</v>
      </c>
      <c r="AK189" s="173">
        <f t="shared" si="518"/>
        <v>2.6465991927574084</v>
      </c>
      <c r="AM189" s="545">
        <f t="shared" si="519"/>
        <v>790</v>
      </c>
      <c r="AN189" s="460">
        <f t="shared" si="520"/>
        <v>236.56619703885005</v>
      </c>
      <c r="AP189">
        <f t="shared" si="521"/>
        <v>790</v>
      </c>
      <c r="AQ189">
        <f t="shared" si="522"/>
        <v>236.56619703885005</v>
      </c>
      <c r="AS189" s="5">
        <f t="shared" si="439"/>
        <v>4.2271466190741327</v>
      </c>
      <c r="AT189" s="5">
        <f t="shared" si="523"/>
        <v>1.8724245325342699</v>
      </c>
      <c r="AU189" s="5">
        <f t="shared" si="478"/>
        <v>2.354722086539863</v>
      </c>
      <c r="AV189" s="5"/>
      <c r="AW189" s="173">
        <f t="shared" si="479"/>
        <v>0.44295235090387874</v>
      </c>
      <c r="AX189" s="173">
        <f t="shared" si="435"/>
        <v>12.376676492921796</v>
      </c>
      <c r="AY189" s="173">
        <f t="shared" si="436"/>
        <v>0.82245548321721695</v>
      </c>
      <c r="AZ189" s="173">
        <f t="shared" si="440"/>
        <v>15.048445472705321</v>
      </c>
      <c r="BA189" s="460">
        <f t="shared" si="594"/>
        <v>9.2450961293879583</v>
      </c>
      <c r="BB189" s="5">
        <f t="shared" si="595"/>
        <v>1.310625192380662</v>
      </c>
      <c r="BD189" s="173">
        <f t="shared" si="441"/>
        <v>1.1346657044792967</v>
      </c>
      <c r="BE189" s="173">
        <f t="shared" si="437"/>
        <v>1.2724349687779657</v>
      </c>
      <c r="BG189" s="528">
        <f t="shared" si="480"/>
        <v>2.5749325218429972E-2</v>
      </c>
      <c r="BH189" s="528">
        <f t="shared" si="524"/>
        <v>0.45091923274193768</v>
      </c>
      <c r="BI189" s="528">
        <f t="shared" si="525"/>
        <v>0.10296923781534016</v>
      </c>
      <c r="BJ189" s="528">
        <f t="shared" si="481"/>
        <v>0.14575559244549369</v>
      </c>
      <c r="BK189">
        <f t="shared" si="482"/>
        <v>8.5160751945604317E-3</v>
      </c>
      <c r="BL189" s="460">
        <f t="shared" si="588"/>
        <v>111.48531300990059</v>
      </c>
      <c r="BM189" s="528">
        <f t="shared" si="526"/>
        <v>0.63325072124970183</v>
      </c>
      <c r="BN189" s="460">
        <f t="shared" si="527"/>
        <v>633.25072124970188</v>
      </c>
      <c r="BO189" s="528">
        <f t="shared" si="483"/>
        <v>0.55299999999999994</v>
      </c>
      <c r="BR189" s="460">
        <f t="shared" si="484"/>
        <v>552.99999999999989</v>
      </c>
      <c r="BS189" s="528">
        <f t="shared" si="485"/>
        <v>3.8623987827644958E-2</v>
      </c>
      <c r="BT189" s="528">
        <f t="shared" si="486"/>
        <v>4.8572722493069473E-2</v>
      </c>
      <c r="BU189" s="528">
        <f t="shared" si="487"/>
        <v>0.64487694527396922</v>
      </c>
      <c r="BV189" s="528"/>
      <c r="BW189" s="528">
        <f t="shared" si="488"/>
        <v>1.031389707743483E-2</v>
      </c>
      <c r="BX189" s="460">
        <f t="shared" si="489"/>
        <v>742.38755267211843</v>
      </c>
      <c r="BY189" s="173">
        <f t="shared" si="490"/>
        <v>2.0292970160878805</v>
      </c>
      <c r="BZ189" s="5">
        <f t="shared" si="491"/>
        <v>12.64</v>
      </c>
      <c r="CA189" s="173">
        <f t="shared" si="492"/>
        <v>0.86166364933082051</v>
      </c>
      <c r="CB189" s="5">
        <f t="shared" si="493"/>
        <v>86.16636493308205</v>
      </c>
      <c r="CE189" s="562">
        <f t="shared" si="528"/>
        <v>-50</v>
      </c>
      <c r="CF189">
        <f t="shared" si="529"/>
        <v>-50</v>
      </c>
      <c r="CG189" s="173">
        <f t="shared" si="530"/>
        <v>0.5239528943404913</v>
      </c>
      <c r="CI189" s="170">
        <v>79</v>
      </c>
      <c r="CJ189" s="217">
        <f t="shared" si="589"/>
        <v>0.79</v>
      </c>
      <c r="CK189" s="217"/>
      <c r="CL189" s="217">
        <f t="shared" si="531"/>
        <v>12.64</v>
      </c>
      <c r="CM189" s="541">
        <f t="shared" si="532"/>
        <v>19</v>
      </c>
      <c r="CN189" s="443">
        <f t="shared" si="533"/>
        <v>16.399999999999999</v>
      </c>
      <c r="CO189" s="443">
        <f t="shared" si="534"/>
        <v>35.4</v>
      </c>
      <c r="CP189" s="443"/>
      <c r="CQ189" s="217">
        <f t="shared" si="535"/>
        <v>0.4632768361581921</v>
      </c>
      <c r="CR189" s="172">
        <f t="shared" si="590"/>
        <v>22.214703389830511</v>
      </c>
      <c r="CS189" s="172">
        <f t="shared" si="536"/>
        <v>12.64</v>
      </c>
      <c r="CT189" s="217">
        <f t="shared" si="537"/>
        <v>1.3884189618644069</v>
      </c>
      <c r="CU189" s="217">
        <f t="shared" si="538"/>
        <v>16</v>
      </c>
      <c r="CV189" s="217"/>
      <c r="CW189" s="172">
        <f t="shared" si="539"/>
        <v>41.308798030525409</v>
      </c>
      <c r="CX189" s="536">
        <f t="shared" si="540"/>
        <v>16</v>
      </c>
      <c r="CY189" s="217">
        <f t="shared" si="541"/>
        <v>2.8719897304236199</v>
      </c>
      <c r="CZ189" s="217">
        <f t="shared" si="542"/>
        <v>1.8138882507938652</v>
      </c>
      <c r="DA189" s="217">
        <f t="shared" si="543"/>
        <v>2.1014559003099662</v>
      </c>
      <c r="DB189" s="197">
        <f t="shared" si="544"/>
        <v>350</v>
      </c>
      <c r="DC189" s="443">
        <f t="shared" si="545"/>
        <v>255.40539002633412</v>
      </c>
      <c r="DE189" s="217">
        <f t="shared" si="546"/>
        <v>2.0957761635727734</v>
      </c>
      <c r="DF189" s="173">
        <f t="shared" si="547"/>
        <v>1.5334947538337369</v>
      </c>
      <c r="DG189" s="173">
        <f t="shared" si="548"/>
        <v>0.5624258066085126</v>
      </c>
      <c r="DH189" s="173"/>
      <c r="DI189" s="173">
        <f t="shared" si="549"/>
        <v>0.73170731707317083</v>
      </c>
      <c r="DJ189" s="545">
        <f t="shared" si="550"/>
        <v>2159.333333333333</v>
      </c>
      <c r="DK189" s="528">
        <f t="shared" si="551"/>
        <v>0.12804878048780488</v>
      </c>
      <c r="DM189" s="173">
        <f t="shared" si="552"/>
        <v>2.4838526142917194</v>
      </c>
      <c r="DN189" s="173">
        <f t="shared" si="553"/>
        <v>2.8719897304236199</v>
      </c>
      <c r="DO189" s="173">
        <f t="shared" si="554"/>
        <v>2.5866590595730519</v>
      </c>
      <c r="DQ189" s="545">
        <f t="shared" si="555"/>
        <v>790</v>
      </c>
      <c r="DR189" s="460">
        <f t="shared" si="556"/>
        <v>255.40539002633412</v>
      </c>
      <c r="DT189">
        <f t="shared" si="591"/>
        <v>790</v>
      </c>
      <c r="DU189">
        <f t="shared" si="592"/>
        <v>255.40539002633412</v>
      </c>
      <c r="DW189" s="5">
        <f t="shared" si="557"/>
        <v>3.9153441511038309</v>
      </c>
      <c r="DX189" s="5">
        <f t="shared" si="558"/>
        <v>1.8138882507938652</v>
      </c>
      <c r="DY189" s="5">
        <f t="shared" si="559"/>
        <v>2.1014559003099658</v>
      </c>
      <c r="DZ189" s="5"/>
      <c r="EA189" s="173">
        <f t="shared" si="560"/>
        <v>0.4632768361581921</v>
      </c>
      <c r="EB189" s="173">
        <f t="shared" si="561"/>
        <v>12.64</v>
      </c>
      <c r="EC189" s="173">
        <f t="shared" si="562"/>
        <v>0.77073170731707319</v>
      </c>
      <c r="ED189" s="173">
        <f t="shared" si="563"/>
        <v>16.399999999999999</v>
      </c>
      <c r="EE189" s="460">
        <f t="shared" si="564"/>
        <v>8.9560732382947084</v>
      </c>
      <c r="EF189" s="5">
        <f t="shared" si="565"/>
        <v>1.1650176570139459</v>
      </c>
      <c r="EH189" s="173">
        <f t="shared" si="566"/>
        <v>1.1286065028765551</v>
      </c>
      <c r="EI189" s="173">
        <f t="shared" si="567"/>
        <v>1.2147794171032307</v>
      </c>
      <c r="EK189" s="528">
        <f t="shared" si="568"/>
        <v>2.5475052766704951E-2</v>
      </c>
      <c r="EL189" s="528">
        <f t="shared" si="569"/>
        <v>0.49336666666666673</v>
      </c>
      <c r="EM189" s="528">
        <f t="shared" si="570"/>
        <v>2.9371619853028427E-2</v>
      </c>
      <c r="EN189" s="528">
        <f t="shared" si="571"/>
        <v>0.15763143064345989</v>
      </c>
      <c r="EO189">
        <f t="shared" si="572"/>
        <v>8.5500000000000003E-3</v>
      </c>
      <c r="EP189" s="460">
        <f t="shared" si="573"/>
        <v>37.921619853028432</v>
      </c>
      <c r="EQ189" s="460"/>
      <c r="ER189" s="460">
        <f t="shared" si="593"/>
        <v>714.39476992985988</v>
      </c>
      <c r="ES189" s="528">
        <f t="shared" si="574"/>
        <v>0.55299999999999994</v>
      </c>
      <c r="EV189" s="460">
        <f t="shared" si="494"/>
        <v>552.99999999999989</v>
      </c>
      <c r="EW189" s="528">
        <f t="shared" si="575"/>
        <v>3.8212579150057428E-2</v>
      </c>
      <c r="EX189" s="528">
        <f t="shared" si="576"/>
        <v>4.4270670966529944E-2</v>
      </c>
      <c r="EY189" s="528">
        <f t="shared" si="577"/>
        <v>0.72862212829464423</v>
      </c>
      <c r="EZ189" s="528"/>
      <c r="FA189" s="528">
        <f t="shared" si="578"/>
        <v>1.0533333333333336E-2</v>
      </c>
      <c r="FB189" s="460">
        <f t="shared" si="579"/>
        <v>821.63871174456494</v>
      </c>
      <c r="FC189" s="173">
        <f t="shared" si="580"/>
        <v>2.0890334816744249</v>
      </c>
      <c r="FD189" s="5">
        <f t="shared" si="581"/>
        <v>12.64</v>
      </c>
      <c r="FE189" s="173">
        <f t="shared" si="582"/>
        <v>0.85816900448535471</v>
      </c>
      <c r="FF189" s="5">
        <f t="shared" si="583"/>
        <v>85.816900448535478</v>
      </c>
      <c r="FI189" s="562">
        <f t="shared" si="584"/>
        <v>-50</v>
      </c>
      <c r="FJ189">
        <f t="shared" si="585"/>
        <v>-50</v>
      </c>
      <c r="FL189">
        <f t="shared" si="586"/>
        <v>0.53672316384180796</v>
      </c>
    </row>
    <row r="190" spans="5:168">
      <c r="E190" s="170">
        <v>80</v>
      </c>
      <c r="F190" s="217">
        <f t="shared" si="587"/>
        <v>0.8</v>
      </c>
      <c r="G190" s="217"/>
      <c r="H190" s="217">
        <f t="shared" si="495"/>
        <v>12.8</v>
      </c>
      <c r="I190" s="541">
        <f t="shared" si="496"/>
        <v>18.923680510831471</v>
      </c>
      <c r="J190" s="172">
        <f t="shared" si="497"/>
        <v>16.445791693501118</v>
      </c>
      <c r="K190" s="172">
        <f t="shared" si="498"/>
        <v>35.369472204332588</v>
      </c>
      <c r="L190" s="443"/>
      <c r="M190" s="217">
        <f t="shared" si="499"/>
        <v>0.46495508730012175</v>
      </c>
      <c r="N190" s="172">
        <f t="shared" si="500"/>
        <v>22.205622021077037</v>
      </c>
      <c r="O190" s="172">
        <f t="shared" si="438"/>
        <v>12.8</v>
      </c>
      <c r="P190" s="217">
        <f t="shared" si="501"/>
        <v>1.3878513763173148</v>
      </c>
      <c r="Q190" s="217">
        <f t="shared" si="502"/>
        <v>16</v>
      </c>
      <c r="R190" s="217"/>
      <c r="S190" s="172">
        <f t="shared" si="503"/>
        <v>40.398354846200789</v>
      </c>
      <c r="T190" s="536">
        <f t="shared" si="504"/>
        <v>16</v>
      </c>
      <c r="U190" s="217">
        <f t="shared" si="505"/>
        <v>2.9904031643367568</v>
      </c>
      <c r="V190" s="217">
        <f t="shared" si="506"/>
        <v>1.8962927402785863</v>
      </c>
      <c r="W190" s="217">
        <f t="shared" si="507"/>
        <v>2.1820073269091504</v>
      </c>
      <c r="X190" s="197">
        <f t="shared" si="508"/>
        <v>350</v>
      </c>
      <c r="Y190" s="443">
        <f t="shared" si="509"/>
        <v>233.73769588287243</v>
      </c>
      <c r="AA190" s="217">
        <f t="shared" si="510"/>
        <v>2.094992742124008</v>
      </c>
      <c r="AB190" s="173">
        <f t="shared" si="511"/>
        <v>1.5286532490511013</v>
      </c>
      <c r="AC190" s="173">
        <f t="shared" si="512"/>
        <v>0.56044055584760966</v>
      </c>
      <c r="AD190" s="173"/>
      <c r="AE190" s="173">
        <f t="shared" si="513"/>
        <v>0.72966994983537581</v>
      </c>
      <c r="AF190" s="545">
        <f t="shared" si="514"/>
        <v>2192.772225800149</v>
      </c>
      <c r="AG190" s="528">
        <f t="shared" si="515"/>
        <v>0.12769224122119074</v>
      </c>
      <c r="AI190" s="173">
        <f t="shared" si="516"/>
        <v>2.5030108873686787</v>
      </c>
      <c r="AJ190" s="173">
        <f t="shared" si="517"/>
        <v>2.9904031643367568</v>
      </c>
      <c r="AK190" s="173">
        <f t="shared" si="518"/>
        <v>2.6743727143235239</v>
      </c>
      <c r="AM190" s="545">
        <f t="shared" si="519"/>
        <v>800</v>
      </c>
      <c r="AN190" s="460">
        <f t="shared" si="520"/>
        <v>233.73769588287243</v>
      </c>
      <c r="AP190">
        <f t="shared" si="521"/>
        <v>800</v>
      </c>
      <c r="AQ190">
        <f t="shared" si="522"/>
        <v>233.73769588287243</v>
      </c>
      <c r="AS190" s="5">
        <f t="shared" si="439"/>
        <v>4.2783000671877369</v>
      </c>
      <c r="AT190" s="5">
        <f t="shared" si="523"/>
        <v>1.8962927402785863</v>
      </c>
      <c r="AU190" s="5">
        <f t="shared" si="478"/>
        <v>2.3820073269091506</v>
      </c>
      <c r="AV190" s="5"/>
      <c r="AW190" s="173">
        <f t="shared" si="479"/>
        <v>0.44323509583213505</v>
      </c>
      <c r="AX190" s="173">
        <f t="shared" si="435"/>
        <v>12.541211618875746</v>
      </c>
      <c r="AY190" s="173">
        <f t="shared" si="436"/>
        <v>0.83247576560761727</v>
      </c>
      <c r="AZ190" s="173">
        <f t="shared" si="440"/>
        <v>15.064957007753875</v>
      </c>
      <c r="BA190" s="460">
        <f t="shared" si="594"/>
        <v>9.4814637013929328</v>
      </c>
      <c r="BB190" s="5">
        <f t="shared" si="595"/>
        <v>1.3426604903393196</v>
      </c>
      <c r="BD190" s="173">
        <f t="shared" si="441"/>
        <v>1.1494396834779865</v>
      </c>
      <c r="BE190" s="173">
        <f t="shared" si="437"/>
        <v>1.2882645079606601</v>
      </c>
      <c r="BG190" s="528">
        <f t="shared" si="480"/>
        <v>2.6424231719079479E-2</v>
      </c>
      <c r="BH190" s="528">
        <f t="shared" si="524"/>
        <v>0.45118011450810991</v>
      </c>
      <c r="BI190" s="528">
        <f t="shared" si="525"/>
        <v>0.10173308204518343</v>
      </c>
      <c r="BJ190" s="528">
        <f t="shared" si="481"/>
        <v>0.14400983465412312</v>
      </c>
      <c r="BK190">
        <f t="shared" si="482"/>
        <v>8.5156562298741613E-3</v>
      </c>
      <c r="BL190" s="460">
        <f t="shared" si="588"/>
        <v>110.24873827505759</v>
      </c>
      <c r="BM190" s="528">
        <f t="shared" si="526"/>
        <v>0.63272119860945764</v>
      </c>
      <c r="BN190" s="460">
        <f t="shared" si="527"/>
        <v>632.72119860945759</v>
      </c>
      <c r="BO190" s="528">
        <f t="shared" si="483"/>
        <v>0.55999999999999994</v>
      </c>
      <c r="BR190" s="460">
        <f t="shared" si="484"/>
        <v>559.99999999999989</v>
      </c>
      <c r="BS190" s="528">
        <f t="shared" si="485"/>
        <v>3.9636347578619217E-2</v>
      </c>
      <c r="BT190" s="528">
        <f t="shared" si="486"/>
        <v>4.9788763274133646E-2</v>
      </c>
      <c r="BU190" s="528">
        <f t="shared" si="487"/>
        <v>0.64582709250577208</v>
      </c>
      <c r="BV190" s="528"/>
      <c r="BW190" s="528">
        <f t="shared" si="488"/>
        <v>1.0451009682396454E-2</v>
      </c>
      <c r="BX190" s="460">
        <f t="shared" si="489"/>
        <v>745.70321304092136</v>
      </c>
      <c r="BY190" s="173">
        <f t="shared" si="490"/>
        <v>2.0375661321972913</v>
      </c>
      <c r="BZ190" s="5">
        <f t="shared" si="491"/>
        <v>12.8</v>
      </c>
      <c r="CA190" s="173">
        <f t="shared" si="492"/>
        <v>0.86267517771827795</v>
      </c>
      <c r="CB190" s="5">
        <f t="shared" si="493"/>
        <v>86.267517771827798</v>
      </c>
      <c r="CE190" s="562">
        <f t="shared" si="528"/>
        <v>-50</v>
      </c>
      <c r="CF190">
        <f t="shared" si="529"/>
        <v>-50</v>
      </c>
      <c r="CG190" s="173">
        <f t="shared" si="530"/>
        <v>0.52411252270925768</v>
      </c>
      <c r="CI190" s="170">
        <v>80</v>
      </c>
      <c r="CJ190" s="217">
        <f t="shared" si="589"/>
        <v>0.8</v>
      </c>
      <c r="CK190" s="217"/>
      <c r="CL190" s="217">
        <f t="shared" si="531"/>
        <v>12.8</v>
      </c>
      <c r="CM190" s="541">
        <f t="shared" si="532"/>
        <v>19</v>
      </c>
      <c r="CN190" s="443">
        <f t="shared" si="533"/>
        <v>16.399999999999999</v>
      </c>
      <c r="CO190" s="443">
        <f t="shared" si="534"/>
        <v>35.4</v>
      </c>
      <c r="CP190" s="443"/>
      <c r="CQ190" s="217">
        <f t="shared" si="535"/>
        <v>0.4632768361581921</v>
      </c>
      <c r="CR190" s="172">
        <f t="shared" si="590"/>
        <v>22.214703389830511</v>
      </c>
      <c r="CS190" s="172">
        <f t="shared" si="536"/>
        <v>12.8</v>
      </c>
      <c r="CT190" s="217">
        <f t="shared" si="537"/>
        <v>1.3884189618644069</v>
      </c>
      <c r="CU190" s="217">
        <f t="shared" si="538"/>
        <v>16</v>
      </c>
      <c r="CV190" s="217"/>
      <c r="CW190" s="172">
        <f t="shared" si="539"/>
        <v>40.560544408886102</v>
      </c>
      <c r="CX190" s="536">
        <f t="shared" si="540"/>
        <v>16</v>
      </c>
      <c r="CY190" s="217">
        <f t="shared" si="541"/>
        <v>2.9083440308087289</v>
      </c>
      <c r="CZ190" s="217">
        <f t="shared" si="542"/>
        <v>1.8368488615634075</v>
      </c>
      <c r="DA190" s="217">
        <f t="shared" si="543"/>
        <v>2.1280566079088263</v>
      </c>
      <c r="DB190" s="197">
        <f t="shared" si="544"/>
        <v>350</v>
      </c>
      <c r="DC190" s="443">
        <f t="shared" si="545"/>
        <v>252.21282265100493</v>
      </c>
      <c r="DE190" s="217">
        <f t="shared" si="546"/>
        <v>2.0957761635727734</v>
      </c>
      <c r="DF190" s="173">
        <f t="shared" si="547"/>
        <v>1.5334947538337369</v>
      </c>
      <c r="DG190" s="173">
        <f t="shared" si="548"/>
        <v>0.5624258066085126</v>
      </c>
      <c r="DH190" s="173"/>
      <c r="DI190" s="173">
        <f t="shared" si="549"/>
        <v>0.73170731707317083</v>
      </c>
      <c r="DJ190" s="545">
        <f t="shared" si="550"/>
        <v>2186.6666666666665</v>
      </c>
      <c r="DK190" s="528">
        <f t="shared" si="551"/>
        <v>0.12804878048780488</v>
      </c>
      <c r="DM190" s="173">
        <f t="shared" si="552"/>
        <v>2.4995237641636954</v>
      </c>
      <c r="DN190" s="173">
        <f t="shared" si="553"/>
        <v>2.9083440308087289</v>
      </c>
      <c r="DO190" s="173">
        <f t="shared" si="554"/>
        <v>2.6135881709694289</v>
      </c>
      <c r="DQ190" s="545">
        <f t="shared" si="555"/>
        <v>800</v>
      </c>
      <c r="DR190" s="460">
        <f t="shared" si="556"/>
        <v>252.21282265100493</v>
      </c>
      <c r="DT190">
        <f t="shared" si="591"/>
        <v>800</v>
      </c>
      <c r="DU190">
        <f t="shared" si="592"/>
        <v>252.21282265100493</v>
      </c>
      <c r="DW190" s="5">
        <f t="shared" si="557"/>
        <v>3.9649054694722339</v>
      </c>
      <c r="DX190" s="5">
        <f t="shared" si="558"/>
        <v>1.8368488615634075</v>
      </c>
      <c r="DY190" s="5">
        <f t="shared" si="559"/>
        <v>2.1280566079088263</v>
      </c>
      <c r="DZ190" s="5"/>
      <c r="EA190" s="173">
        <f t="shared" si="560"/>
        <v>0.46327683615819204</v>
      </c>
      <c r="EB190" s="173">
        <f t="shared" si="561"/>
        <v>12.799999999999997</v>
      </c>
      <c r="EC190" s="173">
        <f t="shared" si="562"/>
        <v>0.78048780487804881</v>
      </c>
      <c r="ED190" s="173">
        <f t="shared" si="563"/>
        <v>16.399999999999995</v>
      </c>
      <c r="EE190" s="460">
        <f t="shared" si="564"/>
        <v>9.184244307817039</v>
      </c>
      <c r="EF190" s="5">
        <f t="shared" si="565"/>
        <v>1.1946984465453059</v>
      </c>
      <c r="EH190" s="173">
        <f t="shared" si="566"/>
        <v>1.1428926611408152</v>
      </c>
      <c r="EI190" s="173">
        <f t="shared" si="567"/>
        <v>1.2301563717501069</v>
      </c>
      <c r="EK190" s="528">
        <f t="shared" si="568"/>
        <v>2.6124072697790685E-2</v>
      </c>
      <c r="EL190" s="528">
        <f t="shared" si="569"/>
        <v>0.49336666666666668</v>
      </c>
      <c r="EM190" s="528">
        <f t="shared" si="570"/>
        <v>2.900447460486557E-2</v>
      </c>
      <c r="EN190" s="528">
        <f t="shared" si="571"/>
        <v>0.15566103776041665</v>
      </c>
      <c r="EO190">
        <f t="shared" si="572"/>
        <v>8.5500000000000003E-3</v>
      </c>
      <c r="EP190" s="460">
        <f t="shared" si="573"/>
        <v>37.554474604865568</v>
      </c>
      <c r="EQ190" s="460"/>
      <c r="ER190" s="460">
        <f t="shared" si="593"/>
        <v>712.70625172973939</v>
      </c>
      <c r="ES190" s="528">
        <f t="shared" si="574"/>
        <v>0.55999999999999994</v>
      </c>
      <c r="EV190" s="460">
        <f t="shared" si="494"/>
        <v>559.99999999999989</v>
      </c>
      <c r="EW190" s="528">
        <f t="shared" si="575"/>
        <v>3.9186109046686027E-2</v>
      </c>
      <c r="EX190" s="528">
        <f t="shared" si="576"/>
        <v>4.5398540968721618E-2</v>
      </c>
      <c r="EY190" s="528">
        <f t="shared" si="577"/>
        <v>0.72862212829464412</v>
      </c>
      <c r="EZ190" s="528"/>
      <c r="FA190" s="528">
        <f t="shared" si="578"/>
        <v>1.0666666666666666E-2</v>
      </c>
      <c r="FB190" s="460">
        <f t="shared" si="579"/>
        <v>823.87344497671847</v>
      </c>
      <c r="FC190" s="173">
        <f t="shared" si="580"/>
        <v>2.0965796967064581</v>
      </c>
      <c r="FD190" s="5">
        <f t="shared" si="581"/>
        <v>12.8</v>
      </c>
      <c r="FE190" s="173">
        <f t="shared" si="582"/>
        <v>0.85925764575542141</v>
      </c>
      <c r="FF190" s="5">
        <f t="shared" si="583"/>
        <v>85.925764575542146</v>
      </c>
      <c r="FI190" s="562">
        <f t="shared" si="584"/>
        <v>-50</v>
      </c>
      <c r="FJ190">
        <f t="shared" si="585"/>
        <v>-50</v>
      </c>
      <c r="FL190">
        <f t="shared" si="586"/>
        <v>0.53672316384180796</v>
      </c>
    </row>
    <row r="191" spans="5:168">
      <c r="E191" s="170">
        <v>81</v>
      </c>
      <c r="F191" s="217">
        <f t="shared" si="587"/>
        <v>0.81</v>
      </c>
      <c r="G191" s="217"/>
      <c r="H191" s="217">
        <f t="shared" si="495"/>
        <v>12.96</v>
      </c>
      <c r="I191" s="541">
        <f t="shared" si="496"/>
        <v>18.922749464385689</v>
      </c>
      <c r="J191" s="172">
        <f t="shared" si="497"/>
        <v>16.446350321368584</v>
      </c>
      <c r="K191" s="172">
        <f t="shared" si="498"/>
        <v>35.369099785754273</v>
      </c>
      <c r="L191" s="443"/>
      <c r="M191" s="217">
        <f t="shared" si="499"/>
        <v>0.46497578273742557</v>
      </c>
      <c r="N191" s="172">
        <f t="shared" si="500"/>
        <v>22.205517840156329</v>
      </c>
      <c r="O191" s="172">
        <f t="shared" si="438"/>
        <v>12.96</v>
      </c>
      <c r="P191" s="217">
        <f t="shared" si="501"/>
        <v>1.3878448650097706</v>
      </c>
      <c r="Q191" s="217">
        <f t="shared" si="502"/>
        <v>16</v>
      </c>
      <c r="R191" s="217"/>
      <c r="S191" s="172">
        <f t="shared" si="503"/>
        <v>39.669696620419579</v>
      </c>
      <c r="T191" s="536">
        <f t="shared" si="504"/>
        <v>16</v>
      </c>
      <c r="U191" s="217">
        <f t="shared" si="505"/>
        <v>3.0279003225099834</v>
      </c>
      <c r="V191" s="217">
        <f t="shared" si="506"/>
        <v>1.9201651397702622</v>
      </c>
      <c r="W191" s="217">
        <f t="shared" si="507"/>
        <v>2.2092928315475771</v>
      </c>
      <c r="X191" s="197">
        <f t="shared" si="508"/>
        <v>350</v>
      </c>
      <c r="Y191" s="443">
        <f t="shared" si="509"/>
        <v>230.9757957289076</v>
      </c>
      <c r="AA191" s="217">
        <f t="shared" si="510"/>
        <v>2.0949828860563757</v>
      </c>
      <c r="AB191" s="173">
        <f t="shared" si="511"/>
        <v>1.5285941343480087</v>
      </c>
      <c r="AC191" s="173">
        <f t="shared" si="512"/>
        <v>0.56041624645741683</v>
      </c>
      <c r="AD191" s="173"/>
      <c r="AE191" s="173">
        <f t="shared" si="513"/>
        <v>0.7296451653719499</v>
      </c>
      <c r="AF191" s="545">
        <f t="shared" si="514"/>
        <v>2220.2572933847587</v>
      </c>
      <c r="AG191" s="528">
        <f t="shared" si="515"/>
        <v>0.12768790394009125</v>
      </c>
      <c r="AI191" s="173">
        <f t="shared" si="516"/>
        <v>2.5186488970901832</v>
      </c>
      <c r="AJ191" s="173">
        <f t="shared" si="517"/>
        <v>3.0279003225099834</v>
      </c>
      <c r="AK191" s="173">
        <f t="shared" si="518"/>
        <v>2.7021483870444323</v>
      </c>
      <c r="AM191" s="545">
        <f t="shared" si="519"/>
        <v>810</v>
      </c>
      <c r="AN191" s="460">
        <f t="shared" si="520"/>
        <v>230.9757957289076</v>
      </c>
      <c r="AP191">
        <f t="shared" si="521"/>
        <v>810</v>
      </c>
      <c r="AQ191">
        <f t="shared" si="522"/>
        <v>230.9757957289076</v>
      </c>
      <c r="AS191" s="5">
        <f t="shared" si="439"/>
        <v>4.32945797131784</v>
      </c>
      <c r="AT191" s="5">
        <f t="shared" si="523"/>
        <v>1.9201651397702622</v>
      </c>
      <c r="AU191" s="5">
        <f t="shared" si="478"/>
        <v>2.4092928315475781</v>
      </c>
      <c r="AV191" s="5"/>
      <c r="AW191" s="173">
        <f t="shared" si="479"/>
        <v>0.44351167108934531</v>
      </c>
      <c r="AX191" s="173">
        <f t="shared" si="435"/>
        <v>12.705766528458113</v>
      </c>
      <c r="AY191" s="173">
        <f t="shared" si="436"/>
        <v>0.84249559529080653</v>
      </c>
      <c r="AZ191" s="173">
        <f t="shared" si="440"/>
        <v>15.081107366587986</v>
      </c>
      <c r="BA191" s="460">
        <f t="shared" si="594"/>
        <v>9.7208360200869528</v>
      </c>
      <c r="BB191" s="5">
        <f t="shared" si="595"/>
        <v>1.3750836066231547</v>
      </c>
      <c r="BD191" s="173">
        <f t="shared" si="441"/>
        <v>1.1642157580201811</v>
      </c>
      <c r="BE191" s="173">
        <f t="shared" si="437"/>
        <v>1.3040942411483083</v>
      </c>
      <c r="BG191" s="528">
        <f t="shared" si="480"/>
        <v>2.7107966624450096E-2</v>
      </c>
      <c r="BH191" s="528">
        <f t="shared" si="524"/>
        <v>0.45143468207274029</v>
      </c>
      <c r="BI191" s="528">
        <f t="shared" si="525"/>
        <v>0.10052603364305063</v>
      </c>
      <c r="BJ191" s="528">
        <f t="shared" si="481"/>
        <v>0.14230518341130272</v>
      </c>
      <c r="BK191">
        <f t="shared" si="482"/>
        <v>8.5152372589735598E-3</v>
      </c>
      <c r="BL191" s="460">
        <f t="shared" si="588"/>
        <v>109.04127090202418</v>
      </c>
      <c r="BM191" s="528">
        <f t="shared" si="526"/>
        <v>0.63223914239187629</v>
      </c>
      <c r="BN191" s="460">
        <f t="shared" si="527"/>
        <v>632.23914239187627</v>
      </c>
      <c r="BO191" s="528">
        <f t="shared" si="483"/>
        <v>0.56699999999999995</v>
      </c>
      <c r="BR191" s="460">
        <f t="shared" si="484"/>
        <v>567</v>
      </c>
      <c r="BS191" s="528">
        <f t="shared" si="485"/>
        <v>4.0661949936675143E-2</v>
      </c>
      <c r="BT191" s="528">
        <f t="shared" si="486"/>
        <v>5.101985369388546E-2</v>
      </c>
      <c r="BU191" s="528">
        <f t="shared" si="487"/>
        <v>0.64675548388155923</v>
      </c>
      <c r="BV191" s="528"/>
      <c r="BW191" s="528">
        <f t="shared" si="488"/>
        <v>1.0588138773715094E-2</v>
      </c>
      <c r="BX191" s="460">
        <f t="shared" si="489"/>
        <v>749.02542628583501</v>
      </c>
      <c r="BY191" s="173">
        <f t="shared" si="490"/>
        <v>2.0459145292963519</v>
      </c>
      <c r="BZ191" s="5">
        <f t="shared" si="491"/>
        <v>12.96</v>
      </c>
      <c r="CA191" s="173">
        <f t="shared" si="492"/>
        <v>0.86365945738914673</v>
      </c>
      <c r="CB191" s="5">
        <f t="shared" si="493"/>
        <v>86.365945738914675</v>
      </c>
      <c r="CE191" s="562">
        <f t="shared" si="528"/>
        <v>-50</v>
      </c>
      <c r="CF191">
        <f t="shared" si="529"/>
        <v>-50</v>
      </c>
      <c r="CG191" s="173">
        <f t="shared" si="530"/>
        <v>0.52426820963682008</v>
      </c>
      <c r="CI191" s="170">
        <v>81</v>
      </c>
      <c r="CJ191" s="217">
        <f t="shared" si="589"/>
        <v>0.81</v>
      </c>
      <c r="CK191" s="217"/>
      <c r="CL191" s="217">
        <f t="shared" si="531"/>
        <v>12.96</v>
      </c>
      <c r="CM191" s="541">
        <f t="shared" si="532"/>
        <v>19</v>
      </c>
      <c r="CN191" s="443">
        <f t="shared" si="533"/>
        <v>16.399999999999999</v>
      </c>
      <c r="CO191" s="443">
        <f t="shared" si="534"/>
        <v>35.4</v>
      </c>
      <c r="CP191" s="443"/>
      <c r="CQ191" s="217">
        <f t="shared" si="535"/>
        <v>0.4632768361581921</v>
      </c>
      <c r="CR191" s="172">
        <f t="shared" si="590"/>
        <v>22.214703389830511</v>
      </c>
      <c r="CS191" s="172">
        <f t="shared" si="536"/>
        <v>12.96</v>
      </c>
      <c r="CT191" s="217">
        <f t="shared" si="537"/>
        <v>1.3884189618644069</v>
      </c>
      <c r="CU191" s="217">
        <f t="shared" si="538"/>
        <v>16</v>
      </c>
      <c r="CV191" s="217"/>
      <c r="CW191" s="172">
        <f t="shared" si="539"/>
        <v>39.830884899346088</v>
      </c>
      <c r="CX191" s="536">
        <f t="shared" si="540"/>
        <v>16</v>
      </c>
      <c r="CY191" s="217">
        <f t="shared" si="541"/>
        <v>2.9446983311938384</v>
      </c>
      <c r="CZ191" s="217">
        <f t="shared" si="542"/>
        <v>1.8598094723329504</v>
      </c>
      <c r="DA191" s="217">
        <f t="shared" si="543"/>
        <v>2.1546573155076869</v>
      </c>
      <c r="DB191" s="197">
        <f t="shared" si="544"/>
        <v>350</v>
      </c>
      <c r="DC191" s="443">
        <f t="shared" si="545"/>
        <v>249.0990840997579</v>
      </c>
      <c r="DE191" s="217">
        <f t="shared" si="546"/>
        <v>2.0957761635727734</v>
      </c>
      <c r="DF191" s="173">
        <f t="shared" si="547"/>
        <v>1.5334947538337369</v>
      </c>
      <c r="DG191" s="173">
        <f t="shared" si="548"/>
        <v>0.5624258066085126</v>
      </c>
      <c r="DH191" s="173"/>
      <c r="DI191" s="173">
        <f t="shared" si="549"/>
        <v>0.73170731707317083</v>
      </c>
      <c r="DJ191" s="545">
        <f t="shared" si="550"/>
        <v>2214</v>
      </c>
      <c r="DK191" s="528">
        <f t="shared" si="551"/>
        <v>0.12804878048780488</v>
      </c>
      <c r="DM191" s="173">
        <f t="shared" si="552"/>
        <v>2.5150972716207787</v>
      </c>
      <c r="DN191" s="173">
        <f t="shared" si="553"/>
        <v>2.9446983311938384</v>
      </c>
      <c r="DO191" s="173">
        <f t="shared" si="554"/>
        <v>2.6405172823658063</v>
      </c>
      <c r="DQ191" s="545">
        <f t="shared" si="555"/>
        <v>810</v>
      </c>
      <c r="DR191" s="460">
        <f t="shared" si="556"/>
        <v>249.0990840997579</v>
      </c>
      <c r="DT191">
        <f t="shared" si="591"/>
        <v>810</v>
      </c>
      <c r="DU191">
        <f t="shared" si="592"/>
        <v>249.0990840997579</v>
      </c>
      <c r="DW191" s="5">
        <f t="shared" si="557"/>
        <v>4.0144667878406377</v>
      </c>
      <c r="DX191" s="5">
        <f t="shared" si="558"/>
        <v>1.8598094723329504</v>
      </c>
      <c r="DY191" s="5">
        <f t="shared" si="559"/>
        <v>2.1546573155076874</v>
      </c>
      <c r="DZ191" s="5"/>
      <c r="EA191" s="173">
        <f t="shared" si="560"/>
        <v>0.46327683615819198</v>
      </c>
      <c r="EB191" s="173">
        <f t="shared" si="561"/>
        <v>12.959999999999997</v>
      </c>
      <c r="EC191" s="173">
        <f t="shared" si="562"/>
        <v>0.79024390243902454</v>
      </c>
      <c r="ED191" s="173">
        <f t="shared" si="563"/>
        <v>16.399999999999995</v>
      </c>
      <c r="EE191" s="460">
        <f t="shared" si="564"/>
        <v>9.4152854536855628</v>
      </c>
      <c r="EF191" s="5">
        <f t="shared" si="565"/>
        <v>1.2247525793412115</v>
      </c>
      <c r="EH191" s="173">
        <f t="shared" si="566"/>
        <v>1.1571788194050756</v>
      </c>
      <c r="EI191" s="173">
        <f t="shared" si="567"/>
        <v>1.2455333263969834</v>
      </c>
      <c r="EK191" s="528">
        <f t="shared" si="568"/>
        <v>2.678125640159449E-2</v>
      </c>
      <c r="EL191" s="528">
        <f t="shared" si="569"/>
        <v>0.49336666666666656</v>
      </c>
      <c r="EM191" s="528">
        <f t="shared" si="570"/>
        <v>2.8646394671472161E-2</v>
      </c>
      <c r="EN191" s="528">
        <f t="shared" si="571"/>
        <v>0.15373929655349788</v>
      </c>
      <c r="EO191">
        <f t="shared" si="572"/>
        <v>8.5500000000000003E-3</v>
      </c>
      <c r="EP191" s="460">
        <f t="shared" si="573"/>
        <v>37.196394671472163</v>
      </c>
      <c r="EQ191" s="460"/>
      <c r="ER191" s="460">
        <f t="shared" si="593"/>
        <v>711.08361429323099</v>
      </c>
      <c r="ES191" s="528">
        <f t="shared" si="574"/>
        <v>0.56699999999999995</v>
      </c>
      <c r="EV191" s="460">
        <f t="shared" si="494"/>
        <v>567</v>
      </c>
      <c r="EW191" s="528">
        <f t="shared" si="575"/>
        <v>4.0171884602391732E-2</v>
      </c>
      <c r="EX191" s="528">
        <f t="shared" si="576"/>
        <v>4.6540598014966038E-2</v>
      </c>
      <c r="EY191" s="528">
        <f t="shared" si="577"/>
        <v>0.72862212829464368</v>
      </c>
      <c r="EZ191" s="528"/>
      <c r="FA191" s="528">
        <f t="shared" si="578"/>
        <v>1.0800000000000001E-2</v>
      </c>
      <c r="FB191" s="460">
        <f t="shared" si="579"/>
        <v>826.13461091200145</v>
      </c>
      <c r="FC191" s="173">
        <f t="shared" si="580"/>
        <v>2.1042182252052326</v>
      </c>
      <c r="FD191" s="5">
        <f t="shared" si="581"/>
        <v>12.96</v>
      </c>
      <c r="FE191" s="173">
        <f t="shared" si="582"/>
        <v>0.86031679880443546</v>
      </c>
      <c r="FF191" s="5">
        <f t="shared" si="583"/>
        <v>86.031679880443548</v>
      </c>
      <c r="FI191" s="562">
        <f t="shared" si="584"/>
        <v>-50</v>
      </c>
      <c r="FJ191">
        <f t="shared" si="585"/>
        <v>-50</v>
      </c>
      <c r="FL191">
        <f t="shared" si="586"/>
        <v>0.53672316384180796</v>
      </c>
    </row>
    <row r="192" spans="5:168">
      <c r="E192" s="170">
        <v>82</v>
      </c>
      <c r="F192" s="217">
        <f t="shared" si="587"/>
        <v>0.82</v>
      </c>
      <c r="G192" s="217"/>
      <c r="H192" s="217">
        <f t="shared" si="495"/>
        <v>13.12</v>
      </c>
      <c r="I192" s="541">
        <f t="shared" si="496"/>
        <v>18.921818404647365</v>
      </c>
      <c r="J192" s="172">
        <f t="shared" si="497"/>
        <v>16.44690895721158</v>
      </c>
      <c r="K192" s="172">
        <f t="shared" si="498"/>
        <v>35.368727361858944</v>
      </c>
      <c r="L192" s="443"/>
      <c r="M192" s="217">
        <f t="shared" si="499"/>
        <v>0.46499647878496198</v>
      </c>
      <c r="N192" s="172">
        <f t="shared" si="500"/>
        <v>22.205413575520058</v>
      </c>
      <c r="O192" s="172">
        <f t="shared" si="438"/>
        <v>13.12</v>
      </c>
      <c r="P192" s="217">
        <f t="shared" si="501"/>
        <v>1.3878383484700036</v>
      </c>
      <c r="Q192" s="217">
        <f t="shared" si="502"/>
        <v>16</v>
      </c>
      <c r="R192" s="217"/>
      <c r="S192" s="172">
        <f t="shared" si="503"/>
        <v>38.958952362129246</v>
      </c>
      <c r="T192" s="536">
        <f t="shared" si="504"/>
        <v>16</v>
      </c>
      <c r="U192" s="217">
        <f t="shared" si="505"/>
        <v>3.065400385170217</v>
      </c>
      <c r="V192" s="217">
        <f t="shared" si="506"/>
        <v>1.9440417318986603</v>
      </c>
      <c r="W192" s="217">
        <f t="shared" si="507"/>
        <v>2.2365786007414687</v>
      </c>
      <c r="X192" s="197">
        <f t="shared" si="508"/>
        <v>350</v>
      </c>
      <c r="Y192" s="443">
        <f t="shared" si="509"/>
        <v>228.27817159797462</v>
      </c>
      <c r="AA192" s="217">
        <f t="shared" si="510"/>
        <v>2.0949730226377792</v>
      </c>
      <c r="AB192" s="173">
        <f t="shared" si="511"/>
        <v>1.5285350175560009</v>
      </c>
      <c r="AC192" s="173">
        <f t="shared" si="512"/>
        <v>0.56039193453897262</v>
      </c>
      <c r="AD192" s="173"/>
      <c r="AE192" s="173">
        <f t="shared" si="513"/>
        <v>0.72962038223834669</v>
      </c>
      <c r="AF192" s="545">
        <f t="shared" si="514"/>
        <v>2247.744224152249</v>
      </c>
      <c r="AG192" s="528">
        <f t="shared" si="515"/>
        <v>0.12768356689171068</v>
      </c>
      <c r="AI192" s="173">
        <f t="shared" si="516"/>
        <v>2.5341914597600379</v>
      </c>
      <c r="AJ192" s="173">
        <f t="shared" si="517"/>
        <v>3.065400385170217</v>
      </c>
      <c r="AK192" s="173">
        <f t="shared" si="518"/>
        <v>2.7299262112371978</v>
      </c>
      <c r="AM192" s="545">
        <f t="shared" si="519"/>
        <v>820</v>
      </c>
      <c r="AN192" s="460">
        <f t="shared" si="520"/>
        <v>228.27817159797462</v>
      </c>
      <c r="AP192">
        <f t="shared" si="521"/>
        <v>820</v>
      </c>
      <c r="AQ192">
        <f t="shared" si="522"/>
        <v>228.27817159797462</v>
      </c>
      <c r="AS192" s="5">
        <f t="shared" si="439"/>
        <v>4.3806203326401292</v>
      </c>
      <c r="AT192" s="5">
        <f t="shared" si="523"/>
        <v>1.9440417318986603</v>
      </c>
      <c r="AU192" s="5">
        <f t="shared" si="478"/>
        <v>2.4365786007414689</v>
      </c>
      <c r="AV192" s="5"/>
      <c r="AW192" s="173">
        <f t="shared" si="479"/>
        <v>0.44378229206798608</v>
      </c>
      <c r="AX192" s="173">
        <f t="shared" si="435"/>
        <v>12.870340921426289</v>
      </c>
      <c r="AY192" s="173">
        <f t="shared" si="436"/>
        <v>0.85251498806664527</v>
      </c>
      <c r="AZ192" s="173">
        <f t="shared" si="440"/>
        <v>15.0969086779506</v>
      </c>
      <c r="BA192" s="460">
        <f t="shared" si="594"/>
        <v>9.9632138759806335</v>
      </c>
      <c r="BB192" s="5">
        <f t="shared" si="595"/>
        <v>1.4078946042643763</v>
      </c>
      <c r="BD192" s="173">
        <f t="shared" si="441"/>
        <v>1.1789939179707358</v>
      </c>
      <c r="BE192" s="173">
        <f t="shared" si="437"/>
        <v>1.3199241828688184</v>
      </c>
      <c r="BG192" s="528">
        <f t="shared" si="480"/>
        <v>2.7800533172239725E-2</v>
      </c>
      <c r="BH192" s="528">
        <f t="shared" si="524"/>
        <v>0.45168315580351021</v>
      </c>
      <c r="BI192" s="528">
        <f t="shared" si="525"/>
        <v>9.9347076500601525E-2</v>
      </c>
      <c r="BJ192" s="528">
        <f t="shared" si="481"/>
        <v>0.14064020372737146</v>
      </c>
      <c r="BK192">
        <f t="shared" si="482"/>
        <v>8.5148182820913142E-3</v>
      </c>
      <c r="BL192" s="460">
        <f t="shared" si="588"/>
        <v>107.86189478269284</v>
      </c>
      <c r="BM192" s="528">
        <f t="shared" si="526"/>
        <v>0.63180335476069815</v>
      </c>
      <c r="BN192" s="460">
        <f t="shared" si="527"/>
        <v>631.8033547606982</v>
      </c>
      <c r="BO192" s="528">
        <f t="shared" si="483"/>
        <v>0.57399999999999995</v>
      </c>
      <c r="BR192" s="460">
        <f t="shared" si="484"/>
        <v>574</v>
      </c>
      <c r="BS192" s="528">
        <f t="shared" si="485"/>
        <v>4.1700799758359587E-2</v>
      </c>
      <c r="BT192" s="528">
        <f t="shared" si="486"/>
        <v>5.2265995455657535E-2</v>
      </c>
      <c r="BU192" s="528">
        <f t="shared" si="487"/>
        <v>0.64766285046538075</v>
      </c>
      <c r="BV192" s="528"/>
      <c r="BW192" s="528">
        <f t="shared" si="488"/>
        <v>1.0725284101188573E-2</v>
      </c>
      <c r="BX192" s="460">
        <f t="shared" si="489"/>
        <v>752.35492978058642</v>
      </c>
      <c r="BY192" s="173">
        <f t="shared" si="490"/>
        <v>2.0543407172664008</v>
      </c>
      <c r="BZ192" s="5">
        <f t="shared" si="491"/>
        <v>13.12</v>
      </c>
      <c r="CA192" s="173">
        <f t="shared" si="492"/>
        <v>0.86461746473579359</v>
      </c>
      <c r="CB192" s="5">
        <f t="shared" si="493"/>
        <v>86.461746473579353</v>
      </c>
      <c r="CE192" s="562">
        <f t="shared" si="528"/>
        <v>-50</v>
      </c>
      <c r="CF192">
        <f t="shared" si="529"/>
        <v>-50</v>
      </c>
      <c r="CG192" s="173">
        <f t="shared" si="530"/>
        <v>0.52442009932224665</v>
      </c>
      <c r="CI192" s="170">
        <v>82</v>
      </c>
      <c r="CJ192" s="217">
        <f t="shared" si="589"/>
        <v>0.82</v>
      </c>
      <c r="CK192" s="217"/>
      <c r="CL192" s="217">
        <f t="shared" si="531"/>
        <v>13.12</v>
      </c>
      <c r="CM192" s="541">
        <f t="shared" si="532"/>
        <v>19</v>
      </c>
      <c r="CN192" s="443">
        <f t="shared" si="533"/>
        <v>16.399999999999999</v>
      </c>
      <c r="CO192" s="443">
        <f t="shared" si="534"/>
        <v>35.4</v>
      </c>
      <c r="CP192" s="443"/>
      <c r="CQ192" s="217">
        <f t="shared" si="535"/>
        <v>0.4632768361581921</v>
      </c>
      <c r="CR192" s="172">
        <f t="shared" si="590"/>
        <v>22.214703389830511</v>
      </c>
      <c r="CS192" s="172">
        <f t="shared" si="536"/>
        <v>13.12</v>
      </c>
      <c r="CT192" s="217">
        <f t="shared" si="537"/>
        <v>1.3884189618644069</v>
      </c>
      <c r="CU192" s="217">
        <f t="shared" si="538"/>
        <v>16</v>
      </c>
      <c r="CV192" s="217"/>
      <c r="CW192" s="172">
        <f t="shared" si="539"/>
        <v>39.119141139977366</v>
      </c>
      <c r="CX192" s="536">
        <f t="shared" si="540"/>
        <v>16</v>
      </c>
      <c r="CY192" s="217">
        <f t="shared" si="541"/>
        <v>2.981052631578947</v>
      </c>
      <c r="CZ192" s="217">
        <f t="shared" si="542"/>
        <v>1.8827700831024929</v>
      </c>
      <c r="DA192" s="217">
        <f t="shared" si="543"/>
        <v>2.181258023106547</v>
      </c>
      <c r="DB192" s="197">
        <f t="shared" si="544"/>
        <v>350</v>
      </c>
      <c r="DC192" s="443">
        <f t="shared" si="545"/>
        <v>246.0612903912243</v>
      </c>
      <c r="DE192" s="217">
        <f t="shared" si="546"/>
        <v>2.0957761635727734</v>
      </c>
      <c r="DF192" s="173">
        <f t="shared" si="547"/>
        <v>1.5334947538337369</v>
      </c>
      <c r="DG192" s="173">
        <f t="shared" si="548"/>
        <v>0.5624258066085126</v>
      </c>
      <c r="DH192" s="173"/>
      <c r="DI192" s="173">
        <f t="shared" si="549"/>
        <v>0.73170731707317083</v>
      </c>
      <c r="DJ192" s="545">
        <f t="shared" si="550"/>
        <v>2241.333333333333</v>
      </c>
      <c r="DK192" s="528">
        <f t="shared" si="551"/>
        <v>0.12804878048780488</v>
      </c>
      <c r="DM192" s="173">
        <f t="shared" si="552"/>
        <v>2.5305749393783072</v>
      </c>
      <c r="DN192" s="173">
        <f t="shared" si="553"/>
        <v>2.981052631578947</v>
      </c>
      <c r="DO192" s="173">
        <f t="shared" si="554"/>
        <v>2.6674463937621828</v>
      </c>
      <c r="DQ192" s="545">
        <f t="shared" si="555"/>
        <v>820</v>
      </c>
      <c r="DR192" s="460">
        <f t="shared" si="556"/>
        <v>246.0612903912243</v>
      </c>
      <c r="DT192">
        <f t="shared" si="591"/>
        <v>820</v>
      </c>
      <c r="DU192">
        <f t="shared" si="592"/>
        <v>246.0612903912243</v>
      </c>
      <c r="DW192" s="5">
        <f t="shared" si="557"/>
        <v>4.0640281062090393</v>
      </c>
      <c r="DX192" s="5">
        <f t="shared" si="558"/>
        <v>1.8827700831024929</v>
      </c>
      <c r="DY192" s="5">
        <f t="shared" si="559"/>
        <v>2.1812580231065466</v>
      </c>
      <c r="DZ192" s="5"/>
      <c r="EA192" s="173">
        <f t="shared" si="560"/>
        <v>0.46327683615819215</v>
      </c>
      <c r="EB192" s="173">
        <f t="shared" si="561"/>
        <v>13.119999999999996</v>
      </c>
      <c r="EC192" s="173">
        <f t="shared" si="562"/>
        <v>0.79999999999999982</v>
      </c>
      <c r="ED192" s="173">
        <f t="shared" si="563"/>
        <v>16.399999999999999</v>
      </c>
      <c r="EE192" s="460">
        <f t="shared" si="564"/>
        <v>9.6491966759002761</v>
      </c>
      <c r="EF192" s="5">
        <f t="shared" si="565"/>
        <v>1.2551800554016617</v>
      </c>
      <c r="EH192" s="173">
        <f t="shared" si="566"/>
        <v>1.1714649776693358</v>
      </c>
      <c r="EI192" s="173">
        <f t="shared" si="567"/>
        <v>1.2609102810438595</v>
      </c>
      <c r="EK192" s="528">
        <f t="shared" si="568"/>
        <v>2.744660387811635E-2</v>
      </c>
      <c r="EL192" s="528">
        <f t="shared" si="569"/>
        <v>0.49336666666666656</v>
      </c>
      <c r="EM192" s="528">
        <f t="shared" si="570"/>
        <v>2.8297048394990799E-2</v>
      </c>
      <c r="EN192" s="528">
        <f t="shared" si="571"/>
        <v>0.15186442708333331</v>
      </c>
      <c r="EO192">
        <f t="shared" si="572"/>
        <v>8.5500000000000003E-3</v>
      </c>
      <c r="EP192" s="460">
        <f t="shared" si="573"/>
        <v>36.8470483949908</v>
      </c>
      <c r="EQ192" s="460"/>
      <c r="ER192" s="460">
        <f t="shared" si="593"/>
        <v>709.52474602310701</v>
      </c>
      <c r="ES192" s="528">
        <f t="shared" si="574"/>
        <v>0.57399999999999995</v>
      </c>
      <c r="EV192" s="460">
        <f t="shared" si="494"/>
        <v>574</v>
      </c>
      <c r="EW192" s="528">
        <f t="shared" si="575"/>
        <v>4.1169905817174522E-2</v>
      </c>
      <c r="EX192" s="528">
        <f t="shared" si="576"/>
        <v>4.7696842105263142E-2</v>
      </c>
      <c r="EY192" s="528">
        <f t="shared" si="577"/>
        <v>0.72862212829464312</v>
      </c>
      <c r="EZ192" s="528"/>
      <c r="FA192" s="528">
        <f t="shared" si="578"/>
        <v>1.0933333333333331E-2</v>
      </c>
      <c r="FB192" s="460">
        <f t="shared" si="579"/>
        <v>828.4222095504141</v>
      </c>
      <c r="FC192" s="173">
        <f t="shared" si="580"/>
        <v>2.1119469555735213</v>
      </c>
      <c r="FD192" s="5">
        <f t="shared" si="581"/>
        <v>13.12</v>
      </c>
      <c r="FE192" s="173">
        <f t="shared" si="582"/>
        <v>0.86134753740061198</v>
      </c>
      <c r="FF192" s="5">
        <f t="shared" si="583"/>
        <v>86.1347537400612</v>
      </c>
      <c r="FI192" s="562">
        <f t="shared" si="584"/>
        <v>-50</v>
      </c>
      <c r="FJ192">
        <f t="shared" si="585"/>
        <v>-50</v>
      </c>
      <c r="FL192">
        <f t="shared" si="586"/>
        <v>0.53672316384180785</v>
      </c>
    </row>
    <row r="193" spans="5:168">
      <c r="E193" s="170">
        <v>83</v>
      </c>
      <c r="F193" s="217">
        <f t="shared" si="587"/>
        <v>0.83</v>
      </c>
      <c r="G193" s="217"/>
      <c r="H193" s="217">
        <f t="shared" si="495"/>
        <v>13.28</v>
      </c>
      <c r="I193" s="541">
        <f t="shared" si="496"/>
        <v>18.920887332108087</v>
      </c>
      <c r="J193" s="172">
        <f t="shared" si="497"/>
        <v>16.447467600735148</v>
      </c>
      <c r="K193" s="172">
        <f t="shared" si="498"/>
        <v>35.368354932843232</v>
      </c>
      <c r="L193" s="443"/>
      <c r="M193" s="217">
        <f t="shared" si="499"/>
        <v>0.46501717543631005</v>
      </c>
      <c r="N193" s="172">
        <f t="shared" si="500"/>
        <v>22.205309227432142</v>
      </c>
      <c r="O193" s="172">
        <f t="shared" si="438"/>
        <v>13.28</v>
      </c>
      <c r="P193" s="217">
        <f t="shared" si="501"/>
        <v>1.3878318267145089</v>
      </c>
      <c r="Q193" s="217">
        <f t="shared" si="502"/>
        <v>16</v>
      </c>
      <c r="R193" s="217"/>
      <c r="S193" s="172">
        <f t="shared" si="503"/>
        <v>38.265476504291065</v>
      </c>
      <c r="T193" s="536">
        <f t="shared" si="504"/>
        <v>16</v>
      </c>
      <c r="U193" s="217">
        <f t="shared" si="505"/>
        <v>3.1029033527456282</v>
      </c>
      <c r="V193" s="217">
        <f t="shared" si="506"/>
        <v>1.9679225175534611</v>
      </c>
      <c r="W193" s="217">
        <f t="shared" si="507"/>
        <v>2.2638646347771654</v>
      </c>
      <c r="X193" s="197">
        <f t="shared" si="508"/>
        <v>350</v>
      </c>
      <c r="Y193" s="443">
        <f t="shared" si="509"/>
        <v>225.64260548345857</v>
      </c>
      <c r="AA193" s="217">
        <f t="shared" si="510"/>
        <v>2.0949631518728955</v>
      </c>
      <c r="AB193" s="173">
        <f t="shared" si="511"/>
        <v>1.528475898706199</v>
      </c>
      <c r="AC193" s="173">
        <f t="shared" si="512"/>
        <v>0.56036762010517671</v>
      </c>
      <c r="AD193" s="173"/>
      <c r="AE193" s="173">
        <f t="shared" si="513"/>
        <v>0.7295956004475509</v>
      </c>
      <c r="AF193" s="545">
        <f t="shared" si="514"/>
        <v>2275.2330181016955</v>
      </c>
      <c r="AG193" s="528">
        <f t="shared" si="515"/>
        <v>0.12767923007832141</v>
      </c>
      <c r="AI193" s="173">
        <f t="shared" si="516"/>
        <v>2.5496403209089795</v>
      </c>
      <c r="AJ193" s="173">
        <f t="shared" si="517"/>
        <v>3.1029033527456282</v>
      </c>
      <c r="AK193" s="173">
        <f t="shared" si="518"/>
        <v>2.7577061872189841</v>
      </c>
      <c r="AM193" s="545">
        <f t="shared" si="519"/>
        <v>830</v>
      </c>
      <c r="AN193" s="460">
        <f t="shared" si="520"/>
        <v>225.64260548345857</v>
      </c>
      <c r="AP193">
        <f t="shared" si="521"/>
        <v>830</v>
      </c>
      <c r="AQ193">
        <f t="shared" si="522"/>
        <v>225.64260548345857</v>
      </c>
      <c r="AS193" s="5">
        <f t="shared" si="439"/>
        <v>4.4317871523306271</v>
      </c>
      <c r="AT193" s="5">
        <f t="shared" si="523"/>
        <v>1.9679225175534611</v>
      </c>
      <c r="AU193" s="5">
        <f t="shared" si="478"/>
        <v>2.463864634777166</v>
      </c>
      <c r="AV193" s="5"/>
      <c r="AW193" s="173">
        <f t="shared" si="479"/>
        <v>0.4440471642503302</v>
      </c>
      <c r="AX193" s="173">
        <f t="shared" si="435"/>
        <v>13.034934511351882</v>
      </c>
      <c r="AY193" s="173">
        <f t="shared" si="436"/>
        <v>0.86253395900804497</v>
      </c>
      <c r="AZ193" s="173">
        <f t="shared" si="440"/>
        <v>15.112372533532101</v>
      </c>
      <c r="BA193" s="460">
        <f t="shared" si="594"/>
        <v>10.20859805980858</v>
      </c>
      <c r="BB193" s="5">
        <f t="shared" si="595"/>
        <v>1.441093546315692</v>
      </c>
      <c r="BD193" s="173">
        <f t="shared" si="441"/>
        <v>1.1937741536759252</v>
      </c>
      <c r="BE193" s="173">
        <f t="shared" si="437"/>
        <v>1.3357543469922462</v>
      </c>
      <c r="BG193" s="528">
        <f t="shared" si="480"/>
        <v>2.850193459969343E-2</v>
      </c>
      <c r="BH193" s="528">
        <f t="shared" si="524"/>
        <v>0.45192574592897211</v>
      </c>
      <c r="BI193" s="528">
        <f t="shared" si="525"/>
        <v>9.81952412605442E-2</v>
      </c>
      <c r="BJ193" s="528">
        <f t="shared" si="481"/>
        <v>0.13901352663651334</v>
      </c>
      <c r="BK193">
        <f t="shared" si="482"/>
        <v>8.5143992994486384E-3</v>
      </c>
      <c r="BL193" s="460">
        <f t="shared" si="588"/>
        <v>106.70964055999283</v>
      </c>
      <c r="BM193" s="528">
        <f t="shared" si="526"/>
        <v>0.63141269394110677</v>
      </c>
      <c r="BN193" s="460">
        <f t="shared" si="527"/>
        <v>631.4126939411068</v>
      </c>
      <c r="BO193" s="528">
        <f t="shared" si="483"/>
        <v>0.58099999999999996</v>
      </c>
      <c r="BR193" s="460">
        <f t="shared" si="484"/>
        <v>581</v>
      </c>
      <c r="BS193" s="528">
        <f t="shared" si="485"/>
        <v>4.2752901899540147E-2</v>
      </c>
      <c r="BT193" s="528">
        <f t="shared" si="486"/>
        <v>5.3527190265260462E-2</v>
      </c>
      <c r="BU193" s="528">
        <f t="shared" si="487"/>
        <v>0.64854989095706184</v>
      </c>
      <c r="BV193" s="528"/>
      <c r="BW193" s="528">
        <f t="shared" si="488"/>
        <v>1.0862445426126568E-2</v>
      </c>
      <c r="BX193" s="460">
        <f t="shared" si="489"/>
        <v>755.69242854798904</v>
      </c>
      <c r="BY193" s="173">
        <f t="shared" si="490"/>
        <v>2.0628432762731608</v>
      </c>
      <c r="BZ193" s="5">
        <f t="shared" si="491"/>
        <v>13.28</v>
      </c>
      <c r="CA193" s="173">
        <f t="shared" si="492"/>
        <v>0.86555013049874319</v>
      </c>
      <c r="CB193" s="5">
        <f t="shared" si="493"/>
        <v>86.555013049874319</v>
      </c>
      <c r="CE193" s="562">
        <f t="shared" si="528"/>
        <v>-50</v>
      </c>
      <c r="CF193">
        <f t="shared" si="529"/>
        <v>-50</v>
      </c>
      <c r="CG193" s="173">
        <f t="shared" si="530"/>
        <v>0.52456832901525352</v>
      </c>
      <c r="CI193" s="170">
        <v>83</v>
      </c>
      <c r="CJ193" s="217">
        <f t="shared" si="589"/>
        <v>0.83</v>
      </c>
      <c r="CK193" s="217"/>
      <c r="CL193" s="217">
        <f t="shared" si="531"/>
        <v>13.28</v>
      </c>
      <c r="CM193" s="541">
        <f t="shared" si="532"/>
        <v>19</v>
      </c>
      <c r="CN193" s="443">
        <f t="shared" si="533"/>
        <v>16.399999999999999</v>
      </c>
      <c r="CO193" s="443">
        <f t="shared" si="534"/>
        <v>35.4</v>
      </c>
      <c r="CP193" s="443"/>
      <c r="CQ193" s="217">
        <f t="shared" si="535"/>
        <v>0.4632768361581921</v>
      </c>
      <c r="CR193" s="172">
        <f t="shared" si="590"/>
        <v>22.214703389830511</v>
      </c>
      <c r="CS193" s="172">
        <f t="shared" si="536"/>
        <v>13.28</v>
      </c>
      <c r="CT193" s="217">
        <f t="shared" si="537"/>
        <v>1.3884189618644069</v>
      </c>
      <c r="CU193" s="217">
        <f t="shared" si="538"/>
        <v>16</v>
      </c>
      <c r="CV193" s="217"/>
      <c r="CW193" s="172">
        <f t="shared" si="539"/>
        <v>38.424667500061396</v>
      </c>
      <c r="CX193" s="536">
        <f t="shared" si="540"/>
        <v>16</v>
      </c>
      <c r="CY193" s="217">
        <f t="shared" si="541"/>
        <v>3.017406931964056</v>
      </c>
      <c r="CZ193" s="217">
        <f t="shared" si="542"/>
        <v>1.9057306938720355</v>
      </c>
      <c r="DA193" s="217">
        <f t="shared" si="543"/>
        <v>2.2078587307054072</v>
      </c>
      <c r="DB193" s="197">
        <f t="shared" si="544"/>
        <v>350</v>
      </c>
      <c r="DC193" s="443">
        <f t="shared" si="545"/>
        <v>243.09669653108909</v>
      </c>
      <c r="DE193" s="217">
        <f t="shared" si="546"/>
        <v>2.0957761635727734</v>
      </c>
      <c r="DF193" s="173">
        <f t="shared" si="547"/>
        <v>1.5334947538337369</v>
      </c>
      <c r="DG193" s="173">
        <f t="shared" si="548"/>
        <v>0.5624258066085126</v>
      </c>
      <c r="DH193" s="173"/>
      <c r="DI193" s="173">
        <f t="shared" si="549"/>
        <v>0.73170731707317083</v>
      </c>
      <c r="DJ193" s="545">
        <f t="shared" si="550"/>
        <v>2268.6666666666661</v>
      </c>
      <c r="DK193" s="528">
        <f t="shared" si="551"/>
        <v>0.12804878048780488</v>
      </c>
      <c r="DM193" s="173">
        <f t="shared" si="552"/>
        <v>2.545958515354239</v>
      </c>
      <c r="DN193" s="173">
        <f t="shared" si="553"/>
        <v>3.017406931964056</v>
      </c>
      <c r="DO193" s="173">
        <f t="shared" si="554"/>
        <v>2.6943755051585603</v>
      </c>
      <c r="DQ193" s="545">
        <f t="shared" si="555"/>
        <v>830</v>
      </c>
      <c r="DR193" s="460">
        <f t="shared" si="556"/>
        <v>243.09669653108909</v>
      </c>
      <c r="DT193">
        <f t="shared" si="591"/>
        <v>830</v>
      </c>
      <c r="DU193">
        <f t="shared" si="592"/>
        <v>243.09669653108909</v>
      </c>
      <c r="DW193" s="5">
        <f t="shared" si="557"/>
        <v>4.1135894245774427</v>
      </c>
      <c r="DX193" s="5">
        <f t="shared" si="558"/>
        <v>1.9057306938720355</v>
      </c>
      <c r="DY193" s="5">
        <f t="shared" si="559"/>
        <v>2.2078587307054072</v>
      </c>
      <c r="DZ193" s="5"/>
      <c r="EA193" s="173">
        <f t="shared" si="560"/>
        <v>0.4632768361581921</v>
      </c>
      <c r="EB193" s="173">
        <f t="shared" si="561"/>
        <v>13.279999999999996</v>
      </c>
      <c r="EC193" s="173">
        <f t="shared" si="562"/>
        <v>0.80975609756097555</v>
      </c>
      <c r="ED193" s="173">
        <f t="shared" si="563"/>
        <v>16.399999999999995</v>
      </c>
      <c r="EE193" s="460">
        <f t="shared" si="564"/>
        <v>9.8859779744611842</v>
      </c>
      <c r="EF193" s="5">
        <f t="shared" si="565"/>
        <v>1.2859808747266581</v>
      </c>
      <c r="EH193" s="173">
        <f t="shared" si="566"/>
        <v>1.1857511359335957</v>
      </c>
      <c r="EI193" s="173">
        <f t="shared" si="567"/>
        <v>1.2762872356907358</v>
      </c>
      <c r="EK193" s="528">
        <f t="shared" si="568"/>
        <v>2.8120115127356252E-2</v>
      </c>
      <c r="EL193" s="528">
        <f t="shared" si="569"/>
        <v>0.49336666666666656</v>
      </c>
      <c r="EM193" s="528">
        <f t="shared" si="570"/>
        <v>2.795612010107525E-2</v>
      </c>
      <c r="EN193" s="528">
        <f t="shared" si="571"/>
        <v>0.15003473519076305</v>
      </c>
      <c r="EO193">
        <f t="shared" si="572"/>
        <v>8.5500000000000003E-3</v>
      </c>
      <c r="EP193" s="460">
        <f t="shared" si="573"/>
        <v>36.506120101075247</v>
      </c>
      <c r="EQ193" s="460"/>
      <c r="ER193" s="460">
        <f t="shared" si="593"/>
        <v>708.0276370858611</v>
      </c>
      <c r="ES193" s="528">
        <f t="shared" si="574"/>
        <v>0.58099999999999996</v>
      </c>
      <c r="EV193" s="460">
        <f t="shared" si="494"/>
        <v>581</v>
      </c>
      <c r="EW193" s="528">
        <f t="shared" si="575"/>
        <v>4.2180172691034377E-2</v>
      </c>
      <c r="EX193" s="528">
        <f t="shared" si="576"/>
        <v>4.8867273239612985E-2</v>
      </c>
      <c r="EY193" s="528">
        <f t="shared" si="577"/>
        <v>0.72862212829464312</v>
      </c>
      <c r="EZ193" s="528"/>
      <c r="FA193" s="528">
        <f t="shared" si="578"/>
        <v>1.1066666666666664E-2</v>
      </c>
      <c r="FB193" s="460">
        <f t="shared" si="579"/>
        <v>830.73624089195721</v>
      </c>
      <c r="FC193" s="173">
        <f t="shared" si="580"/>
        <v>2.1197638779778183</v>
      </c>
      <c r="FD193" s="5">
        <f t="shared" si="581"/>
        <v>13.28</v>
      </c>
      <c r="FE193" s="173">
        <f t="shared" si="582"/>
        <v>0.86235088441783492</v>
      </c>
      <c r="FF193" s="5">
        <f t="shared" si="583"/>
        <v>86.235088441783489</v>
      </c>
      <c r="FI193" s="562">
        <f t="shared" si="584"/>
        <v>-50</v>
      </c>
      <c r="FJ193">
        <f t="shared" si="585"/>
        <v>-50</v>
      </c>
      <c r="FL193">
        <f t="shared" si="586"/>
        <v>0.53672316384180796</v>
      </c>
    </row>
    <row r="194" spans="5:168">
      <c r="E194" s="170">
        <v>84</v>
      </c>
      <c r="F194" s="217">
        <f t="shared" si="587"/>
        <v>0.84</v>
      </c>
      <c r="G194" s="217"/>
      <c r="H194" s="217">
        <f t="shared" si="495"/>
        <v>13.44</v>
      </c>
      <c r="I194" s="541">
        <f t="shared" si="496"/>
        <v>18.91995624723549</v>
      </c>
      <c r="J194" s="172">
        <f t="shared" si="497"/>
        <v>16.448026251658703</v>
      </c>
      <c r="K194" s="172">
        <f t="shared" si="498"/>
        <v>35.367982498894193</v>
      </c>
      <c r="L194" s="443"/>
      <c r="M194" s="217">
        <f t="shared" si="499"/>
        <v>0.46503787268536234</v>
      </c>
      <c r="N194" s="172">
        <f t="shared" si="500"/>
        <v>22.20520479614353</v>
      </c>
      <c r="O194" s="172">
        <f t="shared" si="438"/>
        <v>13.44</v>
      </c>
      <c r="P194" s="217">
        <f t="shared" si="501"/>
        <v>1.3878252997589706</v>
      </c>
      <c r="Q194" s="217">
        <f t="shared" si="502"/>
        <v>16</v>
      </c>
      <c r="R194" s="217"/>
      <c r="S194" s="172">
        <f t="shared" si="503"/>
        <v>37.588654260519633</v>
      </c>
      <c r="T194" s="536">
        <f t="shared" si="504"/>
        <v>16</v>
      </c>
      <c r="U194" s="217">
        <f t="shared" si="505"/>
        <v>3.1404092256645093</v>
      </c>
      <c r="V194" s="217">
        <f t="shared" si="506"/>
        <v>1.9918074976246569</v>
      </c>
      <c r="W194" s="217">
        <f t="shared" si="507"/>
        <v>2.2911509339410117</v>
      </c>
      <c r="X194" s="197">
        <f t="shared" si="508"/>
        <v>350</v>
      </c>
      <c r="Y194" s="443">
        <f t="shared" si="509"/>
        <v>223.06698026882015</v>
      </c>
      <c r="AA194" s="217">
        <f t="shared" si="510"/>
        <v>2.0949532737661625</v>
      </c>
      <c r="AB194" s="173">
        <f t="shared" si="511"/>
        <v>1.5284167778282065</v>
      </c>
      <c r="AC194" s="173">
        <f t="shared" si="512"/>
        <v>0.56034330316830783</v>
      </c>
      <c r="AD194" s="173"/>
      <c r="AE194" s="173">
        <f t="shared" si="513"/>
        <v>0.72957082001190621</v>
      </c>
      <c r="AF194" s="545">
        <f t="shared" si="514"/>
        <v>2302.7236752322183</v>
      </c>
      <c r="AG194" s="528">
        <f t="shared" si="515"/>
        <v>0.12767489350208358</v>
      </c>
      <c r="AI194" s="173">
        <f t="shared" si="516"/>
        <v>2.5649971736170549</v>
      </c>
      <c r="AJ194" s="173">
        <f t="shared" si="517"/>
        <v>3.1404092256645093</v>
      </c>
      <c r="AK194" s="173">
        <f t="shared" si="518"/>
        <v>2.785488315307044</v>
      </c>
      <c r="AM194" s="545">
        <f t="shared" si="519"/>
        <v>840</v>
      </c>
      <c r="AN194" s="460">
        <f t="shared" si="520"/>
        <v>223.06698026882015</v>
      </c>
      <c r="AP194">
        <f t="shared" si="521"/>
        <v>840</v>
      </c>
      <c r="AQ194">
        <f t="shared" si="522"/>
        <v>223.06698026882015</v>
      </c>
      <c r="AS194" s="5">
        <f t="shared" si="439"/>
        <v>4.4829584315656694</v>
      </c>
      <c r="AT194" s="5">
        <f t="shared" si="523"/>
        <v>1.9918074976246569</v>
      </c>
      <c r="AU194" s="5">
        <f t="shared" si="478"/>
        <v>2.4911509339410127</v>
      </c>
      <c r="AV194" s="5"/>
      <c r="AW194" s="173">
        <f t="shared" si="479"/>
        <v>0.44430648377192733</v>
      </c>
      <c r="AX194" s="173">
        <f t="shared" si="435"/>
        <v>13.199547024835216</v>
      </c>
      <c r="AY194" s="173">
        <f t="shared" si="436"/>
        <v>0.8725525225022952</v>
      </c>
      <c r="AZ194" s="173">
        <f t="shared" si="440"/>
        <v>15.127510017370323</v>
      </c>
      <c r="BA194" s="460">
        <f t="shared" si="594"/>
        <v>10.456989362529447</v>
      </c>
      <c r="BB194" s="5">
        <f t="shared" si="595"/>
        <v>1.4746804958503064</v>
      </c>
      <c r="BD194" s="173">
        <f t="shared" si="441"/>
        <v>1.2085564559358504</v>
      </c>
      <c r="BE194" s="173">
        <f t="shared" si="437"/>
        <v>1.3515847467677951</v>
      </c>
      <c r="BG194" s="528">
        <f t="shared" si="480"/>
        <v>2.9212174143684461E-2</v>
      </c>
      <c r="BH194" s="528">
        <f t="shared" si="524"/>
        <v>0.45216265311504533</v>
      </c>
      <c r="BI194" s="528">
        <f t="shared" si="525"/>
        <v>9.7069602658447454E-2</v>
      </c>
      <c r="BJ194" s="528">
        <f t="shared" si="481"/>
        <v>0.13742384544274416</v>
      </c>
      <c r="BK194">
        <f t="shared" si="482"/>
        <v>8.5139803112559698E-3</v>
      </c>
      <c r="BL194" s="460">
        <f t="shared" si="588"/>
        <v>105.58358296970343</v>
      </c>
      <c r="BM194" s="528">
        <f t="shared" si="526"/>
        <v>0.63106607104278989</v>
      </c>
      <c r="BN194" s="460">
        <f t="shared" si="527"/>
        <v>631.06607104278987</v>
      </c>
      <c r="BO194" s="528">
        <f t="shared" si="483"/>
        <v>0.58799999999999997</v>
      </c>
      <c r="BR194" s="460">
        <f t="shared" si="484"/>
        <v>588</v>
      </c>
      <c r="BS194" s="528">
        <f t="shared" si="485"/>
        <v>4.3818261215526691E-2</v>
      </c>
      <c r="BT194" s="528">
        <f t="shared" si="486"/>
        <v>5.4803439830860938E-2</v>
      </c>
      <c r="BU194" s="528">
        <f t="shared" si="487"/>
        <v>0.6494172734614615</v>
      </c>
      <c r="BV194" s="528"/>
      <c r="BW194" s="528">
        <f t="shared" si="488"/>
        <v>1.0999622520696015E-2</v>
      </c>
      <c r="BX194" s="460">
        <f t="shared" si="489"/>
        <v>759.03859702854504</v>
      </c>
      <c r="BY194" s="173">
        <f t="shared" si="490"/>
        <v>2.0714208526997226</v>
      </c>
      <c r="BZ194" s="5">
        <f t="shared" si="491"/>
        <v>13.44</v>
      </c>
      <c r="CA194" s="173">
        <f t="shared" si="492"/>
        <v>0.86645834238072417</v>
      </c>
      <c r="CB194" s="5">
        <f t="shared" si="493"/>
        <v>86.64583423807241</v>
      </c>
      <c r="CE194" s="562">
        <f t="shared" si="528"/>
        <v>-50</v>
      </c>
      <c r="CF194">
        <f t="shared" si="529"/>
        <v>-50</v>
      </c>
      <c r="CG194" s="173">
        <f t="shared" si="530"/>
        <v>0.52471302942985532</v>
      </c>
      <c r="CI194" s="170">
        <v>84</v>
      </c>
      <c r="CJ194" s="217">
        <f t="shared" si="589"/>
        <v>0.84</v>
      </c>
      <c r="CK194" s="217"/>
      <c r="CL194" s="217">
        <f t="shared" si="531"/>
        <v>13.44</v>
      </c>
      <c r="CM194" s="541">
        <f t="shared" si="532"/>
        <v>19</v>
      </c>
      <c r="CN194" s="443">
        <f t="shared" si="533"/>
        <v>16.399999999999999</v>
      </c>
      <c r="CO194" s="443">
        <f t="shared" si="534"/>
        <v>35.4</v>
      </c>
      <c r="CP194" s="443"/>
      <c r="CQ194" s="217">
        <f t="shared" si="535"/>
        <v>0.4632768361581921</v>
      </c>
      <c r="CR194" s="172">
        <f t="shared" si="590"/>
        <v>22.214703389830511</v>
      </c>
      <c r="CS194" s="172">
        <f t="shared" si="536"/>
        <v>13.44</v>
      </c>
      <c r="CT194" s="217">
        <f t="shared" si="537"/>
        <v>1.3884189618644069</v>
      </c>
      <c r="CU194" s="217">
        <f t="shared" si="538"/>
        <v>16</v>
      </c>
      <c r="CV194" s="217"/>
      <c r="CW194" s="172">
        <f t="shared" si="539"/>
        <v>37.746849132744906</v>
      </c>
      <c r="CX194" s="536">
        <f t="shared" si="540"/>
        <v>16</v>
      </c>
      <c r="CY194" s="217">
        <f t="shared" si="541"/>
        <v>3.0537612323491654</v>
      </c>
      <c r="CZ194" s="217">
        <f t="shared" si="542"/>
        <v>1.9286913046415783</v>
      </c>
      <c r="DA194" s="217">
        <f t="shared" si="543"/>
        <v>2.2344594383042677</v>
      </c>
      <c r="DB194" s="197">
        <f t="shared" si="544"/>
        <v>350</v>
      </c>
      <c r="DC194" s="443">
        <f t="shared" si="545"/>
        <v>240.20268823905229</v>
      </c>
      <c r="DE194" s="217">
        <f t="shared" si="546"/>
        <v>2.0957761635727734</v>
      </c>
      <c r="DF194" s="173">
        <f t="shared" si="547"/>
        <v>1.5334947538337369</v>
      </c>
      <c r="DG194" s="173">
        <f t="shared" si="548"/>
        <v>0.5624258066085126</v>
      </c>
      <c r="DH194" s="173"/>
      <c r="DI194" s="173">
        <f t="shared" si="549"/>
        <v>0.73170731707317083</v>
      </c>
      <c r="DJ194" s="545">
        <f t="shared" si="550"/>
        <v>2295.9999999999995</v>
      </c>
      <c r="DK194" s="528">
        <f t="shared" si="551"/>
        <v>0.12804878048780488</v>
      </c>
      <c r="DM194" s="173">
        <f t="shared" si="552"/>
        <v>2.5612496949731396</v>
      </c>
      <c r="DN194" s="173">
        <f t="shared" si="553"/>
        <v>3.0537612323491654</v>
      </c>
      <c r="DO194" s="173">
        <f t="shared" si="554"/>
        <v>2.7213046165549373</v>
      </c>
      <c r="DQ194" s="545">
        <f t="shared" si="555"/>
        <v>840</v>
      </c>
      <c r="DR194" s="460">
        <f t="shared" si="556"/>
        <v>240.20268823905229</v>
      </c>
      <c r="DT194">
        <f t="shared" si="591"/>
        <v>840</v>
      </c>
      <c r="DU194">
        <f t="shared" si="592"/>
        <v>240.20268823905229</v>
      </c>
      <c r="DW194" s="5">
        <f t="shared" si="557"/>
        <v>4.1631507429458461</v>
      </c>
      <c r="DX194" s="5">
        <f t="shared" si="558"/>
        <v>1.9286913046415783</v>
      </c>
      <c r="DY194" s="5">
        <f t="shared" si="559"/>
        <v>2.2344594383042677</v>
      </c>
      <c r="DZ194" s="5"/>
      <c r="EA194" s="173">
        <f t="shared" si="560"/>
        <v>0.4632768361581921</v>
      </c>
      <c r="EB194" s="173">
        <f t="shared" si="561"/>
        <v>13.439999999999998</v>
      </c>
      <c r="EC194" s="173">
        <f t="shared" si="562"/>
        <v>0.81951219512195128</v>
      </c>
      <c r="ED194" s="173">
        <f t="shared" si="563"/>
        <v>16.399999999999995</v>
      </c>
      <c r="EE194" s="460">
        <f t="shared" si="564"/>
        <v>10.125629349368285</v>
      </c>
      <c r="EF194" s="5">
        <f t="shared" si="565"/>
        <v>1.3171550373161995</v>
      </c>
      <c r="EH194" s="173">
        <f t="shared" si="566"/>
        <v>1.2000372941978559</v>
      </c>
      <c r="EI194" s="173">
        <f t="shared" si="567"/>
        <v>1.2916641903376123</v>
      </c>
      <c r="EK194" s="528">
        <f t="shared" si="568"/>
        <v>2.8801790149314225E-2</v>
      </c>
      <c r="EL194" s="528">
        <f t="shared" si="569"/>
        <v>0.49336666666666656</v>
      </c>
      <c r="EM194" s="528">
        <f t="shared" si="570"/>
        <v>2.7623309147491015E-2</v>
      </c>
      <c r="EN194" s="528">
        <f t="shared" si="571"/>
        <v>0.14824860739087301</v>
      </c>
      <c r="EO194">
        <f t="shared" si="572"/>
        <v>8.5500000000000003E-3</v>
      </c>
      <c r="EP194" s="460">
        <f t="shared" si="573"/>
        <v>36.173309147491011</v>
      </c>
      <c r="EQ194" s="460"/>
      <c r="ER194" s="460">
        <f t="shared" si="593"/>
        <v>706.59037335434471</v>
      </c>
      <c r="ES194" s="528">
        <f t="shared" si="574"/>
        <v>0.58799999999999997</v>
      </c>
      <c r="EV194" s="460">
        <f t="shared" si="494"/>
        <v>588</v>
      </c>
      <c r="EW194" s="528">
        <f t="shared" si="575"/>
        <v>4.3202685223971332E-2</v>
      </c>
      <c r="EX194" s="528">
        <f t="shared" si="576"/>
        <v>5.0051891418015582E-2</v>
      </c>
      <c r="EY194" s="528">
        <f t="shared" si="577"/>
        <v>0.72862212829464357</v>
      </c>
      <c r="EZ194" s="528"/>
      <c r="FA194" s="528">
        <f t="shared" si="578"/>
        <v>1.1199999999999996E-2</v>
      </c>
      <c r="FB194" s="460">
        <f t="shared" si="579"/>
        <v>833.07670493663045</v>
      </c>
      <c r="FC194" s="173">
        <f t="shared" si="580"/>
        <v>2.1276670782909752</v>
      </c>
      <c r="FD194" s="5">
        <f t="shared" si="581"/>
        <v>13.44</v>
      </c>
      <c r="FE194" s="173">
        <f t="shared" si="582"/>
        <v>0.86332781478491438</v>
      </c>
      <c r="FF194" s="5">
        <f t="shared" si="583"/>
        <v>86.332781478491441</v>
      </c>
      <c r="FI194" s="562">
        <f t="shared" si="584"/>
        <v>-50</v>
      </c>
      <c r="FJ194">
        <f t="shared" si="585"/>
        <v>-50</v>
      </c>
      <c r="FL194">
        <f t="shared" si="586"/>
        <v>0.53672316384180796</v>
      </c>
    </row>
    <row r="195" spans="5:168">
      <c r="E195" s="170">
        <v>85</v>
      </c>
      <c r="F195" s="217">
        <f t="shared" si="587"/>
        <v>0.85</v>
      </c>
      <c r="G195" s="217"/>
      <c r="H195" s="217">
        <f t="shared" si="495"/>
        <v>13.6</v>
      </c>
      <c r="I195" s="541">
        <f t="shared" si="496"/>
        <v>18.919025150474717</v>
      </c>
      <c r="J195" s="172">
        <f t="shared" si="497"/>
        <v>16.448584909715169</v>
      </c>
      <c r="K195" s="172">
        <f t="shared" si="498"/>
        <v>35.36761006018989</v>
      </c>
      <c r="L195" s="443"/>
      <c r="M195" s="217">
        <f t="shared" si="499"/>
        <v>0.46505857052630584</v>
      </c>
      <c r="N195" s="172">
        <f t="shared" si="500"/>
        <v>22.205100281892989</v>
      </c>
      <c r="O195" s="172">
        <f t="shared" si="438"/>
        <v>13.6</v>
      </c>
      <c r="P195" s="217">
        <f t="shared" si="501"/>
        <v>1.3878187676183118</v>
      </c>
      <c r="Q195" s="217">
        <f t="shared" si="502"/>
        <v>16</v>
      </c>
      <c r="R195" s="217"/>
      <c r="S195" s="172">
        <f t="shared" si="503"/>
        <v>36.927899815411337</v>
      </c>
      <c r="T195" s="536">
        <f t="shared" si="504"/>
        <v>16</v>
      </c>
      <c r="U195" s="217">
        <f t="shared" si="505"/>
        <v>3.1779180043552744</v>
      </c>
      <c r="V195" s="217">
        <f t="shared" si="506"/>
        <v>2.0156966730025414</v>
      </c>
      <c r="W195" s="217">
        <f t="shared" si="507"/>
        <v>2.3184374985193577</v>
      </c>
      <c r="X195" s="197">
        <f t="shared" si="508"/>
        <v>350</v>
      </c>
      <c r="Y195" s="443">
        <f t="shared" si="509"/>
        <v>220.54927405563436</v>
      </c>
      <c r="AA195" s="217">
        <f t="shared" si="510"/>
        <v>2.0949433883217932</v>
      </c>
      <c r="AB195" s="173">
        <f t="shared" si="511"/>
        <v>1.5283576549501996</v>
      </c>
      <c r="AC195" s="173">
        <f t="shared" si="512"/>
        <v>0.56031898374006117</v>
      </c>
      <c r="AD195" s="173"/>
      <c r="AE195" s="173">
        <f t="shared" si="513"/>
        <v>0.72954604094315345</v>
      </c>
      <c r="AF195" s="545">
        <f t="shared" si="514"/>
        <v>2330.2161955429829</v>
      </c>
      <c r="AG195" s="528">
        <f t="shared" si="515"/>
        <v>0.12767055716505182</v>
      </c>
      <c r="AI195" s="173">
        <f t="shared" si="516"/>
        <v>2.5802636606932703</v>
      </c>
      <c r="AJ195" s="173">
        <f t="shared" si="517"/>
        <v>3.1779180043552744</v>
      </c>
      <c r="AK195" s="173">
        <f t="shared" si="518"/>
        <v>2.8132725958187219</v>
      </c>
      <c r="AM195" s="545">
        <f t="shared" si="519"/>
        <v>850</v>
      </c>
      <c r="AN195" s="460">
        <f t="shared" si="520"/>
        <v>220.54927405563436</v>
      </c>
      <c r="AP195">
        <f t="shared" si="521"/>
        <v>850</v>
      </c>
      <c r="AQ195">
        <f t="shared" si="522"/>
        <v>220.54927405563436</v>
      </c>
      <c r="AS195" s="5">
        <f t="shared" si="439"/>
        <v>4.5341341715218997</v>
      </c>
      <c r="AT195" s="5">
        <f t="shared" si="523"/>
        <v>2.0156966730025414</v>
      </c>
      <c r="AU195" s="5">
        <f t="shared" si="478"/>
        <v>2.5184374985193583</v>
      </c>
      <c r="AV195" s="5"/>
      <c r="AW195" s="173">
        <f t="shared" si="479"/>
        <v>0.44456043794706784</v>
      </c>
      <c r="AX195" s="173">
        <f t="shared" si="435"/>
        <v>13.3641782007729</v>
      </c>
      <c r="AY195" s="173">
        <f t="shared" si="436"/>
        <v>0.88257069228961094</v>
      </c>
      <c r="AZ195" s="173">
        <f t="shared" si="440"/>
        <v>15.142331733340081</v>
      </c>
      <c r="BA195" s="460">
        <f t="shared" si="594"/>
        <v>10.708388575326001</v>
      </c>
      <c r="BB195" s="5">
        <f t="shared" si="595"/>
        <v>1.5086555159619244</v>
      </c>
      <c r="BD195" s="173">
        <f t="shared" si="441"/>
        <v>1.2233408159787285</v>
      </c>
      <c r="BE195" s="173">
        <f t="shared" si="437"/>
        <v>1.3674153948583567</v>
      </c>
      <c r="BG195" s="528">
        <f t="shared" si="480"/>
        <v>2.9931255040790021E-2</v>
      </c>
      <c r="BH195" s="528">
        <f t="shared" si="524"/>
        <v>0.45239406900262075</v>
      </c>
      <c r="BI195" s="528">
        <f t="shared" si="525"/>
        <v>9.5969277043882209E-2</v>
      </c>
      <c r="BJ195" s="528">
        <f t="shared" si="481"/>
        <v>0.1358699122191547</v>
      </c>
      <c r="BK195">
        <f t="shared" si="482"/>
        <v>8.5135613177136221E-3</v>
      </c>
      <c r="BL195" s="460">
        <f t="shared" si="588"/>
        <v>104.48283836159582</v>
      </c>
      <c r="BM195" s="528">
        <f t="shared" si="526"/>
        <v>0.63076244709737439</v>
      </c>
      <c r="BN195" s="460">
        <f t="shared" si="527"/>
        <v>630.76244709737443</v>
      </c>
      <c r="BO195" s="528">
        <f t="shared" si="483"/>
        <v>0.59499999999999997</v>
      </c>
      <c r="BR195" s="460">
        <f t="shared" si="484"/>
        <v>595</v>
      </c>
      <c r="BS195" s="528">
        <f t="shared" si="485"/>
        <v>4.4896882561185028E-2</v>
      </c>
      <c r="BT195" s="528">
        <f t="shared" si="486"/>
        <v>5.6094745862869069E-2</v>
      </c>
      <c r="BU195" s="528">
        <f t="shared" si="487"/>
        <v>0.65026563714305652</v>
      </c>
      <c r="BV195" s="528"/>
      <c r="BW195" s="528">
        <f t="shared" si="488"/>
        <v>1.113681516731075E-2</v>
      </c>
      <c r="BX195" s="460">
        <f t="shared" si="489"/>
        <v>762.39408073442144</v>
      </c>
      <c r="BY195" s="173">
        <f t="shared" si="490"/>
        <v>2.0800721553585828</v>
      </c>
      <c r="BZ195" s="5">
        <f t="shared" si="491"/>
        <v>13.6</v>
      </c>
      <c r="CA195" s="173">
        <f t="shared" si="492"/>
        <v>0.86734294748460528</v>
      </c>
      <c r="CB195" s="5">
        <f t="shared" si="493"/>
        <v>86.734294748460528</v>
      </c>
      <c r="CE195" s="562">
        <f t="shared" si="528"/>
        <v>-50</v>
      </c>
      <c r="CF195">
        <f t="shared" si="529"/>
        <v>-50</v>
      </c>
      <c r="CG195" s="173">
        <f t="shared" si="530"/>
        <v>0.52485432512881947</v>
      </c>
      <c r="CI195" s="170">
        <v>85</v>
      </c>
      <c r="CJ195" s="217">
        <f t="shared" si="589"/>
        <v>0.85</v>
      </c>
      <c r="CK195" s="217"/>
      <c r="CL195" s="217">
        <f t="shared" si="531"/>
        <v>13.6</v>
      </c>
      <c r="CM195" s="541">
        <f t="shared" si="532"/>
        <v>19</v>
      </c>
      <c r="CN195" s="443">
        <f t="shared" si="533"/>
        <v>16.399999999999999</v>
      </c>
      <c r="CO195" s="443">
        <f t="shared" si="534"/>
        <v>35.4</v>
      </c>
      <c r="CP195" s="443"/>
      <c r="CQ195" s="217">
        <f t="shared" si="535"/>
        <v>0.4632768361581921</v>
      </c>
      <c r="CR195" s="172">
        <f t="shared" si="590"/>
        <v>22.214703389830511</v>
      </c>
      <c r="CS195" s="172">
        <f t="shared" si="536"/>
        <v>13.6</v>
      </c>
      <c r="CT195" s="217">
        <f t="shared" si="537"/>
        <v>1.3884189618644069</v>
      </c>
      <c r="CU195" s="217">
        <f t="shared" si="538"/>
        <v>16</v>
      </c>
      <c r="CV195" s="217"/>
      <c r="CW195" s="172">
        <f t="shared" si="539"/>
        <v>37.085100165180414</v>
      </c>
      <c r="CX195" s="536">
        <f t="shared" si="540"/>
        <v>16</v>
      </c>
      <c r="CY195" s="217">
        <f t="shared" si="541"/>
        <v>3.0901155327342744</v>
      </c>
      <c r="CZ195" s="217">
        <f t="shared" si="542"/>
        <v>1.9516519154111207</v>
      </c>
      <c r="DA195" s="217">
        <f t="shared" si="543"/>
        <v>2.2610601459031279</v>
      </c>
      <c r="DB195" s="197">
        <f t="shared" si="544"/>
        <v>350</v>
      </c>
      <c r="DC195" s="443">
        <f t="shared" si="545"/>
        <v>237.37677425976935</v>
      </c>
      <c r="DE195" s="217">
        <f t="shared" si="546"/>
        <v>2.0957761635727734</v>
      </c>
      <c r="DF195" s="173">
        <f t="shared" si="547"/>
        <v>1.5334947538337369</v>
      </c>
      <c r="DG195" s="173">
        <f t="shared" si="548"/>
        <v>0.5624258066085126</v>
      </c>
      <c r="DH195" s="173"/>
      <c r="DI195" s="173">
        <f t="shared" si="549"/>
        <v>0.73170731707317083</v>
      </c>
      <c r="DJ195" s="545">
        <f t="shared" si="550"/>
        <v>2323.333333333333</v>
      </c>
      <c r="DK195" s="528">
        <f t="shared" si="551"/>
        <v>0.12804878048780488</v>
      </c>
      <c r="DM195" s="173">
        <f t="shared" si="552"/>
        <v>2.5764501233470907</v>
      </c>
      <c r="DN195" s="173">
        <f t="shared" si="553"/>
        <v>3.0901155327342744</v>
      </c>
      <c r="DO195" s="173">
        <f t="shared" si="554"/>
        <v>2.7482337279513143</v>
      </c>
      <c r="DQ195" s="545">
        <f t="shared" si="555"/>
        <v>850</v>
      </c>
      <c r="DR195" s="460">
        <f t="shared" si="556"/>
        <v>237.37677425976935</v>
      </c>
      <c r="DT195">
        <f t="shared" si="591"/>
        <v>850</v>
      </c>
      <c r="DU195">
        <f t="shared" si="592"/>
        <v>237.37677425976935</v>
      </c>
      <c r="DW195" s="5">
        <f t="shared" si="557"/>
        <v>4.2127120613142486</v>
      </c>
      <c r="DX195" s="5">
        <f t="shared" si="558"/>
        <v>1.9516519154111207</v>
      </c>
      <c r="DY195" s="5">
        <f t="shared" si="559"/>
        <v>2.2610601459031279</v>
      </c>
      <c r="DZ195" s="5"/>
      <c r="EA195" s="173">
        <f t="shared" si="560"/>
        <v>0.46327683615819204</v>
      </c>
      <c r="EB195" s="173">
        <f t="shared" si="561"/>
        <v>13.599999999999998</v>
      </c>
      <c r="EC195" s="173">
        <f t="shared" si="562"/>
        <v>0.82926829268292679</v>
      </c>
      <c r="ED195" s="173">
        <f t="shared" si="563"/>
        <v>16.399999999999999</v>
      </c>
      <c r="EE195" s="460">
        <f t="shared" si="564"/>
        <v>10.36815080062158</v>
      </c>
      <c r="EF195" s="5">
        <f t="shared" si="565"/>
        <v>1.3487025431702866</v>
      </c>
      <c r="EH195" s="173">
        <f t="shared" si="566"/>
        <v>1.214323452462116</v>
      </c>
      <c r="EI195" s="173">
        <f t="shared" si="567"/>
        <v>1.3070411449844885</v>
      </c>
      <c r="EK195" s="528">
        <f t="shared" si="568"/>
        <v>2.949162894399026E-2</v>
      </c>
      <c r="EL195" s="528">
        <f t="shared" si="569"/>
        <v>0.49336666666666668</v>
      </c>
      <c r="EM195" s="528">
        <f t="shared" si="570"/>
        <v>2.7298329039873479E-2</v>
      </c>
      <c r="EN195" s="528">
        <f t="shared" si="571"/>
        <v>0.14650450612745097</v>
      </c>
      <c r="EO195">
        <f t="shared" si="572"/>
        <v>8.5500000000000003E-3</v>
      </c>
      <c r="EP195" s="460">
        <f t="shared" si="573"/>
        <v>35.848329039873477</v>
      </c>
      <c r="EQ195" s="460"/>
      <c r="ER195" s="460">
        <f t="shared" si="593"/>
        <v>705.21113077798123</v>
      </c>
      <c r="ES195" s="528">
        <f t="shared" si="574"/>
        <v>0.59499999999999997</v>
      </c>
      <c r="EV195" s="460">
        <f t="shared" si="494"/>
        <v>595</v>
      </c>
      <c r="EW195" s="528">
        <f t="shared" si="575"/>
        <v>4.4237443415985386E-2</v>
      </c>
      <c r="EX195" s="528">
        <f t="shared" si="576"/>
        <v>5.1250696640470876E-2</v>
      </c>
      <c r="EY195" s="528">
        <f t="shared" si="577"/>
        <v>0.72862212829464357</v>
      </c>
      <c r="EZ195" s="528"/>
      <c r="FA195" s="528">
        <f t="shared" si="578"/>
        <v>1.1333333333333332E-2</v>
      </c>
      <c r="FB195" s="460">
        <f t="shared" si="579"/>
        <v>835.44360168443313</v>
      </c>
      <c r="FC195" s="173">
        <f t="shared" si="580"/>
        <v>2.1356547324624144</v>
      </c>
      <c r="FD195" s="5">
        <f t="shared" si="581"/>
        <v>13.6</v>
      </c>
      <c r="FE195" s="173">
        <f t="shared" si="582"/>
        <v>0.86427925823406693</v>
      </c>
      <c r="FF195" s="5">
        <f t="shared" si="583"/>
        <v>86.427925823406696</v>
      </c>
      <c r="FI195" s="562">
        <f t="shared" si="584"/>
        <v>-50</v>
      </c>
      <c r="FJ195">
        <f t="shared" si="585"/>
        <v>-50</v>
      </c>
      <c r="FL195">
        <f t="shared" si="586"/>
        <v>0.53672316384180796</v>
      </c>
    </row>
    <row r="196" spans="5:168">
      <c r="E196" s="170">
        <v>86</v>
      </c>
      <c r="F196" s="217">
        <f t="shared" si="587"/>
        <v>0.86</v>
      </c>
      <c r="G196" s="217"/>
      <c r="H196" s="217">
        <f t="shared" si="495"/>
        <v>13.76</v>
      </c>
      <c r="I196" s="541">
        <f t="shared" si="496"/>
        <v>18.918094042249734</v>
      </c>
      <c r="J196" s="172">
        <f t="shared" si="497"/>
        <v>16.449143574650158</v>
      </c>
      <c r="K196" s="172">
        <f t="shared" si="498"/>
        <v>35.367237616899892</v>
      </c>
      <c r="L196" s="443"/>
      <c r="M196" s="217">
        <f t="shared" si="499"/>
        <v>0.4650792689536048</v>
      </c>
      <c r="N196" s="172">
        <f t="shared" si="500"/>
        <v>22.204995684907804</v>
      </c>
      <c r="O196" s="172">
        <f t="shared" si="438"/>
        <v>13.76</v>
      </c>
      <c r="P196" s="217">
        <f t="shared" si="501"/>
        <v>1.3878122303067377</v>
      </c>
      <c r="Q196" s="217">
        <f t="shared" si="502"/>
        <v>16</v>
      </c>
      <c r="R196" s="217"/>
      <c r="S196" s="172">
        <f t="shared" si="503"/>
        <v>36.282654641153989</v>
      </c>
      <c r="T196" s="536">
        <f t="shared" si="504"/>
        <v>16</v>
      </c>
      <c r="U196" s="217">
        <f t="shared" si="505"/>
        <v>3.2154296892464616</v>
      </c>
      <c r="V196" s="217">
        <f t="shared" si="506"/>
        <v>2.0395900445777149</v>
      </c>
      <c r="W196" s="217">
        <f t="shared" si="507"/>
        <v>2.345724328798569</v>
      </c>
      <c r="X196" s="197">
        <f t="shared" si="508"/>
        <v>350</v>
      </c>
      <c r="Y196" s="443">
        <f t="shared" si="509"/>
        <v>218.08755487002182</v>
      </c>
      <c r="AA196" s="217">
        <f t="shared" si="510"/>
        <v>2.0949334955437902</v>
      </c>
      <c r="AB196" s="173">
        <f t="shared" si="511"/>
        <v>1.5282985300990144</v>
      </c>
      <c r="AC196" s="173">
        <f t="shared" si="512"/>
        <v>0.56029466183158372</v>
      </c>
      <c r="AD196" s="173"/>
      <c r="AE196" s="173">
        <f t="shared" si="513"/>
        <v>0.72952126325246802</v>
      </c>
      <c r="AF196" s="545">
        <f t="shared" si="514"/>
        <v>2357.7105790331889</v>
      </c>
      <c r="AG196" s="528">
        <f t="shared" si="515"/>
        <v>0.12766622106918191</v>
      </c>
      <c r="AI196" s="173">
        <f t="shared" si="516"/>
        <v>2.5954413767401538</v>
      </c>
      <c r="AJ196" s="173">
        <f t="shared" si="517"/>
        <v>3.2154296892464616</v>
      </c>
      <c r="AK196" s="173">
        <f t="shared" si="518"/>
        <v>2.8410590290714532</v>
      </c>
      <c r="AM196" s="545">
        <f t="shared" si="519"/>
        <v>860</v>
      </c>
      <c r="AN196" s="460">
        <f t="shared" si="520"/>
        <v>218.08755487002182</v>
      </c>
      <c r="AP196">
        <f t="shared" si="521"/>
        <v>860</v>
      </c>
      <c r="AQ196">
        <f t="shared" si="522"/>
        <v>218.08755487002182</v>
      </c>
      <c r="AS196" s="5">
        <f t="shared" si="439"/>
        <v>4.585314373376284</v>
      </c>
      <c r="AT196" s="5">
        <f t="shared" si="523"/>
        <v>2.0395900445777149</v>
      </c>
      <c r="AU196" s="5">
        <f t="shared" si="478"/>
        <v>2.5457243287985691</v>
      </c>
      <c r="AV196" s="5"/>
      <c r="AW196" s="173">
        <f t="shared" si="479"/>
        <v>0.44480920575919264</v>
      </c>
      <c r="AX196" s="173">
        <f t="shared" si="435"/>
        <v>13.528827789674192</v>
      </c>
      <c r="AY196" s="173">
        <f t="shared" si="436"/>
        <v>0.89258848149910774</v>
      </c>
      <c r="AZ196" s="173">
        <f t="shared" si="440"/>
        <v>15.156847830875483</v>
      </c>
      <c r="BA196" s="460">
        <f t="shared" si="594"/>
        <v>10.962796489605218</v>
      </c>
      <c r="BB196" s="5">
        <f t="shared" si="595"/>
        <v>1.5430186697647654</v>
      </c>
      <c r="BD196" s="173">
        <f t="shared" si="441"/>
        <v>1.23812722543691</v>
      </c>
      <c r="BE196" s="173">
        <f t="shared" si="437"/>
        <v>1.3832463033727693</v>
      </c>
      <c r="BG196" s="528">
        <f t="shared" si="480"/>
        <v>3.065918052736202E-2</v>
      </c>
      <c r="BH196" s="528">
        <f t="shared" si="524"/>
        <v>0.45262017670929833</v>
      </c>
      <c r="BI196" s="528">
        <f t="shared" si="525"/>
        <v>9.4893420066933548E-2</v>
      </c>
      <c r="BJ196" s="528">
        <f t="shared" si="481"/>
        <v>0.13435053454069867</v>
      </c>
      <c r="BK196">
        <f t="shared" si="482"/>
        <v>8.5131423190123803E-3</v>
      </c>
      <c r="BL196" s="460">
        <f t="shared" si="588"/>
        <v>103.40656238594592</v>
      </c>
      <c r="BM196" s="528">
        <f t="shared" si="526"/>
        <v>0.6305008302935472</v>
      </c>
      <c r="BN196" s="460">
        <f t="shared" si="527"/>
        <v>630.50083029354721</v>
      </c>
      <c r="BO196" s="528">
        <f t="shared" si="483"/>
        <v>0.60199999999999998</v>
      </c>
      <c r="BR196" s="460">
        <f t="shared" si="484"/>
        <v>602</v>
      </c>
      <c r="BS196" s="528">
        <f t="shared" si="485"/>
        <v>4.5988770791043028E-2</v>
      </c>
      <c r="BT196" s="528">
        <f t="shared" si="486"/>
        <v>5.7401110073832938E-2</v>
      </c>
      <c r="BU196" s="528">
        <f t="shared" si="487"/>
        <v>0.65109559377442916</v>
      </c>
      <c r="BV196" s="528"/>
      <c r="BW196" s="528">
        <f t="shared" si="488"/>
        <v>1.1274023158061829E-2</v>
      </c>
      <c r="BX196" s="460">
        <f t="shared" si="489"/>
        <v>765.75949779736698</v>
      </c>
      <c r="BY196" s="173">
        <f t="shared" si="490"/>
        <v>2.0887959519606718</v>
      </c>
      <c r="BZ196" s="5">
        <f t="shared" si="491"/>
        <v>13.76</v>
      </c>
      <c r="CA196" s="173">
        <f t="shared" si="492"/>
        <v>0.8682047545888012</v>
      </c>
      <c r="CB196" s="5">
        <f t="shared" si="493"/>
        <v>86.820475458880125</v>
      </c>
      <c r="CE196" s="562">
        <f t="shared" si="528"/>
        <v>-50</v>
      </c>
      <c r="CF196">
        <f t="shared" si="529"/>
        <v>-50</v>
      </c>
      <c r="CG196" s="173">
        <f t="shared" si="530"/>
        <v>0.52499233488129615</v>
      </c>
      <c r="CI196" s="170">
        <v>86</v>
      </c>
      <c r="CJ196" s="217">
        <f t="shared" si="589"/>
        <v>0.86</v>
      </c>
      <c r="CK196" s="217"/>
      <c r="CL196" s="217">
        <f t="shared" si="531"/>
        <v>13.76</v>
      </c>
      <c r="CM196" s="541">
        <f t="shared" si="532"/>
        <v>19</v>
      </c>
      <c r="CN196" s="443">
        <f t="shared" si="533"/>
        <v>16.399999999999999</v>
      </c>
      <c r="CO196" s="443">
        <f t="shared" si="534"/>
        <v>35.4</v>
      </c>
      <c r="CP196" s="443"/>
      <c r="CQ196" s="217">
        <f t="shared" si="535"/>
        <v>0.4632768361581921</v>
      </c>
      <c r="CR196" s="172">
        <f t="shared" si="590"/>
        <v>22.214703389830511</v>
      </c>
      <c r="CS196" s="172">
        <f t="shared" si="536"/>
        <v>13.76</v>
      </c>
      <c r="CT196" s="217">
        <f t="shared" si="537"/>
        <v>1.3884189618644069</v>
      </c>
      <c r="CU196" s="217">
        <f t="shared" si="538"/>
        <v>16</v>
      </c>
      <c r="CV196" s="217"/>
      <c r="CW196" s="172">
        <f t="shared" si="539"/>
        <v>36.438862014961693</v>
      </c>
      <c r="CX196" s="536">
        <f t="shared" si="540"/>
        <v>16</v>
      </c>
      <c r="CY196" s="217">
        <f t="shared" si="541"/>
        <v>3.1264698331193834</v>
      </c>
      <c r="CZ196" s="217">
        <f t="shared" si="542"/>
        <v>1.9746125261806633</v>
      </c>
      <c r="DA196" s="217">
        <f t="shared" si="543"/>
        <v>2.287660853501988</v>
      </c>
      <c r="DB196" s="197">
        <f t="shared" si="544"/>
        <v>350</v>
      </c>
      <c r="DC196" s="443">
        <f t="shared" si="545"/>
        <v>234.61657921023718</v>
      </c>
      <c r="DE196" s="217">
        <f t="shared" si="546"/>
        <v>2.0957761635727734</v>
      </c>
      <c r="DF196" s="173">
        <f t="shared" si="547"/>
        <v>1.5334947538337369</v>
      </c>
      <c r="DG196" s="173">
        <f t="shared" si="548"/>
        <v>0.5624258066085126</v>
      </c>
      <c r="DH196" s="173"/>
      <c r="DI196" s="173">
        <f t="shared" si="549"/>
        <v>0.73170731707317083</v>
      </c>
      <c r="DJ196" s="545">
        <f t="shared" si="550"/>
        <v>2350.6666666666665</v>
      </c>
      <c r="DK196" s="528">
        <f t="shared" si="551"/>
        <v>0.12804878048780488</v>
      </c>
      <c r="DM196" s="173">
        <f t="shared" si="552"/>
        <v>2.5915613973414704</v>
      </c>
      <c r="DN196" s="173">
        <f t="shared" si="553"/>
        <v>3.1264698331193834</v>
      </c>
      <c r="DO196" s="173">
        <f t="shared" si="554"/>
        <v>2.7751628393476917</v>
      </c>
      <c r="DQ196" s="545">
        <f t="shared" si="555"/>
        <v>860</v>
      </c>
      <c r="DR196" s="460">
        <f t="shared" si="556"/>
        <v>234.61657921023718</v>
      </c>
      <c r="DT196">
        <f t="shared" si="591"/>
        <v>860</v>
      </c>
      <c r="DU196">
        <f t="shared" si="592"/>
        <v>234.61657921023718</v>
      </c>
      <c r="DW196" s="5">
        <f t="shared" si="557"/>
        <v>4.2622733796826511</v>
      </c>
      <c r="DX196" s="5">
        <f t="shared" si="558"/>
        <v>1.9746125261806633</v>
      </c>
      <c r="DY196" s="5">
        <f t="shared" si="559"/>
        <v>2.287660853501988</v>
      </c>
      <c r="DZ196" s="5"/>
      <c r="EA196" s="173">
        <f t="shared" si="560"/>
        <v>0.4632768361581921</v>
      </c>
      <c r="EB196" s="173">
        <f t="shared" si="561"/>
        <v>13.759999999999998</v>
      </c>
      <c r="EC196" s="173">
        <f t="shared" si="562"/>
        <v>0.83902439024390241</v>
      </c>
      <c r="ED196" s="173">
        <f t="shared" si="563"/>
        <v>16.399999999999999</v>
      </c>
      <c r="EE196" s="460">
        <f t="shared" si="564"/>
        <v>10.613542328221065</v>
      </c>
      <c r="EF196" s="5">
        <f t="shared" si="565"/>
        <v>1.3806233922889188</v>
      </c>
      <c r="EH196" s="173">
        <f t="shared" si="566"/>
        <v>1.2286096107263762</v>
      </c>
      <c r="EI196" s="173">
        <f t="shared" si="567"/>
        <v>1.3224180996313648</v>
      </c>
      <c r="EK196" s="528">
        <f t="shared" si="568"/>
        <v>3.0189631511384353E-2</v>
      </c>
      <c r="EL196" s="528">
        <f t="shared" si="569"/>
        <v>0.49336666666666673</v>
      </c>
      <c r="EM196" s="528">
        <f t="shared" si="570"/>
        <v>2.6980906609177277E-2</v>
      </c>
      <c r="EN196" s="528">
        <f t="shared" si="571"/>
        <v>0.14480096535852713</v>
      </c>
      <c r="EO196">
        <f t="shared" si="572"/>
        <v>8.5500000000000003E-3</v>
      </c>
      <c r="EP196" s="460">
        <f t="shared" si="573"/>
        <v>35.530906609177279</v>
      </c>
      <c r="EQ196" s="460"/>
      <c r="ER196" s="460">
        <f t="shared" si="593"/>
        <v>703.88817014575545</v>
      </c>
      <c r="ES196" s="528">
        <f t="shared" si="574"/>
        <v>0.60199999999999998</v>
      </c>
      <c r="EV196" s="460">
        <f t="shared" si="494"/>
        <v>602</v>
      </c>
      <c r="EW196" s="528">
        <f t="shared" si="575"/>
        <v>4.5284447267076526E-2</v>
      </c>
      <c r="EX196" s="528">
        <f t="shared" si="576"/>
        <v>5.2463688906978903E-2</v>
      </c>
      <c r="EY196" s="528">
        <f t="shared" si="577"/>
        <v>0.72862212829464479</v>
      </c>
      <c r="EZ196" s="528"/>
      <c r="FA196" s="528">
        <f t="shared" si="578"/>
        <v>1.1466666666666665E-2</v>
      </c>
      <c r="FB196" s="460">
        <f t="shared" si="579"/>
        <v>837.83693113536685</v>
      </c>
      <c r="FC196" s="173">
        <f t="shared" si="580"/>
        <v>2.1437251012811225</v>
      </c>
      <c r="FD196" s="5">
        <f t="shared" si="581"/>
        <v>13.76</v>
      </c>
      <c r="FE196" s="173">
        <f t="shared" si="582"/>
        <v>0.86520610186424596</v>
      </c>
      <c r="FF196" s="5">
        <f t="shared" si="583"/>
        <v>86.520610186424591</v>
      </c>
      <c r="FI196" s="562">
        <f t="shared" si="584"/>
        <v>-50</v>
      </c>
      <c r="FJ196">
        <f t="shared" si="585"/>
        <v>-50</v>
      </c>
      <c r="FL196">
        <f t="shared" si="586"/>
        <v>0.53672316384180796</v>
      </c>
    </row>
    <row r="197" spans="5:168">
      <c r="E197" s="170">
        <v>87</v>
      </c>
      <c r="F197" s="217">
        <f t="shared" si="587"/>
        <v>0.87</v>
      </c>
      <c r="G197" s="217"/>
      <c r="H197" s="217">
        <f t="shared" si="495"/>
        <v>13.92</v>
      </c>
      <c r="I197" s="541">
        <f t="shared" si="496"/>
        <v>18.917162922964593</v>
      </c>
      <c r="J197" s="172">
        <f t="shared" si="497"/>
        <v>16.449702246221243</v>
      </c>
      <c r="K197" s="172">
        <f t="shared" si="498"/>
        <v>35.366865169185836</v>
      </c>
      <c r="L197" s="443"/>
      <c r="M197" s="217">
        <f t="shared" si="499"/>
        <v>0.46509996796198416</v>
      </c>
      <c r="N197" s="172">
        <f t="shared" si="500"/>
        <v>22.20489100540448</v>
      </c>
      <c r="O197" s="172">
        <f t="shared" si="438"/>
        <v>13.92</v>
      </c>
      <c r="P197" s="217">
        <f t="shared" si="501"/>
        <v>1.38780568783778</v>
      </c>
      <c r="Q197" s="217">
        <f t="shared" si="502"/>
        <v>16</v>
      </c>
      <c r="R197" s="217"/>
      <c r="S197" s="172">
        <f t="shared" si="503"/>
        <v>35.652385930257964</v>
      </c>
      <c r="T197" s="536">
        <f t="shared" si="504"/>
        <v>16</v>
      </c>
      <c r="U197" s="217">
        <f t="shared" si="505"/>
        <v>3.2529442807667226</v>
      </c>
      <c r="V197" s="217">
        <f t="shared" si="506"/>
        <v>2.0634876132410698</v>
      </c>
      <c r="W197" s="217">
        <f t="shared" si="507"/>
        <v>2.3730114250650165</v>
      </c>
      <c r="X197" s="197">
        <f t="shared" si="508"/>
        <v>350</v>
      </c>
      <c r="Y197" s="443">
        <f t="shared" si="509"/>
        <v>215.67997571834786</v>
      </c>
      <c r="AA197" s="217">
        <f t="shared" si="510"/>
        <v>2.0949235954359566</v>
      </c>
      <c r="AB197" s="173">
        <f t="shared" si="511"/>
        <v>1.5282394033002225</v>
      </c>
      <c r="AC197" s="173">
        <f t="shared" si="512"/>
        <v>0.56027033745350552</v>
      </c>
      <c r="AD197" s="173"/>
      <c r="AE197" s="173">
        <f t="shared" si="513"/>
        <v>0.72949648695049119</v>
      </c>
      <c r="AF197" s="545">
        <f t="shared" si="514"/>
        <v>2385.2068257020801</v>
      </c>
      <c r="AG197" s="528">
        <f t="shared" si="515"/>
        <v>0.12766188521633598</v>
      </c>
      <c r="AI197" s="173">
        <f t="shared" si="516"/>
        <v>2.6105318701105884</v>
      </c>
      <c r="AJ197" s="173">
        <f t="shared" si="517"/>
        <v>3.2529442807667226</v>
      </c>
      <c r="AK197" s="173">
        <f t="shared" si="518"/>
        <v>2.8688476153827573</v>
      </c>
      <c r="AM197" s="545">
        <f t="shared" si="519"/>
        <v>870</v>
      </c>
      <c r="AN197" s="460">
        <f t="shared" si="520"/>
        <v>215.67997571834786</v>
      </c>
      <c r="AP197">
        <f t="shared" si="521"/>
        <v>870</v>
      </c>
      <c r="AQ197">
        <f t="shared" si="522"/>
        <v>215.67997571834786</v>
      </c>
      <c r="AS197" s="5">
        <f t="shared" si="439"/>
        <v>4.6364990383060869</v>
      </c>
      <c r="AT197" s="5">
        <f t="shared" si="523"/>
        <v>2.0634876132410698</v>
      </c>
      <c r="AU197" s="5">
        <f t="shared" si="478"/>
        <v>2.5730114250650171</v>
      </c>
      <c r="AV197" s="5"/>
      <c r="AW197" s="173">
        <f t="shared" si="479"/>
        <v>0.44505295831894548</v>
      </c>
      <c r="AX197" s="173">
        <f t="shared" ref="AX197:AX210" si="596">0.5*L*AJ197^2*AN197*1000</f>
        <v>13.693495553022519</v>
      </c>
      <c r="AY197" s="173">
        <f t="shared" ref="AY197:AY210" si="597">AJ197*Nps/2*(1-AW197)</f>
        <v>0.90260590268239904</v>
      </c>
      <c r="AZ197" s="173">
        <f t="shared" si="440"/>
        <v>15.17106802905638</v>
      </c>
      <c r="BA197" s="460">
        <f t="shared" si="594"/>
        <v>11.220213896998317</v>
      </c>
      <c r="BB197" s="5">
        <f t="shared" si="595"/>
        <v>1.5777700203935627</v>
      </c>
      <c r="BD197" s="173">
        <f t="shared" si="441"/>
        <v>1.2529156763244871</v>
      </c>
      <c r="BE197" s="173">
        <f t="shared" ref="BE197:BE210" si="598">AJ197*Nps*SQRT((1-AW197)/3)</f>
        <v>1.3990774838959645</v>
      </c>
      <c r="BG197" s="528">
        <f t="shared" si="480"/>
        <v>3.1395953839592934E-2</v>
      </c>
      <c r="BH197" s="528">
        <f t="shared" si="524"/>
        <v>0.45284115129802271</v>
      </c>
      <c r="BI197" s="528">
        <f t="shared" si="525"/>
        <v>9.3841224517355784E-2</v>
      </c>
      <c r="BJ197" s="528">
        <f t="shared" si="481"/>
        <v>0.13286457243255054</v>
      </c>
      <c r="BK197">
        <f t="shared" si="482"/>
        <v>8.512723315334066E-3</v>
      </c>
      <c r="BL197" s="460">
        <f t="shared" si="588"/>
        <v>102.35394783268985</v>
      </c>
      <c r="BM197" s="528">
        <f t="shared" si="526"/>
        <v>0.63028027339465054</v>
      </c>
      <c r="BN197" s="460">
        <f t="shared" si="527"/>
        <v>630.28027339465052</v>
      </c>
      <c r="BO197" s="528">
        <f t="shared" si="483"/>
        <v>0.60899999999999999</v>
      </c>
      <c r="BR197" s="460">
        <f t="shared" si="484"/>
        <v>609</v>
      </c>
      <c r="BS197" s="528">
        <f t="shared" si="485"/>
        <v>4.7093930759389405E-2</v>
      </c>
      <c r="BT197" s="528">
        <f t="shared" si="486"/>
        <v>5.8722534178339884E-2</v>
      </c>
      <c r="BU197" s="528">
        <f t="shared" si="487"/>
        <v>0.65190772918649598</v>
      </c>
      <c r="BV197" s="528"/>
      <c r="BW197" s="528">
        <f t="shared" si="488"/>
        <v>1.1411246294185431E-2</v>
      </c>
      <c r="BX197" s="460">
        <f t="shared" si="489"/>
        <v>769.13544041841067</v>
      </c>
      <c r="BY197" s="173">
        <f t="shared" si="490"/>
        <v>2.0975910658212666</v>
      </c>
      <c r="BZ197" s="5">
        <f t="shared" si="491"/>
        <v>13.92</v>
      </c>
      <c r="CA197" s="173">
        <f t="shared" si="492"/>
        <v>0.86904453627255096</v>
      </c>
      <c r="CB197" s="5">
        <f t="shared" si="493"/>
        <v>86.904453627255094</v>
      </c>
      <c r="CE197" s="562">
        <f t="shared" si="528"/>
        <v>-50</v>
      </c>
      <c r="CF197">
        <f t="shared" si="529"/>
        <v>-50</v>
      </c>
      <c r="CG197" s="173">
        <f t="shared" si="530"/>
        <v>0.52512717199578485</v>
      </c>
      <c r="CI197" s="170">
        <v>87</v>
      </c>
      <c r="CJ197" s="217">
        <f t="shared" si="589"/>
        <v>0.87</v>
      </c>
      <c r="CK197" s="217"/>
      <c r="CL197" s="217">
        <f t="shared" si="531"/>
        <v>13.92</v>
      </c>
      <c r="CM197" s="541">
        <f t="shared" si="532"/>
        <v>19</v>
      </c>
      <c r="CN197" s="443">
        <f t="shared" si="533"/>
        <v>16.399999999999999</v>
      </c>
      <c r="CO197" s="443">
        <f t="shared" si="534"/>
        <v>35.4</v>
      </c>
      <c r="CP197" s="443"/>
      <c r="CQ197" s="217">
        <f t="shared" si="535"/>
        <v>0.4632768361581921</v>
      </c>
      <c r="CR197" s="172">
        <f t="shared" si="590"/>
        <v>22.214703389830511</v>
      </c>
      <c r="CS197" s="172">
        <f t="shared" si="536"/>
        <v>13.92</v>
      </c>
      <c r="CT197" s="217">
        <f t="shared" si="537"/>
        <v>1.3884189618644069</v>
      </c>
      <c r="CU197" s="217">
        <f t="shared" si="538"/>
        <v>16</v>
      </c>
      <c r="CV197" s="217"/>
      <c r="CW197" s="172">
        <f t="shared" si="539"/>
        <v>35.807601822693208</v>
      </c>
      <c r="CX197" s="536">
        <f t="shared" si="540"/>
        <v>16</v>
      </c>
      <c r="CY197" s="217">
        <f t="shared" si="541"/>
        <v>3.1628241335044924</v>
      </c>
      <c r="CZ197" s="217">
        <f t="shared" si="542"/>
        <v>1.9975731369502054</v>
      </c>
      <c r="DA197" s="217">
        <f t="shared" si="543"/>
        <v>2.3142615611008486</v>
      </c>
      <c r="DB197" s="197">
        <f t="shared" si="544"/>
        <v>350</v>
      </c>
      <c r="DC197" s="443">
        <f t="shared" si="545"/>
        <v>231.91983692046432</v>
      </c>
      <c r="DE197" s="217">
        <f t="shared" si="546"/>
        <v>2.0957761635727734</v>
      </c>
      <c r="DF197" s="173">
        <f t="shared" si="547"/>
        <v>1.5334947538337369</v>
      </c>
      <c r="DG197" s="173">
        <f t="shared" si="548"/>
        <v>0.5624258066085126</v>
      </c>
      <c r="DH197" s="173"/>
      <c r="DI197" s="173">
        <f t="shared" si="549"/>
        <v>0.73170731707317083</v>
      </c>
      <c r="DJ197" s="545">
        <f t="shared" si="550"/>
        <v>2377.9999999999995</v>
      </c>
      <c r="DK197" s="528">
        <f t="shared" si="551"/>
        <v>0.12804878048780488</v>
      </c>
      <c r="DM197" s="173">
        <f t="shared" si="552"/>
        <v>2.6065850675329427</v>
      </c>
      <c r="DN197" s="173">
        <f t="shared" si="553"/>
        <v>3.1628241335044924</v>
      </c>
      <c r="DO197" s="173">
        <f t="shared" si="554"/>
        <v>2.8020919507440682</v>
      </c>
      <c r="DQ197" s="545">
        <f t="shared" si="555"/>
        <v>870</v>
      </c>
      <c r="DR197" s="460">
        <f t="shared" si="556"/>
        <v>231.91983692046432</v>
      </c>
      <c r="DT197">
        <f t="shared" si="591"/>
        <v>870</v>
      </c>
      <c r="DU197">
        <f t="shared" si="592"/>
        <v>231.91983692046432</v>
      </c>
      <c r="DW197" s="5">
        <f t="shared" si="557"/>
        <v>4.3118346980510545</v>
      </c>
      <c r="DX197" s="5">
        <f t="shared" si="558"/>
        <v>1.9975731369502054</v>
      </c>
      <c r="DY197" s="5">
        <f t="shared" si="559"/>
        <v>2.314261561100849</v>
      </c>
      <c r="DZ197" s="5"/>
      <c r="EA197" s="173">
        <f t="shared" si="560"/>
        <v>0.46327683615819193</v>
      </c>
      <c r="EB197" s="173">
        <f t="shared" si="561"/>
        <v>13.919999999999995</v>
      </c>
      <c r="EC197" s="173">
        <f t="shared" si="562"/>
        <v>0.84878048780487814</v>
      </c>
      <c r="ED197" s="173">
        <f t="shared" si="563"/>
        <v>16.399999999999991</v>
      </c>
      <c r="EE197" s="460">
        <f t="shared" si="564"/>
        <v>10.86180393216674</v>
      </c>
      <c r="EF197" s="5">
        <f t="shared" si="565"/>
        <v>1.4129175846720969</v>
      </c>
      <c r="EH197" s="173">
        <f t="shared" si="566"/>
        <v>1.2428957689906361</v>
      </c>
      <c r="EI197" s="173">
        <f t="shared" si="567"/>
        <v>1.3377950542782413</v>
      </c>
      <c r="EK197" s="528">
        <f t="shared" si="568"/>
        <v>3.0895797851496494E-2</v>
      </c>
      <c r="EL197" s="528">
        <f t="shared" si="569"/>
        <v>0.49336666666666668</v>
      </c>
      <c r="EM197" s="528">
        <f t="shared" si="570"/>
        <v>2.6670781245853401E-2</v>
      </c>
      <c r="EN197" s="528">
        <f t="shared" si="571"/>
        <v>0.14313658644636015</v>
      </c>
      <c r="EO197">
        <f t="shared" si="572"/>
        <v>8.5500000000000003E-3</v>
      </c>
      <c r="EP197" s="460">
        <f t="shared" si="573"/>
        <v>35.220781245853402</v>
      </c>
      <c r="EQ197" s="460"/>
      <c r="ER197" s="460">
        <f t="shared" si="593"/>
        <v>702.61983221037667</v>
      </c>
      <c r="ES197" s="528">
        <f t="shared" si="574"/>
        <v>0.60899999999999999</v>
      </c>
      <c r="EV197" s="460">
        <f t="shared" si="494"/>
        <v>609</v>
      </c>
      <c r="EW197" s="528">
        <f t="shared" si="575"/>
        <v>4.6343696777244738E-2</v>
      </c>
      <c r="EX197" s="528">
        <f t="shared" si="576"/>
        <v>5.3690868217539676E-2</v>
      </c>
      <c r="EY197" s="528">
        <f t="shared" si="577"/>
        <v>0.7286221282946439</v>
      </c>
      <c r="EZ197" s="528"/>
      <c r="FA197" s="528">
        <f t="shared" si="578"/>
        <v>1.1599999999999996E-2</v>
      </c>
      <c r="FB197" s="460">
        <f t="shared" si="579"/>
        <v>840.25669328942831</v>
      </c>
      <c r="FC197" s="173">
        <f t="shared" si="580"/>
        <v>2.1518765254998051</v>
      </c>
      <c r="FD197" s="5">
        <f t="shared" si="581"/>
        <v>13.92</v>
      </c>
      <c r="FE197" s="173">
        <f t="shared" si="582"/>
        <v>0.86610919253357788</v>
      </c>
      <c r="FF197" s="5">
        <f t="shared" si="583"/>
        <v>86.610919253357793</v>
      </c>
      <c r="FI197" s="562">
        <f t="shared" si="584"/>
        <v>-50</v>
      </c>
      <c r="FJ197">
        <f t="shared" si="585"/>
        <v>-50</v>
      </c>
      <c r="FL197">
        <f t="shared" si="586"/>
        <v>0.53672316384180807</v>
      </c>
    </row>
    <row r="198" spans="5:168">
      <c r="E198" s="170">
        <v>88</v>
      </c>
      <c r="F198" s="217">
        <f t="shared" si="587"/>
        <v>0.88</v>
      </c>
      <c r="G198" s="217"/>
      <c r="H198" s="217">
        <f t="shared" si="495"/>
        <v>14.08</v>
      </c>
      <c r="I198" s="541">
        <f t="shared" si="496"/>
        <v>18.91623179300457</v>
      </c>
      <c r="J198" s="172">
        <f t="shared" si="497"/>
        <v>16.450260924197256</v>
      </c>
      <c r="K198" s="172">
        <f t="shared" si="498"/>
        <v>35.366492717201822</v>
      </c>
      <c r="L198" s="443"/>
      <c r="M198" s="217">
        <f t="shared" si="499"/>
        <v>0.46512066754641468</v>
      </c>
      <c r="N198" s="172">
        <f t="shared" si="500"/>
        <v>22.204786243589339</v>
      </c>
      <c r="O198" s="172">
        <f t="shared" ref="O198:O261" si="599">T198*F198</f>
        <v>14.08</v>
      </c>
      <c r="P198" s="217">
        <f t="shared" si="501"/>
        <v>1.3877991402243337</v>
      </c>
      <c r="Q198" s="217">
        <f t="shared" si="502"/>
        <v>16</v>
      </c>
      <c r="R198" s="217"/>
      <c r="S198" s="172">
        <f t="shared" si="503"/>
        <v>35.036585135172487</v>
      </c>
      <c r="T198" s="536">
        <f t="shared" si="504"/>
        <v>16</v>
      </c>
      <c r="U198" s="217">
        <f t="shared" si="505"/>
        <v>3.2904617793448319</v>
      </c>
      <c r="V198" s="217">
        <f t="shared" si="506"/>
        <v>2.0873893798837972</v>
      </c>
      <c r="W198" s="217">
        <f t="shared" si="507"/>
        <v>2.4002987876050854</v>
      </c>
      <c r="X198" s="197">
        <f t="shared" si="508"/>
        <v>350</v>
      </c>
      <c r="Y198" s="443">
        <f t="shared" si="509"/>
        <v>213.32476996559342</v>
      </c>
      <c r="AA198" s="217">
        <f t="shared" si="510"/>
        <v>2.0949136880019084</v>
      </c>
      <c r="AB198" s="173">
        <f t="shared" si="511"/>
        <v>1.5281802745782063</v>
      </c>
      <c r="AC198" s="173">
        <f t="shared" si="512"/>
        <v>0.56024601061596979</v>
      </c>
      <c r="AD198" s="173"/>
      <c r="AE198" s="173">
        <f t="shared" si="513"/>
        <v>0.7294717120473625</v>
      </c>
      <c r="AF198" s="545">
        <f t="shared" si="514"/>
        <v>2412.7049355489307</v>
      </c>
      <c r="AG198" s="528">
        <f t="shared" si="515"/>
        <v>0.12765754960828846</v>
      </c>
      <c r="AI198" s="173">
        <f t="shared" si="516"/>
        <v>2.6255366447636841</v>
      </c>
      <c r="AJ198" s="173">
        <f t="shared" si="517"/>
        <v>3.2904617793448319</v>
      </c>
      <c r="AK198" s="173">
        <f t="shared" si="518"/>
        <v>2.8966383550702455</v>
      </c>
      <c r="AM198" s="545">
        <f t="shared" si="519"/>
        <v>880</v>
      </c>
      <c r="AN198" s="460">
        <f t="shared" si="520"/>
        <v>213.32476996559342</v>
      </c>
      <c r="AP198">
        <f t="shared" si="521"/>
        <v>880</v>
      </c>
      <c r="AQ198">
        <f t="shared" si="522"/>
        <v>213.32476996559342</v>
      </c>
      <c r="AS198" s="5">
        <f t="shared" ref="AS198:AS262" si="600">1/AN198*1000</f>
        <v>4.6876881674888828</v>
      </c>
      <c r="AT198" s="5">
        <f t="shared" si="523"/>
        <v>2.0873893798837972</v>
      </c>
      <c r="AU198" s="5">
        <f t="shared" si="478"/>
        <v>2.6002987876050856</v>
      </c>
      <c r="AV198" s="5"/>
      <c r="AW198" s="173">
        <f t="shared" si="479"/>
        <v>0.44529185929233372</v>
      </c>
      <c r="AX198" s="173">
        <f t="shared" si="596"/>
        <v>13.85818126267867</v>
      </c>
      <c r="AY198" s="173">
        <f t="shared" si="597"/>
        <v>0.91262296784500552</v>
      </c>
      <c r="AZ198" s="173">
        <f t="shared" ref="AZ198:AZ210" si="601">AX198/AY198</f>
        <v>15.185001639178843</v>
      </c>
      <c r="BA198" s="460">
        <f t="shared" si="594"/>
        <v>11.480641589360884</v>
      </c>
      <c r="BB198" s="5">
        <f t="shared" si="595"/>
        <v>1.61290963100357</v>
      </c>
      <c r="BD198" s="173">
        <f t="shared" ref="BD198:BD210" si="602">AJ198*SQRT(AW198/3)</f>
        <v>1.2677061610163822</v>
      </c>
      <c r="BE198" s="173">
        <f t="shared" si="598"/>
        <v>1.4149089475171746</v>
      </c>
      <c r="BG198" s="528">
        <f t="shared" si="480"/>
        <v>3.2141578213577875E-2</v>
      </c>
      <c r="BH198" s="528">
        <f t="shared" si="524"/>
        <v>0.45305716021513365</v>
      </c>
      <c r="BI198" s="528">
        <f t="shared" si="525"/>
        <v>9.2811918304746527E-2</v>
      </c>
      <c r="BJ198" s="528">
        <f t="shared" si="481"/>
        <v>0.13141093551761654</v>
      </c>
      <c r="BK198">
        <f t="shared" si="482"/>
        <v>8.512304306852056E-3</v>
      </c>
      <c r="BL198" s="460">
        <f t="shared" si="588"/>
        <v>101.32422261159859</v>
      </c>
      <c r="BM198" s="528">
        <f t="shared" si="526"/>
        <v>0.63009987132485501</v>
      </c>
      <c r="BN198" s="460">
        <f t="shared" si="527"/>
        <v>630.09987132485503</v>
      </c>
      <c r="BO198" s="528">
        <f t="shared" si="483"/>
        <v>0.61599999999999999</v>
      </c>
      <c r="BR198" s="460">
        <f t="shared" si="484"/>
        <v>616</v>
      </c>
      <c r="BS198" s="528">
        <f t="shared" si="485"/>
        <v>4.8212367320366808E-2</v>
      </c>
      <c r="BT198" s="528">
        <f t="shared" si="486"/>
        <v>6.005901989292476E-2</v>
      </c>
      <c r="BU198" s="528">
        <f t="shared" si="487"/>
        <v>0.65270260462767304</v>
      </c>
      <c r="BV198" s="528"/>
      <c r="BW198" s="528">
        <f t="shared" si="488"/>
        <v>1.1548484385565558E-2</v>
      </c>
      <c r="BX198" s="460">
        <f t="shared" si="489"/>
        <v>772.5224762265301</v>
      </c>
      <c r="BY198" s="173">
        <f t="shared" si="490"/>
        <v>2.1064563727844567</v>
      </c>
      <c r="BZ198" s="5">
        <f t="shared" si="491"/>
        <v>14.08</v>
      </c>
      <c r="CA198" s="173">
        <f t="shared" si="492"/>
        <v>0.86986303090241524</v>
      </c>
      <c r="CB198" s="5">
        <f t="shared" si="493"/>
        <v>86.98630309024152</v>
      </c>
      <c r="CE198" s="562">
        <f t="shared" si="528"/>
        <v>-50</v>
      </c>
      <c r="CF198">
        <f t="shared" si="529"/>
        <v>-50</v>
      </c>
      <c r="CG198" s="173">
        <f t="shared" si="530"/>
        <v>0.52525894463039868</v>
      </c>
      <c r="CI198" s="170">
        <v>88</v>
      </c>
      <c r="CJ198" s="217">
        <f t="shared" si="589"/>
        <v>0.88</v>
      </c>
      <c r="CK198" s="217"/>
      <c r="CL198" s="217">
        <f t="shared" si="531"/>
        <v>14.08</v>
      </c>
      <c r="CM198" s="541">
        <f t="shared" si="532"/>
        <v>19</v>
      </c>
      <c r="CN198" s="443">
        <f t="shared" si="533"/>
        <v>16.399999999999999</v>
      </c>
      <c r="CO198" s="443">
        <f t="shared" si="534"/>
        <v>35.4</v>
      </c>
      <c r="CP198" s="443"/>
      <c r="CQ198" s="217">
        <f t="shared" si="535"/>
        <v>0.4632768361581921</v>
      </c>
      <c r="CR198" s="172">
        <f t="shared" si="590"/>
        <v>22.214703389830511</v>
      </c>
      <c r="CS198" s="172">
        <f t="shared" si="536"/>
        <v>14.08</v>
      </c>
      <c r="CT198" s="217">
        <f t="shared" si="537"/>
        <v>1.3884189618644069</v>
      </c>
      <c r="CU198" s="217">
        <f t="shared" si="538"/>
        <v>16</v>
      </c>
      <c r="CV198" s="217"/>
      <c r="CW198" s="172">
        <f t="shared" si="539"/>
        <v>35.190810991456267</v>
      </c>
      <c r="CX198" s="536">
        <f t="shared" si="540"/>
        <v>16</v>
      </c>
      <c r="CY198" s="217">
        <f t="shared" si="541"/>
        <v>3.1991784338896019</v>
      </c>
      <c r="CZ198" s="217">
        <f t="shared" si="542"/>
        <v>2.0205337477197487</v>
      </c>
      <c r="DA198" s="217">
        <f t="shared" si="543"/>
        <v>2.3408622686997087</v>
      </c>
      <c r="DB198" s="197">
        <f t="shared" si="544"/>
        <v>350</v>
      </c>
      <c r="DC198" s="443">
        <f t="shared" si="545"/>
        <v>229.2843842281863</v>
      </c>
      <c r="DE198" s="217">
        <f t="shared" si="546"/>
        <v>2.0957761635727734</v>
      </c>
      <c r="DF198" s="173">
        <f t="shared" si="547"/>
        <v>1.5334947538337369</v>
      </c>
      <c r="DG198" s="173">
        <f t="shared" si="548"/>
        <v>0.5624258066085126</v>
      </c>
      <c r="DH198" s="173"/>
      <c r="DI198" s="173">
        <f t="shared" si="549"/>
        <v>0.73170731707317083</v>
      </c>
      <c r="DJ198" s="545">
        <f t="shared" si="550"/>
        <v>2405.333333333333</v>
      </c>
      <c r="DK198" s="528">
        <f t="shared" si="551"/>
        <v>0.12804878048780488</v>
      </c>
      <c r="DM198" s="173">
        <f t="shared" si="552"/>
        <v>2.6215226400664466</v>
      </c>
      <c r="DN198" s="173">
        <f t="shared" si="553"/>
        <v>3.1991784338896019</v>
      </c>
      <c r="DO198" s="173">
        <f t="shared" si="554"/>
        <v>2.8290210621404457</v>
      </c>
      <c r="DQ198" s="545">
        <f t="shared" si="555"/>
        <v>880</v>
      </c>
      <c r="DR198" s="460">
        <f t="shared" si="556"/>
        <v>229.2843842281863</v>
      </c>
      <c r="DT198">
        <f t="shared" si="591"/>
        <v>880</v>
      </c>
      <c r="DU198">
        <f t="shared" si="592"/>
        <v>229.2843842281863</v>
      </c>
      <c r="DW198" s="5">
        <f t="shared" si="557"/>
        <v>4.3613960164194578</v>
      </c>
      <c r="DX198" s="5">
        <f t="shared" si="558"/>
        <v>2.0205337477197487</v>
      </c>
      <c r="DY198" s="5">
        <f t="shared" si="559"/>
        <v>2.3408622686997091</v>
      </c>
      <c r="DZ198" s="5"/>
      <c r="EA198" s="173">
        <f t="shared" si="560"/>
        <v>0.46327683615819204</v>
      </c>
      <c r="EB198" s="173">
        <f t="shared" si="561"/>
        <v>14.079999999999998</v>
      </c>
      <c r="EC198" s="173">
        <f t="shared" si="562"/>
        <v>0.85853658536585364</v>
      </c>
      <c r="ED198" s="173">
        <f t="shared" si="563"/>
        <v>16.399999999999999</v>
      </c>
      <c r="EE198" s="460">
        <f t="shared" si="564"/>
        <v>11.112935612458617</v>
      </c>
      <c r="EF198" s="5">
        <f t="shared" si="565"/>
        <v>1.4455851203198202</v>
      </c>
      <c r="EH198" s="173">
        <f t="shared" si="566"/>
        <v>1.2571819272548967</v>
      </c>
      <c r="EI198" s="173">
        <f t="shared" si="567"/>
        <v>1.3531720089251176</v>
      </c>
      <c r="EK198" s="528">
        <f t="shared" si="568"/>
        <v>3.1610127964326731E-2</v>
      </c>
      <c r="EL198" s="528">
        <f t="shared" si="569"/>
        <v>0.49336666666666668</v>
      </c>
      <c r="EM198" s="528">
        <f t="shared" si="570"/>
        <v>2.6367704186241427E-2</v>
      </c>
      <c r="EN198" s="528">
        <f t="shared" si="571"/>
        <v>0.1415100343276515</v>
      </c>
      <c r="EO198">
        <f t="shared" si="572"/>
        <v>8.5500000000000003E-3</v>
      </c>
      <c r="EP198" s="460">
        <f t="shared" si="573"/>
        <v>34.917704186241423</v>
      </c>
      <c r="EQ198" s="460"/>
      <c r="ER198" s="460">
        <f t="shared" si="593"/>
        <v>701.40453314488639</v>
      </c>
      <c r="ES198" s="528">
        <f t="shared" si="574"/>
        <v>0.61599999999999999</v>
      </c>
      <c r="EV198" s="460">
        <f t="shared" si="494"/>
        <v>616</v>
      </c>
      <c r="EW198" s="528">
        <f t="shared" si="575"/>
        <v>4.7415191946490097E-2</v>
      </c>
      <c r="EX198" s="528">
        <f t="shared" si="576"/>
        <v>5.4932234572153155E-2</v>
      </c>
      <c r="EY198" s="528">
        <f t="shared" si="577"/>
        <v>0.72862212829464279</v>
      </c>
      <c r="EZ198" s="528"/>
      <c r="FA198" s="528">
        <f t="shared" si="578"/>
        <v>1.1733333333333332E-2</v>
      </c>
      <c r="FB198" s="460">
        <f t="shared" si="579"/>
        <v>842.70288814661944</v>
      </c>
      <c r="FC198" s="173">
        <f t="shared" si="580"/>
        <v>2.1601074212915057</v>
      </c>
      <c r="FD198" s="5">
        <f t="shared" si="581"/>
        <v>14.08</v>
      </c>
      <c r="FE198" s="173">
        <f t="shared" si="582"/>
        <v>0.86698933909393305</v>
      </c>
      <c r="FF198" s="5">
        <f t="shared" si="583"/>
        <v>86.698933909393304</v>
      </c>
      <c r="FI198" s="562">
        <f t="shared" si="584"/>
        <v>-50</v>
      </c>
      <c r="FJ198">
        <f t="shared" si="585"/>
        <v>-50</v>
      </c>
      <c r="FL198">
        <f t="shared" si="586"/>
        <v>0.53672316384180796</v>
      </c>
    </row>
    <row r="199" spans="5:168">
      <c r="E199" s="170">
        <v>89</v>
      </c>
      <c r="F199" s="217">
        <f t="shared" si="587"/>
        <v>0.89</v>
      </c>
      <c r="G199" s="217"/>
      <c r="H199" s="217">
        <f t="shared" si="495"/>
        <v>14.24</v>
      </c>
      <c r="I199" s="541">
        <f t="shared" si="496"/>
        <v>18.915300652737258</v>
      </c>
      <c r="J199" s="172">
        <f t="shared" si="497"/>
        <v>16.450819608357644</v>
      </c>
      <c r="K199" s="172">
        <f t="shared" si="498"/>
        <v>35.366120261094906</v>
      </c>
      <c r="L199" s="443"/>
      <c r="M199" s="217">
        <f t="shared" si="499"/>
        <v>0.46514136770209846</v>
      </c>
      <c r="N199" s="172">
        <f t="shared" si="500"/>
        <v>22.20468139965914</v>
      </c>
      <c r="O199" s="172">
        <f t="shared" si="599"/>
        <v>14.24</v>
      </c>
      <c r="P199" s="217">
        <f t="shared" si="501"/>
        <v>1.3877925874786963</v>
      </c>
      <c r="Q199" s="217">
        <f t="shared" si="502"/>
        <v>16</v>
      </c>
      <c r="R199" s="217"/>
      <c r="S199" s="172">
        <f t="shared" si="503"/>
        <v>34.434766606381167</v>
      </c>
      <c r="T199" s="536">
        <f t="shared" si="504"/>
        <v>16</v>
      </c>
      <c r="U199" s="217">
        <f t="shared" si="505"/>
        <v>3.3279821854096738</v>
      </c>
      <c r="V199" s="217">
        <f t="shared" si="506"/>
        <v>2.111295345397374</v>
      </c>
      <c r="W199" s="217">
        <f t="shared" si="507"/>
        <v>2.4275864167051702</v>
      </c>
      <c r="X199" s="197">
        <f t="shared" si="508"/>
        <v>350</v>
      </c>
      <c r="Y199" s="443">
        <f t="shared" si="509"/>
        <v>211.02024701209689</v>
      </c>
      <c r="AA199" s="217">
        <f t="shared" si="510"/>
        <v>2.0949037732450861</v>
      </c>
      <c r="AB199" s="173">
        <f t="shared" si="511"/>
        <v>1.5281211439562283</v>
      </c>
      <c r="AC199" s="173">
        <f t="shared" si="512"/>
        <v>0.56022168132866246</v>
      </c>
      <c r="AD199" s="173"/>
      <c r="AE199" s="173">
        <f t="shared" si="513"/>
        <v>0.72944693855274789</v>
      </c>
      <c r="AF199" s="545">
        <f t="shared" si="514"/>
        <v>2440.2049085730505</v>
      </c>
      <c r="AG199" s="528">
        <f t="shared" si="515"/>
        <v>0.12765321424673087</v>
      </c>
      <c r="AI199" s="173">
        <f t="shared" si="516"/>
        <v>2.640457162026006</v>
      </c>
      <c r="AJ199" s="173">
        <f t="shared" si="517"/>
        <v>3.3279821854096738</v>
      </c>
      <c r="AK199" s="173">
        <f t="shared" si="518"/>
        <v>2.9244312484516102</v>
      </c>
      <c r="AM199" s="545">
        <f t="shared" si="519"/>
        <v>890</v>
      </c>
      <c r="AN199" s="460">
        <f t="shared" si="520"/>
        <v>211.02024701209689</v>
      </c>
      <c r="AP199">
        <f t="shared" si="521"/>
        <v>890</v>
      </c>
      <c r="AQ199">
        <f t="shared" si="522"/>
        <v>211.02024701209689</v>
      </c>
      <c r="AS199" s="5">
        <f t="shared" si="600"/>
        <v>4.7388817621025447</v>
      </c>
      <c r="AT199" s="5">
        <f t="shared" si="523"/>
        <v>2.111295345397374</v>
      </c>
      <c r="AU199" s="5">
        <f t="shared" si="478"/>
        <v>2.6275864167051708</v>
      </c>
      <c r="AV199" s="5"/>
      <c r="AW199" s="173">
        <f t="shared" si="479"/>
        <v>0.44552606530124428</v>
      </c>
      <c r="AX199" s="173">
        <f t="shared" si="596"/>
        <v>14.022884700322454</v>
      </c>
      <c r="AY199" s="173">
        <f t="shared" si="597"/>
        <v>0.92263968847573297</v>
      </c>
      <c r="AZ199" s="173">
        <f t="shared" si="601"/>
        <v>15.19865758591988</v>
      </c>
      <c r="BA199" s="460">
        <f t="shared" si="594"/>
        <v>11.744080358772894</v>
      </c>
      <c r="BB199" s="5">
        <f t="shared" si="595"/>
        <v>1.6484375647705687</v>
      </c>
      <c r="BD199" s="173">
        <f t="shared" si="602"/>
        <v>1.2824986722287874</v>
      </c>
      <c r="BE199" s="173">
        <f t="shared" si="598"/>
        <v>1.4307407048563272</v>
      </c>
      <c r="BG199" s="528">
        <f t="shared" si="480"/>
        <v>3.2896056885372053E-2</v>
      </c>
      <c r="BH199" s="528">
        <f t="shared" si="524"/>
        <v>0.4532683637001354</v>
      </c>
      <c r="BI199" s="528">
        <f t="shared" si="525"/>
        <v>9.1804762569119958E-2</v>
      </c>
      <c r="BJ199" s="528">
        <f t="shared" si="481"/>
        <v>0.12998858034820229</v>
      </c>
      <c r="BK199">
        <f t="shared" si="482"/>
        <v>8.5118852937317666E-3</v>
      </c>
      <c r="BL199" s="460">
        <f t="shared" si="588"/>
        <v>100.31664786285172</v>
      </c>
      <c r="BM199" s="528">
        <f t="shared" si="526"/>
        <v>0.62995875891121522</v>
      </c>
      <c r="BN199" s="460">
        <f t="shared" si="527"/>
        <v>629.95875891121523</v>
      </c>
      <c r="BO199" s="528">
        <f t="shared" si="483"/>
        <v>0.623</v>
      </c>
      <c r="BR199" s="460">
        <f t="shared" si="484"/>
        <v>623</v>
      </c>
      <c r="BS199" s="528">
        <f t="shared" si="485"/>
        <v>4.9344085328058077E-2</v>
      </c>
      <c r="BT199" s="528">
        <f t="shared" si="486"/>
        <v>6.1410568935983394E-2</v>
      </c>
      <c r="BU199" s="528">
        <f t="shared" si="487"/>
        <v>0.65348075803856009</v>
      </c>
      <c r="BV199" s="528"/>
      <c r="BW199" s="528">
        <f t="shared" si="488"/>
        <v>1.1685737250268714E-2</v>
      </c>
      <c r="BX199" s="460">
        <f t="shared" si="489"/>
        <v>775.92114955287025</v>
      </c>
      <c r="BY199" s="173">
        <f t="shared" si="490"/>
        <v>2.115390798349432</v>
      </c>
      <c r="BZ199" s="5">
        <f t="shared" si="491"/>
        <v>14.24</v>
      </c>
      <c r="CA199" s="173">
        <f t="shared" si="492"/>
        <v>0.87066094449036857</v>
      </c>
      <c r="CB199" s="5">
        <f t="shared" si="493"/>
        <v>87.066094449036854</v>
      </c>
      <c r="CE199" s="562">
        <f t="shared" si="528"/>
        <v>-50</v>
      </c>
      <c r="CF199">
        <f t="shared" si="529"/>
        <v>-50</v>
      </c>
      <c r="CG199" s="173">
        <f t="shared" si="530"/>
        <v>0.52538775608221222</v>
      </c>
      <c r="CI199" s="170">
        <v>89</v>
      </c>
      <c r="CJ199" s="217">
        <f t="shared" si="589"/>
        <v>0.89</v>
      </c>
      <c r="CK199" s="217"/>
      <c r="CL199" s="217">
        <f t="shared" si="531"/>
        <v>14.24</v>
      </c>
      <c r="CM199" s="541">
        <f t="shared" si="532"/>
        <v>19</v>
      </c>
      <c r="CN199" s="443">
        <f t="shared" si="533"/>
        <v>16.399999999999999</v>
      </c>
      <c r="CO199" s="443">
        <f t="shared" si="534"/>
        <v>35.4</v>
      </c>
      <c r="CP199" s="443"/>
      <c r="CQ199" s="217">
        <f t="shared" si="535"/>
        <v>0.4632768361581921</v>
      </c>
      <c r="CR199" s="172">
        <f t="shared" si="590"/>
        <v>22.214703389830511</v>
      </c>
      <c r="CS199" s="172">
        <f t="shared" si="536"/>
        <v>14.24</v>
      </c>
      <c r="CT199" s="217">
        <f t="shared" si="537"/>
        <v>1.3884189618644069</v>
      </c>
      <c r="CU199" s="217">
        <f t="shared" si="538"/>
        <v>16</v>
      </c>
      <c r="CV199" s="217"/>
      <c r="CW199" s="172">
        <f t="shared" si="539"/>
        <v>34.588003824765075</v>
      </c>
      <c r="CX199" s="536">
        <f t="shared" si="540"/>
        <v>16</v>
      </c>
      <c r="CY199" s="217">
        <f t="shared" si="541"/>
        <v>3.2355327342747109</v>
      </c>
      <c r="CZ199" s="217">
        <f t="shared" si="542"/>
        <v>2.0434943584892906</v>
      </c>
      <c r="DA199" s="217">
        <f t="shared" si="543"/>
        <v>2.3674629762985693</v>
      </c>
      <c r="DB199" s="197">
        <f t="shared" si="544"/>
        <v>350</v>
      </c>
      <c r="DC199" s="443">
        <f t="shared" si="545"/>
        <v>226.70815519191459</v>
      </c>
      <c r="DE199" s="217">
        <f t="shared" si="546"/>
        <v>2.0957761635727734</v>
      </c>
      <c r="DF199" s="173">
        <f t="shared" si="547"/>
        <v>1.5334947538337369</v>
      </c>
      <c r="DG199" s="173">
        <f t="shared" si="548"/>
        <v>0.5624258066085126</v>
      </c>
      <c r="DH199" s="173"/>
      <c r="DI199" s="173">
        <f t="shared" si="549"/>
        <v>0.73170731707317083</v>
      </c>
      <c r="DJ199" s="545">
        <f t="shared" si="550"/>
        <v>2432.6666666666665</v>
      </c>
      <c r="DK199" s="528">
        <f t="shared" si="551"/>
        <v>0.12804878048780488</v>
      </c>
      <c r="DM199" s="173">
        <f t="shared" si="552"/>
        <v>2.6363755784174967</v>
      </c>
      <c r="DN199" s="173">
        <f t="shared" si="553"/>
        <v>3.2355327342747109</v>
      </c>
      <c r="DO199" s="173">
        <f t="shared" si="554"/>
        <v>2.8559501735368231</v>
      </c>
      <c r="DQ199" s="545">
        <f t="shared" si="555"/>
        <v>890</v>
      </c>
      <c r="DR199" s="460">
        <f t="shared" si="556"/>
        <v>226.70815519191459</v>
      </c>
      <c r="DT199">
        <f t="shared" si="591"/>
        <v>890</v>
      </c>
      <c r="DU199">
        <f t="shared" si="592"/>
        <v>226.70815519191459</v>
      </c>
      <c r="DW199" s="5">
        <f t="shared" si="557"/>
        <v>4.4109573347878595</v>
      </c>
      <c r="DX199" s="5">
        <f t="shared" si="558"/>
        <v>2.0434943584892906</v>
      </c>
      <c r="DY199" s="5">
        <f t="shared" si="559"/>
        <v>2.3674629762985688</v>
      </c>
      <c r="DZ199" s="5"/>
      <c r="EA199" s="173">
        <f t="shared" si="560"/>
        <v>0.46327683615819204</v>
      </c>
      <c r="EB199" s="173">
        <f t="shared" si="561"/>
        <v>14.240000000000002</v>
      </c>
      <c r="EC199" s="173">
        <f t="shared" si="562"/>
        <v>0.86829268292682926</v>
      </c>
      <c r="ED199" s="173">
        <f t="shared" si="563"/>
        <v>16.400000000000002</v>
      </c>
      <c r="EE199" s="460">
        <f t="shared" si="564"/>
        <v>11.366937369096679</v>
      </c>
      <c r="EF199" s="5">
        <f t="shared" si="565"/>
        <v>1.4786259992320885</v>
      </c>
      <c r="EH199" s="173">
        <f t="shared" si="566"/>
        <v>1.2714680855191569</v>
      </c>
      <c r="EI199" s="173">
        <f t="shared" si="567"/>
        <v>1.3685489635719938</v>
      </c>
      <c r="EK199" s="528">
        <f t="shared" si="568"/>
        <v>3.2332621849875003E-2</v>
      </c>
      <c r="EL199" s="528">
        <f t="shared" si="569"/>
        <v>0.49336666666666673</v>
      </c>
      <c r="EM199" s="528">
        <f t="shared" si="570"/>
        <v>2.6071437847070181E-2</v>
      </c>
      <c r="EN199" s="528">
        <f t="shared" si="571"/>
        <v>0.1399200339419476</v>
      </c>
      <c r="EO199">
        <f t="shared" si="572"/>
        <v>8.5500000000000003E-3</v>
      </c>
      <c r="EP199" s="460">
        <f t="shared" si="573"/>
        <v>34.621437847070183</v>
      </c>
      <c r="EQ199" s="460"/>
      <c r="ER199" s="460">
        <f t="shared" si="593"/>
        <v>700.24076030555943</v>
      </c>
      <c r="ES199" s="528">
        <f t="shared" si="574"/>
        <v>0.623</v>
      </c>
      <c r="EV199" s="460">
        <f t="shared" si="494"/>
        <v>623</v>
      </c>
      <c r="EW199" s="528">
        <f t="shared" si="575"/>
        <v>4.84989327748125E-2</v>
      </c>
      <c r="EX199" s="528">
        <f t="shared" si="576"/>
        <v>5.6187787970819351E-2</v>
      </c>
      <c r="EY199" s="528">
        <f t="shared" si="577"/>
        <v>0.72862212829464412</v>
      </c>
      <c r="EZ199" s="528"/>
      <c r="FA199" s="528">
        <f t="shared" si="578"/>
        <v>1.1866666666666668E-2</v>
      </c>
      <c r="FB199" s="460">
        <f t="shared" si="579"/>
        <v>845.17551570694275</v>
      </c>
      <c r="FC199" s="173">
        <f t="shared" si="580"/>
        <v>2.1684162760125019</v>
      </c>
      <c r="FD199" s="5">
        <f t="shared" si="581"/>
        <v>14.24</v>
      </c>
      <c r="FE199" s="173">
        <f t="shared" si="582"/>
        <v>0.86784731447955066</v>
      </c>
      <c r="FF199" s="5">
        <f t="shared" si="583"/>
        <v>86.784731447955068</v>
      </c>
      <c r="FI199" s="562">
        <f t="shared" si="584"/>
        <v>-50</v>
      </c>
      <c r="FJ199">
        <f t="shared" si="585"/>
        <v>-50</v>
      </c>
      <c r="FL199">
        <f t="shared" si="586"/>
        <v>0.53672316384180796</v>
      </c>
    </row>
    <row r="200" spans="5:168">
      <c r="E200" s="170">
        <v>90</v>
      </c>
      <c r="F200" s="217">
        <f t="shared" si="587"/>
        <v>0.9</v>
      </c>
      <c r="G200" s="217"/>
      <c r="H200" s="217">
        <f t="shared" si="495"/>
        <v>14.4</v>
      </c>
      <c r="I200" s="541">
        <f t="shared" si="496"/>
        <v>18.914369502513562</v>
      </c>
      <c r="J200" s="172">
        <f t="shared" si="497"/>
        <v>16.451378298491861</v>
      </c>
      <c r="K200" s="172">
        <f t="shared" si="498"/>
        <v>35.365747801005426</v>
      </c>
      <c r="L200" s="443"/>
      <c r="M200" s="217">
        <f t="shared" si="499"/>
        <v>0.4651620684244559</v>
      </c>
      <c r="N200" s="172">
        <f t="shared" si="500"/>
        <v>22.204576473801563</v>
      </c>
      <c r="O200" s="172">
        <f t="shared" si="599"/>
        <v>14.4</v>
      </c>
      <c r="P200" s="217">
        <f t="shared" si="501"/>
        <v>1.3877860296125977</v>
      </c>
      <c r="Q200" s="217">
        <f t="shared" si="502"/>
        <v>16</v>
      </c>
      <c r="R200" s="217"/>
      <c r="S200" s="172">
        <f t="shared" si="503"/>
        <v>33.846466321318005</v>
      </c>
      <c r="T200" s="536">
        <f t="shared" si="504"/>
        <v>16</v>
      </c>
      <c r="U200" s="217">
        <f t="shared" si="505"/>
        <v>3.3655054993902498</v>
      </c>
      <c r="V200" s="217">
        <f t="shared" si="506"/>
        <v>2.1352055106735661</v>
      </c>
      <c r="W200" s="217">
        <f t="shared" si="507"/>
        <v>2.4548743126516817</v>
      </c>
      <c r="X200" s="197">
        <f t="shared" si="508"/>
        <v>350</v>
      </c>
      <c r="Y200" s="443">
        <f t="shared" si="509"/>
        <v>208.76478824643164</v>
      </c>
      <c r="AA200" s="217">
        <f t="shared" si="510"/>
        <v>2.0948938511687611</v>
      </c>
      <c r="AB200" s="173">
        <f t="shared" si="511"/>
        <v>1.5280620114564911</v>
      </c>
      <c r="AC200" s="173">
        <f t="shared" si="512"/>
        <v>0.56019734960083511</v>
      </c>
      <c r="AD200" s="173"/>
      <c r="AE200" s="173">
        <f t="shared" si="513"/>
        <v>0.72942216647586722</v>
      </c>
      <c r="AF200" s="545">
        <f t="shared" si="514"/>
        <v>2467.7067447737791</v>
      </c>
      <c r="AG200" s="528">
        <f t="shared" si="515"/>
        <v>0.12764887913327677</v>
      </c>
      <c r="AI200" s="173">
        <f t="shared" si="516"/>
        <v>2.6552948422639724</v>
      </c>
      <c r="AJ200" s="173">
        <f t="shared" si="517"/>
        <v>3.3655054993902498</v>
      </c>
      <c r="AK200" s="173">
        <f t="shared" si="518"/>
        <v>2.9522262958446293</v>
      </c>
      <c r="AM200" s="545">
        <f t="shared" si="519"/>
        <v>900</v>
      </c>
      <c r="AN200" s="460">
        <f t="shared" si="520"/>
        <v>208.76478824643164</v>
      </c>
      <c r="AP200">
        <f t="shared" si="521"/>
        <v>900</v>
      </c>
      <c r="AQ200">
        <f t="shared" si="522"/>
        <v>208.76478824643164</v>
      </c>
      <c r="AS200" s="5">
        <f t="shared" si="600"/>
        <v>4.7900798233252475</v>
      </c>
      <c r="AT200" s="5">
        <f t="shared" si="523"/>
        <v>2.1352055106735661</v>
      </c>
      <c r="AU200" s="5">
        <f t="shared" si="478"/>
        <v>2.6548743126516814</v>
      </c>
      <c r="AV200" s="5"/>
      <c r="AW200" s="173">
        <f t="shared" si="479"/>
        <v>0.44575572629838095</v>
      </c>
      <c r="AX200" s="173">
        <f t="shared" si="596"/>
        <v>14.187605656930113</v>
      </c>
      <c r="AY200" s="173">
        <f t="shared" si="597"/>
        <v>0.93265607557417696</v>
      </c>
      <c r="AZ200" s="173">
        <f t="shared" si="601"/>
        <v>15.212044427197569</v>
      </c>
      <c r="BA200" s="460">
        <f t="shared" si="594"/>
        <v>12.01053099753881</v>
      </c>
      <c r="BB200" s="5">
        <f t="shared" si="595"/>
        <v>1.6843538848908732</v>
      </c>
      <c r="BD200" s="173">
        <f t="shared" si="602"/>
        <v>1.2972932030008706</v>
      </c>
      <c r="BE200" s="173">
        <f t="shared" si="598"/>
        <v>1.446572766088781</v>
      </c>
      <c r="BG200" s="528">
        <f t="shared" si="480"/>
        <v>3.365939309104516E-2</v>
      </c>
      <c r="BH200" s="528">
        <f t="shared" si="524"/>
        <v>0.45347491516929461</v>
      </c>
      <c r="BI200" s="528">
        <f t="shared" si="525"/>
        <v>9.0819049912161193E-2</v>
      </c>
      <c r="BJ200" s="528">
        <f t="shared" si="481"/>
        <v>0.12859650790811092</v>
      </c>
      <c r="BK200">
        <f t="shared" si="482"/>
        <v>8.5114662761311029E-3</v>
      </c>
      <c r="BL200" s="460">
        <f t="shared" si="588"/>
        <v>99.330516188292293</v>
      </c>
      <c r="BM200" s="528">
        <f t="shared" si="526"/>
        <v>0.62985610876999121</v>
      </c>
      <c r="BN200" s="460">
        <f t="shared" si="527"/>
        <v>629.85610876999124</v>
      </c>
      <c r="BO200" s="528">
        <f t="shared" si="483"/>
        <v>0.63</v>
      </c>
      <c r="BR200" s="460">
        <f t="shared" si="484"/>
        <v>630</v>
      </c>
      <c r="BS200" s="528">
        <f t="shared" si="485"/>
        <v>5.0489089636567744E-2</v>
      </c>
      <c r="BT200" s="528">
        <f t="shared" si="486"/>
        <v>6.2777183027692418E-2</v>
      </c>
      <c r="BU200" s="528">
        <f t="shared" si="487"/>
        <v>0.65424270524822858</v>
      </c>
      <c r="BV200" s="528"/>
      <c r="BW200" s="528">
        <f t="shared" si="488"/>
        <v>1.1823004714108427E-2</v>
      </c>
      <c r="BX200" s="460">
        <f t="shared" si="489"/>
        <v>779.33198262659721</v>
      </c>
      <c r="BY200" s="173">
        <f t="shared" si="490"/>
        <v>2.1243933149833398</v>
      </c>
      <c r="BZ200" s="5">
        <f t="shared" si="491"/>
        <v>14.4</v>
      </c>
      <c r="CA200" s="173">
        <f t="shared" si="492"/>
        <v>0.87143895243300307</v>
      </c>
      <c r="CB200" s="5">
        <f t="shared" si="493"/>
        <v>87.143895243300307</v>
      </c>
      <c r="CE200" s="562">
        <f t="shared" si="528"/>
        <v>-50</v>
      </c>
      <c r="CF200">
        <f t="shared" si="529"/>
        <v>-50</v>
      </c>
      <c r="CG200" s="173">
        <f t="shared" si="530"/>
        <v>0.52551370505731887</v>
      </c>
      <c r="CI200" s="170">
        <v>90</v>
      </c>
      <c r="CJ200" s="217">
        <f t="shared" si="589"/>
        <v>0.9</v>
      </c>
      <c r="CK200" s="217"/>
      <c r="CL200" s="217">
        <f t="shared" si="531"/>
        <v>14.4</v>
      </c>
      <c r="CM200" s="541">
        <f t="shared" si="532"/>
        <v>19</v>
      </c>
      <c r="CN200" s="443">
        <f t="shared" si="533"/>
        <v>16.399999999999999</v>
      </c>
      <c r="CO200" s="443">
        <f t="shared" si="534"/>
        <v>35.4</v>
      </c>
      <c r="CP200" s="443"/>
      <c r="CQ200" s="217">
        <f t="shared" si="535"/>
        <v>0.4632768361581921</v>
      </c>
      <c r="CR200" s="172">
        <f t="shared" si="590"/>
        <v>22.214703389830511</v>
      </c>
      <c r="CS200" s="172">
        <f t="shared" si="536"/>
        <v>14.4</v>
      </c>
      <c r="CT200" s="217">
        <f t="shared" si="537"/>
        <v>1.3884189618644069</v>
      </c>
      <c r="CU200" s="217">
        <f t="shared" si="538"/>
        <v>16</v>
      </c>
      <c r="CV200" s="217"/>
      <c r="CW200" s="172">
        <f t="shared" si="539"/>
        <v>33.998716255353003</v>
      </c>
      <c r="CX200" s="536">
        <f t="shared" si="540"/>
        <v>16</v>
      </c>
      <c r="CY200" s="217">
        <f t="shared" si="541"/>
        <v>3.2718870346598199</v>
      </c>
      <c r="CZ200" s="217">
        <f t="shared" si="542"/>
        <v>2.0664549692588339</v>
      </c>
      <c r="DA200" s="217">
        <f t="shared" si="543"/>
        <v>2.3940636838974294</v>
      </c>
      <c r="DB200" s="197">
        <f t="shared" si="544"/>
        <v>350</v>
      </c>
      <c r="DC200" s="443">
        <f t="shared" si="545"/>
        <v>224.18917568978213</v>
      </c>
      <c r="DE200" s="217">
        <f t="shared" si="546"/>
        <v>2.0957761635727734</v>
      </c>
      <c r="DF200" s="173">
        <f t="shared" si="547"/>
        <v>1.5334947538337369</v>
      </c>
      <c r="DG200" s="173">
        <f t="shared" si="548"/>
        <v>0.5624258066085126</v>
      </c>
      <c r="DH200" s="173"/>
      <c r="DI200" s="173">
        <f t="shared" si="549"/>
        <v>0.73170731707317083</v>
      </c>
      <c r="DJ200" s="545">
        <f t="shared" si="550"/>
        <v>2459.9999999999995</v>
      </c>
      <c r="DK200" s="528">
        <f t="shared" si="551"/>
        <v>0.12804878048780488</v>
      </c>
      <c r="DM200" s="173">
        <f t="shared" si="552"/>
        <v>2.6511453050656102</v>
      </c>
      <c r="DN200" s="173">
        <f t="shared" si="553"/>
        <v>3.2718870346598199</v>
      </c>
      <c r="DO200" s="173">
        <f t="shared" si="554"/>
        <v>2.8828792849331997</v>
      </c>
      <c r="DQ200" s="545">
        <f t="shared" si="555"/>
        <v>900</v>
      </c>
      <c r="DR200" s="460">
        <f t="shared" si="556"/>
        <v>224.18917568978213</v>
      </c>
      <c r="DT200">
        <f t="shared" si="591"/>
        <v>900</v>
      </c>
      <c r="DU200">
        <f t="shared" si="592"/>
        <v>224.18917568978213</v>
      </c>
      <c r="DW200" s="5">
        <f t="shared" si="557"/>
        <v>4.4605186531562637</v>
      </c>
      <c r="DX200" s="5">
        <f t="shared" si="558"/>
        <v>2.0664549692588339</v>
      </c>
      <c r="DY200" s="5">
        <f t="shared" si="559"/>
        <v>2.3940636838974299</v>
      </c>
      <c r="DZ200" s="5"/>
      <c r="EA200" s="173">
        <f t="shared" si="560"/>
        <v>0.46327683615819204</v>
      </c>
      <c r="EB200" s="173">
        <f t="shared" si="561"/>
        <v>14.399999999999997</v>
      </c>
      <c r="EC200" s="173">
        <f t="shared" si="562"/>
        <v>0.87804878048780488</v>
      </c>
      <c r="ED200" s="173">
        <f t="shared" si="563"/>
        <v>16.399999999999995</v>
      </c>
      <c r="EE200" s="460">
        <f t="shared" si="564"/>
        <v>11.623809202080942</v>
      </c>
      <c r="EF200" s="5">
        <f t="shared" si="565"/>
        <v>1.5120402214089028</v>
      </c>
      <c r="EH200" s="173">
        <f t="shared" si="566"/>
        <v>1.2857542437834171</v>
      </c>
      <c r="EI200" s="173">
        <f t="shared" si="567"/>
        <v>1.3839259182188703</v>
      </c>
      <c r="EK200" s="528">
        <f t="shared" si="568"/>
        <v>3.3063279508141336E-2</v>
      </c>
      <c r="EL200" s="528">
        <f t="shared" si="569"/>
        <v>0.49336666666666656</v>
      </c>
      <c r="EM200" s="528">
        <f t="shared" si="570"/>
        <v>2.5781755204324949E-2</v>
      </c>
      <c r="EN200" s="528">
        <f t="shared" si="571"/>
        <v>0.1383653668981481</v>
      </c>
      <c r="EO200">
        <f t="shared" si="572"/>
        <v>8.5500000000000003E-3</v>
      </c>
      <c r="EP200" s="460">
        <f t="shared" si="573"/>
        <v>34.331755204324949</v>
      </c>
      <c r="EQ200" s="460"/>
      <c r="ER200" s="460">
        <f t="shared" si="593"/>
        <v>699.12706827728084</v>
      </c>
      <c r="ES200" s="528">
        <f t="shared" si="574"/>
        <v>0.63</v>
      </c>
      <c r="EV200" s="460">
        <f t="shared" si="494"/>
        <v>630</v>
      </c>
      <c r="EW200" s="528">
        <f t="shared" si="575"/>
        <v>4.9594919262211996E-2</v>
      </c>
      <c r="EX200" s="528">
        <f t="shared" si="576"/>
        <v>5.7457528413538295E-2</v>
      </c>
      <c r="EY200" s="528">
        <f t="shared" si="577"/>
        <v>0.72862212829464312</v>
      </c>
      <c r="EZ200" s="528"/>
      <c r="FA200" s="528">
        <f t="shared" si="578"/>
        <v>1.1999999999999997E-2</v>
      </c>
      <c r="FB200" s="460">
        <f t="shared" si="579"/>
        <v>847.67457597039345</v>
      </c>
      <c r="FC200" s="173">
        <f t="shared" si="580"/>
        <v>2.1768016442476745</v>
      </c>
      <c r="FD200" s="5">
        <f t="shared" si="581"/>
        <v>14.4</v>
      </c>
      <c r="FE200" s="173">
        <f t="shared" si="582"/>
        <v>0.86868385766062139</v>
      </c>
      <c r="FF200" s="5">
        <f t="shared" si="583"/>
        <v>86.868385766062133</v>
      </c>
      <c r="FI200" s="562">
        <f t="shared" si="584"/>
        <v>-50</v>
      </c>
      <c r="FJ200">
        <f t="shared" si="585"/>
        <v>-50</v>
      </c>
      <c r="FL200">
        <f t="shared" si="586"/>
        <v>0.53672316384180796</v>
      </c>
    </row>
    <row r="201" spans="5:168">
      <c r="E201" s="170">
        <v>91</v>
      </c>
      <c r="F201" s="217">
        <f t="shared" si="587"/>
        <v>0.91</v>
      </c>
      <c r="G201" s="217"/>
      <c r="H201" s="217">
        <f t="shared" si="495"/>
        <v>14.56</v>
      </c>
      <c r="I201" s="541">
        <f t="shared" si="496"/>
        <v>18.913438342668634</v>
      </c>
      <c r="J201" s="172">
        <f t="shared" si="497"/>
        <v>16.451936994398817</v>
      </c>
      <c r="K201" s="172">
        <f t="shared" si="498"/>
        <v>35.365375337067448</v>
      </c>
      <c r="L201" s="443"/>
      <c r="M201" s="217">
        <f t="shared" si="499"/>
        <v>0.46518276970911399</v>
      </c>
      <c r="N201" s="172">
        <f t="shared" si="500"/>
        <v>22.204471466195798</v>
      </c>
      <c r="O201" s="172">
        <f t="shared" si="599"/>
        <v>14.56</v>
      </c>
      <c r="P201" s="217">
        <f t="shared" si="501"/>
        <v>1.3877794666372374</v>
      </c>
      <c r="Q201" s="217">
        <f t="shared" si="502"/>
        <v>16</v>
      </c>
      <c r="R201" s="217"/>
      <c r="S201" s="172">
        <f t="shared" si="503"/>
        <v>33.271240697118408</v>
      </c>
      <c r="T201" s="536">
        <f t="shared" si="504"/>
        <v>16</v>
      </c>
      <c r="U201" s="217">
        <f t="shared" si="505"/>
        <v>3.4030317217156698</v>
      </c>
      <c r="V201" s="217">
        <f t="shared" si="506"/>
        <v>2.159119876604422</v>
      </c>
      <c r="W201" s="217">
        <f t="shared" si="507"/>
        <v>2.4821624757310392</v>
      </c>
      <c r="X201" s="197">
        <f t="shared" si="508"/>
        <v>350</v>
      </c>
      <c r="Y201" s="443">
        <f t="shared" si="509"/>
        <v>206.55684325405946</v>
      </c>
      <c r="AA201" s="217">
        <f t="shared" si="510"/>
        <v>2.0948839217760509</v>
      </c>
      <c r="AB201" s="173">
        <f t="shared" si="511"/>
        <v>1.5280028771002001</v>
      </c>
      <c r="AC201" s="173">
        <f t="shared" si="512"/>
        <v>0.56017301544133236</v>
      </c>
      <c r="AD201" s="173"/>
      <c r="AE201" s="173">
        <f t="shared" si="513"/>
        <v>0.72939739582551821</v>
      </c>
      <c r="AF201" s="545">
        <f t="shared" si="514"/>
        <v>2495.2104441504871</v>
      </c>
      <c r="AG201" s="528">
        <f t="shared" si="515"/>
        <v>0.1276445442694657</v>
      </c>
      <c r="AI201" s="173">
        <f t="shared" si="516"/>
        <v>2.670051066472853</v>
      </c>
      <c r="AJ201" s="173">
        <f t="shared" si="517"/>
        <v>3.4030317217156698</v>
      </c>
      <c r="AK201" s="173">
        <f t="shared" si="518"/>
        <v>2.9800234975671627</v>
      </c>
      <c r="AM201" s="545">
        <f t="shared" si="519"/>
        <v>910</v>
      </c>
      <c r="AN201" s="460">
        <f t="shared" si="520"/>
        <v>206.55684325405946</v>
      </c>
      <c r="AP201">
        <f t="shared" si="521"/>
        <v>910</v>
      </c>
      <c r="AQ201">
        <f t="shared" si="522"/>
        <v>206.55684325405946</v>
      </c>
      <c r="AS201" s="5">
        <f t="shared" si="600"/>
        <v>4.8412823523354609</v>
      </c>
      <c r="AT201" s="5">
        <f t="shared" si="523"/>
        <v>2.159119876604422</v>
      </c>
      <c r="AU201" s="5">
        <f t="shared" si="478"/>
        <v>2.6821624757310389</v>
      </c>
      <c r="AV201" s="5"/>
      <c r="AW201" s="173">
        <f t="shared" si="479"/>
        <v>0.44598098591850377</v>
      </c>
      <c r="AX201" s="173">
        <f t="shared" si="596"/>
        <v>14.352343932284668</v>
      </c>
      <c r="AY201" s="173">
        <f t="shared" si="597"/>
        <v>0.942672139676486</v>
      </c>
      <c r="AZ201" s="173">
        <f t="shared" si="601"/>
        <v>15.22517037281936</v>
      </c>
      <c r="BA201" s="460">
        <f t="shared" si="594"/>
        <v>12.279994298187651</v>
      </c>
      <c r="BB201" s="5">
        <f t="shared" si="595"/>
        <v>1.7206586545813365</v>
      </c>
      <c r="BD201" s="173">
        <f t="shared" si="602"/>
        <v>1.3120897466776402</v>
      </c>
      <c r="BE201" s="173">
        <f t="shared" si="598"/>
        <v>1.4624051409685044</v>
      </c>
      <c r="BG201" s="528">
        <f t="shared" si="480"/>
        <v>3.4431590066731882E-2</v>
      </c>
      <c r="BH201" s="528">
        <f t="shared" si="524"/>
        <v>0.45367696157499426</v>
      </c>
      <c r="BI201" s="528">
        <f t="shared" si="525"/>
        <v>8.9854102740264244E-2</v>
      </c>
      <c r="BJ201" s="528">
        <f t="shared" si="481"/>
        <v>0.12723376127260835</v>
      </c>
      <c r="BK201">
        <f t="shared" si="482"/>
        <v>8.5110472542008851E-3</v>
      </c>
      <c r="BL201" s="460">
        <f t="shared" si="588"/>
        <v>98.365149994465128</v>
      </c>
      <c r="BM201" s="528">
        <f t="shared" si="526"/>
        <v>0.62979112932660286</v>
      </c>
      <c r="BN201" s="460">
        <f t="shared" si="527"/>
        <v>629.79112932660291</v>
      </c>
      <c r="BO201" s="528">
        <f t="shared" si="483"/>
        <v>0.63700000000000001</v>
      </c>
      <c r="BR201" s="460">
        <f t="shared" si="484"/>
        <v>637</v>
      </c>
      <c r="BS201" s="528">
        <f t="shared" si="485"/>
        <v>5.1647385100097823E-2</v>
      </c>
      <c r="BT201" s="528">
        <f t="shared" si="486"/>
        <v>6.4158863889933332E-2</v>
      </c>
      <c r="BU201" s="528">
        <f t="shared" si="487"/>
        <v>0.6549889410976284</v>
      </c>
      <c r="BV201" s="528"/>
      <c r="BW201" s="528">
        <f t="shared" si="488"/>
        <v>1.1960286610237224E-2</v>
      </c>
      <c r="BX201" s="460">
        <f t="shared" si="489"/>
        <v>782.75547669789671</v>
      </c>
      <c r="BY201" s="173">
        <f t="shared" si="490"/>
        <v>2.1334629396066962</v>
      </c>
      <c r="BZ201" s="5">
        <f t="shared" si="491"/>
        <v>14.56</v>
      </c>
      <c r="CA201" s="173">
        <f t="shared" si="492"/>
        <v>0.87219770114055428</v>
      </c>
      <c r="CB201" s="5">
        <f t="shared" si="493"/>
        <v>87.219770114055422</v>
      </c>
      <c r="CE201" s="562">
        <f t="shared" si="528"/>
        <v>-50</v>
      </c>
      <c r="CF201">
        <f t="shared" si="529"/>
        <v>-50</v>
      </c>
      <c r="CG201" s="173">
        <f t="shared" si="530"/>
        <v>0.52563688592308244</v>
      </c>
      <c r="CI201" s="170">
        <v>91</v>
      </c>
      <c r="CJ201" s="217">
        <f t="shared" si="589"/>
        <v>0.91</v>
      </c>
      <c r="CK201" s="217"/>
      <c r="CL201" s="217">
        <f t="shared" si="531"/>
        <v>14.56</v>
      </c>
      <c r="CM201" s="541">
        <f t="shared" si="532"/>
        <v>19</v>
      </c>
      <c r="CN201" s="443">
        <f t="shared" si="533"/>
        <v>16.399999999999999</v>
      </c>
      <c r="CO201" s="443">
        <f t="shared" si="534"/>
        <v>35.4</v>
      </c>
      <c r="CP201" s="443"/>
      <c r="CQ201" s="217">
        <f t="shared" si="535"/>
        <v>0.4632768361581921</v>
      </c>
      <c r="CR201" s="172">
        <f t="shared" si="590"/>
        <v>22.214703389830511</v>
      </c>
      <c r="CS201" s="172">
        <f t="shared" si="536"/>
        <v>14.56</v>
      </c>
      <c r="CT201" s="217">
        <f t="shared" si="537"/>
        <v>1.3884189618644069</v>
      </c>
      <c r="CU201" s="217">
        <f t="shared" si="538"/>
        <v>16</v>
      </c>
      <c r="CV201" s="217"/>
      <c r="CW201" s="172">
        <f t="shared" si="539"/>
        <v>33.422504657803088</v>
      </c>
      <c r="CX201" s="536">
        <f t="shared" si="540"/>
        <v>16</v>
      </c>
      <c r="CY201" s="217">
        <f t="shared" si="541"/>
        <v>3.3082413350449293</v>
      </c>
      <c r="CZ201" s="217">
        <f t="shared" si="542"/>
        <v>2.0894155800283767</v>
      </c>
      <c r="DA201" s="217">
        <f t="shared" si="543"/>
        <v>2.4206643914962904</v>
      </c>
      <c r="DB201" s="197">
        <f t="shared" si="544"/>
        <v>350</v>
      </c>
      <c r="DC201" s="443">
        <f t="shared" si="545"/>
        <v>221.72555837450977</v>
      </c>
      <c r="DE201" s="217">
        <f t="shared" si="546"/>
        <v>2.0957761635727734</v>
      </c>
      <c r="DF201" s="173">
        <f t="shared" si="547"/>
        <v>1.5334947538337369</v>
      </c>
      <c r="DG201" s="173">
        <f t="shared" si="548"/>
        <v>0.5624258066085126</v>
      </c>
      <c r="DH201" s="173"/>
      <c r="DI201" s="173">
        <f t="shared" si="549"/>
        <v>0.73170731707317083</v>
      </c>
      <c r="DJ201" s="545">
        <f t="shared" si="550"/>
        <v>2487.333333333333</v>
      </c>
      <c r="DK201" s="528">
        <f t="shared" si="551"/>
        <v>0.12804878048780488</v>
      </c>
      <c r="DM201" s="173">
        <f t="shared" si="552"/>
        <v>2.6658332030842939</v>
      </c>
      <c r="DN201" s="173">
        <f t="shared" si="553"/>
        <v>3.3082413350449293</v>
      </c>
      <c r="DO201" s="173">
        <f t="shared" si="554"/>
        <v>2.9098083963295771</v>
      </c>
      <c r="DQ201" s="545">
        <f t="shared" si="555"/>
        <v>910</v>
      </c>
      <c r="DR201" s="460">
        <f t="shared" si="556"/>
        <v>221.72555837450977</v>
      </c>
      <c r="DT201">
        <f t="shared" si="591"/>
        <v>910</v>
      </c>
      <c r="DU201">
        <f t="shared" si="592"/>
        <v>221.72555837450977</v>
      </c>
      <c r="DW201" s="5">
        <f t="shared" si="557"/>
        <v>4.5100799715246671</v>
      </c>
      <c r="DX201" s="5">
        <f t="shared" si="558"/>
        <v>2.0894155800283767</v>
      </c>
      <c r="DY201" s="5">
        <f t="shared" si="559"/>
        <v>2.4206643914962904</v>
      </c>
      <c r="DZ201" s="5"/>
      <c r="EA201" s="173">
        <f t="shared" si="560"/>
        <v>0.46327683615819204</v>
      </c>
      <c r="EB201" s="173">
        <f t="shared" si="561"/>
        <v>14.559999999999997</v>
      </c>
      <c r="EC201" s="173">
        <f t="shared" si="562"/>
        <v>0.88780487804878061</v>
      </c>
      <c r="ED201" s="173">
        <f t="shared" si="563"/>
        <v>16.399999999999995</v>
      </c>
      <c r="EE201" s="460">
        <f t="shared" si="564"/>
        <v>11.883551111411393</v>
      </c>
      <c r="EF201" s="5">
        <f t="shared" si="565"/>
        <v>1.5458277868502626</v>
      </c>
      <c r="EH201" s="173">
        <f t="shared" si="566"/>
        <v>1.3000404020476775</v>
      </c>
      <c r="EI201" s="173">
        <f t="shared" si="567"/>
        <v>1.3993028728657468</v>
      </c>
      <c r="EK201" s="528">
        <f t="shared" si="568"/>
        <v>3.3802100939125737E-2</v>
      </c>
      <c r="EL201" s="528">
        <f t="shared" si="569"/>
        <v>0.49336666666666656</v>
      </c>
      <c r="EM201" s="528">
        <f t="shared" si="570"/>
        <v>2.5498439213068626E-2</v>
      </c>
      <c r="EN201" s="528">
        <f t="shared" si="571"/>
        <v>0.13684486836080581</v>
      </c>
      <c r="EO201">
        <f t="shared" si="572"/>
        <v>8.5500000000000003E-3</v>
      </c>
      <c r="EP201" s="460">
        <f t="shared" si="573"/>
        <v>34.048439213068626</v>
      </c>
      <c r="EQ201" s="460"/>
      <c r="ER201" s="460">
        <f t="shared" si="593"/>
        <v>698.06207517966664</v>
      </c>
      <c r="ES201" s="528">
        <f t="shared" si="574"/>
        <v>0.63700000000000001</v>
      </c>
      <c r="EV201" s="460">
        <f t="shared" si="494"/>
        <v>637</v>
      </c>
      <c r="EW201" s="528">
        <f t="shared" si="575"/>
        <v>5.0703151408688606E-2</v>
      </c>
      <c r="EX201" s="528">
        <f t="shared" si="576"/>
        <v>5.874145590030997E-2</v>
      </c>
      <c r="EY201" s="528">
        <f t="shared" si="577"/>
        <v>0.72862212829464212</v>
      </c>
      <c r="EZ201" s="528"/>
      <c r="FA201" s="528">
        <f t="shared" si="578"/>
        <v>1.2133333333333329E-2</v>
      </c>
      <c r="FB201" s="460">
        <f t="shared" si="579"/>
        <v>850.20006893697393</v>
      </c>
      <c r="FC201" s="173">
        <f t="shared" si="580"/>
        <v>2.1852621441166407</v>
      </c>
      <c r="FD201" s="5">
        <f t="shared" si="581"/>
        <v>14.56</v>
      </c>
      <c r="FE201" s="173">
        <f t="shared" si="582"/>
        <v>0.86949967547182172</v>
      </c>
      <c r="FF201" s="5">
        <f t="shared" si="583"/>
        <v>86.949967547182169</v>
      </c>
      <c r="FI201" s="562">
        <f t="shared" si="584"/>
        <v>-50</v>
      </c>
      <c r="FJ201">
        <f t="shared" si="585"/>
        <v>-50</v>
      </c>
      <c r="FL201">
        <f t="shared" si="586"/>
        <v>0.53672316384180796</v>
      </c>
    </row>
    <row r="202" spans="5:168">
      <c r="E202" s="170">
        <v>92</v>
      </c>
      <c r="F202" s="217">
        <f t="shared" si="587"/>
        <v>0.92</v>
      </c>
      <c r="G202" s="217"/>
      <c r="H202" s="217">
        <f t="shared" si="495"/>
        <v>14.72</v>
      </c>
      <c r="I202" s="541">
        <f t="shared" si="496"/>
        <v>18.912507173522759</v>
      </c>
      <c r="J202" s="172">
        <f t="shared" si="497"/>
        <v>16.452495695886345</v>
      </c>
      <c r="K202" s="172">
        <f t="shared" si="498"/>
        <v>35.365002869409103</v>
      </c>
      <c r="L202" s="443"/>
      <c r="M202" s="217">
        <f t="shared" si="499"/>
        <v>0.46520347155189384</v>
      </c>
      <c r="N202" s="172">
        <f t="shared" si="500"/>
        <v>22.204366377012942</v>
      </c>
      <c r="O202" s="172">
        <f t="shared" si="599"/>
        <v>14.72</v>
      </c>
      <c r="P202" s="217">
        <f t="shared" si="501"/>
        <v>1.3877728985633089</v>
      </c>
      <c r="Q202" s="217">
        <f t="shared" si="502"/>
        <v>16</v>
      </c>
      <c r="R202" s="217"/>
      <c r="S202" s="172">
        <f t="shared" si="503"/>
        <v>32.708665480827364</v>
      </c>
      <c r="T202" s="536">
        <f t="shared" si="504"/>
        <v>16</v>
      </c>
      <c r="U202" s="217">
        <f t="shared" si="505"/>
        <v>3.4405608528151546</v>
      </c>
      <c r="V202" s="217">
        <f t="shared" si="506"/>
        <v>2.1830384440822677</v>
      </c>
      <c r="W202" s="217">
        <f t="shared" si="507"/>
        <v>2.5094509062296777</v>
      </c>
      <c r="X202" s="197">
        <f t="shared" si="508"/>
        <v>350</v>
      </c>
      <c r="Y202" s="443">
        <f t="shared" si="509"/>
        <v>204.39492626309755</v>
      </c>
      <c r="AA202" s="217">
        <f t="shared" si="510"/>
        <v>2.0948739850699223</v>
      </c>
      <c r="AB202" s="173">
        <f t="shared" si="511"/>
        <v>1.5279437409076182</v>
      </c>
      <c r="AC202" s="173">
        <f t="shared" si="512"/>
        <v>0.56014867885861275</v>
      </c>
      <c r="AD202" s="173"/>
      <c r="AE202" s="173">
        <f t="shared" si="513"/>
        <v>0.72937262661010072</v>
      </c>
      <c r="AF202" s="545">
        <f t="shared" si="514"/>
        <v>2522.7160067025729</v>
      </c>
      <c r="AG202" s="528">
        <f t="shared" si="515"/>
        <v>0.12764020965676764</v>
      </c>
      <c r="AI202" s="173">
        <f t="shared" si="516"/>
        <v>2.6847271777873831</v>
      </c>
      <c r="AJ202" s="173">
        <f t="shared" si="517"/>
        <v>3.4405608528151546</v>
      </c>
      <c r="AK202" s="173">
        <f t="shared" si="518"/>
        <v>3.0078228539371517</v>
      </c>
      <c r="AM202" s="545">
        <f t="shared" si="519"/>
        <v>920</v>
      </c>
      <c r="AN202" s="460">
        <f t="shared" si="520"/>
        <v>204.39492626309755</v>
      </c>
      <c r="AP202">
        <f t="shared" si="521"/>
        <v>920</v>
      </c>
      <c r="AQ202">
        <f t="shared" si="522"/>
        <v>204.39492626309755</v>
      </c>
      <c r="AS202" s="5">
        <f t="shared" si="600"/>
        <v>4.8924893503119451</v>
      </c>
      <c r="AT202" s="5">
        <f t="shared" si="523"/>
        <v>2.1830384440822677</v>
      </c>
      <c r="AU202" s="5">
        <f t="shared" si="478"/>
        <v>2.7094509062296774</v>
      </c>
      <c r="AV202" s="5"/>
      <c r="AW202" s="173">
        <f t="shared" si="479"/>
        <v>0.44620198180770226</v>
      </c>
      <c r="AX202" s="173">
        <f t="shared" si="596"/>
        <v>14.517099334516962</v>
      </c>
      <c r="AY202" s="173">
        <f t="shared" si="597"/>
        <v>0.95268789087951711</v>
      </c>
      <c r="AZ202" s="173">
        <f t="shared" si="601"/>
        <v>15.238043302004019</v>
      </c>
      <c r="BA202" s="460">
        <f t="shared" si="594"/>
        <v>12.552471053473038</v>
      </c>
      <c r="BB202" s="5">
        <f t="shared" si="595"/>
        <v>1.7573519370793527</v>
      </c>
      <c r="BD202" s="173">
        <f t="shared" si="602"/>
        <v>1.3268882968938944</v>
      </c>
      <c r="BE202" s="173">
        <f t="shared" si="598"/>
        <v>1.4782378388498252</v>
      </c>
      <c r="BG202" s="528">
        <f t="shared" si="480"/>
        <v>3.5212651048679593E-2</v>
      </c>
      <c r="BH202" s="528">
        <f t="shared" si="524"/>
        <v>0.45387464374261433</v>
      </c>
      <c r="BI202" s="528">
        <f t="shared" si="525"/>
        <v>8.890927171119721E-2</v>
      </c>
      <c r="BJ202" s="528">
        <f t="shared" si="481"/>
        <v>0.1258994234147354</v>
      </c>
      <c r="BK202">
        <f t="shared" si="482"/>
        <v>8.5106282280852409E-3</v>
      </c>
      <c r="BL202" s="460">
        <f t="shared" si="588"/>
        <v>97.419899939282445</v>
      </c>
      <c r="BM202" s="528">
        <f t="shared" si="526"/>
        <v>0.62976306295946383</v>
      </c>
      <c r="BN202" s="460">
        <f t="shared" si="527"/>
        <v>629.76306295946381</v>
      </c>
      <c r="BO202" s="528">
        <f t="shared" si="483"/>
        <v>0.64400000000000002</v>
      </c>
      <c r="BR202" s="460">
        <f t="shared" si="484"/>
        <v>644</v>
      </c>
      <c r="BS202" s="528">
        <f t="shared" si="485"/>
        <v>5.2818976573019386E-2</v>
      </c>
      <c r="BT202" s="528">
        <f t="shared" si="486"/>
        <v>6.5555613246222055E-2</v>
      </c>
      <c r="BU202" s="528">
        <f t="shared" si="487"/>
        <v>0.65571994049527982</v>
      </c>
      <c r="BV202" s="528"/>
      <c r="BW202" s="528">
        <f t="shared" si="488"/>
        <v>1.2097582778764136E-2</v>
      </c>
      <c r="BX202" s="460">
        <f t="shared" si="489"/>
        <v>786.19211309328546</v>
      </c>
      <c r="BY202" s="173">
        <f t="shared" si="490"/>
        <v>2.1425987312385968</v>
      </c>
      <c r="BZ202" s="5">
        <f t="shared" si="491"/>
        <v>14.72</v>
      </c>
      <c r="CA202" s="173">
        <f t="shared" si="492"/>
        <v>0.87293780956375644</v>
      </c>
      <c r="CB202" s="5">
        <f t="shared" si="493"/>
        <v>87.293780956375642</v>
      </c>
      <c r="CE202" s="562">
        <f t="shared" si="528"/>
        <v>-50</v>
      </c>
      <c r="CF202">
        <f t="shared" si="529"/>
        <v>-50</v>
      </c>
      <c r="CG202" s="173">
        <f t="shared" si="530"/>
        <v>0.5257573889439382</v>
      </c>
      <c r="CI202" s="170">
        <v>92</v>
      </c>
      <c r="CJ202" s="217">
        <f t="shared" si="589"/>
        <v>0.92</v>
      </c>
      <c r="CK202" s="217"/>
      <c r="CL202" s="217">
        <f t="shared" si="531"/>
        <v>14.72</v>
      </c>
      <c r="CM202" s="541">
        <f t="shared" si="532"/>
        <v>19</v>
      </c>
      <c r="CN202" s="443">
        <f t="shared" si="533"/>
        <v>16.399999999999999</v>
      </c>
      <c r="CO202" s="443">
        <f t="shared" si="534"/>
        <v>35.4</v>
      </c>
      <c r="CP202" s="443"/>
      <c r="CQ202" s="217">
        <f t="shared" si="535"/>
        <v>0.4632768361581921</v>
      </c>
      <c r="CR202" s="172">
        <f t="shared" si="590"/>
        <v>22.214703389830511</v>
      </c>
      <c r="CS202" s="172">
        <f t="shared" si="536"/>
        <v>14.72</v>
      </c>
      <c r="CT202" s="217">
        <f t="shared" si="537"/>
        <v>1.3884189618644069</v>
      </c>
      <c r="CU202" s="217">
        <f t="shared" si="538"/>
        <v>16</v>
      </c>
      <c r="CV202" s="217"/>
      <c r="CW202" s="172">
        <f t="shared" si="539"/>
        <v>32.858944738643757</v>
      </c>
      <c r="CX202" s="536">
        <f t="shared" si="540"/>
        <v>16</v>
      </c>
      <c r="CY202" s="217">
        <f t="shared" si="541"/>
        <v>3.3445956354300383</v>
      </c>
      <c r="CZ202" s="217">
        <f t="shared" si="542"/>
        <v>2.1123761907979191</v>
      </c>
      <c r="DA202" s="217">
        <f t="shared" si="543"/>
        <v>2.4472650990951506</v>
      </c>
      <c r="DB202" s="197">
        <f t="shared" si="544"/>
        <v>350</v>
      </c>
      <c r="DC202" s="443">
        <f t="shared" si="545"/>
        <v>219.31549795739556</v>
      </c>
      <c r="DE202" s="217">
        <f t="shared" si="546"/>
        <v>2.0957761635727734</v>
      </c>
      <c r="DF202" s="173">
        <f t="shared" si="547"/>
        <v>1.5334947538337369</v>
      </c>
      <c r="DG202" s="173">
        <f t="shared" si="548"/>
        <v>0.5624258066085126</v>
      </c>
      <c r="DH202" s="173"/>
      <c r="DI202" s="173">
        <f t="shared" si="549"/>
        <v>0.73170731707317083</v>
      </c>
      <c r="DJ202" s="545">
        <f t="shared" si="550"/>
        <v>2514.6666666666665</v>
      </c>
      <c r="DK202" s="528">
        <f t="shared" si="551"/>
        <v>0.12804878048780488</v>
      </c>
      <c r="DM202" s="173">
        <f t="shared" si="552"/>
        <v>2.6804406176526099</v>
      </c>
      <c r="DN202" s="173">
        <f t="shared" si="553"/>
        <v>3.3445956354300383</v>
      </c>
      <c r="DO202" s="173">
        <f t="shared" si="554"/>
        <v>2.9367375077259545</v>
      </c>
      <c r="DQ202" s="545">
        <f t="shared" si="555"/>
        <v>920</v>
      </c>
      <c r="DR202" s="460">
        <f t="shared" si="556"/>
        <v>219.31549795739556</v>
      </c>
      <c r="DT202">
        <f t="shared" si="591"/>
        <v>920</v>
      </c>
      <c r="DU202">
        <f t="shared" si="592"/>
        <v>219.31549795739556</v>
      </c>
      <c r="DW202" s="5">
        <f t="shared" si="557"/>
        <v>4.5596412898930696</v>
      </c>
      <c r="DX202" s="5">
        <f t="shared" si="558"/>
        <v>2.1123761907979191</v>
      </c>
      <c r="DY202" s="5">
        <f t="shared" si="559"/>
        <v>2.4472650990951506</v>
      </c>
      <c r="DZ202" s="5"/>
      <c r="EA202" s="173">
        <f t="shared" si="560"/>
        <v>0.46327683615819204</v>
      </c>
      <c r="EB202" s="173">
        <f t="shared" si="561"/>
        <v>14.719999999999997</v>
      </c>
      <c r="EC202" s="173">
        <f t="shared" si="562"/>
        <v>0.89756097560975612</v>
      </c>
      <c r="ED202" s="173">
        <f t="shared" si="563"/>
        <v>16.399999999999995</v>
      </c>
      <c r="EE202" s="460">
        <f t="shared" si="564"/>
        <v>12.146163097088035</v>
      </c>
      <c r="EF202" s="5">
        <f t="shared" si="565"/>
        <v>1.5799886955561673</v>
      </c>
      <c r="EH202" s="173">
        <f t="shared" si="566"/>
        <v>1.3143265603119374</v>
      </c>
      <c r="EI202" s="173">
        <f t="shared" si="567"/>
        <v>1.4146798275126231</v>
      </c>
      <c r="EK202" s="528">
        <f t="shared" si="568"/>
        <v>3.454908614282818E-2</v>
      </c>
      <c r="EL202" s="528">
        <f t="shared" si="569"/>
        <v>0.49336666666666668</v>
      </c>
      <c r="EM202" s="528">
        <f t="shared" si="570"/>
        <v>2.5221282265100491E-2</v>
      </c>
      <c r="EN202" s="528">
        <f t="shared" si="571"/>
        <v>0.13535742413949273</v>
      </c>
      <c r="EO202">
        <f t="shared" si="572"/>
        <v>8.5500000000000003E-3</v>
      </c>
      <c r="EP202" s="460">
        <f t="shared" si="573"/>
        <v>33.771282265100488</v>
      </c>
      <c r="EQ202" s="460"/>
      <c r="ER202" s="460">
        <f t="shared" si="593"/>
        <v>697.04445921408796</v>
      </c>
      <c r="ES202" s="528">
        <f t="shared" si="574"/>
        <v>0.64400000000000002</v>
      </c>
      <c r="EV202" s="460">
        <f t="shared" si="494"/>
        <v>644</v>
      </c>
      <c r="EW202" s="528">
        <f t="shared" si="575"/>
        <v>5.1823629214242259E-2</v>
      </c>
      <c r="EX202" s="528">
        <f t="shared" si="576"/>
        <v>6.0039570431134358E-2</v>
      </c>
      <c r="EY202" s="528">
        <f t="shared" si="577"/>
        <v>0.72862212829464312</v>
      </c>
      <c r="EZ202" s="528"/>
      <c r="FA202" s="528">
        <f t="shared" si="578"/>
        <v>1.2266666666666664E-2</v>
      </c>
      <c r="FB202" s="460">
        <f t="shared" si="579"/>
        <v>852.75199460668637</v>
      </c>
      <c r="FC202" s="173">
        <f t="shared" si="580"/>
        <v>2.1937964538207742</v>
      </c>
      <c r="FD202" s="5">
        <f t="shared" si="581"/>
        <v>14.72</v>
      </c>
      <c r="FE202" s="173">
        <f t="shared" si="582"/>
        <v>0.87029544432496686</v>
      </c>
      <c r="FF202" s="5">
        <f t="shared" si="583"/>
        <v>87.029544432496692</v>
      </c>
      <c r="FI202" s="562">
        <f t="shared" si="584"/>
        <v>-50</v>
      </c>
      <c r="FJ202">
        <f t="shared" si="585"/>
        <v>-50</v>
      </c>
      <c r="FL202">
        <f t="shared" si="586"/>
        <v>0.53672316384180796</v>
      </c>
    </row>
    <row r="203" spans="5:168">
      <c r="E203" s="170">
        <v>93</v>
      </c>
      <c r="F203" s="217">
        <f t="shared" si="587"/>
        <v>0.93</v>
      </c>
      <c r="G203" s="217"/>
      <c r="H203" s="217">
        <f t="shared" si="495"/>
        <v>14.88</v>
      </c>
      <c r="I203" s="541">
        <f t="shared" si="496"/>
        <v>18.911575995382151</v>
      </c>
      <c r="J203" s="172">
        <f t="shared" si="497"/>
        <v>16.453054402770707</v>
      </c>
      <c r="K203" s="172">
        <f t="shared" si="498"/>
        <v>35.364630398152855</v>
      </c>
      <c r="L203" s="443"/>
      <c r="M203" s="217">
        <f t="shared" si="499"/>
        <v>0.46522417394880139</v>
      </c>
      <c r="N203" s="172">
        <f t="shared" si="500"/>
        <v>22.204261206416497</v>
      </c>
      <c r="O203" s="172">
        <f t="shared" si="599"/>
        <v>14.88</v>
      </c>
      <c r="P203" s="217">
        <f t="shared" si="501"/>
        <v>1.3877663254010311</v>
      </c>
      <c r="Q203" s="217">
        <f t="shared" si="502"/>
        <v>16</v>
      </c>
      <c r="R203" s="217"/>
      <c r="S203" s="172">
        <f t="shared" si="503"/>
        <v>32.158334711235163</v>
      </c>
      <c r="T203" s="536">
        <f t="shared" si="504"/>
        <v>16</v>
      </c>
      <c r="U203" s="217">
        <f t="shared" si="505"/>
        <v>3.4780928931180344</v>
      </c>
      <c r="V203" s="217">
        <f t="shared" si="506"/>
        <v>2.2069612139997123</v>
      </c>
      <c r="W203" s="217">
        <f t="shared" si="507"/>
        <v>2.5367396044340462</v>
      </c>
      <c r="X203" s="197">
        <f t="shared" si="508"/>
        <v>350</v>
      </c>
      <c r="Y203" s="443">
        <f t="shared" si="509"/>
        <v>202.27761281007605</v>
      </c>
      <c r="AA203" s="217">
        <f t="shared" si="510"/>
        <v>2.094864041053202</v>
      </c>
      <c r="AB203" s="173">
        <f t="shared" si="511"/>
        <v>1.5278846028981161</v>
      </c>
      <c r="AC203" s="173">
        <f t="shared" si="512"/>
        <v>0.56012433986076993</v>
      </c>
      <c r="AD203" s="173"/>
      <c r="AE203" s="173">
        <f t="shared" si="513"/>
        <v>0.72934785883763875</v>
      </c>
      <c r="AF203" s="545">
        <f t="shared" si="514"/>
        <v>2550.22343242946</v>
      </c>
      <c r="AG203" s="528">
        <f t="shared" si="515"/>
        <v>0.12763587529658676</v>
      </c>
      <c r="AI203" s="173">
        <f t="shared" si="516"/>
        <v>2.6993244829186751</v>
      </c>
      <c r="AJ203" s="173">
        <f t="shared" si="517"/>
        <v>3.4780928931180344</v>
      </c>
      <c r="AK203" s="173">
        <f t="shared" si="518"/>
        <v>3.0356243652726178</v>
      </c>
      <c r="AM203" s="545">
        <f t="shared" si="519"/>
        <v>930</v>
      </c>
      <c r="AN203" s="460">
        <f t="shared" si="520"/>
        <v>202.27761281007605</v>
      </c>
      <c r="AP203">
        <f t="shared" si="521"/>
        <v>930</v>
      </c>
      <c r="AQ203">
        <f t="shared" si="522"/>
        <v>202.27761281007605</v>
      </c>
      <c r="AS203" s="5">
        <f t="shared" si="600"/>
        <v>4.9437008184337587</v>
      </c>
      <c r="AT203" s="5">
        <f t="shared" si="523"/>
        <v>2.2069612139997123</v>
      </c>
      <c r="AU203" s="5">
        <f t="shared" si="478"/>
        <v>2.7367396044340464</v>
      </c>
      <c r="AV203" s="5"/>
      <c r="AW203" s="173">
        <f t="shared" si="479"/>
        <v>0.44641884593228925</v>
      </c>
      <c r="AX203" s="173">
        <f t="shared" si="596"/>
        <v>14.681871679675073</v>
      </c>
      <c r="AY203" s="173">
        <f t="shared" si="597"/>
        <v>0.96270333886349213</v>
      </c>
      <c r="AZ203" s="173">
        <f t="shared" si="601"/>
        <v>15.250670779855797</v>
      </c>
      <c r="BA203" s="460">
        <f t="shared" si="594"/>
        <v>12.82796205637333</v>
      </c>
      <c r="BB203" s="5">
        <f t="shared" si="595"/>
        <v>1.7944337956428695</v>
      </c>
      <c r="BD203" s="173">
        <f t="shared" si="602"/>
        <v>1.3416888475591684</v>
      </c>
      <c r="BE203" s="173">
        <f t="shared" si="598"/>
        <v>1.4940708687078432</v>
      </c>
      <c r="BG203" s="528">
        <f t="shared" si="480"/>
        <v>3.6002579273292985E-2</v>
      </c>
      <c r="BH203" s="528">
        <f t="shared" si="524"/>
        <v>0.45406809668655806</v>
      </c>
      <c r="BI203" s="528">
        <f t="shared" si="525"/>
        <v>8.7983934276911507E-2</v>
      </c>
      <c r="BJ203" s="528">
        <f t="shared" si="481"/>
        <v>0.124592615147398</v>
      </c>
      <c r="BK203">
        <f t="shared" si="482"/>
        <v>8.5102091979219682E-3</v>
      </c>
      <c r="BL203" s="460">
        <f t="shared" si="588"/>
        <v>96.494143474833479</v>
      </c>
      <c r="BM203" s="528">
        <f t="shared" si="526"/>
        <v>0.62977118425874812</v>
      </c>
      <c r="BN203" s="460">
        <f t="shared" si="527"/>
        <v>629.77118425874812</v>
      </c>
      <c r="BO203" s="528">
        <f t="shared" si="483"/>
        <v>0.65100000000000002</v>
      </c>
      <c r="BR203" s="460">
        <f t="shared" si="484"/>
        <v>651</v>
      </c>
      <c r="BS203" s="528">
        <f t="shared" si="485"/>
        <v>5.4003868909939481E-2</v>
      </c>
      <c r="BT203" s="528">
        <f t="shared" si="486"/>
        <v>6.6967432821642289E-2</v>
      </c>
      <c r="BU203" s="528">
        <f t="shared" si="487"/>
        <v>0.65643615940993938</v>
      </c>
      <c r="BV203" s="528"/>
      <c r="BW203" s="528">
        <f t="shared" si="488"/>
        <v>1.2234893066395892E-2</v>
      </c>
      <c r="BX203" s="460">
        <f t="shared" si="489"/>
        <v>789.64235420791704</v>
      </c>
      <c r="BY203" s="173">
        <f t="shared" si="490"/>
        <v>2.1517997887899996</v>
      </c>
      <c r="BZ203" s="5">
        <f t="shared" si="491"/>
        <v>14.88</v>
      </c>
      <c r="CA203" s="173">
        <f t="shared" si="492"/>
        <v>0.87365987062587058</v>
      </c>
      <c r="CB203" s="5">
        <f t="shared" si="493"/>
        <v>87.365987062587052</v>
      </c>
      <c r="CE203" s="562">
        <f t="shared" si="528"/>
        <v>-50</v>
      </c>
      <c r="CF203">
        <f t="shared" si="529"/>
        <v>-50</v>
      </c>
      <c r="CG203" s="173">
        <f t="shared" si="530"/>
        <v>0.52587530050197984</v>
      </c>
      <c r="CI203" s="170">
        <v>93</v>
      </c>
      <c r="CJ203" s="217">
        <f t="shared" si="589"/>
        <v>0.93</v>
      </c>
      <c r="CK203" s="217"/>
      <c r="CL203" s="217">
        <f t="shared" si="531"/>
        <v>14.88</v>
      </c>
      <c r="CM203" s="541">
        <f t="shared" si="532"/>
        <v>19</v>
      </c>
      <c r="CN203" s="443">
        <f t="shared" si="533"/>
        <v>16.399999999999999</v>
      </c>
      <c r="CO203" s="443">
        <f t="shared" si="534"/>
        <v>35.4</v>
      </c>
      <c r="CP203" s="443"/>
      <c r="CQ203" s="217">
        <f t="shared" si="535"/>
        <v>0.4632768361581921</v>
      </c>
      <c r="CR203" s="172">
        <f t="shared" si="590"/>
        <v>22.214703389830511</v>
      </c>
      <c r="CS203" s="172">
        <f t="shared" si="536"/>
        <v>14.88</v>
      </c>
      <c r="CT203" s="217">
        <f t="shared" si="537"/>
        <v>1.3884189618644069</v>
      </c>
      <c r="CU203" s="217">
        <f t="shared" si="538"/>
        <v>16</v>
      </c>
      <c r="CV203" s="217"/>
      <c r="CW203" s="172">
        <f t="shared" si="539"/>
        <v>32.307630498080144</v>
      </c>
      <c r="CX203" s="536">
        <f t="shared" si="540"/>
        <v>16</v>
      </c>
      <c r="CY203" s="217">
        <f t="shared" si="541"/>
        <v>3.3809499358151474</v>
      </c>
      <c r="CZ203" s="217">
        <f t="shared" si="542"/>
        <v>2.1353368015674614</v>
      </c>
      <c r="DA203" s="217">
        <f t="shared" si="543"/>
        <v>2.4738658066940107</v>
      </c>
      <c r="DB203" s="197">
        <f t="shared" si="544"/>
        <v>350</v>
      </c>
      <c r="DC203" s="443">
        <f t="shared" si="545"/>
        <v>216.95726679656337</v>
      </c>
      <c r="DE203" s="217">
        <f t="shared" si="546"/>
        <v>2.0957761635727734</v>
      </c>
      <c r="DF203" s="173">
        <f t="shared" si="547"/>
        <v>1.5334947538337369</v>
      </c>
      <c r="DG203" s="173">
        <f t="shared" si="548"/>
        <v>0.5624258066085126</v>
      </c>
      <c r="DH203" s="173"/>
      <c r="DI203" s="173">
        <f t="shared" si="549"/>
        <v>0.73170731707317083</v>
      </c>
      <c r="DJ203" s="545">
        <f t="shared" si="550"/>
        <v>2542</v>
      </c>
      <c r="DK203" s="528">
        <f t="shared" si="551"/>
        <v>0.12804878048780488</v>
      </c>
      <c r="DM203" s="173">
        <f t="shared" si="552"/>
        <v>2.6949688574930031</v>
      </c>
      <c r="DN203" s="173">
        <f t="shared" si="553"/>
        <v>3.3809499358151474</v>
      </c>
      <c r="DO203" s="173">
        <f t="shared" si="554"/>
        <v>2.9636666191223311</v>
      </c>
      <c r="DQ203" s="545">
        <f t="shared" si="555"/>
        <v>930</v>
      </c>
      <c r="DR203" s="460">
        <f t="shared" si="556"/>
        <v>216.95726679656337</v>
      </c>
      <c r="DT203">
        <f t="shared" si="591"/>
        <v>930</v>
      </c>
      <c r="DU203">
        <f t="shared" si="592"/>
        <v>216.95726679656337</v>
      </c>
      <c r="DW203" s="5">
        <f t="shared" si="557"/>
        <v>4.6092026082614721</v>
      </c>
      <c r="DX203" s="5">
        <f t="shared" si="558"/>
        <v>2.1353368015674614</v>
      </c>
      <c r="DY203" s="5">
        <f t="shared" si="559"/>
        <v>2.4738658066940107</v>
      </c>
      <c r="DZ203" s="5"/>
      <c r="EA203" s="173">
        <f t="shared" si="560"/>
        <v>0.46327683615819204</v>
      </c>
      <c r="EB203" s="173">
        <f t="shared" si="561"/>
        <v>14.879999999999997</v>
      </c>
      <c r="EC203" s="173">
        <f t="shared" si="562"/>
        <v>0.90731707317073174</v>
      </c>
      <c r="ED203" s="173">
        <f t="shared" si="563"/>
        <v>16.399999999999995</v>
      </c>
      <c r="EE203" s="460">
        <f t="shared" si="564"/>
        <v>12.41164515911087</v>
      </c>
      <c r="EF203" s="5">
        <f t="shared" si="565"/>
        <v>1.6145229475266174</v>
      </c>
      <c r="EH203" s="173">
        <f t="shared" si="566"/>
        <v>1.3286127185761976</v>
      </c>
      <c r="EI203" s="173">
        <f t="shared" si="567"/>
        <v>1.4300567821594994</v>
      </c>
      <c r="EK203" s="528">
        <f t="shared" si="568"/>
        <v>3.5304235119248684E-2</v>
      </c>
      <c r="EL203" s="528">
        <f t="shared" si="569"/>
        <v>0.49336666666666668</v>
      </c>
      <c r="EM203" s="528">
        <f t="shared" si="570"/>
        <v>2.495008568160479E-2</v>
      </c>
      <c r="EN203" s="528">
        <f t="shared" si="571"/>
        <v>0.1339019679659498</v>
      </c>
      <c r="EO203">
        <f t="shared" si="572"/>
        <v>8.5500000000000003E-3</v>
      </c>
      <c r="EP203" s="460">
        <f t="shared" si="573"/>
        <v>33.500085681604794</v>
      </c>
      <c r="EQ203" s="460"/>
      <c r="ER203" s="460">
        <f t="shared" si="593"/>
        <v>696.07295543346993</v>
      </c>
      <c r="ES203" s="528">
        <f t="shared" si="574"/>
        <v>0.65100000000000002</v>
      </c>
      <c r="EV203" s="460">
        <f t="shared" si="494"/>
        <v>651</v>
      </c>
      <c r="EW203" s="528">
        <f t="shared" si="575"/>
        <v>5.2956352678873025E-2</v>
      </c>
      <c r="EX203" s="528">
        <f t="shared" si="576"/>
        <v>6.1351872006011457E-2</v>
      </c>
      <c r="EY203" s="528">
        <f t="shared" si="577"/>
        <v>0.72862212829464279</v>
      </c>
      <c r="EZ203" s="528"/>
      <c r="FA203" s="528">
        <f t="shared" si="578"/>
        <v>1.2399999999999998E-2</v>
      </c>
      <c r="FB203" s="460">
        <f t="shared" si="579"/>
        <v>855.33035297952722</v>
      </c>
      <c r="FC203" s="173">
        <f t="shared" si="580"/>
        <v>2.2024033084129973</v>
      </c>
      <c r="FD203" s="5">
        <f t="shared" si="581"/>
        <v>14.88</v>
      </c>
      <c r="FE203" s="173">
        <f t="shared" si="582"/>
        <v>0.87107181181418858</v>
      </c>
      <c r="FF203" s="5">
        <f t="shared" si="583"/>
        <v>87.107181181418852</v>
      </c>
      <c r="FI203" s="562">
        <f t="shared" si="584"/>
        <v>-50</v>
      </c>
      <c r="FJ203">
        <f t="shared" si="585"/>
        <v>-50</v>
      </c>
      <c r="FL203">
        <f t="shared" si="586"/>
        <v>0.53672316384180796</v>
      </c>
    </row>
    <row r="204" spans="5:168">
      <c r="E204" s="170">
        <v>94</v>
      </c>
      <c r="F204" s="217">
        <f t="shared" si="587"/>
        <v>0.94</v>
      </c>
      <c r="G204" s="217"/>
      <c r="H204" s="217">
        <f t="shared" si="495"/>
        <v>15.04</v>
      </c>
      <c r="I204" s="541">
        <f>VIN_min-F204*(Rdcr_pri+RON/1000)/CG204/Nps</f>
        <v>18.910644808539736</v>
      </c>
      <c r="J204" s="172">
        <f t="shared" si="497"/>
        <v>16.453613114876156</v>
      </c>
      <c r="K204" s="172">
        <f t="shared" si="498"/>
        <v>35.364257923415892</v>
      </c>
      <c r="L204" s="443"/>
      <c r="M204" s="217">
        <f t="shared" si="499"/>
        <v>0.46524487689601585</v>
      </c>
      <c r="N204" s="172">
        <f t="shared" si="500"/>
        <v>22.204155954562747</v>
      </c>
      <c r="O204" s="172">
        <f t="shared" si="599"/>
        <v>15.04</v>
      </c>
      <c r="P204" s="217">
        <f t="shared" si="501"/>
        <v>1.3877597471601717</v>
      </c>
      <c r="Q204" s="217">
        <f t="shared" si="502"/>
        <v>16</v>
      </c>
      <c r="R204" s="217"/>
      <c r="S204" s="172">
        <f>(SQRT(Isw_max^2*Nps^2*I204^2+4*Isw_max*F204/Efficiency*(Nps^2*Vfwd1*I204-Nps*I204^2)+4*(F204/Efficiency)^2*Nps^2*Vfwd1^2+8*(F204/Efficiency)^2*Nps*Vfwd1*I204+4*(F204/Efficiency)^2*I204^2)-2*0*F204/Efficiency*I204-2*F204/Efficiency*Nps*Vfwd1+Isw_max*Nps*I204)/(4*F204/Efficiency*Nps)</f>
        <v>41.075182151277637</v>
      </c>
      <c r="T204" s="536">
        <f t="shared" si="504"/>
        <v>16</v>
      </c>
      <c r="U204" s="217">
        <f t="shared" si="505"/>
        <v>3.5156278430537458</v>
      </c>
      <c r="V204" s="217">
        <f t="shared" si="506"/>
        <v>2.230888187249636</v>
      </c>
      <c r="W204" s="217">
        <f t="shared" si="507"/>
        <v>2.564028570630609</v>
      </c>
      <c r="X204" s="197">
        <f t="shared" si="508"/>
        <v>350</v>
      </c>
      <c r="Y204" s="443">
        <f t="shared" si="509"/>
        <v>200.20353660996395</v>
      </c>
      <c r="AA204" s="217">
        <f t="shared" si="510"/>
        <v>2.0948540897285852</v>
      </c>
      <c r="AB204" s="173">
        <f t="shared" si="511"/>
        <v>1.5278254630902228</v>
      </c>
      <c r="AC204" s="173">
        <f t="shared" si="512"/>
        <v>0.56009999845555403</v>
      </c>
      <c r="AD204" s="173"/>
      <c r="AE204" s="173">
        <f t="shared" si="513"/>
        <v>0.72932309251579985</v>
      </c>
      <c r="AF204" s="545">
        <f t="shared" si="514"/>
        <v>2577.7327213305975</v>
      </c>
      <c r="AG204" s="528">
        <f t="shared" si="515"/>
        <v>0.12763154119026499</v>
      </c>
      <c r="AI204" s="173">
        <f t="shared" si="516"/>
        <v>2.7138442535217706</v>
      </c>
      <c r="AJ204" s="173">
        <f t="shared" si="517"/>
        <v>3.5156278430537458</v>
      </c>
      <c r="AK204" s="173">
        <f t="shared" si="518"/>
        <v>3.0634280318916636</v>
      </c>
      <c r="AM204" s="545">
        <f t="shared" si="519"/>
        <v>940</v>
      </c>
      <c r="AN204" s="460">
        <f t="shared" si="520"/>
        <v>200.20353660996395</v>
      </c>
      <c r="AP204">
        <f t="shared" si="521"/>
        <v>940</v>
      </c>
      <c r="AQ204">
        <f t="shared" si="522"/>
        <v>200.20353660996395</v>
      </c>
      <c r="AS204" s="5">
        <f t="shared" si="600"/>
        <v>4.9949167578802447</v>
      </c>
      <c r="AT204" s="5">
        <f t="shared" si="523"/>
        <v>2.230888187249636</v>
      </c>
      <c r="AU204" s="5">
        <f t="shared" si="478"/>
        <v>2.7640285706306087</v>
      </c>
      <c r="AV204" s="5"/>
      <c r="AW204" s="173">
        <f t="shared" si="479"/>
        <v>0.44663170486876863</v>
      </c>
      <c r="AX204" s="173">
        <f t="shared" si="596"/>
        <v>14.846660791320112</v>
      </c>
      <c r="AY204" s="173">
        <f t="shared" si="597"/>
        <v>0.97271849291326973</v>
      </c>
      <c r="AZ204" s="173">
        <f t="shared" si="601"/>
        <v>15.263060072863116</v>
      </c>
      <c r="BA204" s="460">
        <f t="shared" si="594"/>
        <v>13.106468100091611</v>
      </c>
      <c r="BB204" s="5">
        <f t="shared" si="595"/>
        <v>1.8319042935503875</v>
      </c>
      <c r="BD204" s="173">
        <f t="shared" si="602"/>
        <v>1.3564913928436104</v>
      </c>
      <c r="BE204" s="173">
        <f t="shared" si="598"/>
        <v>1.5099042391576072</v>
      </c>
      <c r="BG204" s="528">
        <f t="shared" si="480"/>
        <v>3.6801377977175968E-2</v>
      </c>
      <c r="BH204" s="528">
        <f t="shared" si="524"/>
        <v>0.45425744990692241</v>
      </c>
      <c r="BI204" s="528">
        <f t="shared" si="525"/>
        <v>8.7077493315623727E-2</v>
      </c>
      <c r="BJ204" s="528">
        <f t="shared" si="481"/>
        <v>0.12331249319153417</v>
      </c>
      <c r="BK204">
        <f t="shared" si="482"/>
        <v>8.5097901638428817E-3</v>
      </c>
      <c r="BL204" s="460">
        <f t="shared" si="588"/>
        <v>95.58728347946662</v>
      </c>
      <c r="BM204" s="528">
        <f t="shared" si="526"/>
        <v>0.62981479839188426</v>
      </c>
      <c r="BN204" s="460">
        <f t="shared" si="527"/>
        <v>629.81479839188421</v>
      </c>
      <c r="BO204" s="528">
        <f t="shared" si="483"/>
        <v>0.65799999999999992</v>
      </c>
      <c r="BR204" s="460">
        <f t="shared" si="484"/>
        <v>657.99999999999989</v>
      </c>
      <c r="BS204" s="528">
        <f t="shared" si="485"/>
        <v>5.5202066965763949E-2</v>
      </c>
      <c r="BT204" s="528">
        <f t="shared" si="486"/>
        <v>6.8394324342783377E-2</v>
      </c>
      <c r="BU204" s="528">
        <f t="shared" si="487"/>
        <v>0.65713803580458252</v>
      </c>
      <c r="BV204" s="528"/>
      <c r="BW204" s="528">
        <f t="shared" si="488"/>
        <v>1.2372217326100091E-2</v>
      </c>
      <c r="BX204" s="460">
        <f t="shared" si="489"/>
        <v>793.10664443922985</v>
      </c>
      <c r="BY204" s="173">
        <f t="shared" si="490"/>
        <v>2.1610652489943294</v>
      </c>
      <c r="BZ204" s="5">
        <f t="shared" si="491"/>
        <v>15.04</v>
      </c>
      <c r="CA204" s="173">
        <f t="shared" si="492"/>
        <v>0.87436445256664097</v>
      </c>
      <c r="CB204" s="5">
        <f t="shared" si="493"/>
        <v>87.436445256664101</v>
      </c>
      <c r="CE204" s="562">
        <f t="shared" si="528"/>
        <v>-50</v>
      </c>
      <c r="CF204">
        <f t="shared" si="529"/>
        <v>-50</v>
      </c>
      <c r="CG204" s="173">
        <f t="shared" si="530"/>
        <v>0.52599070330346731</v>
      </c>
      <c r="CI204" s="170">
        <v>94</v>
      </c>
      <c r="CJ204" s="217">
        <f t="shared" si="589"/>
        <v>0.94</v>
      </c>
      <c r="CK204" s="217"/>
      <c r="CL204" s="217">
        <f t="shared" si="531"/>
        <v>15.04</v>
      </c>
      <c r="CM204" s="541">
        <f t="shared" si="532"/>
        <v>19</v>
      </c>
      <c r="CN204" s="443">
        <f t="shared" si="533"/>
        <v>16.399999999999999</v>
      </c>
      <c r="CO204" s="443">
        <f t="shared" si="534"/>
        <v>35.4</v>
      </c>
      <c r="CP204" s="443"/>
      <c r="CQ204" s="217">
        <f t="shared" si="535"/>
        <v>0.4632768361581921</v>
      </c>
      <c r="CR204" s="172">
        <f t="shared" si="590"/>
        <v>22.214703389830511</v>
      </c>
      <c r="CS204" s="172">
        <f t="shared" si="536"/>
        <v>15.04</v>
      </c>
      <c r="CT204" s="217">
        <f t="shared" si="537"/>
        <v>1.3884189618644069</v>
      </c>
      <c r="CU204" s="217">
        <f t="shared" si="538"/>
        <v>16</v>
      </c>
      <c r="CV204" s="217"/>
      <c r="CW204" s="172">
        <f t="shared" si="539"/>
        <v>31.768173258027062</v>
      </c>
      <c r="CX204" s="536">
        <f t="shared" si="540"/>
        <v>16</v>
      </c>
      <c r="CY204" s="217">
        <f t="shared" si="541"/>
        <v>3.4173042362002564</v>
      </c>
      <c r="CZ204" s="217">
        <f t="shared" si="542"/>
        <v>2.1582974123370038</v>
      </c>
      <c r="DA204" s="217">
        <f t="shared" si="543"/>
        <v>2.5004665142928708</v>
      </c>
      <c r="DB204" s="197">
        <f t="shared" si="544"/>
        <v>350</v>
      </c>
      <c r="DC204" s="443">
        <f t="shared" si="545"/>
        <v>214.64921076681273</v>
      </c>
      <c r="DE204" s="217">
        <f t="shared" si="546"/>
        <v>2.0957761635727734</v>
      </c>
      <c r="DF204" s="173">
        <f t="shared" si="547"/>
        <v>1.5334947538337369</v>
      </c>
      <c r="DG204" s="173">
        <f t="shared" si="548"/>
        <v>0.5624258066085126</v>
      </c>
      <c r="DH204" s="173"/>
      <c r="DI204" s="173">
        <f t="shared" si="549"/>
        <v>0.73170731707317083</v>
      </c>
      <c r="DJ204" s="545">
        <f t="shared" si="550"/>
        <v>2569.333333333333</v>
      </c>
      <c r="DK204" s="528">
        <f t="shared" si="551"/>
        <v>0.12804878048780488</v>
      </c>
      <c r="DM204" s="173">
        <f t="shared" si="552"/>
        <v>2.7094191962397365</v>
      </c>
      <c r="DN204" s="173">
        <f t="shared" si="553"/>
        <v>3.4173042362002564</v>
      </c>
      <c r="DO204" s="173">
        <f t="shared" si="554"/>
        <v>2.9905957305187085</v>
      </c>
      <c r="DQ204" s="545">
        <f t="shared" si="555"/>
        <v>940</v>
      </c>
      <c r="DR204" s="460">
        <f t="shared" si="556"/>
        <v>214.64921076681273</v>
      </c>
      <c r="DT204">
        <f t="shared" si="591"/>
        <v>940</v>
      </c>
      <c r="DU204">
        <f t="shared" si="592"/>
        <v>214.64921076681273</v>
      </c>
      <c r="DW204" s="5">
        <f t="shared" si="557"/>
        <v>4.6587639266298746</v>
      </c>
      <c r="DX204" s="5">
        <f t="shared" si="558"/>
        <v>2.1582974123370038</v>
      </c>
      <c r="DY204" s="5">
        <f t="shared" si="559"/>
        <v>2.5004665142928708</v>
      </c>
      <c r="DZ204" s="5"/>
      <c r="EA204" s="173">
        <f t="shared" si="560"/>
        <v>0.46327683615819204</v>
      </c>
      <c r="EB204" s="173">
        <f t="shared" si="561"/>
        <v>15.04</v>
      </c>
      <c r="EC204" s="173">
        <f t="shared" si="562"/>
        <v>0.91707317073170735</v>
      </c>
      <c r="ED204" s="173">
        <f t="shared" si="563"/>
        <v>16.399999999999999</v>
      </c>
      <c r="EE204" s="460">
        <f t="shared" si="564"/>
        <v>12.679997297479897</v>
      </c>
      <c r="EF204" s="5">
        <f t="shared" si="565"/>
        <v>1.6494305427616127</v>
      </c>
      <c r="EH204" s="173">
        <f t="shared" si="566"/>
        <v>1.3428988768404577</v>
      </c>
      <c r="EI204" s="173">
        <f t="shared" si="567"/>
        <v>1.4454337368063757</v>
      </c>
      <c r="EK204" s="528">
        <f t="shared" si="568"/>
        <v>3.6067547868387256E-2</v>
      </c>
      <c r="EL204" s="528">
        <f t="shared" si="569"/>
        <v>0.49336666666666673</v>
      </c>
      <c r="EM204" s="528">
        <f t="shared" si="570"/>
        <v>2.4684659238183464E-2</v>
      </c>
      <c r="EN204" s="528">
        <f t="shared" si="571"/>
        <v>0.13247747894503548</v>
      </c>
      <c r="EO204">
        <f t="shared" si="572"/>
        <v>8.5500000000000003E-3</v>
      </c>
      <c r="EP204" s="460">
        <f t="shared" si="573"/>
        <v>33.234659238183468</v>
      </c>
      <c r="EQ204" s="460"/>
      <c r="ER204" s="460">
        <f t="shared" si="593"/>
        <v>695.14635271827285</v>
      </c>
      <c r="ES204" s="528">
        <f t="shared" si="574"/>
        <v>0.65799999999999992</v>
      </c>
      <c r="EV204" s="460">
        <f t="shared" si="494"/>
        <v>657.99999999999989</v>
      </c>
      <c r="EW204" s="528">
        <f t="shared" si="575"/>
        <v>5.4101321802580885E-2</v>
      </c>
      <c r="EX204" s="528">
        <f t="shared" si="576"/>
        <v>6.2678360624941282E-2</v>
      </c>
      <c r="EY204" s="528">
        <f t="shared" si="577"/>
        <v>0.72862212829464346</v>
      </c>
      <c r="EZ204" s="528"/>
      <c r="FA204" s="528">
        <f t="shared" si="578"/>
        <v>1.2533333333333334E-2</v>
      </c>
      <c r="FB204" s="460">
        <f t="shared" si="579"/>
        <v>857.93514405549888</v>
      </c>
      <c r="FC204" s="173">
        <f t="shared" si="580"/>
        <v>2.211081496773772</v>
      </c>
      <c r="FD204" s="5">
        <f t="shared" si="581"/>
        <v>15.04</v>
      </c>
      <c r="FE204" s="173">
        <f t="shared" si="582"/>
        <v>0.87182939822136485</v>
      </c>
      <c r="FF204" s="5">
        <f t="shared" si="583"/>
        <v>87.18293982213649</v>
      </c>
      <c r="FI204" s="562">
        <f t="shared" si="584"/>
        <v>-50</v>
      </c>
      <c r="FJ204">
        <f t="shared" si="585"/>
        <v>-50</v>
      </c>
      <c r="FL204">
        <f t="shared" si="586"/>
        <v>0.53672316384180796</v>
      </c>
    </row>
    <row r="205" spans="5:168">
      <c r="E205" s="170">
        <v>95</v>
      </c>
      <c r="F205" s="217">
        <f t="shared" si="587"/>
        <v>0.95</v>
      </c>
      <c r="G205" s="217"/>
      <c r="H205" s="217">
        <f t="shared" si="495"/>
        <v>15.2</v>
      </c>
      <c r="I205" s="541">
        <f t="shared" si="496"/>
        <v>18.909713613275855</v>
      </c>
      <c r="J205" s="172">
        <f t="shared" si="497"/>
        <v>16.454171832034486</v>
      </c>
      <c r="K205" s="172">
        <f t="shared" si="498"/>
        <v>35.363885445310345</v>
      </c>
      <c r="L205" s="443"/>
      <c r="M205" s="217">
        <f t="shared" si="499"/>
        <v>0.46526558038988169</v>
      </c>
      <c r="N205" s="172">
        <f t="shared" si="500"/>
        <v>22.204050621601166</v>
      </c>
      <c r="O205" s="172">
        <f t="shared" si="599"/>
        <v>15.2</v>
      </c>
      <c r="P205" s="217">
        <f t="shared" si="501"/>
        <v>1.3877531638500729</v>
      </c>
      <c r="Q205" s="217">
        <f t="shared" si="502"/>
        <v>16</v>
      </c>
      <c r="R205" s="217"/>
      <c r="S205" s="172">
        <f t="shared" si="503"/>
        <v>31.092868356227566</v>
      </c>
      <c r="T205" s="536">
        <f t="shared" si="504"/>
        <v>16</v>
      </c>
      <c r="U205" s="217">
        <f t="shared" si="505"/>
        <v>3.5531657030518331</v>
      </c>
      <c r="V205" s="217">
        <f t="shared" si="506"/>
        <v>2.2548193647251931</v>
      </c>
      <c r="W205" s="217">
        <f t="shared" si="507"/>
        <v>2.5913178051058434</v>
      </c>
      <c r="X205" s="197">
        <f t="shared" si="508"/>
        <v>350</v>
      </c>
      <c r="Y205" s="443">
        <f t="shared" si="509"/>
        <v>198.17138661600902</v>
      </c>
      <c r="AA205" s="217">
        <f t="shared" si="510"/>
        <v>2.0948441310986405</v>
      </c>
      <c r="AB205" s="173">
        <f t="shared" si="511"/>
        <v>1.5277663215016679</v>
      </c>
      <c r="AC205" s="173">
        <f t="shared" si="512"/>
        <v>0.56007565465038733</v>
      </c>
      <c r="AD205" s="173"/>
      <c r="AE205" s="173">
        <f t="shared" si="513"/>
        <v>0.72929832765191527</v>
      </c>
      <c r="AF205" s="545">
        <f t="shared" si="514"/>
        <v>2605.2438734054599</v>
      </c>
      <c r="AG205" s="528">
        <f t="shared" si="515"/>
        <v>0.12762720733908517</v>
      </c>
      <c r="AI205" s="173">
        <f t="shared" si="516"/>
        <v>2.7282877274978898</v>
      </c>
      <c r="AJ205" s="173">
        <f t="shared" si="517"/>
        <v>3.5531657030518331</v>
      </c>
      <c r="AK205" s="173">
        <f t="shared" si="518"/>
        <v>3.0912338541124691</v>
      </c>
      <c r="AM205" s="545">
        <f t="shared" si="519"/>
        <v>950</v>
      </c>
      <c r="AN205" s="460">
        <f t="shared" si="520"/>
        <v>198.17138661600902</v>
      </c>
      <c r="AP205">
        <f t="shared" si="521"/>
        <v>950</v>
      </c>
      <c r="AQ205">
        <f t="shared" si="522"/>
        <v>198.17138661600902</v>
      </c>
      <c r="AS205" s="5">
        <f t="shared" si="600"/>
        <v>5.0461371698310371</v>
      </c>
      <c r="AT205" s="5">
        <f t="shared" si="523"/>
        <v>2.2548193647251931</v>
      </c>
      <c r="AU205" s="5">
        <f t="shared" si="478"/>
        <v>2.791317805105844</v>
      </c>
      <c r="AV205" s="5"/>
      <c r="AW205" s="173">
        <f t="shared" si="479"/>
        <v>0.44684068007622008</v>
      </c>
      <c r="AX205" s="173">
        <f t="shared" si="596"/>
        <v>15.011466500146557</v>
      </c>
      <c r="AY205" s="173">
        <f t="shared" si="597"/>
        <v>0.98273336193832561</v>
      </c>
      <c r="AZ205" s="173">
        <f t="shared" si="601"/>
        <v>15.275218163488629</v>
      </c>
      <c r="BA205" s="460">
        <f t="shared" si="594"/>
        <v>13.387989978055833</v>
      </c>
      <c r="BB205" s="5">
        <f t="shared" si="595"/>
        <v>1.8697634941009704</v>
      </c>
      <c r="BD205" s="173">
        <f t="shared" si="602"/>
        <v>1.3712959271647218</v>
      </c>
      <c r="BE205" s="173">
        <f t="shared" si="598"/>
        <v>1.525737958472136</v>
      </c>
      <c r="BG205" s="528">
        <f t="shared" si="480"/>
        <v>3.7609050397171079E-2</v>
      </c>
      <c r="BH205" s="528">
        <f t="shared" si="524"/>
        <v>0.45444282766817212</v>
      </c>
      <c r="BI205" s="528">
        <f t="shared" si="525"/>
        <v>8.6189375846853461E-2</v>
      </c>
      <c r="BJ205" s="528">
        <f t="shared" si="481"/>
        <v>0.12205824836143367</v>
      </c>
      <c r="BK205">
        <f t="shared" si="482"/>
        <v>8.5093711259741339E-3</v>
      </c>
      <c r="BL205" s="460">
        <f t="shared" si="588"/>
        <v>94.698746972827593</v>
      </c>
      <c r="BM205" s="528">
        <f t="shared" si="526"/>
        <v>0.62989323956821475</v>
      </c>
      <c r="BN205" s="460">
        <f t="shared" si="527"/>
        <v>629.89323956821477</v>
      </c>
      <c r="BO205" s="528">
        <f t="shared" si="483"/>
        <v>0.66499999999999992</v>
      </c>
      <c r="BR205" s="460">
        <f t="shared" si="484"/>
        <v>664.99999999999989</v>
      </c>
      <c r="BS205" s="528">
        <f t="shared" si="485"/>
        <v>5.6413575595756618E-2</v>
      </c>
      <c r="BT205" s="528">
        <f t="shared" si="486"/>
        <v>6.9836289537681631E-2</v>
      </c>
      <c r="BU205" s="528">
        <f t="shared" si="487"/>
        <v>0.65782599051570867</v>
      </c>
      <c r="BV205" s="528"/>
      <c r="BW205" s="528">
        <f t="shared" si="488"/>
        <v>1.2509555416788798E-2</v>
      </c>
      <c r="BX205" s="460">
        <f t="shared" si="489"/>
        <v>796.58541106593577</v>
      </c>
      <c r="BY205" s="173">
        <f t="shared" si="490"/>
        <v>2.1703942844655399</v>
      </c>
      <c r="BZ205" s="5">
        <f t="shared" si="491"/>
        <v>15.2</v>
      </c>
      <c r="CA205" s="173">
        <f t="shared" si="492"/>
        <v>0.8750521002043955</v>
      </c>
      <c r="CB205" s="5">
        <f t="shared" si="493"/>
        <v>87.505210020439549</v>
      </c>
      <c r="CE205" s="562">
        <f t="shared" si="528"/>
        <v>-50</v>
      </c>
      <c r="CF205">
        <f t="shared" si="529"/>
        <v>-50</v>
      </c>
      <c r="CG205" s="173">
        <f t="shared" si="530"/>
        <v>0.52610367657229196</v>
      </c>
      <c r="CI205" s="170">
        <v>95</v>
      </c>
      <c r="CJ205" s="217">
        <f t="shared" si="589"/>
        <v>0.95</v>
      </c>
      <c r="CK205" s="217"/>
      <c r="CL205" s="217">
        <f t="shared" si="531"/>
        <v>15.2</v>
      </c>
      <c r="CM205" s="541">
        <f t="shared" si="532"/>
        <v>19</v>
      </c>
      <c r="CN205" s="443">
        <f t="shared" si="533"/>
        <v>16.399999999999999</v>
      </c>
      <c r="CO205" s="443">
        <f t="shared" si="534"/>
        <v>35.4</v>
      </c>
      <c r="CP205" s="443"/>
      <c r="CQ205" s="217">
        <f t="shared" si="535"/>
        <v>0.4632768361581921</v>
      </c>
      <c r="CR205" s="172">
        <f t="shared" si="590"/>
        <v>22.214703389830511</v>
      </c>
      <c r="CS205" s="172">
        <f t="shared" si="536"/>
        <v>15.2</v>
      </c>
      <c r="CT205" s="217">
        <f t="shared" si="537"/>
        <v>1.3884189618644069</v>
      </c>
      <c r="CU205" s="217">
        <f t="shared" si="538"/>
        <v>16</v>
      </c>
      <c r="CV205" s="217"/>
      <c r="CW205" s="172">
        <f t="shared" si="539"/>
        <v>31.240200751558937</v>
      </c>
      <c r="CX205" s="536">
        <f t="shared" si="540"/>
        <v>16</v>
      </c>
      <c r="CY205" s="217">
        <f t="shared" si="541"/>
        <v>3.4536585365853654</v>
      </c>
      <c r="CZ205" s="217">
        <f t="shared" si="542"/>
        <v>2.1812580231065466</v>
      </c>
      <c r="DA205" s="217">
        <f t="shared" si="543"/>
        <v>2.5270672218917309</v>
      </c>
      <c r="DB205" s="197">
        <f t="shared" si="544"/>
        <v>350</v>
      </c>
      <c r="DC205" s="443">
        <f t="shared" si="545"/>
        <v>212.38974539031994</v>
      </c>
      <c r="DE205" s="217">
        <f t="shared" si="546"/>
        <v>2.0957761635727734</v>
      </c>
      <c r="DF205" s="173">
        <f t="shared" si="547"/>
        <v>1.5334947538337369</v>
      </c>
      <c r="DG205" s="173">
        <f t="shared" si="548"/>
        <v>0.5624258066085126</v>
      </c>
      <c r="DH205" s="173"/>
      <c r="DI205" s="173">
        <f t="shared" si="549"/>
        <v>0.73170731707317083</v>
      </c>
      <c r="DJ205" s="545">
        <f t="shared" si="550"/>
        <v>2596.6666666666661</v>
      </c>
      <c r="DK205" s="528">
        <f t="shared" si="551"/>
        <v>0.12804878048780488</v>
      </c>
      <c r="DM205" s="173">
        <f t="shared" si="552"/>
        <v>2.7237928737419845</v>
      </c>
      <c r="DN205" s="173">
        <f t="shared" si="553"/>
        <v>3.4536585365853654</v>
      </c>
      <c r="DO205" s="173">
        <f t="shared" si="554"/>
        <v>3.0175248419150855</v>
      </c>
      <c r="DQ205" s="545">
        <f t="shared" si="555"/>
        <v>950</v>
      </c>
      <c r="DR205" s="460">
        <f t="shared" si="556"/>
        <v>212.38974539031994</v>
      </c>
      <c r="DT205">
        <f t="shared" si="591"/>
        <v>950</v>
      </c>
      <c r="DU205">
        <f t="shared" si="592"/>
        <v>212.38974539031994</v>
      </c>
      <c r="DW205" s="5">
        <f t="shared" si="557"/>
        <v>4.708325244998278</v>
      </c>
      <c r="DX205" s="5">
        <f t="shared" si="558"/>
        <v>2.1812580231065466</v>
      </c>
      <c r="DY205" s="5">
        <f t="shared" si="559"/>
        <v>2.5270672218917314</v>
      </c>
      <c r="DZ205" s="5"/>
      <c r="EA205" s="173">
        <f t="shared" si="560"/>
        <v>0.46327683615819204</v>
      </c>
      <c r="EB205" s="173">
        <f t="shared" si="561"/>
        <v>15.199999999999996</v>
      </c>
      <c r="EC205" s="173">
        <f t="shared" si="562"/>
        <v>0.92682926829268286</v>
      </c>
      <c r="ED205" s="173">
        <f t="shared" si="563"/>
        <v>16.399999999999995</v>
      </c>
      <c r="EE205" s="460">
        <f t="shared" si="564"/>
        <v>12.95121951219512</v>
      </c>
      <c r="EF205" s="5">
        <f t="shared" si="565"/>
        <v>1.6847114812611539</v>
      </c>
      <c r="EH205" s="173">
        <f t="shared" si="566"/>
        <v>1.3571850351047179</v>
      </c>
      <c r="EI205" s="173">
        <f t="shared" si="567"/>
        <v>1.4608106914532519</v>
      </c>
      <c r="EK205" s="528">
        <f t="shared" si="568"/>
        <v>3.6839024390243884E-2</v>
      </c>
      <c r="EL205" s="528">
        <f t="shared" si="569"/>
        <v>0.49336666666666668</v>
      </c>
      <c r="EM205" s="528">
        <f t="shared" si="570"/>
        <v>2.4424820719886796E-2</v>
      </c>
      <c r="EN205" s="528">
        <f t="shared" si="571"/>
        <v>0.13108297916666664</v>
      </c>
      <c r="EO205">
        <f t="shared" si="572"/>
        <v>8.5500000000000003E-3</v>
      </c>
      <c r="EP205" s="460">
        <f t="shared" si="573"/>
        <v>32.9748207198868</v>
      </c>
      <c r="EQ205" s="460"/>
      <c r="ER205" s="460">
        <f t="shared" si="593"/>
        <v>694.26349094346392</v>
      </c>
      <c r="ES205" s="528">
        <f t="shared" si="574"/>
        <v>0.66499999999999992</v>
      </c>
      <c r="EV205" s="460">
        <f t="shared" si="494"/>
        <v>664.99999999999989</v>
      </c>
      <c r="EW205" s="528">
        <f t="shared" si="575"/>
        <v>5.5258536585365829E-2</v>
      </c>
      <c r="EX205" s="528">
        <f t="shared" si="576"/>
        <v>6.4019036287923839E-2</v>
      </c>
      <c r="EY205" s="528">
        <f t="shared" si="577"/>
        <v>0.72862212829464423</v>
      </c>
      <c r="EZ205" s="528"/>
      <c r="FA205" s="528">
        <f t="shared" si="578"/>
        <v>1.2666666666666663E-2</v>
      </c>
      <c r="FB205" s="460">
        <f t="shared" si="579"/>
        <v>860.56636783460056</v>
      </c>
      <c r="FC205" s="173">
        <f t="shared" si="580"/>
        <v>2.2198298587780645</v>
      </c>
      <c r="FD205" s="5">
        <f t="shared" si="581"/>
        <v>15.2</v>
      </c>
      <c r="FE205" s="173">
        <f t="shared" si="582"/>
        <v>0.87256879792890363</v>
      </c>
      <c r="FF205" s="5">
        <f t="shared" si="583"/>
        <v>87.256879792890359</v>
      </c>
      <c r="FI205" s="562">
        <f t="shared" si="584"/>
        <v>-50</v>
      </c>
      <c r="FJ205">
        <f t="shared" si="585"/>
        <v>-50</v>
      </c>
      <c r="FL205">
        <f t="shared" si="586"/>
        <v>0.53672316384180796</v>
      </c>
    </row>
    <row r="206" spans="5:168">
      <c r="E206" s="170">
        <v>96</v>
      </c>
      <c r="F206" s="217">
        <f t="shared" si="587"/>
        <v>0.96</v>
      </c>
      <c r="G206" s="217"/>
      <c r="H206" s="217">
        <f>F206*Vout</f>
        <v>15.36</v>
      </c>
      <c r="I206" s="541">
        <f t="shared" si="496"/>
        <v>18.908782409858937</v>
      </c>
      <c r="J206" s="172">
        <f t="shared" si="497"/>
        <v>16.454730554084637</v>
      </c>
      <c r="K206" s="172">
        <f t="shared" si="498"/>
        <v>35.363512963943577</v>
      </c>
      <c r="L206" s="443"/>
      <c r="M206" s="217">
        <f t="shared" si="499"/>
        <v>0.46528628442689896</v>
      </c>
      <c r="N206" s="172">
        <f>M206*I206*(Isw_max+VIN_min/Lmag*ILIM_delay)*0.5*Efficiency</f>
        <v>22.203945207674774</v>
      </c>
      <c r="O206" s="172">
        <f t="shared" si="599"/>
        <v>15.36</v>
      </c>
      <c r="P206" s="217">
        <f>N206/Vout</f>
        <v>1.3877465754796734</v>
      </c>
      <c r="Q206" s="217">
        <f t="shared" si="502"/>
        <v>16</v>
      </c>
      <c r="R206" s="217"/>
      <c r="S206" s="172">
        <f t="shared" si="503"/>
        <v>30.577003862867436</v>
      </c>
      <c r="T206" s="536">
        <f>MIN(Vout, S206)</f>
        <v>16</v>
      </c>
      <c r="U206" s="217">
        <f t="shared" si="505"/>
        <v>3.5907064735419434</v>
      </c>
      <c r="V206" s="217">
        <f>L*U206/I206*1000000</f>
        <v>2.2787547473198075</v>
      </c>
      <c r="W206" s="217">
        <f t="shared" si="507"/>
        <v>2.6186073081462435</v>
      </c>
      <c r="X206" s="197">
        <f t="shared" si="508"/>
        <v>350</v>
      </c>
      <c r="Y206" s="443">
        <f t="shared" si="509"/>
        <v>196.17990425609864</v>
      </c>
      <c r="AA206" s="217">
        <f t="shared" si="510"/>
        <v>2.094834165165818</v>
      </c>
      <c r="AB206" s="173">
        <f>L*AA206/J206*1000000</f>
        <v>1.527707178149428</v>
      </c>
      <c r="AC206" s="173">
        <f>0.5*AB206*AA206*Nps*X206/1000</f>
        <v>0.56005130845238482</v>
      </c>
      <c r="AD206" s="173"/>
      <c r="AE206" s="173">
        <f t="shared" si="513"/>
        <v>0.72927356425299728</v>
      </c>
      <c r="AF206" s="545">
        <f>MAX(12000,F206/(0.5*AE206/1000000*Isw_min*Nps))/1000</f>
        <v>2632.7568886535419</v>
      </c>
      <c r="AG206" s="528">
        <f t="shared" si="515"/>
        <v>0.12762287374427453</v>
      </c>
      <c r="AI206" s="173">
        <f t="shared" si="516"/>
        <v>2.7426561102351346</v>
      </c>
      <c r="AJ206" s="173">
        <f>MAX(IF(F206&gt;AC206,U206,AI206),Isw_min)</f>
        <v>3.5907064735419434</v>
      </c>
      <c r="AK206" s="173">
        <f>IF(F206&gt;AG206, (AJ206-Isw_min)/1.08*0.8+1.2, AF206*0.2/350+1)</f>
        <v>3.1190418322532913</v>
      </c>
      <c r="AM206" s="545">
        <f t="shared" si="519"/>
        <v>960</v>
      </c>
      <c r="AN206" s="460">
        <f t="shared" si="520"/>
        <v>196.17990425609864</v>
      </c>
      <c r="AP206">
        <f t="shared" si="521"/>
        <v>960</v>
      </c>
      <c r="AQ206">
        <f t="shared" si="522"/>
        <v>196.17990425609864</v>
      </c>
      <c r="AS206" s="5">
        <f t="shared" si="600"/>
        <v>5.0973620554660508</v>
      </c>
      <c r="AT206" s="5">
        <f t="shared" si="523"/>
        <v>2.2787547473198075</v>
      </c>
      <c r="AU206" s="5">
        <f t="shared" si="478"/>
        <v>2.8186073081462433</v>
      </c>
      <c r="AV206" s="5"/>
      <c r="AW206" s="173">
        <f t="shared" si="479"/>
        <v>0.4470458881523301</v>
      </c>
      <c r="AX206" s="173">
        <f t="shared" si="596"/>
        <v>15.176288643625332</v>
      </c>
      <c r="AY206" s="173">
        <f t="shared" si="597"/>
        <v>0.99274795449153219</v>
      </c>
      <c r="AZ206" s="173">
        <f t="shared" si="601"/>
        <v>15.287151763912076</v>
      </c>
      <c r="BA206" s="460">
        <f t="shared" si="594"/>
        <v>13.672528483918844</v>
      </c>
      <c r="BB206" s="5">
        <f t="shared" si="595"/>
        <v>1.908011460614246</v>
      </c>
      <c r="BD206" s="173">
        <f t="shared" si="602"/>
        <v>1.3861024451748971</v>
      </c>
      <c r="BE206" s="173">
        <f t="shared" si="598"/>
        <v>1.5415720345993711</v>
      </c>
      <c r="BG206" s="528">
        <f t="shared" si="480"/>
        <v>3.8425599770396571E-2</v>
      </c>
      <c r="BH206" s="528">
        <f t="shared" si="524"/>
        <v>0.4546243492610858</v>
      </c>
      <c r="BI206" s="528">
        <f t="shared" si="525"/>
        <v>8.5319031823607158E-2</v>
      </c>
      <c r="BJ206" s="528">
        <f t="shared" si="481"/>
        <v>0.12082910385900728</v>
      </c>
      <c r="BK206">
        <f t="shared" si="482"/>
        <v>8.5089520844365205E-3</v>
      </c>
      <c r="BL206" s="460">
        <f t="shared" si="588"/>
        <v>93.827983908043677</v>
      </c>
      <c r="BM206" s="528">
        <f t="shared" si="526"/>
        <v>0.63000586959588334</v>
      </c>
      <c r="BN206" s="460">
        <f t="shared" si="527"/>
        <v>630.00586959588338</v>
      </c>
      <c r="BO206" s="528">
        <f t="shared" si="483"/>
        <v>0.67199999999999993</v>
      </c>
      <c r="BR206" s="460">
        <f t="shared" si="484"/>
        <v>671.99999999999989</v>
      </c>
      <c r="BS206" s="528">
        <f t="shared" si="485"/>
        <v>5.7638399655594856E-2</v>
      </c>
      <c r="BT206" s="528">
        <f t="shared" si="486"/>
        <v>7.1293330135765332E-2</v>
      </c>
      <c r="BU206" s="528">
        <f t="shared" si="487"/>
        <v>0.65850042808166753</v>
      </c>
      <c r="BV206" s="528"/>
      <c r="BW206" s="528">
        <f t="shared" si="488"/>
        <v>1.2646907203021109E-2</v>
      </c>
      <c r="BX206" s="460">
        <f t="shared" si="489"/>
        <v>800.07906507604878</v>
      </c>
      <c r="BY206" s="173">
        <f t="shared" si="490"/>
        <v>2.1797861018745821</v>
      </c>
      <c r="BZ206" s="5">
        <f t="shared" si="491"/>
        <v>15.36</v>
      </c>
      <c r="CA206" s="173">
        <f t="shared" si="492"/>
        <v>0.8757233361220057</v>
      </c>
      <c r="CB206" s="5">
        <f t="shared" si="493"/>
        <v>87.572333612200566</v>
      </c>
      <c r="CE206" s="562">
        <f t="shared" si="528"/>
        <v>-50</v>
      </c>
      <c r="CF206">
        <f t="shared" si="529"/>
        <v>-50</v>
      </c>
      <c r="CG206" s="173">
        <f t="shared" si="530"/>
        <v>0.52621429623134941</v>
      </c>
      <c r="CI206" s="170">
        <v>96</v>
      </c>
      <c r="CJ206" s="217">
        <f t="shared" si="589"/>
        <v>0.96</v>
      </c>
      <c r="CK206" s="217"/>
      <c r="CL206" s="217">
        <f t="shared" si="531"/>
        <v>15.36</v>
      </c>
      <c r="CM206" s="541">
        <f t="shared" si="532"/>
        <v>19</v>
      </c>
      <c r="CN206" s="443">
        <f t="shared" si="533"/>
        <v>16.399999999999999</v>
      </c>
      <c r="CO206" s="443">
        <f t="shared" si="534"/>
        <v>35.4</v>
      </c>
      <c r="CP206" s="443"/>
      <c r="CQ206" s="217">
        <f t="shared" si="535"/>
        <v>0.4632768361581921</v>
      </c>
      <c r="CR206" s="172">
        <f t="shared" si="590"/>
        <v>22.214703389830511</v>
      </c>
      <c r="CS206" s="172">
        <f t="shared" si="536"/>
        <v>15.36</v>
      </c>
      <c r="CT206" s="217">
        <f t="shared" si="537"/>
        <v>1.3884189618644069</v>
      </c>
      <c r="CU206" s="217">
        <f t="shared" si="538"/>
        <v>16</v>
      </c>
      <c r="CV206" s="217"/>
      <c r="CW206" s="172">
        <f t="shared" si="539"/>
        <v>30.72335626929949</v>
      </c>
      <c r="CX206" s="536">
        <f t="shared" si="540"/>
        <v>16</v>
      </c>
      <c r="CY206" s="217">
        <f t="shared" si="541"/>
        <v>3.4900128369704744</v>
      </c>
      <c r="CZ206" s="217">
        <f t="shared" si="542"/>
        <v>2.204218633876089</v>
      </c>
      <c r="DA206" s="217">
        <f t="shared" si="543"/>
        <v>2.5536679294905911</v>
      </c>
      <c r="DB206" s="197">
        <f t="shared" si="544"/>
        <v>350</v>
      </c>
      <c r="DC206" s="443">
        <f t="shared" si="545"/>
        <v>210.17735220917081</v>
      </c>
      <c r="DE206" s="217">
        <f t="shared" si="546"/>
        <v>2.0957761635727734</v>
      </c>
      <c r="DF206" s="173">
        <f t="shared" si="547"/>
        <v>1.5334947538337369</v>
      </c>
      <c r="DG206" s="173">
        <f t="shared" si="548"/>
        <v>0.5624258066085126</v>
      </c>
      <c r="DH206" s="173"/>
      <c r="DI206" s="173">
        <f t="shared" si="549"/>
        <v>0.73170731707317083</v>
      </c>
      <c r="DJ206" s="545">
        <f t="shared" si="550"/>
        <v>2623.9999999999995</v>
      </c>
      <c r="DK206" s="528">
        <f t="shared" si="551"/>
        <v>0.12804878048780488</v>
      </c>
      <c r="DM206" s="173">
        <f t="shared" si="552"/>
        <v>2.7380910973053574</v>
      </c>
      <c r="DN206" s="173">
        <f t="shared" si="553"/>
        <v>3.4900128369704744</v>
      </c>
      <c r="DO206" s="173">
        <f t="shared" si="554"/>
        <v>3.0444539533114625</v>
      </c>
      <c r="DQ206" s="545">
        <f t="shared" si="555"/>
        <v>960</v>
      </c>
      <c r="DR206" s="460">
        <f t="shared" si="556"/>
        <v>210.17735220917081</v>
      </c>
      <c r="DT206">
        <f t="shared" si="591"/>
        <v>960</v>
      </c>
      <c r="DU206">
        <f t="shared" si="592"/>
        <v>210.17735220917081</v>
      </c>
      <c r="DW206" s="5">
        <f t="shared" si="557"/>
        <v>4.7578865633666796</v>
      </c>
      <c r="DX206" s="5">
        <f t="shared" si="558"/>
        <v>2.204218633876089</v>
      </c>
      <c r="DY206" s="5">
        <f t="shared" si="559"/>
        <v>2.5536679294905906</v>
      </c>
      <c r="DZ206" s="5"/>
      <c r="EA206" s="173">
        <f t="shared" si="560"/>
        <v>0.4632768361581921</v>
      </c>
      <c r="EB206" s="173">
        <f t="shared" si="561"/>
        <v>15.36</v>
      </c>
      <c r="EC206" s="173">
        <f t="shared" si="562"/>
        <v>0.93658536585365848</v>
      </c>
      <c r="ED206" s="173">
        <f t="shared" si="563"/>
        <v>16.400000000000002</v>
      </c>
      <c r="EE206" s="460">
        <f t="shared" si="564"/>
        <v>13.225311803256535</v>
      </c>
      <c r="EF206" s="5">
        <f t="shared" si="565"/>
        <v>1.7203657630252398</v>
      </c>
      <c r="EH206" s="173">
        <f t="shared" si="566"/>
        <v>1.371471193368978</v>
      </c>
      <c r="EI206" s="173">
        <f t="shared" si="567"/>
        <v>1.4761876461001282</v>
      </c>
      <c r="EK206" s="528">
        <f t="shared" si="568"/>
        <v>3.761866468481858E-2</v>
      </c>
      <c r="EL206" s="528">
        <f t="shared" si="569"/>
        <v>0.49336666666666668</v>
      </c>
      <c r="EM206" s="528">
        <f t="shared" si="570"/>
        <v>2.4170395504054643E-2</v>
      </c>
      <c r="EN206" s="528">
        <f t="shared" si="571"/>
        <v>0.1297175314670139</v>
      </c>
      <c r="EO206">
        <f t="shared" si="572"/>
        <v>8.5500000000000003E-3</v>
      </c>
      <c r="EP206" s="460">
        <f t="shared" si="573"/>
        <v>32.720395504054643</v>
      </c>
      <c r="EQ206" s="460"/>
      <c r="ER206" s="460">
        <f t="shared" si="593"/>
        <v>693.42325832255381</v>
      </c>
      <c r="ES206" s="528">
        <f t="shared" si="574"/>
        <v>0.67199999999999993</v>
      </c>
      <c r="EV206" s="460">
        <f t="shared" si="494"/>
        <v>671.99999999999989</v>
      </c>
      <c r="EW206" s="528">
        <f t="shared" si="575"/>
        <v>5.6427997027227866E-2</v>
      </c>
      <c r="EX206" s="528">
        <f t="shared" si="576"/>
        <v>6.5373898994959115E-2</v>
      </c>
      <c r="EY206" s="528">
        <f t="shared" si="577"/>
        <v>0.72862212829464312</v>
      </c>
      <c r="EZ206" s="528"/>
      <c r="FA206" s="528">
        <f t="shared" si="578"/>
        <v>1.2799999999999997E-2</v>
      </c>
      <c r="FB206" s="460">
        <f t="shared" si="579"/>
        <v>863.22402431683008</v>
      </c>
      <c r="FC206" s="173">
        <f t="shared" si="580"/>
        <v>2.2286472826393839</v>
      </c>
      <c r="FD206" s="5">
        <f t="shared" si="581"/>
        <v>15.36</v>
      </c>
      <c r="FE206" s="173">
        <f t="shared" si="582"/>
        <v>0.87329058074641497</v>
      </c>
      <c r="FF206" s="5">
        <f t="shared" si="583"/>
        <v>87.329058074641495</v>
      </c>
      <c r="FI206" s="562">
        <f t="shared" si="584"/>
        <v>-50</v>
      </c>
      <c r="FJ206">
        <f t="shared" si="585"/>
        <v>-50</v>
      </c>
      <c r="FL206">
        <f t="shared" si="586"/>
        <v>0.53672316384180796</v>
      </c>
    </row>
    <row r="207" spans="5:168">
      <c r="E207" s="170">
        <v>97</v>
      </c>
      <c r="F207" s="217">
        <f>IF(PLOT_TYPE=1, E207/100*Iout_max, min_I*EXP(N207*rr/100))</f>
        <v>0.97</v>
      </c>
      <c r="G207" s="217"/>
      <c r="H207" s="217">
        <f>F207*Vout</f>
        <v>15.52</v>
      </c>
      <c r="I207" s="541">
        <f t="shared" si="496"/>
        <v>18.907851198546112</v>
      </c>
      <c r="J207" s="172">
        <f t="shared" si="497"/>
        <v>16.455289280872332</v>
      </c>
      <c r="K207" s="172">
        <f t="shared" si="498"/>
        <v>35.363140479418448</v>
      </c>
      <c r="L207" s="443"/>
      <c r="M207" s="217">
        <f t="shared" si="499"/>
        <v>0.46530698900371548</v>
      </c>
      <c r="N207" s="172">
        <f>M207*I207*(Isw_max+VIN_min/Lmag*ILIM_delay)*0.5*Efficiency</f>
        <v>22.203839712920452</v>
      </c>
      <c r="O207" s="172">
        <f t="shared" si="599"/>
        <v>15.52</v>
      </c>
      <c r="P207" s="217">
        <f>N207/Vout</f>
        <v>1.3877399820575282</v>
      </c>
      <c r="Q207" s="217">
        <f t="shared" si="502"/>
        <v>16</v>
      </c>
      <c r="R207" s="217"/>
      <c r="S207" s="172">
        <f t="shared" si="503"/>
        <v>30.071924346090487</v>
      </c>
      <c r="T207" s="536">
        <f>MIN(Vout, S207)</f>
        <v>16</v>
      </c>
      <c r="U207" s="217">
        <f t="shared" si="505"/>
        <v>3.628250154953832</v>
      </c>
      <c r="V207" s="217">
        <f>L*U207/I207*1000000</f>
        <v>2.3026943359271752</v>
      </c>
      <c r="W207" s="217">
        <f t="shared" si="507"/>
        <v>2.645897080038321</v>
      </c>
      <c r="X207" s="197">
        <f t="shared" si="508"/>
        <v>350</v>
      </c>
      <c r="Y207" s="443">
        <f t="shared" si="509"/>
        <v>194.22788083339756</v>
      </c>
      <c r="AA207" s="217">
        <f t="shared" si="510"/>
        <v>2.0948241919324553</v>
      </c>
      <c r="AB207" s="173">
        <f>L*AA207/J207*1000000</f>
        <v>1.5276480330497628</v>
      </c>
      <c r="AC207" s="173">
        <f>0.5*AB207*AA207*Nps*X207/1000</f>
        <v>0.56002695986836792</v>
      </c>
      <c r="AD207" s="173"/>
      <c r="AE207" s="173">
        <f t="shared" si="513"/>
        <v>0.72924880232575606</v>
      </c>
      <c r="AF207" s="545">
        <f>MAX(12000,F207/(0.5*AE207/1000000*Isw_min*Nps))/1000</f>
        <v>2660.27176707436</v>
      </c>
      <c r="AG207" s="528">
        <f t="shared" si="515"/>
        <v>0.12761854040700732</v>
      </c>
      <c r="AI207" s="173">
        <f t="shared" si="516"/>
        <v>2.7569505757911794</v>
      </c>
      <c r="AJ207" s="173">
        <f>MAX(IF(F207&gt;AC207,U207,AI207),Isw_min)</f>
        <v>3.628250154953832</v>
      </c>
      <c r="AK207" s="173">
        <f>IF(F207&gt;AG207, (AJ207-Isw_min)/1.08*0.8+1.2, AF207*0.2/350+1)</f>
        <v>3.1468519666324681</v>
      </c>
      <c r="AM207" s="545">
        <f t="shared" si="519"/>
        <v>970</v>
      </c>
      <c r="AN207" s="460">
        <f t="shared" si="520"/>
        <v>194.22788083339756</v>
      </c>
      <c r="AP207">
        <f t="shared" si="521"/>
        <v>970</v>
      </c>
      <c r="AQ207">
        <f t="shared" si="522"/>
        <v>194.22788083339756</v>
      </c>
      <c r="AS207" s="5">
        <f t="shared" si="600"/>
        <v>5.1485914159654964</v>
      </c>
      <c r="AT207" s="5">
        <f t="shared" si="523"/>
        <v>2.3026943359271752</v>
      </c>
      <c r="AU207" s="5">
        <f t="shared" si="478"/>
        <v>2.8458970800383212</v>
      </c>
      <c r="AV207" s="5"/>
      <c r="AW207" s="173">
        <f t="shared" si="479"/>
        <v>0.44724744107420289</v>
      </c>
      <c r="AX207" s="173">
        <f t="shared" si="596"/>
        <v>15.341127065668161</v>
      </c>
      <c r="AY207" s="173">
        <f t="shared" si="597"/>
        <v>1.0027622787868253</v>
      </c>
      <c r="AZ207" s="173">
        <f t="shared" si="601"/>
        <v>15.298867328982857</v>
      </c>
      <c r="BA207" s="460">
        <f t="shared" si="594"/>
        <v>13.960084411558498</v>
      </c>
      <c r="BB207" s="5">
        <f t="shared" si="595"/>
        <v>1.9466482564304199</v>
      </c>
      <c r="BD207" s="173">
        <f t="shared" si="602"/>
        <v>1.4009109417497116</v>
      </c>
      <c r="BE207" s="173">
        <f t="shared" si="598"/>
        <v>1.5574064751781311</v>
      </c>
      <c r="BG207" s="528">
        <f t="shared" si="480"/>
        <v>3.9251029334281283E-2</v>
      </c>
      <c r="BH207" s="528">
        <f t="shared" si="524"/>
        <v>0.45480212924912988</v>
      </c>
      <c r="BI207" s="528">
        <f t="shared" si="525"/>
        <v>8.4465932996357032E-2</v>
      </c>
      <c r="BJ207" s="528">
        <f t="shared" si="481"/>
        <v>0.11962431366944892</v>
      </c>
      <c r="BK207">
        <f t="shared" si="482"/>
        <v>8.5085330393457493E-3</v>
      </c>
      <c r="BL207" s="460">
        <f t="shared" si="588"/>
        <v>92.974466035702775</v>
      </c>
      <c r="BM207" s="528">
        <f t="shared" si="526"/>
        <v>0.63015207652455196</v>
      </c>
      <c r="BN207" s="460">
        <f t="shared" si="527"/>
        <v>630.15207652455194</v>
      </c>
      <c r="BO207" s="528">
        <f t="shared" si="483"/>
        <v>0.67899999999999994</v>
      </c>
      <c r="BR207" s="460">
        <f t="shared" si="484"/>
        <v>678.99999999999989</v>
      </c>
      <c r="BS207" s="528">
        <f t="shared" si="485"/>
        <v>5.8876544001421921E-2</v>
      </c>
      <c r="BT207" s="528">
        <f t="shared" si="486"/>
        <v>7.2765447867803118E-2</v>
      </c>
      <c r="BU207" s="528">
        <f t="shared" si="487"/>
        <v>0.65916173752341667</v>
      </c>
      <c r="BV207" s="528"/>
      <c r="BW207" s="528">
        <f t="shared" si="488"/>
        <v>1.2784272554723466E-2</v>
      </c>
      <c r="BX207" s="460">
        <f t="shared" si="489"/>
        <v>803.58800194736523</v>
      </c>
      <c r="BY207" s="173">
        <f t="shared" si="490"/>
        <v>2.1892399402359279</v>
      </c>
      <c r="BZ207" s="5">
        <f t="shared" si="491"/>
        <v>15.52</v>
      </c>
      <c r="CA207" s="173">
        <f t="shared" si="492"/>
        <v>0.87637866178198254</v>
      </c>
      <c r="CB207" s="5">
        <f t="shared" si="493"/>
        <v>87.637866178198252</v>
      </c>
      <c r="CE207" s="562">
        <f t="shared" si="528"/>
        <v>-50</v>
      </c>
      <c r="CF207">
        <f t="shared" si="529"/>
        <v>-50</v>
      </c>
      <c r="CG207" s="173">
        <f t="shared" si="530"/>
        <v>0.52632263507269439</v>
      </c>
      <c r="CI207" s="170">
        <v>97</v>
      </c>
      <c r="CJ207" s="217">
        <f t="shared" si="589"/>
        <v>0.97</v>
      </c>
      <c r="CK207" s="217"/>
      <c r="CL207" s="217">
        <f t="shared" si="531"/>
        <v>15.52</v>
      </c>
      <c r="CM207" s="541">
        <f t="shared" si="532"/>
        <v>19</v>
      </c>
      <c r="CN207" s="443">
        <f t="shared" si="533"/>
        <v>16.399999999999999</v>
      </c>
      <c r="CO207" s="443">
        <f t="shared" si="534"/>
        <v>35.4</v>
      </c>
      <c r="CP207" s="443"/>
      <c r="CQ207" s="217">
        <f t="shared" si="535"/>
        <v>0.4632768361581921</v>
      </c>
      <c r="CR207" s="172">
        <f t="shared" si="590"/>
        <v>22.214703389830511</v>
      </c>
      <c r="CS207" s="172">
        <f t="shared" si="536"/>
        <v>15.52</v>
      </c>
      <c r="CT207" s="217">
        <f t="shared" si="537"/>
        <v>1.3884189618644069</v>
      </c>
      <c r="CU207" s="217">
        <f t="shared" si="538"/>
        <v>16</v>
      </c>
      <c r="CV207" s="217"/>
      <c r="CW207" s="172">
        <f t="shared" si="539"/>
        <v>30.217297858642542</v>
      </c>
      <c r="CX207" s="536">
        <f t="shared" si="540"/>
        <v>16</v>
      </c>
      <c r="CY207" s="217">
        <f t="shared" si="541"/>
        <v>3.5263671373555838</v>
      </c>
      <c r="CZ207" s="217">
        <f t="shared" si="542"/>
        <v>2.2271792446456318</v>
      </c>
      <c r="DA207" s="217">
        <f t="shared" si="543"/>
        <v>2.5802686370894516</v>
      </c>
      <c r="DB207" s="197">
        <f t="shared" si="544"/>
        <v>350</v>
      </c>
      <c r="DC207" s="443">
        <f t="shared" si="545"/>
        <v>208.01057538227212</v>
      </c>
      <c r="DE207" s="217">
        <f t="shared" si="546"/>
        <v>2.0957761635727734</v>
      </c>
      <c r="DF207" s="173">
        <f t="shared" si="547"/>
        <v>1.5334947538337369</v>
      </c>
      <c r="DG207" s="173">
        <f t="shared" si="548"/>
        <v>0.5624258066085126</v>
      </c>
      <c r="DH207" s="173"/>
      <c r="DI207" s="173">
        <f t="shared" si="549"/>
        <v>0.73170731707317083</v>
      </c>
      <c r="DJ207" s="545">
        <f t="shared" si="550"/>
        <v>2651.333333333333</v>
      </c>
      <c r="DK207" s="528">
        <f t="shared" si="551"/>
        <v>0.12804878048780488</v>
      </c>
      <c r="DM207" s="173">
        <f t="shared" si="552"/>
        <v>2.7523150428753782</v>
      </c>
      <c r="DN207" s="173">
        <f t="shared" si="553"/>
        <v>3.5263671373555838</v>
      </c>
      <c r="DO207" s="173">
        <f t="shared" si="554"/>
        <v>3.0713830647078399</v>
      </c>
      <c r="DQ207" s="545">
        <f t="shared" si="555"/>
        <v>970</v>
      </c>
      <c r="DR207" s="460">
        <f t="shared" si="556"/>
        <v>208.01057538227212</v>
      </c>
      <c r="DT207">
        <f t="shared" si="591"/>
        <v>970</v>
      </c>
      <c r="DU207">
        <f t="shared" si="592"/>
        <v>208.01057538227212</v>
      </c>
      <c r="DW207" s="5">
        <f t="shared" si="557"/>
        <v>4.8074478817350839</v>
      </c>
      <c r="DX207" s="5">
        <f t="shared" si="558"/>
        <v>2.2271792446456318</v>
      </c>
      <c r="DY207" s="5">
        <f t="shared" si="559"/>
        <v>2.5802686370894521</v>
      </c>
      <c r="DZ207" s="5"/>
      <c r="EA207" s="173">
        <f t="shared" si="560"/>
        <v>0.46327683615819204</v>
      </c>
      <c r="EB207" s="173">
        <f t="shared" si="561"/>
        <v>15.519999999999998</v>
      </c>
      <c r="EC207" s="173">
        <f t="shared" si="562"/>
        <v>0.94634146341463421</v>
      </c>
      <c r="ED207" s="173">
        <f t="shared" si="563"/>
        <v>16.399999999999995</v>
      </c>
      <c r="EE207" s="460">
        <f t="shared" si="564"/>
        <v>13.50227417066414</v>
      </c>
      <c r="EF207" s="5">
        <f t="shared" si="565"/>
        <v>1.7563933880538722</v>
      </c>
      <c r="EH207" s="173">
        <f t="shared" si="566"/>
        <v>1.3857573516332384</v>
      </c>
      <c r="EI207" s="173">
        <f t="shared" si="567"/>
        <v>1.4915646007470047</v>
      </c>
      <c r="EK207" s="528">
        <f t="shared" si="568"/>
        <v>3.8406468752111338E-2</v>
      </c>
      <c r="EL207" s="528">
        <f t="shared" si="569"/>
        <v>0.49336666666666668</v>
      </c>
      <c r="EM207" s="528">
        <f t="shared" si="570"/>
        <v>2.3921216168961295E-2</v>
      </c>
      <c r="EN207" s="528">
        <f t="shared" si="571"/>
        <v>0.12838023732817869</v>
      </c>
      <c r="EO207">
        <f t="shared" si="572"/>
        <v>8.5500000000000003E-3</v>
      </c>
      <c r="EP207" s="460">
        <f t="shared" si="573"/>
        <v>32.471216168961291</v>
      </c>
      <c r="EQ207" s="460"/>
      <c r="ER207" s="460">
        <f t="shared" si="593"/>
        <v>692.62458891591791</v>
      </c>
      <c r="ES207" s="528">
        <f t="shared" si="574"/>
        <v>0.67899999999999994</v>
      </c>
      <c r="EV207" s="460">
        <f t="shared" si="494"/>
        <v>678.99999999999989</v>
      </c>
      <c r="EW207" s="528">
        <f t="shared" si="575"/>
        <v>5.7609703128167003E-2</v>
      </c>
      <c r="EX207" s="528">
        <f t="shared" si="576"/>
        <v>6.6742948746047137E-2</v>
      </c>
      <c r="EY207" s="528">
        <f t="shared" si="577"/>
        <v>0.72862212829464312</v>
      </c>
      <c r="EZ207" s="528"/>
      <c r="FA207" s="528">
        <f t="shared" si="578"/>
        <v>1.2933333333333333E-2</v>
      </c>
      <c r="FB207" s="460">
        <f t="shared" si="579"/>
        <v>865.90811350219064</v>
      </c>
      <c r="FC207" s="173">
        <f t="shared" si="580"/>
        <v>2.2375327024181084</v>
      </c>
      <c r="FD207" s="5">
        <f t="shared" si="581"/>
        <v>15.52</v>
      </c>
      <c r="FE207" s="173">
        <f t="shared" si="582"/>
        <v>0.87399529315728564</v>
      </c>
      <c r="FF207" s="5">
        <f t="shared" si="583"/>
        <v>87.399529315728557</v>
      </c>
      <c r="FI207" s="562">
        <f t="shared" si="584"/>
        <v>-50</v>
      </c>
      <c r="FJ207">
        <f t="shared" si="585"/>
        <v>-50</v>
      </c>
      <c r="FL207">
        <f t="shared" si="586"/>
        <v>0.53672316384180796</v>
      </c>
    </row>
    <row r="208" spans="5:168">
      <c r="E208" s="170">
        <v>98</v>
      </c>
      <c r="F208" s="217">
        <f>IF(PLOT_TYPE=1, E208/100*Iout_max, min_I*EXP(N208*rr/100))</f>
        <v>0.98</v>
      </c>
      <c r="G208" s="217"/>
      <c r="H208" s="217">
        <f>F208*Vout</f>
        <v>15.68</v>
      </c>
      <c r="I208" s="541">
        <f t="shared" si="496"/>
        <v>18.906919979583829</v>
      </c>
      <c r="J208" s="172">
        <f t="shared" si="497"/>
        <v>16.455848012249703</v>
      </c>
      <c r="K208" s="172">
        <f t="shared" si="498"/>
        <v>35.362767991833536</v>
      </c>
      <c r="L208" s="443"/>
      <c r="M208" s="217">
        <f t="shared" si="499"/>
        <v>0.46532769411711955</v>
      </c>
      <c r="N208" s="172">
        <f>M208*I208*(Isw_max+VIN_min/Lmag*ILIM_delay)*0.5*Efficiency</f>
        <v>22.203734137469322</v>
      </c>
      <c r="O208" s="172">
        <f t="shared" si="599"/>
        <v>15.68</v>
      </c>
      <c r="P208" s="217">
        <f>N208/Vout</f>
        <v>1.3877333835918326</v>
      </c>
      <c r="Q208" s="217">
        <f t="shared" si="502"/>
        <v>16</v>
      </c>
      <c r="R208" s="217"/>
      <c r="S208" s="172">
        <f t="shared" si="503"/>
        <v>29.577301888602872</v>
      </c>
      <c r="T208" s="536">
        <f>MIN(Vout, S208)</f>
        <v>16</v>
      </c>
      <c r="U208" s="217">
        <f t="shared" si="505"/>
        <v>3.6657967477173519</v>
      </c>
      <c r="V208" s="217">
        <f>L*U208/I208*1000000</f>
        <v>2.3266381314412534</v>
      </c>
      <c r="W208" s="217">
        <f t="shared" si="507"/>
        <v>2.6731871210685996</v>
      </c>
      <c r="X208" s="197">
        <f t="shared" si="508"/>
        <v>350</v>
      </c>
      <c r="Y208" s="443">
        <f t="shared" si="509"/>
        <v>192.31415507998463</v>
      </c>
      <c r="AA208" s="217">
        <f t="shared" si="510"/>
        <v>2.0948142114007831</v>
      </c>
      <c r="AB208" s="173">
        <f>L*AA208/J208*1000000</f>
        <v>1.5275888862182543</v>
      </c>
      <c r="AC208" s="173">
        <f>0.5*AB208*AA208*Nps*X208/1000</f>
        <v>0.56000260890488118</v>
      </c>
      <c r="AD208" s="173"/>
      <c r="AE208" s="173">
        <f t="shared" si="513"/>
        <v>0.72922404187661571</v>
      </c>
      <c r="AF208" s="545">
        <f>MAX(12000,F208/(0.5*AE208/1000000*Isw_min*Nps))/1000</f>
        <v>2687.7885086674514</v>
      </c>
      <c r="AG208" s="528">
        <f t="shared" si="515"/>
        <v>0.12761420732840775</v>
      </c>
      <c r="AI208" s="173">
        <f t="shared" si="516"/>
        <v>2.7711722680212181</v>
      </c>
      <c r="AJ208" s="173">
        <f>MAX(IF(F208&gt;AC208,U208,AI208),Isw_min)</f>
        <v>3.6657967477173519</v>
      </c>
      <c r="AK208" s="173">
        <f>IF(F208&gt;AG208, (AJ208-Isw_min)/1.08*0.8+1.2, AF208*0.2/350+1)</f>
        <v>3.1746642575684083</v>
      </c>
      <c r="AM208" s="545">
        <f t="shared" si="519"/>
        <v>980</v>
      </c>
      <c r="AN208" s="460">
        <f t="shared" si="520"/>
        <v>192.31415507998463</v>
      </c>
      <c r="AP208">
        <f t="shared" si="521"/>
        <v>980</v>
      </c>
      <c r="AQ208">
        <f t="shared" si="522"/>
        <v>192.31415507998463</v>
      </c>
      <c r="AS208" s="5">
        <f t="shared" si="600"/>
        <v>5.1998252525098527</v>
      </c>
      <c r="AT208" s="5">
        <f t="shared" si="523"/>
        <v>2.3266381314412534</v>
      </c>
      <c r="AU208" s="5">
        <f t="shared" si="478"/>
        <v>2.8731871210685993</v>
      </c>
      <c r="AV208" s="5"/>
      <c r="AW208" s="173">
        <f t="shared" si="479"/>
        <v>0.44744544642499884</v>
      </c>
      <c r="AX208" s="173">
        <f t="shared" si="596"/>
        <v>15.505981616311619</v>
      </c>
      <c r="AY208" s="173">
        <f t="shared" si="597"/>
        <v>1.0127763427158263</v>
      </c>
      <c r="AZ208" s="173">
        <f t="shared" si="601"/>
        <v>15.310371068434824</v>
      </c>
      <c r="BA208" s="460">
        <f t="shared" si="594"/>
        <v>14.250658555077678</v>
      </c>
      <c r="BB208" s="5">
        <f t="shared" si="595"/>
        <v>1.9856739449102701</v>
      </c>
      <c r="BD208" s="173">
        <f t="shared" si="602"/>
        <v>1.4157214119769015</v>
      </c>
      <c r="BE208" s="173">
        <f t="shared" si="598"/>
        <v>1.573241287553131</v>
      </c>
      <c r="BG208" s="528">
        <f t="shared" si="480"/>
        <v>4.0085342326597433E-2</v>
      </c>
      <c r="BH208" s="528">
        <f t="shared" si="524"/>
        <v>0.454976277700333</v>
      </c>
      <c r="BI208" s="528">
        <f t="shared" si="525"/>
        <v>8.362957184388653E-2</v>
      </c>
      <c r="BJ208" s="528">
        <f t="shared" si="481"/>
        <v>0.1184431610513289</v>
      </c>
      <c r="BK208">
        <f t="shared" si="482"/>
        <v>8.508113990812723E-3</v>
      </c>
      <c r="BL208" s="460">
        <f t="shared" si="588"/>
        <v>92.137685834699255</v>
      </c>
      <c r="BM208" s="528">
        <f t="shared" si="526"/>
        <v>0.63033127336805606</v>
      </c>
      <c r="BN208" s="460">
        <f t="shared" si="527"/>
        <v>630.33127336805603</v>
      </c>
      <c r="BO208" s="528">
        <f t="shared" si="483"/>
        <v>0.68599999999999994</v>
      </c>
      <c r="BR208" s="460">
        <f t="shared" si="484"/>
        <v>686</v>
      </c>
      <c r="BS208" s="528">
        <f t="shared" si="485"/>
        <v>6.0128013489896145E-2</v>
      </c>
      <c r="BT208" s="528">
        <f t="shared" si="486"/>
        <v>7.4252644465855E-2</v>
      </c>
      <c r="BU208" s="528">
        <f t="shared" si="487"/>
        <v>0.65981029308084549</v>
      </c>
      <c r="BV208" s="528"/>
      <c r="BW208" s="528">
        <f t="shared" si="488"/>
        <v>1.2921651346926348E-2</v>
      </c>
      <c r="BX208" s="460">
        <f t="shared" si="489"/>
        <v>807.11260238352304</v>
      </c>
      <c r="BY208" s="173">
        <f t="shared" si="490"/>
        <v>2.1987550692964812</v>
      </c>
      <c r="BZ208" s="5">
        <f t="shared" si="491"/>
        <v>15.68</v>
      </c>
      <c r="CA208" s="173">
        <f t="shared" si="492"/>
        <v>0.87701855857556632</v>
      </c>
      <c r="CB208" s="5">
        <f t="shared" si="493"/>
        <v>87.701855857556637</v>
      </c>
      <c r="CE208" s="562">
        <f t="shared" si="528"/>
        <v>-50</v>
      </c>
      <c r="CF208">
        <f t="shared" si="529"/>
        <v>-50</v>
      </c>
      <c r="CG208" s="173">
        <f t="shared" si="530"/>
        <v>0.52642876291727714</v>
      </c>
      <c r="CI208" s="170">
        <v>98</v>
      </c>
      <c r="CJ208" s="217">
        <f t="shared" si="589"/>
        <v>0.98</v>
      </c>
      <c r="CK208" s="217"/>
      <c r="CL208" s="217">
        <f t="shared" si="531"/>
        <v>15.68</v>
      </c>
      <c r="CM208" s="541">
        <f t="shared" si="532"/>
        <v>19</v>
      </c>
      <c r="CN208" s="443">
        <f t="shared" si="533"/>
        <v>16.399999999999999</v>
      </c>
      <c r="CO208" s="443">
        <f t="shared" si="534"/>
        <v>35.4</v>
      </c>
      <c r="CP208" s="443"/>
      <c r="CQ208" s="217">
        <f t="shared" si="535"/>
        <v>0.4632768361581921</v>
      </c>
      <c r="CR208" s="172">
        <f t="shared" si="590"/>
        <v>22.214703389830511</v>
      </c>
      <c r="CS208" s="172">
        <f t="shared" si="536"/>
        <v>15.68</v>
      </c>
      <c r="CT208" s="217">
        <f t="shared" si="537"/>
        <v>1.3884189618644069</v>
      </c>
      <c r="CU208" s="217">
        <f t="shared" si="538"/>
        <v>16</v>
      </c>
      <c r="CV208" s="217"/>
      <c r="CW208" s="172">
        <f t="shared" si="539"/>
        <v>29.721697572031374</v>
      </c>
      <c r="CX208" s="536">
        <f t="shared" si="540"/>
        <v>16</v>
      </c>
      <c r="CY208" s="217">
        <f t="shared" si="541"/>
        <v>3.5627214377406928</v>
      </c>
      <c r="CZ208" s="217">
        <f t="shared" si="542"/>
        <v>2.2501398554151746</v>
      </c>
      <c r="DA208" s="217">
        <f t="shared" si="543"/>
        <v>2.6068693446883122</v>
      </c>
      <c r="DB208" s="197">
        <f t="shared" si="544"/>
        <v>350</v>
      </c>
      <c r="DC208" s="443">
        <f t="shared" si="545"/>
        <v>205.88801849061625</v>
      </c>
      <c r="DE208" s="217">
        <f t="shared" si="546"/>
        <v>2.0957761635727734</v>
      </c>
      <c r="DF208" s="173">
        <f t="shared" si="547"/>
        <v>1.5334947538337369</v>
      </c>
      <c r="DG208" s="173">
        <f t="shared" si="548"/>
        <v>0.5624258066085126</v>
      </c>
      <c r="DH208" s="173"/>
      <c r="DI208" s="173">
        <f t="shared" si="549"/>
        <v>0.73170731707317083</v>
      </c>
      <c r="DJ208" s="545">
        <f t="shared" si="550"/>
        <v>2678.6666666666665</v>
      </c>
      <c r="DK208" s="528">
        <f t="shared" si="551"/>
        <v>0.12804878048780488</v>
      </c>
      <c r="DM208" s="173">
        <f t="shared" si="552"/>
        <v>2.7664658561661906</v>
      </c>
      <c r="DN208" s="173">
        <f t="shared" si="553"/>
        <v>3.5627214377406928</v>
      </c>
      <c r="DO208" s="173">
        <f t="shared" si="554"/>
        <v>3.0983121761042165</v>
      </c>
      <c r="DQ208" s="545">
        <f t="shared" si="555"/>
        <v>980</v>
      </c>
      <c r="DR208" s="460">
        <f t="shared" si="556"/>
        <v>205.88801849061625</v>
      </c>
      <c r="DT208">
        <f t="shared" si="591"/>
        <v>980</v>
      </c>
      <c r="DU208">
        <f t="shared" si="592"/>
        <v>205.88801849061625</v>
      </c>
      <c r="DW208" s="5">
        <f t="shared" si="557"/>
        <v>4.8570092001034872</v>
      </c>
      <c r="DX208" s="5">
        <f t="shared" si="558"/>
        <v>2.2501398554151746</v>
      </c>
      <c r="DY208" s="5">
        <f t="shared" si="559"/>
        <v>2.6068693446883127</v>
      </c>
      <c r="DZ208" s="5"/>
      <c r="EA208" s="173">
        <f t="shared" si="560"/>
        <v>0.46327683615819204</v>
      </c>
      <c r="EB208" s="173">
        <f t="shared" si="561"/>
        <v>15.679999999999996</v>
      </c>
      <c r="EC208" s="173">
        <f t="shared" si="562"/>
        <v>0.95609756097560972</v>
      </c>
      <c r="ED208" s="173">
        <f t="shared" si="563"/>
        <v>16.399999999999995</v>
      </c>
      <c r="EE208" s="460">
        <f t="shared" si="564"/>
        <v>13.782106614417945</v>
      </c>
      <c r="EF208" s="5">
        <f t="shared" si="565"/>
        <v>1.7927943563470499</v>
      </c>
      <c r="EH208" s="173">
        <f t="shared" si="566"/>
        <v>1.4000435098974986</v>
      </c>
      <c r="EI208" s="173">
        <f t="shared" si="567"/>
        <v>1.506941555393881</v>
      </c>
      <c r="EK208" s="528">
        <f t="shared" si="568"/>
        <v>3.9202436592122143E-2</v>
      </c>
      <c r="EL208" s="528">
        <f t="shared" si="569"/>
        <v>0.49336666666666656</v>
      </c>
      <c r="EM208" s="528">
        <f t="shared" si="570"/>
        <v>2.3677122126420872E-2</v>
      </c>
      <c r="EN208" s="528">
        <f t="shared" si="571"/>
        <v>0.12707023490646258</v>
      </c>
      <c r="EO208">
        <f t="shared" si="572"/>
        <v>8.5500000000000003E-3</v>
      </c>
      <c r="EP208" s="460">
        <f t="shared" si="573"/>
        <v>32.227122126420873</v>
      </c>
      <c r="EQ208" s="460"/>
      <c r="ER208" s="460">
        <f t="shared" si="593"/>
        <v>691.86646029167207</v>
      </c>
      <c r="ES208" s="528">
        <f t="shared" si="574"/>
        <v>0.68599999999999994</v>
      </c>
      <c r="EV208" s="460">
        <f t="shared" si="494"/>
        <v>686</v>
      </c>
      <c r="EW208" s="528">
        <f t="shared" si="575"/>
        <v>5.8803654888183211E-2</v>
      </c>
      <c r="EX208" s="528">
        <f t="shared" si="576"/>
        <v>6.8126185541187878E-2</v>
      </c>
      <c r="EY208" s="528">
        <f t="shared" si="577"/>
        <v>0.72862212829464312</v>
      </c>
      <c r="EZ208" s="528"/>
      <c r="FA208" s="528">
        <f t="shared" si="578"/>
        <v>1.3066666666666662E-2</v>
      </c>
      <c r="FB208" s="460">
        <f t="shared" si="579"/>
        <v>868.61863539068088</v>
      </c>
      <c r="FC208" s="173">
        <f t="shared" si="580"/>
        <v>2.2464850956823526</v>
      </c>
      <c r="FD208" s="5">
        <f t="shared" si="581"/>
        <v>15.68</v>
      </c>
      <c r="FE208" s="173">
        <f t="shared" si="582"/>
        <v>0.87468345949070492</v>
      </c>
      <c r="FF208" s="5">
        <f t="shared" si="583"/>
        <v>87.468345949070496</v>
      </c>
      <c r="FI208" s="562">
        <f t="shared" si="584"/>
        <v>-50</v>
      </c>
      <c r="FJ208">
        <f t="shared" si="585"/>
        <v>-50</v>
      </c>
      <c r="FL208">
        <f t="shared" si="586"/>
        <v>0.53672316384180796</v>
      </c>
    </row>
    <row r="209" spans="5:168">
      <c r="E209" s="170">
        <v>99</v>
      </c>
      <c r="F209" s="217">
        <f>IF(PLOT_TYPE=1, E209/100*Iout_max, min_I*EXP(N209*rr/100))</f>
        <v>0.99</v>
      </c>
      <c r="G209" s="217"/>
      <c r="H209" s="217">
        <f>F209*Vout</f>
        <v>15.84</v>
      </c>
      <c r="I209" s="541">
        <f t="shared" si="496"/>
        <v>18.905988753208369</v>
      </c>
      <c r="J209" s="172">
        <f t="shared" si="497"/>
        <v>16.456406748074979</v>
      </c>
      <c r="K209" s="172">
        <f t="shared" si="498"/>
        <v>35.362395501283345</v>
      </c>
      <c r="L209" s="443"/>
      <c r="M209" s="217">
        <f t="shared" si="499"/>
        <v>0.46534839976403192</v>
      </c>
      <c r="N209" s="172">
        <f>M209*I209*(Isw_max+VIN_min/Lmag*ILIM_delay)*0.5*Efficiency</f>
        <v>22.20362848144698</v>
      </c>
      <c r="O209" s="172">
        <f t="shared" si="599"/>
        <v>15.84</v>
      </c>
      <c r="P209" s="217">
        <f>N209/Vout</f>
        <v>1.3877267800904363</v>
      </c>
      <c r="Q209" s="217">
        <f t="shared" si="502"/>
        <v>16</v>
      </c>
      <c r="R209" s="217"/>
      <c r="S209" s="172">
        <f t="shared" si="503"/>
        <v>29.092821870592104</v>
      </c>
      <c r="T209" s="536">
        <f>MIN(Vout, S209)</f>
        <v>16</v>
      </c>
      <c r="U209" s="217">
        <f t="shared" si="505"/>
        <v>3.7033462522624618</v>
      </c>
      <c r="V209" s="217">
        <f>L*U209/I209*1000000</f>
        <v>2.3505861347562687</v>
      </c>
      <c r="W209" s="217">
        <f t="shared" si="507"/>
        <v>2.7004774315236237</v>
      </c>
      <c r="X209" s="197">
        <f t="shared" si="508"/>
        <v>350</v>
      </c>
      <c r="Y209" s="443">
        <f t="shared" si="509"/>
        <v>190.43761085308063</v>
      </c>
      <c r="AA209" s="217">
        <f t="shared" si="510"/>
        <v>2.0948042235729298</v>
      </c>
      <c r="AB209" s="173">
        <f>L*AA209/J209*1000000</f>
        <v>1.52752973766984</v>
      </c>
      <c r="AC209" s="173">
        <f>0.5*AB209*AA209*Nps*X209/1000</f>
        <v>0.55997825556820535</v>
      </c>
      <c r="AD209" s="173"/>
      <c r="AE209" s="173">
        <f t="shared" si="513"/>
        <v>0.7291992829117282</v>
      </c>
      <c r="AF209" s="545">
        <f>MAX(12000,F209/(0.5*AE209/1000000*Isw_min*Nps))/1000</f>
        <v>2715.3071134323714</v>
      </c>
      <c r="AG209" s="528">
        <f t="shared" si="515"/>
        <v>0.12760987450955244</v>
      </c>
      <c r="AI209" s="173">
        <f t="shared" si="516"/>
        <v>2.7853223016542432</v>
      </c>
      <c r="AJ209" s="173">
        <f>MAX(IF(F209&gt;AC209,U209,AI209),Isw_min)</f>
        <v>3.7033462522624618</v>
      </c>
      <c r="AK209" s="173">
        <f>IF(F209&gt;AG209, (AJ209-Isw_min)/1.08*0.8+1.2, AF209*0.2/350+1)</f>
        <v>3.2024787053796011</v>
      </c>
      <c r="AM209" s="545">
        <f t="shared" si="519"/>
        <v>990</v>
      </c>
      <c r="AN209" s="460">
        <f t="shared" si="520"/>
        <v>190.43761085308063</v>
      </c>
      <c r="AP209">
        <f t="shared" si="521"/>
        <v>990</v>
      </c>
      <c r="AQ209">
        <f t="shared" si="522"/>
        <v>190.43761085308063</v>
      </c>
      <c r="AS209" s="5">
        <f t="shared" si="600"/>
        <v>5.2510635662798935</v>
      </c>
      <c r="AT209" s="5">
        <f t="shared" si="523"/>
        <v>2.3505861347562687</v>
      </c>
      <c r="AU209" s="5">
        <f t="shared" si="478"/>
        <v>2.9004774315236248</v>
      </c>
      <c r="AV209" s="5"/>
      <c r="AW209" s="173">
        <f t="shared" si="479"/>
        <v>0.44764000760736117</v>
      </c>
      <c r="AX209" s="173">
        <f t="shared" si="596"/>
        <v>15.670852151419636</v>
      </c>
      <c r="AY209" s="173">
        <f t="shared" si="597"/>
        <v>1.0227901538635005</v>
      </c>
      <c r="AZ209" s="173">
        <f t="shared" si="601"/>
        <v>15.321668958411811</v>
      </c>
      <c r="BA209" s="460">
        <f t="shared" si="594"/>
        <v>14.544251708804412</v>
      </c>
      <c r="BB209" s="5">
        <f t="shared" si="595"/>
        <v>2.0250885894351658</v>
      </c>
      <c r="BD209" s="173">
        <f t="shared" si="602"/>
        <v>1.4305338511459906</v>
      </c>
      <c r="BE209" s="173">
        <f t="shared" si="598"/>
        <v>1.5890764787891405</v>
      </c>
      <c r="BG209" s="528">
        <f t="shared" si="480"/>
        <v>4.0928541985491583E-2</v>
      </c>
      <c r="BH209" s="528">
        <f t="shared" si="524"/>
        <v>0.45514690040564132</v>
      </c>
      <c r="BI209" s="528">
        <f t="shared" si="525"/>
        <v>8.2809460566452942E-2</v>
      </c>
      <c r="BJ209" s="528">
        <f t="shared" si="481"/>
        <v>0.11728495711469478</v>
      </c>
      <c r="BK209">
        <f t="shared" si="482"/>
        <v>8.5076949389437662E-3</v>
      </c>
      <c r="BL209" s="460">
        <f t="shared" si="588"/>
        <v>91.317155505396713</v>
      </c>
      <c r="BM209" s="528">
        <f t="shared" si="526"/>
        <v>0.63054289690155696</v>
      </c>
      <c r="BN209" s="460">
        <f t="shared" si="527"/>
        <v>630.54289690155701</v>
      </c>
      <c r="BO209" s="528">
        <f t="shared" si="483"/>
        <v>0.69299999999999995</v>
      </c>
      <c r="BR209" s="460">
        <f t="shared" si="484"/>
        <v>693</v>
      </c>
      <c r="BS209" s="528">
        <f t="shared" si="485"/>
        <v>6.1392812978237371E-2</v>
      </c>
      <c r="BT209" s="528">
        <f t="shared" si="486"/>
        <v>7.575492166322681E-2</v>
      </c>
      <c r="BU209" s="528">
        <f t="shared" si="487"/>
        <v>0.66044645490763199</v>
      </c>
      <c r="BV209" s="528"/>
      <c r="BW209" s="528">
        <f t="shared" si="488"/>
        <v>1.3059043459516364E-2</v>
      </c>
      <c r="BX209" s="460">
        <f t="shared" si="489"/>
        <v>810.65323300861246</v>
      </c>
      <c r="BY209" s="173">
        <f t="shared" si="490"/>
        <v>2.2083307880198371</v>
      </c>
      <c r="BZ209" s="5">
        <f t="shared" si="491"/>
        <v>15.84</v>
      </c>
      <c r="CA209" s="173">
        <f t="shared" si="492"/>
        <v>0.87764348881029552</v>
      </c>
      <c r="CB209" s="5">
        <f t="shared" si="493"/>
        <v>87.764348881029548</v>
      </c>
      <c r="CE209" s="562">
        <f t="shared" si="528"/>
        <v>-50</v>
      </c>
      <c r="CF209">
        <f t="shared" si="529"/>
        <v>-50</v>
      </c>
      <c r="CG209" s="173">
        <f t="shared" si="530"/>
        <v>0.52653274676499973</v>
      </c>
      <c r="CI209" s="170">
        <v>99</v>
      </c>
      <c r="CJ209" s="217">
        <f t="shared" si="589"/>
        <v>0.99</v>
      </c>
      <c r="CK209" s="217"/>
      <c r="CL209" s="217">
        <f t="shared" si="531"/>
        <v>15.84</v>
      </c>
      <c r="CM209" s="541">
        <f t="shared" si="532"/>
        <v>19</v>
      </c>
      <c r="CN209" s="443">
        <f t="shared" si="533"/>
        <v>16.399999999999999</v>
      </c>
      <c r="CO209" s="443">
        <f t="shared" si="534"/>
        <v>35.4</v>
      </c>
      <c r="CP209" s="443"/>
      <c r="CQ209" s="217">
        <f t="shared" si="535"/>
        <v>0.4632768361581921</v>
      </c>
      <c r="CR209" s="172">
        <f t="shared" si="590"/>
        <v>22.214703389830511</v>
      </c>
      <c r="CS209" s="172">
        <f t="shared" si="536"/>
        <v>15.84</v>
      </c>
      <c r="CT209" s="217">
        <f t="shared" si="537"/>
        <v>1.3884189618644069</v>
      </c>
      <c r="CU209" s="217">
        <f t="shared" si="538"/>
        <v>16</v>
      </c>
      <c r="CV209" s="217"/>
      <c r="CW209" s="172">
        <f t="shared" si="539"/>
        <v>29.236240760828608</v>
      </c>
      <c r="CX209" s="536">
        <f t="shared" si="540"/>
        <v>16</v>
      </c>
      <c r="CY209" s="217">
        <f t="shared" si="541"/>
        <v>3.5990757381258018</v>
      </c>
      <c r="CZ209" s="217">
        <f t="shared" si="542"/>
        <v>2.2731004661847174</v>
      </c>
      <c r="DA209" s="217">
        <f t="shared" si="543"/>
        <v>2.6334700522871728</v>
      </c>
      <c r="DB209" s="197">
        <f t="shared" si="544"/>
        <v>350</v>
      </c>
      <c r="DC209" s="443">
        <f t="shared" si="545"/>
        <v>203.80834153616559</v>
      </c>
      <c r="DE209" s="217">
        <f t="shared" si="546"/>
        <v>2.0957761635727734</v>
      </c>
      <c r="DF209" s="173">
        <f t="shared" si="547"/>
        <v>1.5334947538337369</v>
      </c>
      <c r="DG209" s="173">
        <f t="shared" si="548"/>
        <v>0.5624258066085126</v>
      </c>
      <c r="DH209" s="173"/>
      <c r="DI209" s="173">
        <f t="shared" si="549"/>
        <v>0.73170731707317083</v>
      </c>
      <c r="DJ209" s="545">
        <f t="shared" si="550"/>
        <v>2705.9999999999995</v>
      </c>
      <c r="DK209" s="528">
        <f t="shared" si="551"/>
        <v>0.12804878048780488</v>
      </c>
      <c r="DM209" s="173">
        <f t="shared" si="552"/>
        <v>2.780544653737568</v>
      </c>
      <c r="DN209" s="173">
        <f t="shared" si="553"/>
        <v>3.5990757381258018</v>
      </c>
      <c r="DO209" s="173">
        <f t="shared" si="554"/>
        <v>3.1252412875005939</v>
      </c>
      <c r="DQ209" s="545">
        <f t="shared" si="555"/>
        <v>990</v>
      </c>
      <c r="DR209" s="460">
        <f t="shared" si="556"/>
        <v>203.80834153616559</v>
      </c>
      <c r="DT209">
        <f t="shared" si="591"/>
        <v>990</v>
      </c>
      <c r="DU209">
        <f t="shared" si="592"/>
        <v>203.80834153616559</v>
      </c>
      <c r="DW209" s="5">
        <f t="shared" si="557"/>
        <v>4.9065705184718906</v>
      </c>
      <c r="DX209" s="5">
        <f t="shared" si="558"/>
        <v>2.2731004661847174</v>
      </c>
      <c r="DY209" s="5">
        <f t="shared" si="559"/>
        <v>2.6334700522871732</v>
      </c>
      <c r="DZ209" s="5"/>
      <c r="EA209" s="173">
        <f t="shared" si="560"/>
        <v>0.46327683615819204</v>
      </c>
      <c r="EB209" s="173">
        <f t="shared" si="561"/>
        <v>15.839999999999996</v>
      </c>
      <c r="EC209" s="173">
        <f t="shared" si="562"/>
        <v>0.96585365853658534</v>
      </c>
      <c r="ED209" s="173">
        <f t="shared" si="563"/>
        <v>16.399999999999995</v>
      </c>
      <c r="EE209" s="460">
        <f t="shared" si="564"/>
        <v>14.06480913451794</v>
      </c>
      <c r="EF209" s="5">
        <f t="shared" si="565"/>
        <v>1.8295686679047727</v>
      </c>
      <c r="EH209" s="173">
        <f t="shared" si="566"/>
        <v>1.4143296681617588</v>
      </c>
      <c r="EI209" s="173">
        <f t="shared" si="567"/>
        <v>1.5223185100407572</v>
      </c>
      <c r="EK209" s="528">
        <f t="shared" si="568"/>
        <v>4.0006568204851017E-2</v>
      </c>
      <c r="EL209" s="528">
        <f t="shared" si="569"/>
        <v>0.49336666666666656</v>
      </c>
      <c r="EM209" s="528">
        <f t="shared" si="570"/>
        <v>2.3437959276659044E-2</v>
      </c>
      <c r="EN209" s="528">
        <f t="shared" si="571"/>
        <v>0.12578669718013466</v>
      </c>
      <c r="EO209">
        <f t="shared" si="572"/>
        <v>8.5500000000000003E-3</v>
      </c>
      <c r="EP209" s="460">
        <f t="shared" si="573"/>
        <v>31.987959276659048</v>
      </c>
      <c r="EQ209" s="460"/>
      <c r="ER209" s="460">
        <f t="shared" si="593"/>
        <v>691.14789132831118</v>
      </c>
      <c r="ES209" s="528">
        <f t="shared" si="574"/>
        <v>0.69299999999999995</v>
      </c>
      <c r="EV209" s="460">
        <f t="shared" si="494"/>
        <v>693</v>
      </c>
      <c r="EW209" s="528">
        <f t="shared" si="575"/>
        <v>6.0009852307276519E-2</v>
      </c>
      <c r="EX209" s="528">
        <f t="shared" si="576"/>
        <v>6.9523609380381338E-2</v>
      </c>
      <c r="EY209" s="528">
        <f t="shared" si="577"/>
        <v>0.7286221282946449</v>
      </c>
      <c r="EZ209" s="528"/>
      <c r="FA209" s="528">
        <f t="shared" si="578"/>
        <v>1.3199999999999996E-2</v>
      </c>
      <c r="FB209" s="460">
        <f t="shared" si="579"/>
        <v>871.35558998230283</v>
      </c>
      <c r="FC209" s="173">
        <f t="shared" si="580"/>
        <v>2.2555034813106136</v>
      </c>
      <c r="FD209" s="5">
        <f t="shared" si="581"/>
        <v>15.84</v>
      </c>
      <c r="FE209" s="173">
        <f t="shared" si="582"/>
        <v>0.87535558302424998</v>
      </c>
      <c r="FF209" s="5">
        <f t="shared" si="583"/>
        <v>87.535558302425002</v>
      </c>
      <c r="FI209" s="562">
        <f t="shared" si="584"/>
        <v>-50</v>
      </c>
      <c r="FJ209">
        <f t="shared" si="585"/>
        <v>-50</v>
      </c>
      <c r="FL209">
        <f t="shared" si="586"/>
        <v>0.53672316384180796</v>
      </c>
    </row>
    <row r="210" spans="5:168">
      <c r="E210" s="170">
        <v>100</v>
      </c>
      <c r="F210" s="217">
        <f>IF(PLOT_TYPE=1, E210/100*Iout_max, min_I*EXP(N210*rr/100))</f>
        <v>1</v>
      </c>
      <c r="G210" s="217"/>
      <c r="H210" s="217">
        <f>F210*Vout</f>
        <v>16</v>
      </c>
      <c r="I210" s="541">
        <f t="shared" si="496"/>
        <v>18.905057519646387</v>
      </c>
      <c r="J210" s="172">
        <f t="shared" si="497"/>
        <v>16.456965488212166</v>
      </c>
      <c r="K210" s="172">
        <f t="shared" si="498"/>
        <v>35.362023007858554</v>
      </c>
      <c r="L210" s="443"/>
      <c r="M210" s="217">
        <f>(Vout+Vfwd1+F210/FL210*Rdcr_sec)*Nps/((Vout+Vfwd1+F210/FL210*Rdcr_sec)*Nps+I210)</f>
        <v>0.46536910594149972</v>
      </c>
      <c r="N210" s="172">
        <f>M210*I210*(Isw_max+VIN_min/Lmag*ILIM_delay)*0.5*Efficiency</f>
        <v>22.203522744973814</v>
      </c>
      <c r="O210" s="172">
        <f t="shared" si="599"/>
        <v>16</v>
      </c>
      <c r="P210" s="217">
        <f>N210/Vout</f>
        <v>1.3877201715608634</v>
      </c>
      <c r="Q210" s="217">
        <f t="shared" si="502"/>
        <v>16</v>
      </c>
      <c r="R210" s="217"/>
      <c r="S210" s="172">
        <f t="shared" si="503"/>
        <v>28.618182306060785</v>
      </c>
      <c r="T210" s="536">
        <f>MIN(Vout, S210)</f>
        <v>16</v>
      </c>
      <c r="U210" s="217">
        <f>MIN(2*(Vout+Vfwd1+F210/FL210*Rdcr_sec)*F210/(I210*M210), Isw_max)</f>
        <v>3.7408986690192205</v>
      </c>
      <c r="V210" s="217">
        <f>L*U210/I210*1000000</f>
        <v>2.3745383467667076</v>
      </c>
      <c r="W210" s="217">
        <f t="shared" si="507"/>
        <v>2.727768011689951</v>
      </c>
      <c r="X210" s="197">
        <f t="shared" si="508"/>
        <v>350</v>
      </c>
      <c r="Y210" s="443">
        <f>MIN(1/(V210+W210+0.2)*1000, 350)</f>
        <v>188.59717496426779</v>
      </c>
      <c r="AA210" s="217">
        <f t="shared" si="510"/>
        <v>2.0947942284509296</v>
      </c>
      <c r="AB210" s="173">
        <f>L*AA210/J210*1000000</f>
        <v>1.5274705874188483</v>
      </c>
      <c r="AC210" s="173">
        <f>0.5*AB210*AA210*Nps*X210/1000</f>
        <v>0.55995389986437205</v>
      </c>
      <c r="AD210" s="173"/>
      <c r="AE210" s="173">
        <f t="shared" si="513"/>
        <v>0.72917452543698824</v>
      </c>
      <c r="AF210" s="545">
        <f>MAX(12000,F210/(0.5*AE210/1000000*Isw_min*Nps))/1000</f>
        <v>2742.8275813686942</v>
      </c>
      <c r="AG210" s="528">
        <f t="shared" si="515"/>
        <v>0.12760554195147294</v>
      </c>
      <c r="AI210" s="173">
        <f t="shared" si="516"/>
        <v>2.7994017633205104</v>
      </c>
      <c r="AJ210" s="173">
        <f>MAX(IF(F210&gt;AC210,U210,AI210),Isw_min)</f>
        <v>3.7408986690192205</v>
      </c>
      <c r="AK210" s="173">
        <f>IF(F210&gt;AG210, (AJ210-Isw_min)/1.08*0.8+1.2, AF210*0.2/350+1)</f>
        <v>3.2302953103846077</v>
      </c>
      <c r="AM210" s="545">
        <f t="shared" si="519"/>
        <v>1000</v>
      </c>
      <c r="AN210" s="460">
        <f t="shared" si="520"/>
        <v>188.59717496426779</v>
      </c>
      <c r="AP210">
        <f t="shared" si="521"/>
        <v>1000</v>
      </c>
      <c r="AQ210">
        <f t="shared" si="522"/>
        <v>188.59717496426779</v>
      </c>
      <c r="AS210" s="5">
        <f t="shared" si="600"/>
        <v>5.3023063584566579</v>
      </c>
      <c r="AT210" s="5">
        <f t="shared" si="523"/>
        <v>2.3745383467667076</v>
      </c>
      <c r="AU210" s="5">
        <f t="shared" si="478"/>
        <v>2.9277680116899503</v>
      </c>
      <c r="AV210" s="5"/>
      <c r="AW210" s="173">
        <f t="shared" si="479"/>
        <v>0.44783122404452397</v>
      </c>
      <c r="AX210" s="173">
        <f t="shared" si="596"/>
        <v>15.83573853240321</v>
      </c>
      <c r="AY210" s="173">
        <f t="shared" si="597"/>
        <v>1.0328037195229063</v>
      </c>
      <c r="AZ210" s="173">
        <f t="shared" si="601"/>
        <v>15.332766752349011</v>
      </c>
      <c r="BA210" s="460">
        <f t="shared" si="594"/>
        <v>14.840864667291921</v>
      </c>
      <c r="BB210" s="5">
        <f t="shared" si="595"/>
        <v>2.0648922534070571</v>
      </c>
      <c r="BD210" s="173">
        <f t="shared" si="602"/>
        <v>1.4453482547385244</v>
      </c>
      <c r="BE210" s="173">
        <f t="shared" si="598"/>
        <v>1.6049120556843275</v>
      </c>
      <c r="BG210" s="528">
        <f t="shared" si="480"/>
        <v>4.1780631549513968E-2</v>
      </c>
      <c r="BH210" s="528">
        <f t="shared" si="524"/>
        <v>0.45531409908467441</v>
      </c>
      <c r="BI210" s="528">
        <f t="shared" si="525"/>
        <v>8.2005130137072821E-2</v>
      </c>
      <c r="BJ210" s="528">
        <f t="shared" si="481"/>
        <v>0.11614903948125588</v>
      </c>
      <c r="BK210">
        <f t="shared" si="482"/>
        <v>8.5072758838408737E-3</v>
      </c>
      <c r="BL210" s="460">
        <f t="shared" si="588"/>
        <v>90.512406020913687</v>
      </c>
      <c r="BM210" s="528">
        <f t="shared" si="526"/>
        <v>0.63078640652818596</v>
      </c>
      <c r="BN210" s="460">
        <f t="shared" si="527"/>
        <v>630.78640652818592</v>
      </c>
      <c r="BO210" s="528">
        <f t="shared" si="483"/>
        <v>0.7</v>
      </c>
      <c r="BR210" s="460">
        <f t="shared" si="484"/>
        <v>700</v>
      </c>
      <c r="BS210" s="528">
        <f t="shared" si="485"/>
        <v>6.2670947324270948E-2</v>
      </c>
      <c r="BT210" s="528">
        <f t="shared" si="486"/>
        <v>7.7272281194426806E-2</v>
      </c>
      <c r="BU210" s="528">
        <f t="shared" si="487"/>
        <v>0.66107056972727496</v>
      </c>
      <c r="BV210" s="528"/>
      <c r="BW210" s="528">
        <f t="shared" si="488"/>
        <v>1.3196448777002675E-2</v>
      </c>
      <c r="BX210" s="460">
        <f t="shared" si="489"/>
        <v>814.21024702297541</v>
      </c>
      <c r="BY210" s="173">
        <f t="shared" si="490"/>
        <v>2.2179664231593339</v>
      </c>
      <c r="BZ210" s="5">
        <f t="shared" si="491"/>
        <v>16</v>
      </c>
      <c r="CA210" s="173">
        <f t="shared" si="492"/>
        <v>0.87825389664019948</v>
      </c>
      <c r="CB210" s="5">
        <f t="shared" si="493"/>
        <v>87.825389664019951</v>
      </c>
      <c r="CE210" s="562">
        <f t="shared" si="528"/>
        <v>-50</v>
      </c>
      <c r="CF210">
        <f t="shared" si="529"/>
        <v>-50</v>
      </c>
      <c r="CG210" s="173">
        <f t="shared" si="530"/>
        <v>0.52663465093576778</v>
      </c>
      <c r="CI210" s="170">
        <v>100</v>
      </c>
      <c r="CJ210" s="217">
        <f t="shared" si="589"/>
        <v>1</v>
      </c>
      <c r="CK210" s="217"/>
      <c r="CL210" s="217">
        <f t="shared" si="531"/>
        <v>16</v>
      </c>
      <c r="CM210" s="541">
        <f t="shared" si="532"/>
        <v>19</v>
      </c>
      <c r="CN210" s="443">
        <f t="shared" si="533"/>
        <v>16.399999999999999</v>
      </c>
      <c r="CO210" s="443">
        <f t="shared" si="534"/>
        <v>35.4</v>
      </c>
      <c r="CP210" s="443"/>
      <c r="CQ210" s="217">
        <f t="shared" si="535"/>
        <v>0.4632768361581921</v>
      </c>
      <c r="CR210" s="172">
        <f t="shared" si="590"/>
        <v>22.214703389830511</v>
      </c>
      <c r="CS210" s="172">
        <f t="shared" si="536"/>
        <v>16</v>
      </c>
      <c r="CT210" s="217">
        <f t="shared" si="537"/>
        <v>1.3884189618644069</v>
      </c>
      <c r="CU210" s="217">
        <f t="shared" si="538"/>
        <v>16</v>
      </c>
      <c r="CV210" s="217"/>
      <c r="CW210" s="172">
        <f t="shared" si="539"/>
        <v>28.760625411586009</v>
      </c>
      <c r="CX210" s="536">
        <f t="shared" si="540"/>
        <v>16</v>
      </c>
      <c r="CY210" s="217">
        <f t="shared" si="541"/>
        <v>3.6354300385109113</v>
      </c>
      <c r="CZ210" s="217">
        <f t="shared" si="542"/>
        <v>2.2960610769542598</v>
      </c>
      <c r="DA210" s="217">
        <f t="shared" si="543"/>
        <v>2.6600707598860329</v>
      </c>
      <c r="DB210" s="197">
        <f t="shared" si="544"/>
        <v>350</v>
      </c>
      <c r="DC210" s="443">
        <f t="shared" si="545"/>
        <v>201.77025812080396</v>
      </c>
      <c r="DE210" s="217">
        <f t="shared" si="546"/>
        <v>2.0957761635727734</v>
      </c>
      <c r="DF210" s="173">
        <f t="shared" si="547"/>
        <v>1.5334947538337369</v>
      </c>
      <c r="DG210" s="173">
        <f t="shared" si="548"/>
        <v>0.5624258066085126</v>
      </c>
      <c r="DH210" s="173"/>
      <c r="DI210" s="173">
        <f t="shared" si="549"/>
        <v>0.73170731707317083</v>
      </c>
      <c r="DJ210" s="545">
        <f t="shared" si="550"/>
        <v>2733.333333333333</v>
      </c>
      <c r="DK210" s="528">
        <f t="shared" si="551"/>
        <v>0.12804878048780488</v>
      </c>
      <c r="DM210" s="173">
        <f t="shared" si="552"/>
        <v>2.7945525240230875</v>
      </c>
      <c r="DN210" s="173">
        <f t="shared" si="553"/>
        <v>3.6354300385109113</v>
      </c>
      <c r="DO210" s="173">
        <f t="shared" si="554"/>
        <v>3.1521703988969714</v>
      </c>
      <c r="DQ210" s="545">
        <f t="shared" si="555"/>
        <v>1000</v>
      </c>
      <c r="DR210" s="460">
        <f t="shared" si="556"/>
        <v>201.77025812080396</v>
      </c>
      <c r="DT210">
        <f>IF(CL210&gt;CR210, " ",DQ210)</f>
        <v>1000</v>
      </c>
      <c r="DU210">
        <f>IF(CL210&gt;CR210, " ",DR210)</f>
        <v>201.77025812080396</v>
      </c>
      <c r="DW210" s="5">
        <f t="shared" si="557"/>
        <v>4.9561318368402922</v>
      </c>
      <c r="DX210" s="5">
        <f t="shared" si="558"/>
        <v>2.2960610769542598</v>
      </c>
      <c r="DY210" s="5">
        <f t="shared" si="559"/>
        <v>2.6600707598860325</v>
      </c>
      <c r="DZ210" s="5"/>
      <c r="EA210" s="173">
        <f t="shared" si="560"/>
        <v>0.4632768361581921</v>
      </c>
      <c r="EB210" s="173">
        <f t="shared" si="561"/>
        <v>16.000000000000004</v>
      </c>
      <c r="EC210" s="173">
        <f t="shared" si="562"/>
        <v>0.97560975609756106</v>
      </c>
      <c r="ED210" s="173">
        <f t="shared" si="563"/>
        <v>16.400000000000002</v>
      </c>
      <c r="EE210" s="460">
        <f t="shared" si="564"/>
        <v>14.350381730964124</v>
      </c>
      <c r="EF210" s="5">
        <f t="shared" si="565"/>
        <v>1.86671632272704</v>
      </c>
      <c r="EH210" s="173">
        <f t="shared" si="566"/>
        <v>1.4286158264260191</v>
      </c>
      <c r="EI210" s="173">
        <f t="shared" si="567"/>
        <v>1.5376954646876337</v>
      </c>
      <c r="EK210" s="528">
        <f t="shared" si="568"/>
        <v>4.0818863590297953E-2</v>
      </c>
      <c r="EL210" s="528">
        <f t="shared" si="569"/>
        <v>0.49336666666666673</v>
      </c>
      <c r="EM210" s="528">
        <f t="shared" si="570"/>
        <v>2.3203579683892459E-2</v>
      </c>
      <c r="EN210" s="528">
        <f t="shared" si="571"/>
        <v>0.12452883020833334</v>
      </c>
      <c r="EO210">
        <f t="shared" si="572"/>
        <v>8.5500000000000003E-3</v>
      </c>
      <c r="EP210" s="460">
        <f t="shared" si="573"/>
        <v>31.753579683892461</v>
      </c>
      <c r="EQ210" s="460"/>
      <c r="ER210" s="460">
        <f t="shared" si="593"/>
        <v>690.46794014919044</v>
      </c>
      <c r="ES210" s="528">
        <f t="shared" si="574"/>
        <v>0.7</v>
      </c>
      <c r="EV210" s="460">
        <f t="shared" si="494"/>
        <v>700</v>
      </c>
      <c r="EW210" s="528">
        <f t="shared" si="575"/>
        <v>6.1228295385446926E-2</v>
      </c>
      <c r="EX210" s="528">
        <f t="shared" si="576"/>
        <v>7.093522026362753E-2</v>
      </c>
      <c r="EY210" s="528">
        <f t="shared" si="577"/>
        <v>0.72862212829464446</v>
      </c>
      <c r="EZ210" s="528"/>
      <c r="FA210" s="528">
        <f t="shared" si="578"/>
        <v>1.3333333333333334E-2</v>
      </c>
      <c r="FB210" s="460">
        <f t="shared" si="579"/>
        <v>874.11897727705218</v>
      </c>
      <c r="FC210" s="173">
        <f t="shared" si="580"/>
        <v>2.2645869174262425</v>
      </c>
      <c r="FD210" s="5">
        <f t="shared" si="581"/>
        <v>16</v>
      </c>
      <c r="FE210" s="173">
        <f t="shared" si="582"/>
        <v>0.8760121470217539</v>
      </c>
      <c r="FF210" s="5">
        <f t="shared" si="583"/>
        <v>87.601214702175383</v>
      </c>
      <c r="FI210" s="562">
        <f t="shared" si="584"/>
        <v>-50</v>
      </c>
      <c r="FJ210">
        <f t="shared" si="585"/>
        <v>-50</v>
      </c>
      <c r="FL210">
        <f t="shared" si="586"/>
        <v>0.53672316384180796</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1.3884188881855068</v>
      </c>
      <c r="G212" s="217"/>
      <c r="H212" s="217">
        <f>F212*Vout</f>
        <v>22.21470221096811</v>
      </c>
      <c r="I212" s="541">
        <f>VIN_min-F212*(Rdcr_pri+RON/1000)/CG212/Nps</f>
        <v>18.868180066985865</v>
      </c>
      <c r="J212" s="172">
        <f>(T212+Vfwd1+F212/CG212*Rdcr_sec)*Nps</f>
        <v>16.057475555522021</v>
      </c>
      <c r="K212" s="172">
        <f>(Vout+Vfwd1+F212/CG212*Rdcr_sec)*Nps++I212</f>
        <v>35.347272026794343</v>
      </c>
      <c r="L212" s="443"/>
      <c r="M212" s="217">
        <f>(Vout+Vfwd1+F212/FL212*Rdcr_sec)*Nps/((Vout+Vfwd1+F212/FL212*Rdcr_sec)*Nps+I212)</f>
        <v>0.46618302955760449</v>
      </c>
      <c r="N212" s="172">
        <f>M212*I212*(Isw_max+VIN_min/Lmag*ILIM_delay)*0.5*Efficiency</f>
        <v>22.198968966629003</v>
      </c>
      <c r="O212" s="172">
        <f>T212*F212</f>
        <v>21.629322031687934</v>
      </c>
      <c r="P212" s="217">
        <f>N212/Vout</f>
        <v>1.3874355604143127</v>
      </c>
      <c r="Q212" s="217">
        <f>MIN(Vout,N212/F212)</f>
        <v>15.988668229398932</v>
      </c>
      <c r="R212" s="217"/>
      <c r="S212" s="172">
        <f>(SQRT(Isw_max^2*Nps^2*I212^2+4*Isw_max*F212/Efficiency*(Nps^2*Vfwd1*I212-Nps*I212^2)+4*(F212/Efficiency)^2*Nps^2*Vfwd1^2+8*(F212/Efficiency)^2*Nps*Vfwd1*I212+4*(F212/Efficiency)^2*I212^2)-2*F212/Efficiency*I212-2*F212/Efficiency*Nps*Vfwd1+Isw_max*Nps*I212)/(4*F212/Efficiency*Nps)</f>
        <v>15.578383595713541</v>
      </c>
      <c r="T212" s="536">
        <f>MIN(Vout, S212)</f>
        <v>15.578383595713541</v>
      </c>
      <c r="U212" s="217">
        <f>MIN(2*(Vout+Vfwd1+F212/FL212*Rdcr_sec)*F212/(I212*M212), Isw_max)</f>
        <v>5</v>
      </c>
      <c r="V212" s="217">
        <f>L*U212/I212*1000000</f>
        <v>3.1799569320934946</v>
      </c>
      <c r="W212" s="217">
        <f>L*U212/J212*1000000</f>
        <v>3.7365773836950691</v>
      </c>
      <c r="X212" s="197">
        <f>IF(1/((350000*L)*(1/I212+1/J212))&gt;Isw_min, 350, 0.001/((Isw_min*L)*(1/I212+1/J212)))</f>
        <v>350</v>
      </c>
      <c r="Y212" s="443">
        <f>MIN(1/(V212+W212+0.2)*1000, 350)</f>
        <v>140.51783573662044</v>
      </c>
      <c r="AA212" s="217">
        <f>1/((X212*1000*L)*(1/I212+1/J212))</f>
        <v>2.0654439974517138</v>
      </c>
      <c r="AB212" s="173">
        <f>L*AA212/J212*1000000</f>
        <v>1.543538265633362</v>
      </c>
      <c r="AC212" s="173">
        <f>0.5*AB212*AA212*Nps*X212/1000</f>
        <v>0.55791607297815493</v>
      </c>
      <c r="AD212" s="173"/>
      <c r="AE212" s="173">
        <f>L*Isw_min/J212*1000000</f>
        <v>0.74731547673901388</v>
      </c>
      <c r="AF212" s="545">
        <f>MAX(12000,F212/(0.5*AE212/1000000*Isw_min*Nps))/1000</f>
        <v>3715.7503929773061</v>
      </c>
      <c r="AG212" s="528">
        <f>0.5*AE212/1000000*Isw_min*Nps*X212*1000</f>
        <v>0.13078020842932742</v>
      </c>
      <c r="AI212" s="173">
        <f>SQRT(F212/(0.5*L/J212*Fsw_DCM*Nps))</f>
        <v>3.2582863124993904</v>
      </c>
      <c r="AJ212" s="173">
        <f>MAX(IF(F212&gt;AC212,U212,AI212),Isw_min)</f>
        <v>5</v>
      </c>
      <c r="AK212" s="173">
        <f>IF(F212&gt;AG212, (AJ212-Isw_min)/1.08*0.8+1.2, AF212*0.2/350+1)</f>
        <v>4.162962962962963</v>
      </c>
      <c r="AM212" s="545">
        <f>F212*1000</f>
        <v>1388.4188881855068</v>
      </c>
      <c r="AN212" s="460">
        <f>IF(F212&gt;AG212, Y212, AF212)</f>
        <v>140.51783573662044</v>
      </c>
      <c r="AP212" t="str">
        <f>IF(H212&gt;N212, "",AM212)</f>
        <v/>
      </c>
      <c r="AQ212" t="str">
        <f>IF(H212&gt;N212, "",AN212)</f>
        <v/>
      </c>
      <c r="AS212" s="5">
        <f>1/AN212*1000</f>
        <v>7.1165343157885648</v>
      </c>
      <c r="AT212" s="5">
        <f>L*AJ212/I212*1000000</f>
        <v>3.1799569320934946</v>
      </c>
      <c r="AU212" s="5">
        <f>AS212-AT212</f>
        <v>3.9365773836950702</v>
      </c>
      <c r="AV212" s="5"/>
      <c r="AW212" s="173">
        <f>AT212/AS212</f>
        <v>0.44684066583344112</v>
      </c>
      <c r="AX212" s="173">
        <f>0.5*L*AJ212^2*AN212*1000</f>
        <v>21.077675360493068</v>
      </c>
      <c r="AY212" s="173">
        <f>AJ212*Nps/2*(1-AW212)</f>
        <v>1.3828983354163971</v>
      </c>
      <c r="AZ212" s="173">
        <f>AX212/AY212</f>
        <v>15.241666593044588</v>
      </c>
      <c r="BA212" s="460">
        <f>F212*AT212/Vout_ripple*1000</f>
        <v>27.594451675844031</v>
      </c>
      <c r="BB212" s="5">
        <f>H212/Efficiency/I212*AU212/Vinripple1</f>
        <v>3.8623180224922358</v>
      </c>
      <c r="BD212" s="173">
        <f>AJ212*SQRT(AW212/3)</f>
        <v>1.929681894841395</v>
      </c>
      <c r="BE212" s="173">
        <f>AJ212*Nps*SQRT((1-AW212)/3)</f>
        <v>2.1470121373794457</v>
      </c>
      <c r="BG212" s="528">
        <f>Rdson*BD212^2</f>
        <v>7.4473444305573525E-2</v>
      </c>
      <c r="BH212" s="528">
        <f>0.5*K212*AJ212*AN212*1000*Tfall</f>
        <v>0.45323164750138384</v>
      </c>
      <c r="BI212" s="528">
        <f>Qg*Vdd*AN212*1000*0+Qg*I212*AN212*1000</f>
        <v>6.0980264027939005E-2</v>
      </c>
      <c r="BJ212" s="528">
        <f>0.5*(Coss+Csw)*K212^2*AN212*1000</f>
        <v>8.6466820823851084E-2</v>
      </c>
      <c r="BK212">
        <f>I212*IQ</f>
        <v>8.4906810301436392E-3</v>
      </c>
      <c r="BL212" s="460">
        <f>(BK212+BI212)*1000</f>
        <v>69.470945058082648</v>
      </c>
      <c r="BM212" s="528">
        <f>(BH212+BI212*0+BJ212+BK212*0+BG212*(1+RdsonTC*(Ta-25)))/(1-BG212*RdsonTC*ThetaJA)</f>
        <v>0.64570542937549202</v>
      </c>
      <c r="BN212" s="460">
        <f>BM212*1000</f>
        <v>645.70542937549203</v>
      </c>
      <c r="BO212" s="528">
        <f>Vfwd2*F212</f>
        <v>0.97189322172985471</v>
      </c>
      <c r="BR212" s="460">
        <f>SUM(BO212:BQ212)*1000</f>
        <v>971.89322172985476</v>
      </c>
      <c r="BS212" s="528">
        <f>Rdcr_pri*BD212^2</f>
        <v>0.11171016645836028</v>
      </c>
      <c r="BT212" s="528">
        <f>Rdcr_sec*BE212^2</f>
        <v>0.13828983354163968</v>
      </c>
      <c r="BU212" s="528">
        <f>AJ212^2.5*AN212^2.5*k_core</f>
        <v>0.65421974215598477</v>
      </c>
      <c r="BV212" s="528"/>
      <c r="BW212" s="528">
        <f>0.5*Lleak*0.000000001*AJ212^2*AN212*1000</f>
        <v>1.7564729467077551E-2</v>
      </c>
      <c r="BX212" s="460">
        <f>SUM(BS212:BW212)*1000</f>
        <v>921.78447162306236</v>
      </c>
      <c r="BY212" s="173">
        <f>SUM(BG212:BK212,BO212:BQ212,BS212:BW212)</f>
        <v>2.5773205510418076</v>
      </c>
      <c r="BZ212" s="5">
        <f>MIN(H212,O212)</f>
        <v>21.629322031687934</v>
      </c>
      <c r="CA212" s="173">
        <f>BZ212/(BZ212+BY212)</f>
        <v>0.89352837584834666</v>
      </c>
      <c r="CB212" s="5">
        <f>CA212*100</f>
        <v>89.35283758483466</v>
      </c>
      <c r="CE212" s="562">
        <f>IF(ABS(F212-Ioutmax_Vinmin)&lt;Iout/200, AN212, -50)</f>
        <v>140.51783573662044</v>
      </c>
      <c r="CF212">
        <f>IF(ABS(F212-Ioutmax_Vinmin)&lt;Iout/200, N212*CA212, -50)</f>
        <v>19.835408686259864</v>
      </c>
      <c r="CG212" s="173">
        <f>MIN(SQRT(2*DU212*1000*Ls1_*CL212)/CU212,1-EA212-0.00000005*DU212*1000)</f>
        <v>0.52663465093576778</v>
      </c>
      <c r="CI212" s="170">
        <v>100</v>
      </c>
      <c r="CJ212" s="217">
        <f>IF(PLOT_TYPE=1, CI212/100*Iout_max, min_I*EXP(CR212*rr/100))</f>
        <v>1</v>
      </c>
      <c r="CK212" s="217"/>
      <c r="CL212" s="217">
        <f>CJ212*Vout</f>
        <v>16</v>
      </c>
      <c r="CM212" s="541">
        <f t="shared" si="532"/>
        <v>19</v>
      </c>
      <c r="CN212" s="443">
        <f>(CX212+Vfwd1)*Nps</f>
        <v>16.399999999999999</v>
      </c>
      <c r="CO212" s="443">
        <f>(Vout+Vfwd1)*Nps+CM212</f>
        <v>35.4</v>
      </c>
      <c r="CP212" s="443"/>
      <c r="CQ212" s="217">
        <f>(Vout+Vfwd1)*Nps/((Vout+Vfwd1)*Nps+CM212)</f>
        <v>0.4632768361581921</v>
      </c>
      <c r="CR212" s="172">
        <f>CQ212*CM212*(Isw_max+VIN_min/Lmag*ILIM_delay)*0.5*Efficiency</f>
        <v>22.214703389830511</v>
      </c>
      <c r="CS212" s="172">
        <f>CX212*CJ212</f>
        <v>16</v>
      </c>
      <c r="CT212" s="217">
        <f>CR212/Vout</f>
        <v>1.3884189618644069</v>
      </c>
      <c r="CU212" s="217">
        <f>MIN(Vout,CR212/CJ212)</f>
        <v>16</v>
      </c>
      <c r="CV212" s="217"/>
      <c r="CW212" s="172">
        <f>(SQRT(Isw_max^2*Nps^2*CM212^2+4*Isw_max*CJ212/Efficiency*(Nps^2*Vfwd1*CM212-Nps*CM212^2)+4*(CJ212/Efficiency)^2*Nps^2*Vfwd1^2+8*(CJ212/Efficiency)^2*Nps*Vfwd1*CM212+4*(CJ212/Efficiency)^2*CM212^2)-2*CJ212/Efficiency*CM212-2*CJ212/Efficiency*Nps*Vfwd1+Isw_max*Nps*CM212)/(4*CJ212/Efficiency*Nps)</f>
        <v>28.760625411586009</v>
      </c>
      <c r="CX212" s="536">
        <f>MIN(Vout, CW212)</f>
        <v>16</v>
      </c>
      <c r="CY212" s="217">
        <f>MIN(2*Vout*CJ212/(Efficiency*CM212*CQ212), Isw_max)</f>
        <v>3.6354300385109113</v>
      </c>
      <c r="CZ212" s="217">
        <f>L*CY212/CM212*1000000</f>
        <v>2.2960610769542598</v>
      </c>
      <c r="DA212" s="217">
        <f>L*CY212/CN212*1000000</f>
        <v>2.6600707598860329</v>
      </c>
      <c r="DB212" s="197">
        <f>IF(1/((350000*L)*(1/CM212+1/CN212))&gt;Isw_min, 350, 0.001/((Isw_min*L)*(1/CM212+1/CN212)))</f>
        <v>350</v>
      </c>
      <c r="DC212" s="443">
        <f>MIN(1/(CZ212+DA212)*1000, 350)</f>
        <v>201.77025812080396</v>
      </c>
      <c r="DE212" s="217">
        <f>1/((DB212*1000*L)*(1/CM212+1/CN212))</f>
        <v>2.0957761635727734</v>
      </c>
      <c r="DF212" s="173">
        <f>L*DE212/CN212*1000000</f>
        <v>1.5334947538337369</v>
      </c>
      <c r="DG212" s="173">
        <f>0.5*DF212*DE212*Nps*DB212/1000</f>
        <v>0.5624258066085126</v>
      </c>
      <c r="DH212" s="173"/>
      <c r="DI212" s="173">
        <f>L*Isw_min/CN212*1000000</f>
        <v>0.73170731707317083</v>
      </c>
      <c r="DJ212" s="545">
        <f>MAX(12000,CJ212/(0.5*DI212/1000000*Isw_min*Nps))/1000</f>
        <v>2733.333333333333</v>
      </c>
      <c r="DK212" s="528">
        <f>0.5*DI212/1000000*Isw_min*Nps*DB212*1000</f>
        <v>0.12804878048780488</v>
      </c>
      <c r="DM212" s="173">
        <f>SQRT(CJ212/(0.5*L/CN212*Fsw_DCM*Nps))</f>
        <v>2.7945525240230875</v>
      </c>
      <c r="DN212" s="173">
        <f>MAX(IF(CJ212&gt;DG212,CY212,DM212),Isw_min)</f>
        <v>3.6354300385109113</v>
      </c>
      <c r="DO212" s="173">
        <f>IF(CJ212&gt;DK212, (DN212-Isw_min)/1.08*0.8+1.2, DJ212*0.2/350+1)</f>
        <v>3.1521703988969714</v>
      </c>
      <c r="DQ212" s="545">
        <f>CJ212*1000</f>
        <v>1000</v>
      </c>
      <c r="DR212" s="460">
        <f>IF(CJ212&gt;DK212, DC212, DJ212)</f>
        <v>201.77025812080396</v>
      </c>
      <c r="DT212">
        <f>IF(CL212&gt;CR212, " ",DQ212)</f>
        <v>1000</v>
      </c>
      <c r="DU212">
        <f>IF(CL212&gt;CR212, " ",DR212)</f>
        <v>201.77025812080396</v>
      </c>
      <c r="DW212" s="5">
        <f>1/DR212*1000</f>
        <v>4.9561318368402922</v>
      </c>
      <c r="DX212" s="5">
        <f>L*DN212/CM212*1000000</f>
        <v>2.2960610769542598</v>
      </c>
      <c r="DY212" s="5">
        <f>DW212-DX212</f>
        <v>2.6600707598860325</v>
      </c>
      <c r="DZ212" s="5"/>
      <c r="EA212" s="173">
        <f>DX212/DW212</f>
        <v>0.4632768361581921</v>
      </c>
      <c r="EB212" s="173">
        <f>0.5*L*DN212^2*DR212*1000</f>
        <v>16.000000000000004</v>
      </c>
      <c r="EC212" s="173">
        <f>DN212*Nps/2*(1-EA212)</f>
        <v>0.97560975609756106</v>
      </c>
      <c r="ED212" s="173">
        <f>EB212/EC212</f>
        <v>16.400000000000002</v>
      </c>
      <c r="EE212" s="460">
        <f>CJ212*DX212/Vout_ripple*1000</f>
        <v>14.350381730964124</v>
      </c>
      <c r="EF212" s="5">
        <f>CL212/Efficiency/CM212*DY212/Vinripple1</f>
        <v>1.86671632272704</v>
      </c>
      <c r="EH212" s="173">
        <f>DN212*SQRT(EA212/3)</f>
        <v>1.4286158264260191</v>
      </c>
      <c r="EI212" s="173">
        <f>DN212*Nps*SQRT((1-EA212)/3)</f>
        <v>1.5376954646876337</v>
      </c>
      <c r="EK212" s="528">
        <f>Rdson*EH212^2</f>
        <v>4.0818863590297953E-2</v>
      </c>
      <c r="EL212" s="528">
        <f>0.5*CO212*DN212*DR212*1000*Trise</f>
        <v>0.49336666666666673</v>
      </c>
      <c r="EM212" s="528">
        <f>Qg*Vdd*DR212*1000</f>
        <v>2.3203579683892459E-2</v>
      </c>
      <c r="EN212" s="528">
        <f>0.5*(Coss+Csw)*CO212^2*DR212*1000</f>
        <v>0.12452883020833334</v>
      </c>
      <c r="EO212">
        <f>CM212*IQ</f>
        <v>8.5500000000000003E-3</v>
      </c>
      <c r="EP212" s="460">
        <f>(EO212+EM212)*1000</f>
        <v>31.753579683892461</v>
      </c>
      <c r="EQ212" s="460"/>
      <c r="ER212" s="460">
        <f>SUM(EK212:EO212)*1000</f>
        <v>690.46794014919044</v>
      </c>
      <c r="ES212" s="528">
        <f>Vfwd2*CJ212</f>
        <v>0.7</v>
      </c>
      <c r="EV212" s="460">
        <f>SUM(ES212:EU212)*1000</f>
        <v>700</v>
      </c>
      <c r="EW212" s="528">
        <f>Rdcr_pri*EH212^2</f>
        <v>6.1228295385446926E-2</v>
      </c>
      <c r="EX212" s="528">
        <f>Rdcr_sec*EI212^2</f>
        <v>7.093522026362753E-2</v>
      </c>
      <c r="EY212" s="528">
        <f>DN212^2.5*DR212^2.5*k_core</f>
        <v>0.72862212829464446</v>
      </c>
      <c r="EZ212" s="528"/>
      <c r="FA212" s="528">
        <f>0.5*Lleak*0.000000001*DN212^2*DR212*1000</f>
        <v>1.3333333333333334E-2</v>
      </c>
      <c r="FB212" s="460">
        <f>SUM(EW212:FA212)*1000</f>
        <v>874.11897727705218</v>
      </c>
      <c r="FC212" s="173">
        <f>SUM(EK212:EO212,ES212:EU212,EW212:FA212)</f>
        <v>2.2645869174262425</v>
      </c>
      <c r="FD212" s="5">
        <f>MIN(CL212,CS212)</f>
        <v>16</v>
      </c>
      <c r="FE212" s="173">
        <f>FD212/(FD212+FC212)</f>
        <v>0.8760121470217539</v>
      </c>
      <c r="FF212" s="5">
        <f>FE212*100</f>
        <v>87.601214702175383</v>
      </c>
      <c r="FI212" s="562">
        <f>IF(ABS(CJ212-Ioutmax_Vinmin)&lt;Iout/200, DR212, -50)</f>
        <v>-50</v>
      </c>
      <c r="FJ212">
        <f>IF(ABS(CJ212-Ioutmax_Vinmin)&lt;Iout/200, CR212*FE212, -50)</f>
        <v>-50</v>
      </c>
      <c r="FL212">
        <f>MIN(SQRT(2*L*DR212*1000*CJ212*(CX212+Vfwd1))/(Nps*(CX212+Vfwd1)), 1-EA212)</f>
        <v>0.53672316384180796</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1.6000000000000001E-8</v>
      </c>
      <c r="I216" s="541">
        <f t="shared" ref="I216:I247" si="604">VIN_max-F216*(Rdcr_pri+RON/1000)/CG216/Nps</f>
        <v>59.999988214886983</v>
      </c>
      <c r="J216" s="172">
        <f t="shared" ref="J216:J247" si="605">(T216+Vfwd1+F216/CG216*Rdcr_sec)*Nps</f>
        <v>16.400007071067812</v>
      </c>
      <c r="K216" s="172">
        <f t="shared" ref="K216:K247" si="606">(Vout+Vfwd1+F216/CG216*Rdcr_sec)*Nps+I216</f>
        <v>76.399995285954788</v>
      </c>
      <c r="L216" s="443"/>
      <c r="M216" s="217">
        <f t="shared" ref="M216:M247" si="607">(Vout+Vfwd1+F216/FL216*Rdcr_sec)*Nps/((Vout+Vfwd1+F216/FL216*Rdcr_sec)*Nps+I216)</f>
        <v>0.21465979256505494</v>
      </c>
      <c r="N216" s="172">
        <f t="shared" ref="N216:N247" si="608">M216*I216*(Isw_max+VIN_max/Lmag*ILIM_delay)*0.5*Efficiency</f>
        <v>33.164931437091958</v>
      </c>
      <c r="O216" s="172">
        <f t="shared" si="599"/>
        <v>1.6000000000000001E-8</v>
      </c>
      <c r="P216" s="217">
        <f t="shared" ref="P216:P247" si="609">N216/Vout</f>
        <v>2.0728082148182474</v>
      </c>
      <c r="Q216" s="217">
        <f t="shared" ref="Q216:Q247" si="610">MIN(Vout,N216/F216)</f>
        <v>16</v>
      </c>
      <c r="R216" s="217"/>
      <c r="S216" s="172">
        <f t="shared" ref="S216:S247" si="611">(SQRT(Isw_max^2*Nps^2*I216^2+4*Isw_max*F216/Efficiency*(Nps^2*Vfwd1*I216-Nps*I216^2)+4*(F216/Efficiency)^2*Nps^2*Vfwd1^2+8*(F216/Efficiency)^2*Nps*Vfwd1*I216+4*(F216/Efficiency)^2*I216^2)-2*F216/Efficiency*I216-2*F216/Efficiency*Nps*Vfwd1+Isw_max*Nps*I216)/(4*F216/Efficiency*Nps)</f>
        <v>149999970477.21744</v>
      </c>
      <c r="T216" s="172">
        <f t="shared" ref="T216:T247" si="612">MIN(Vout, S216)</f>
        <v>16</v>
      </c>
      <c r="U216" s="217">
        <f t="shared" ref="U216:U247" si="613">MIN(2*Vout*F216/(Efficiency*I216*M216), Isw_max)</f>
        <v>2.4845520985411449E-9</v>
      </c>
      <c r="V216" s="217">
        <f t="shared" ref="V216:V247" si="614">L*U216/I216*1000000</f>
        <v>4.9691051731067239E-10</v>
      </c>
      <c r="W216" s="217">
        <f t="shared" ref="W216:W247" si="615">L*U216/J216*1000000</f>
        <v>1.8179641663137707E-9</v>
      </c>
      <c r="X216" s="197">
        <f t="shared" ref="X216:X247" si="616">IF(1/((350000*L)*(1/I216+1/J216))&gt;Isw_min, 350, 0.001/((Isw_min*L)*(1/I216+1/J216)))</f>
        <v>350</v>
      </c>
      <c r="Y216" s="443">
        <f>MIN(1/(V216+W216+0.2)*1000, 350)</f>
        <v>350</v>
      </c>
      <c r="AA216" s="217">
        <f t="shared" ref="AA216:AA247" si="617">1/((X216*1000*L)*(1/I216+1/J216))</f>
        <v>3.06656784998466</v>
      </c>
      <c r="AB216" s="173">
        <f t="shared" ref="AB216:AB247" si="618">L*AA216/J216*1000000</f>
        <v>2.2438291666797396</v>
      </c>
      <c r="AC216" s="173">
        <f t="shared" ref="AC216:AC247" si="619">0.5*AB216*AA216*Nps*X216/1000</f>
        <v>1.2041495170946432</v>
      </c>
      <c r="AD216" s="173"/>
      <c r="AE216" s="173">
        <f t="shared" ref="AE216:AE247" si="620">L*Isw_min/J216*1000000</f>
        <v>0.73170700158842517</v>
      </c>
      <c r="AF216" s="545">
        <f t="shared" ref="AF216:AF247" si="621">MAX(12000,F216/(0.5*AE216/1000000*Isw_min*Nps))/1000</f>
        <v>12</v>
      </c>
      <c r="AG216" s="528">
        <f t="shared" ref="AG216:AG247" si="622">0.5*AE216/1000000*Isw_min*Nps*X216*1000</f>
        <v>0.12804872527797442</v>
      </c>
      <c r="AI216" s="173">
        <f t="shared" ref="AI216:AI247" si="623">SQRT(F216/(0.5*L/J216*Fsw_DCM*Nps))</f>
        <v>8.8371529220099829E-5</v>
      </c>
      <c r="AJ216" s="173">
        <f t="shared" ref="AJ216:AJ247" si="624">MAX(IF(F216&gt;AC216,U216,AI216),Isw_min)</f>
        <v>1</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0.20000003928371779</v>
      </c>
      <c r="AU216" s="5">
        <f t="shared" si="478"/>
        <v>83.133333294049606</v>
      </c>
      <c r="AV216" s="5"/>
      <c r="AW216" s="173">
        <f t="shared" si="479"/>
        <v>2.4000004714046135E-3</v>
      </c>
      <c r="AX216" s="173">
        <f t="shared" ref="AX216:AX279" si="631">0.5*L*AJ216^2*AN216*1000</f>
        <v>7.2000000000000008E-2</v>
      </c>
      <c r="AY216" s="173">
        <f t="shared" ref="AY216:AY279" si="632">AJ216*Nps/2*(1-AW216)</f>
        <v>0.49879999976429767</v>
      </c>
      <c r="AZ216" s="173">
        <f t="shared" ref="AZ216:AZ279" si="633">AX216/AY216</f>
        <v>0.14434643150365437</v>
      </c>
      <c r="BA216" s="460">
        <f t="shared" si="594"/>
        <v>1.2500002455232362E-9</v>
      </c>
      <c r="BB216" s="5">
        <f t="shared" si="595"/>
        <v>1.8474077693995917E-8</v>
      </c>
      <c r="BD216" s="173">
        <f>AJ216*SQRT(AW216/3)</f>
        <v>2.8284274025240089E-2</v>
      </c>
      <c r="BE216" s="173">
        <f>AJ216*Nps*SQRT((1-AW216)/3)</f>
        <v>0.57665703253857781</v>
      </c>
      <c r="BG216" s="528">
        <f>Rdson*BD216^2</f>
        <v>1.6000003142697426E-5</v>
      </c>
      <c r="BH216" s="528">
        <f t="shared" ref="BH216:BH247" si="634">0.5*K216*AJ216*AN216*1000*Tfall</f>
        <v>1.6731598967624099E-2</v>
      </c>
      <c r="BI216" s="528">
        <f t="shared" ref="BI216:BI247" si="635">Qg*Vdd*AN216*1000*0+Qg*I216*AN216*1000</f>
        <v>1.6559996747308806E-2</v>
      </c>
      <c r="BJ216" s="528">
        <f>0.5*(Coss+Csw)*K216^2*AN216*1000</f>
        <v>3.4496429342991033E-2</v>
      </c>
      <c r="BK216">
        <f>I216*IQ</f>
        <v>2.6999994696699142E-2</v>
      </c>
      <c r="BL216" s="460">
        <f>(BK216+BI216)*1000</f>
        <v>43.559991444007949</v>
      </c>
      <c r="BM216" s="528">
        <f t="shared" ref="BM216:BM247" si="636">(BH216+BI216*0+BJ216+BK216*0+BG216*(1+RdsonTC*(Ta-25)))/(1-BG216*RdsonTC*ThetaJA)</f>
        <v>5.1248543141106238E-2</v>
      </c>
      <c r="BN216" s="460">
        <f>BM216*1000</f>
        <v>51.248543141106239</v>
      </c>
      <c r="BO216" s="528">
        <f t="shared" ref="BO216:BO279" si="637">Vfwd2*F216</f>
        <v>6.9999999999999996E-10</v>
      </c>
      <c r="BR216" s="460">
        <f>SUM(BO216:BQ216)*1000</f>
        <v>6.9999999999999997E-7</v>
      </c>
      <c r="BS216" s="528">
        <f>Rdcr_pri*BD216^2</f>
        <v>2.4000004714046137E-5</v>
      </c>
      <c r="BT216" s="528">
        <f>Rdcr_sec*BE216^2</f>
        <v>9.9759999952859502E-3</v>
      </c>
      <c r="BU216" s="528">
        <f>AJ216^2.5*AN216^2.5*k_core</f>
        <v>2.494153162899183E-5</v>
      </c>
      <c r="BV216" s="528"/>
      <c r="BW216" s="528">
        <f>0.5*Lleak*0.000000001*AJ216^2*AN216*1000</f>
        <v>6.0000000000000008E-5</v>
      </c>
      <c r="BX216" s="460">
        <f>SUM(BS216:BW216)*1000</f>
        <v>10.084941531628987</v>
      </c>
      <c r="BY216" s="173">
        <f>SUM(BG216:BK216,BO216:BQ216,BS216:BW216)</f>
        <v>0.10488896198939478</v>
      </c>
      <c r="BZ216" s="5">
        <f>MIN(H216,O216)</f>
        <v>1.6000000000000001E-8</v>
      </c>
      <c r="CA216" s="173">
        <f>BZ216/(BZ216+BY216)</f>
        <v>1.5254224330050908E-7</v>
      </c>
      <c r="CB216" s="5">
        <f>CA216*100</f>
        <v>1.5254224330050907E-5</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4.2426406871192857E-6</v>
      </c>
      <c r="CI216" s="170">
        <v>0.1</v>
      </c>
      <c r="CJ216" s="217">
        <v>1.0000000000000001E-9</v>
      </c>
      <c r="CK216" s="217"/>
      <c r="CL216" s="217">
        <f t="shared" ref="CL216:CL279" si="641">CJ216*Vout</f>
        <v>1.6000000000000001E-8</v>
      </c>
      <c r="CM216" s="541">
        <f t="shared" ref="CM216:CM279" si="642">VIN_max</f>
        <v>60</v>
      </c>
      <c r="CN216" s="443">
        <f t="shared" ref="CN216:CN279" si="643">(CX216+Vfwd1)*Nps</f>
        <v>16.399999999999999</v>
      </c>
      <c r="CO216" s="443">
        <f t="shared" ref="CO216:CO279" si="644">(Vout+Vfwd1)*Nps+CM216</f>
        <v>76.400000000000006</v>
      </c>
      <c r="CP216" s="443"/>
      <c r="CQ216" s="217">
        <f t="shared" ref="CQ216:CQ279" si="645">(Vout+Vfwd1)*Nps/((Vout+Vfwd1)*Nps+CM216)</f>
        <v>0.21465968586387432</v>
      </c>
      <c r="CR216" s="172">
        <f t="shared" ref="CR216:CR279" si="646">CQ216*CM216*(Isw_max+VIN_max/Lmag*ILIM_delay)*0.5*Efficiency</f>
        <v>33.164921465968582</v>
      </c>
      <c r="CS216" s="172">
        <f t="shared" ref="CS216:CS279" si="647">CX216*CJ216</f>
        <v>1.6000000000000001E-8</v>
      </c>
      <c r="CT216" s="217">
        <f t="shared" ref="CT216:CT279" si="648">CR216/Vout</f>
        <v>2.0728075916230364</v>
      </c>
      <c r="CU216" s="217">
        <f t="shared" ref="CU216:CU279" si="649">MIN(Vout,CR216/CJ216)</f>
        <v>16</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149999999940</v>
      </c>
      <c r="CX216" s="172">
        <f t="shared" ref="CX216:CX279" si="651">MIN(Vout, CW216)</f>
        <v>16</v>
      </c>
      <c r="CY216" s="217">
        <f t="shared" ref="CY216:CY279" si="652">MIN(2*Vout*CJ216/(Efficiency*CM216*CQ216), Isw_max)</f>
        <v>2.4845528455284557E-9</v>
      </c>
      <c r="CZ216" s="217">
        <f t="shared" ref="CZ216:CZ279" si="653">L*CY216/CM216*1000000</f>
        <v>4.9691056910569104E-10</v>
      </c>
      <c r="DA216" s="217">
        <f t="shared" ref="DA216:DA279" si="654">L*CY216/CN216*1000000</f>
        <v>1.8179654967281385E-9</v>
      </c>
      <c r="DB216" s="197">
        <f t="shared" ref="DB216:DB279" si="655">IF(1/((350000*L)*(1/CM216+1/CN216))&gt;Isw_min, 350, 0.001/((Isw_min*L)*(1/CM216+1/CN216)))</f>
        <v>350</v>
      </c>
      <c r="DC216" s="443">
        <f t="shared" ref="DC216:DC279" si="656">MIN(1/(CZ216+DA216)*1000, 350)</f>
        <v>350</v>
      </c>
      <c r="DE216" s="217">
        <f t="shared" ref="DE216:DE279" si="657">1/((DB216*1000*L)*(1/CM216+1/CN216))</f>
        <v>3.06656694091249</v>
      </c>
      <c r="DF216" s="173">
        <f t="shared" ref="DF216:DF279" si="658">L*DE216/CN216*1000000</f>
        <v>2.2438294689603588</v>
      </c>
      <c r="DG216" s="173">
        <f t="shared" ref="DG216:DG279" si="659">0.5*DF216*DE216*Nps*DB216/1000</f>
        <v>1.2041493223478366</v>
      </c>
      <c r="DH216" s="173"/>
      <c r="DI216" s="173">
        <f t="shared" ref="DI216:DI279" si="660">L*Isw_min/CN216*1000000</f>
        <v>0.73170731707317083</v>
      </c>
      <c r="DJ216" s="545">
        <f t="shared" ref="DJ216:DJ279" si="661">MAX(12000,CJ216/(0.5*DI216/1000000*Isw_min*Nps))/1000</f>
        <v>12</v>
      </c>
      <c r="DK216" s="528">
        <f t="shared" ref="DK216:DK279" si="662">0.5*DI216/1000000*Isw_min*Nps*DB216*1000</f>
        <v>0.12804878048780488</v>
      </c>
      <c r="DM216" s="173">
        <f t="shared" ref="DM216:DM279" si="663">SQRT(CJ216/(0.5*L/CN216*Fsw_DCM*Nps))</f>
        <v>8.837151016885368E-5</v>
      </c>
      <c r="DN216" s="173">
        <f t="shared" ref="DN216:DN279" si="664">MAX(IF(CJ216&gt;DG216,CY216,DM216),Isw_min)</f>
        <v>1</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0.2</v>
      </c>
      <c r="DY216" s="5">
        <f t="shared" ref="DY216:DY279" si="672">DW216-DX216</f>
        <v>83.133333333333326</v>
      </c>
      <c r="DZ216" s="5"/>
      <c r="EA216" s="173">
        <f t="shared" ref="EA216:EA279" si="673">DX216/DW216</f>
        <v>2.4000000000000002E-3</v>
      </c>
      <c r="EB216" s="173">
        <f>0.5*L*DN216^2*DR216*1000</f>
        <v>7.2000000000000008E-2</v>
      </c>
      <c r="EC216" s="173">
        <f>DN216*Nps/2*(1-EA216)</f>
        <v>0.49880000000000002</v>
      </c>
      <c r="ED216" s="173">
        <f>EB216/EC216</f>
        <v>0.14434643143544507</v>
      </c>
      <c r="EE216" s="460">
        <f t="shared" ref="EE216:EE279" si="674">CJ216*DX216/Vout_ripple*1000</f>
        <v>1.25E-9</v>
      </c>
      <c r="EF216" s="5">
        <f t="shared" ref="EF216:EF279" si="675">CL216/Efficiency/CM216*DY216/Vinripple1</f>
        <v>1.8474074074074071E-8</v>
      </c>
      <c r="EH216" s="173">
        <f>DN216*SQRT(EA216/3)</f>
        <v>2.8284271247461901E-2</v>
      </c>
      <c r="EI216" s="173">
        <f>DN216*Nps*SQRT((1-EA216)/3)</f>
        <v>0.57665703267482427</v>
      </c>
      <c r="EK216" s="528">
        <f>Rdson*EH216^2</f>
        <v>1.6000000000000003E-5</v>
      </c>
      <c r="EL216" s="528">
        <f>0.5*CO216*DN216*DR216*1000*Trise</f>
        <v>1.7419200000000003E-2</v>
      </c>
      <c r="EM216" s="528">
        <f>Qg*Vdd*DR216*1000</f>
        <v>1.3800000000000002E-3</v>
      </c>
      <c r="EN216" s="528">
        <f>0.5*(Coss+Csw)*CO216^2*DR216*1000</f>
        <v>3.4496433600000008E-2</v>
      </c>
      <c r="EO216">
        <f>CM216*IQ</f>
        <v>2.7E-2</v>
      </c>
      <c r="EP216" s="460">
        <f>(EO216+EM216)*1000</f>
        <v>28.38</v>
      </c>
      <c r="EQ216" s="460"/>
      <c r="ER216" s="460">
        <f>SUM(EK216:EO216)*1000</f>
        <v>80.311633600000008</v>
      </c>
      <c r="ES216" s="528">
        <f>Vfwd2*CJ216</f>
        <v>6.9999999999999996E-10</v>
      </c>
      <c r="EV216" s="460">
        <f>SUM(ES216:EU216)*1000</f>
        <v>6.9999999999999997E-7</v>
      </c>
      <c r="EW216" s="528">
        <f>Rdcr_pri*EH216^2</f>
        <v>2.4000000000000001E-5</v>
      </c>
      <c r="EX216" s="528">
        <f>Rdcr_sec*EI216^2</f>
        <v>9.9760000000000005E-3</v>
      </c>
      <c r="EY216" s="528">
        <f>DN216^2.5*DR216^2.5*k_core</f>
        <v>2.494153162899183E-5</v>
      </c>
      <c r="EZ216" s="528"/>
      <c r="FA216" s="528">
        <f>0.5*Lleak*0.000000001*DN216^2*DR216*1000</f>
        <v>6.0000000000000008E-5</v>
      </c>
      <c r="FB216" s="460">
        <f>SUM(EW216:FA216)*1000</f>
        <v>10.08494153162899</v>
      </c>
      <c r="FC216" s="173">
        <f>SUM(EK216:EO216,ES216:EU216,EW216:FA216)</f>
        <v>9.0396575831628995E-2</v>
      </c>
      <c r="FD216" s="5">
        <f>MIN(CL216,CS216)</f>
        <v>1.6000000000000001E-8</v>
      </c>
      <c r="FE216" s="173">
        <f>FD216/(FD216+FC216)</f>
        <v>1.7699782343344648E-7</v>
      </c>
      <c r="FF216" s="5">
        <f>FE216*100</f>
        <v>1.769978234334465E-5</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4.1905817746174696E-6</v>
      </c>
    </row>
    <row r="217" spans="5:168">
      <c r="E217" s="170">
        <v>1</v>
      </c>
      <c r="F217" s="217">
        <f t="shared" ref="F217:F248" si="679">IF(PLOT_TYPE=1, E217/100*Iout_max, min_I*EXP(N217*rr/100))</f>
        <v>0.01</v>
      </c>
      <c r="G217" s="217"/>
      <c r="H217" s="217">
        <f t="shared" si="603"/>
        <v>0.16</v>
      </c>
      <c r="I217" s="541">
        <f t="shared" si="604"/>
        <v>59.975306760083761</v>
      </c>
      <c r="J217" s="172">
        <f t="shared" si="605"/>
        <v>16.414815943949744</v>
      </c>
      <c r="K217" s="172">
        <f t="shared" si="606"/>
        <v>76.390122704033502</v>
      </c>
      <c r="L217" s="443"/>
      <c r="M217" s="217">
        <f t="shared" si="607"/>
        <v>0.21488328423073347</v>
      </c>
      <c r="N217" s="172">
        <f t="shared" si="608"/>
        <v>33.185804040082715</v>
      </c>
      <c r="O217" s="172">
        <f t="shared" si="599"/>
        <v>0.16</v>
      </c>
      <c r="P217" s="217">
        <f t="shared" si="609"/>
        <v>2.0741127525051697</v>
      </c>
      <c r="Q217" s="217">
        <f t="shared" si="610"/>
        <v>16</v>
      </c>
      <c r="R217" s="217"/>
      <c r="S217" s="172">
        <f t="shared" si="611"/>
        <v>14933.852989643361</v>
      </c>
      <c r="T217" s="172">
        <f t="shared" si="612"/>
        <v>16</v>
      </c>
      <c r="U217" s="217">
        <f t="shared" si="613"/>
        <v>2.4829894101850013E-2</v>
      </c>
      <c r="V217" s="217">
        <f t="shared" si="614"/>
        <v>4.9680234302778908E-3</v>
      </c>
      <c r="W217" s="217">
        <f t="shared" si="615"/>
        <v>1.8151816641722582E-2</v>
      </c>
      <c r="X217" s="197">
        <f t="shared" si="616"/>
        <v>350</v>
      </c>
      <c r="Y217" s="443">
        <f t="shared" ref="Y217:Y280" si="680">MIN(1/(V217+W217+0.2)*1000, 350)</f>
        <v>350</v>
      </c>
      <c r="AA217" s="217">
        <f t="shared" si="617"/>
        <v>3.0684708179547511</v>
      </c>
      <c r="AB217" s="173">
        <f t="shared" si="618"/>
        <v>2.2431960212766762</v>
      </c>
      <c r="AC217" s="173">
        <f t="shared" si="619"/>
        <v>1.2045567677919451</v>
      </c>
      <c r="AD217" s="173"/>
      <c r="AE217" s="173">
        <f t="shared" si="620"/>
        <v>0.7310468811210169</v>
      </c>
      <c r="AF217" s="545">
        <f t="shared" si="621"/>
        <v>27.358026573249571</v>
      </c>
      <c r="AG217" s="528">
        <f t="shared" si="622"/>
        <v>0.12793320419617796</v>
      </c>
      <c r="AI217" s="173">
        <f t="shared" si="623"/>
        <v>0.27958145541019791</v>
      </c>
      <c r="AJ217" s="173">
        <f t="shared" si="624"/>
        <v>1</v>
      </c>
      <c r="AK217" s="173">
        <f t="shared" si="625"/>
        <v>1.0156331580418569</v>
      </c>
      <c r="AM217" s="545">
        <f t="shared" si="626"/>
        <v>10</v>
      </c>
      <c r="AN217" s="460">
        <f t="shared" si="627"/>
        <v>27.358026573249571</v>
      </c>
      <c r="AP217">
        <f t="shared" si="628"/>
        <v>10</v>
      </c>
      <c r="AQ217">
        <f t="shared" si="629"/>
        <v>27.358026573249571</v>
      </c>
      <c r="AS217" s="5">
        <f t="shared" si="600"/>
        <v>36.552344056050842</v>
      </c>
      <c r="AT217" s="5">
        <f t="shared" si="630"/>
        <v>0.20008234468900685</v>
      </c>
      <c r="AU217" s="5">
        <f t="shared" si="478"/>
        <v>36.352261711361834</v>
      </c>
      <c r="AV217" s="5"/>
      <c r="AW217" s="173">
        <f t="shared" si="479"/>
        <v>5.47385810283993E-3</v>
      </c>
      <c r="AX217" s="173">
        <f t="shared" si="631"/>
        <v>0.16414815943949745</v>
      </c>
      <c r="AY217" s="173">
        <f t="shared" si="632"/>
        <v>0.49726307094858002</v>
      </c>
      <c r="AZ217" s="173">
        <f t="shared" si="633"/>
        <v>0.33010325726856832</v>
      </c>
      <c r="BA217" s="460">
        <f t="shared" si="594"/>
        <v>1.2505146543062928E-2</v>
      </c>
      <c r="BB217" s="5">
        <f t="shared" si="595"/>
        <v>8.081606397730759E-2</v>
      </c>
      <c r="BD217" s="173">
        <f t="shared" ref="BD217:BD280" si="681">AJ217*SQRT(AW217/3)</f>
        <v>4.2715563529155391E-2</v>
      </c>
      <c r="BE217" s="173">
        <f t="shared" ref="BE217:BE280" si="682">AJ217*Nps*SQRT((1-AW217)/3)</f>
        <v>0.57576793412426153</v>
      </c>
      <c r="BG217" s="528">
        <f t="shared" ref="BG217:BG280" si="683">Rdson*BD217^2</f>
        <v>3.6492387352266204E-5</v>
      </c>
      <c r="BH217" s="528">
        <f t="shared" si="634"/>
        <v>3.8140364875391075E-2</v>
      </c>
      <c r="BI217" s="528">
        <f t="shared" si="635"/>
        <v>3.7738538829866823E-2</v>
      </c>
      <c r="BJ217" s="528">
        <f t="shared" ref="BJ217:BJ280" si="684">0.5*(Coss+Csw)*K217^2*AN217*1000</f>
        <v>7.8625861520975823E-2</v>
      </c>
      <c r="BK217">
        <f t="shared" ref="BK217:BK280" si="685">I217*IQ</f>
        <v>2.6988888042037692E-2</v>
      </c>
      <c r="BL217" s="460">
        <f t="shared" ref="BL217:BL280" si="686">(BK217+BI217)*1000</f>
        <v>64.727426871904512</v>
      </c>
      <c r="BM217" s="528">
        <f t="shared" si="636"/>
        <v>0.11681358457114678</v>
      </c>
      <c r="BN217" s="460">
        <f t="shared" ref="BN217:BN280" si="687">BM217*1000</f>
        <v>116.81358457114678</v>
      </c>
      <c r="BO217" s="528">
        <f t="shared" si="637"/>
        <v>6.9999999999999993E-3</v>
      </c>
      <c r="BR217" s="460">
        <f t="shared" ref="BR217:BR280" si="688">SUM(BO217:BQ217)*1000</f>
        <v>6.9999999999999991</v>
      </c>
      <c r="BS217" s="528">
        <f t="shared" ref="BS217:BS280" si="689">Rdcr_pri*BD217^2</f>
        <v>5.4738581028399306E-5</v>
      </c>
      <c r="BT217" s="528">
        <f t="shared" ref="BT217:BT280" si="690">Rdcr_sec*BE217^2</f>
        <v>9.9452614189715991E-3</v>
      </c>
      <c r="BU217" s="528">
        <f t="shared" ref="BU217:BU280" si="691">AJ217^2.5*AN217^2.5*k_core</f>
        <v>1.9574105375034479E-4</v>
      </c>
      <c r="BV217" s="528"/>
      <c r="BW217" s="528">
        <f t="shared" ref="BW217:BW280" si="692">0.5*Lleak*0.000000001*AJ217^2*AN217*1000</f>
        <v>1.3679013286624787E-4</v>
      </c>
      <c r="BX217" s="460">
        <f t="shared" ref="BX217:BX280" si="693">SUM(BS217:BW217)*1000</f>
        <v>10.332531186616592</v>
      </c>
      <c r="BY217" s="173">
        <f t="shared" ref="BY217:BY280" si="694">SUM(BG217:BK217,BO217:BQ217,BS217:BW217)</f>
        <v>0.19886267684224027</v>
      </c>
      <c r="BZ217" s="5">
        <f t="shared" ref="BZ217:BZ280" si="695">MIN(H217,O217)</f>
        <v>0.16</v>
      </c>
      <c r="CA217" s="173">
        <f t="shared" ref="CA217:CA280" si="696">BZ217/(BZ217+BY217)</f>
        <v>0.44585299705139758</v>
      </c>
      <c r="CB217" s="5">
        <f t="shared" ref="CB217:CB280" si="697">CA217*100</f>
        <v>44.585299705139761</v>
      </c>
      <c r="CE217" s="562">
        <f t="shared" si="638"/>
        <v>-50</v>
      </c>
      <c r="CF217">
        <f t="shared" si="639"/>
        <v>-50</v>
      </c>
      <c r="CG217" s="173">
        <f t="shared" si="640"/>
        <v>2.0248456731316589E-2</v>
      </c>
      <c r="CI217" s="170">
        <v>1</v>
      </c>
      <c r="CJ217" s="217">
        <f t="shared" ref="CJ217:CJ280" si="698">IF(PLOT_TYPE=1, CI217/100*Iout_max, min_I*EXP(CR217*rr/100))</f>
        <v>0.01</v>
      </c>
      <c r="CK217" s="217"/>
      <c r="CL217" s="217">
        <f t="shared" si="641"/>
        <v>0.16</v>
      </c>
      <c r="CM217" s="541">
        <f t="shared" si="642"/>
        <v>60</v>
      </c>
      <c r="CN217" s="443">
        <f t="shared" si="643"/>
        <v>16.399999999999999</v>
      </c>
      <c r="CO217" s="443">
        <f t="shared" si="644"/>
        <v>76.400000000000006</v>
      </c>
      <c r="CP217" s="443"/>
      <c r="CQ217" s="217">
        <f t="shared" si="645"/>
        <v>0.21465968586387432</v>
      </c>
      <c r="CR217" s="172">
        <f t="shared" si="646"/>
        <v>33.164921465968582</v>
      </c>
      <c r="CS217" s="172">
        <f t="shared" si="647"/>
        <v>0.16</v>
      </c>
      <c r="CT217" s="217">
        <f t="shared" si="648"/>
        <v>2.0728075916230364</v>
      </c>
      <c r="CU217" s="217">
        <f t="shared" si="649"/>
        <v>16</v>
      </c>
      <c r="CV217" s="217"/>
      <c r="CW217" s="172">
        <f t="shared" si="650"/>
        <v>14940.001606382521</v>
      </c>
      <c r="CX217" s="172">
        <f t="shared" si="651"/>
        <v>16</v>
      </c>
      <c r="CY217" s="217">
        <f t="shared" si="652"/>
        <v>2.4845528455284555E-2</v>
      </c>
      <c r="CZ217" s="217">
        <f t="shared" si="653"/>
        <v>4.9691056910569111E-3</v>
      </c>
      <c r="DA217" s="217">
        <f t="shared" si="654"/>
        <v>1.8179654967281383E-2</v>
      </c>
      <c r="DB217" s="197">
        <f t="shared" si="655"/>
        <v>350</v>
      </c>
      <c r="DC217" s="443">
        <f t="shared" si="656"/>
        <v>350</v>
      </c>
      <c r="DE217" s="217">
        <f t="shared" si="657"/>
        <v>3.06656694091249</v>
      </c>
      <c r="DF217" s="173">
        <f t="shared" si="658"/>
        <v>2.2438294689603588</v>
      </c>
      <c r="DG217" s="173">
        <f t="shared" si="659"/>
        <v>1.2041493223478366</v>
      </c>
      <c r="DH217" s="173"/>
      <c r="DI217" s="173">
        <f t="shared" si="660"/>
        <v>0.73170731707317083</v>
      </c>
      <c r="DJ217" s="545">
        <f t="shared" si="661"/>
        <v>27.333333333333332</v>
      </c>
      <c r="DK217" s="528">
        <f t="shared" si="662"/>
        <v>0.12804878048780488</v>
      </c>
      <c r="DM217" s="173">
        <f t="shared" si="663"/>
        <v>0.27945525240230873</v>
      </c>
      <c r="DN217" s="173">
        <f t="shared" si="664"/>
        <v>1</v>
      </c>
      <c r="DO217" s="173">
        <f t="shared" si="665"/>
        <v>1.0156190476190476</v>
      </c>
      <c r="DQ217" s="545">
        <f t="shared" si="666"/>
        <v>10</v>
      </c>
      <c r="DR217" s="460">
        <f t="shared" si="667"/>
        <v>27.333333333333332</v>
      </c>
      <c r="DT217">
        <f t="shared" si="668"/>
        <v>10</v>
      </c>
      <c r="DU217">
        <f t="shared" si="669"/>
        <v>27.333333333333332</v>
      </c>
      <c r="DW217" s="5">
        <f t="shared" si="670"/>
        <v>36.585365853658544</v>
      </c>
      <c r="DX217" s="5">
        <f t="shared" si="671"/>
        <v>0.2</v>
      </c>
      <c r="DY217" s="5">
        <f t="shared" si="672"/>
        <v>36.385365853658541</v>
      </c>
      <c r="DZ217" s="5"/>
      <c r="EA217" s="173">
        <f t="shared" si="673"/>
        <v>5.4666666666666657E-3</v>
      </c>
      <c r="EB217" s="173">
        <f t="shared" ref="EB217:EB280" si="699">0.5*L*DN217^2*DR217*1000</f>
        <v>0.16400000000000001</v>
      </c>
      <c r="EC217" s="173">
        <f t="shared" ref="EC217:EC280" si="700">DN217*Nps/2*(1-EA217)</f>
        <v>0.49726666666666669</v>
      </c>
      <c r="ED217" s="173">
        <f t="shared" ref="ED217:ED280" si="701">EB217/EC217</f>
        <v>0.32980292264378602</v>
      </c>
      <c r="EE217" s="460">
        <f t="shared" si="674"/>
        <v>1.2500000000000001E-2</v>
      </c>
      <c r="EF217" s="5">
        <f t="shared" si="675"/>
        <v>8.0856368563685624E-2</v>
      </c>
      <c r="EH217" s="173">
        <f t="shared" ref="EH217:EH280" si="702">DN217*SQRT(EA217/3)</f>
        <v>4.2687494916218989E-2</v>
      </c>
      <c r="EI217" s="173">
        <f t="shared" ref="EI217:EI280" si="703">DN217*Nps*SQRT((1-EA217)/3)</f>
        <v>0.57577001581457088</v>
      </c>
      <c r="EK217" s="528">
        <f t="shared" ref="EK217:EK280" si="704">Rdson*EH217^2</f>
        <v>3.6444444444444442E-5</v>
      </c>
      <c r="EL217" s="528">
        <f t="shared" ref="EL217:EL280" si="705">0.5*CO217*DN217*DR217*1000*Trise</f>
        <v>3.9677066666666677E-2</v>
      </c>
      <c r="EM217" s="528">
        <f t="shared" ref="EM217:EM280" si="706">Qg*Vdd*DR217*1000</f>
        <v>3.1433333333333335E-3</v>
      </c>
      <c r="EN217" s="528">
        <f t="shared" ref="EN217:EN280" si="707">0.5*(Coss+Csw)*CO217^2*DR217*1000</f>
        <v>7.8575209866666676E-2</v>
      </c>
      <c r="EO217">
        <f t="shared" ref="EO217:EO280" si="708">CM217*IQ</f>
        <v>2.7E-2</v>
      </c>
      <c r="EP217" s="460">
        <f t="shared" ref="EP217:EP280" si="709">(EO217+EM217)*1000</f>
        <v>30.143333333333334</v>
      </c>
      <c r="EQ217" s="460"/>
      <c r="ER217" s="460">
        <f t="shared" ref="ER217:ER280" si="710">SUM(EK217:EO217)*1000</f>
        <v>148.43205431111113</v>
      </c>
      <c r="ES217" s="528">
        <f t="shared" ref="ES217:ES280" si="711">Vfwd2*CJ217</f>
        <v>6.9999999999999993E-3</v>
      </c>
      <c r="EV217" s="460">
        <f t="shared" ref="EV217:EV280" si="712">SUM(ES217:EU217)*1000</f>
        <v>6.9999999999999991</v>
      </c>
      <c r="EW217" s="528">
        <f t="shared" ref="EW217:EW280" si="713">Rdcr_pri*EH217^2</f>
        <v>5.4666666666666656E-5</v>
      </c>
      <c r="EX217" s="528">
        <f t="shared" ref="EX217:EX280" si="714">Rdcr_sec*EI217^2</f>
        <v>9.9453333333333355E-3</v>
      </c>
      <c r="EY217" s="528">
        <f t="shared" ref="EY217:EY280" si="715">DN217^2.5*DR217^2.5*k_core</f>
        <v>1.9529966507128129E-4</v>
      </c>
      <c r="EZ217" s="528"/>
      <c r="FA217" s="528">
        <f t="shared" ref="FA217:FA280" si="716">0.5*Lleak*0.000000001*DN217^2*DR217*1000</f>
        <v>1.3666666666666666E-4</v>
      </c>
      <c r="FB217" s="460">
        <f t="shared" ref="FB217:FB280" si="717">SUM(EW217:FA217)*1000</f>
        <v>10.331966331737949</v>
      </c>
      <c r="FC217" s="173">
        <f t="shared" ref="FC217:FC280" si="718">SUM(EK217:EO217,ES217:EU217,EW217:FA217)</f>
        <v>0.16576402064284909</v>
      </c>
      <c r="FD217" s="5">
        <f t="shared" ref="FD217:FD280" si="719">MIN(CL217,CS217)</f>
        <v>0.16</v>
      </c>
      <c r="FE217" s="173">
        <f t="shared" ref="FE217:FE280" si="720">FD217/(FD217+FC217)</f>
        <v>0.49115307357842247</v>
      </c>
      <c r="FF217" s="5">
        <f t="shared" ref="FF217:FF280" si="721">FE217*100</f>
        <v>49.115307357842248</v>
      </c>
      <c r="FI217" s="562">
        <f t="shared" si="676"/>
        <v>-50</v>
      </c>
      <c r="FJ217">
        <f t="shared" si="677"/>
        <v>-50</v>
      </c>
      <c r="FL217">
        <f t="shared" si="678"/>
        <v>2.0000000000000004E-2</v>
      </c>
    </row>
    <row r="218" spans="5:168">
      <c r="E218" s="170">
        <v>2</v>
      </c>
      <c r="F218" s="217">
        <f t="shared" si="679"/>
        <v>0.02</v>
      </c>
      <c r="G218" s="217"/>
      <c r="H218" s="217">
        <f t="shared" si="603"/>
        <v>0.32</v>
      </c>
      <c r="I218" s="541">
        <f t="shared" si="604"/>
        <v>59.975306760083761</v>
      </c>
      <c r="J218" s="172">
        <f t="shared" si="605"/>
        <v>16.414815943949744</v>
      </c>
      <c r="K218" s="172">
        <f t="shared" si="606"/>
        <v>76.390122704033502</v>
      </c>
      <c r="L218" s="443"/>
      <c r="M218" s="217">
        <f t="shared" si="607"/>
        <v>0.21488328423073347</v>
      </c>
      <c r="N218" s="172">
        <f t="shared" si="608"/>
        <v>33.185804040082715</v>
      </c>
      <c r="O218" s="172">
        <f t="shared" si="599"/>
        <v>0.32</v>
      </c>
      <c r="P218" s="217">
        <f t="shared" si="609"/>
        <v>2.0741127525051697</v>
      </c>
      <c r="Q218" s="217">
        <f t="shared" si="610"/>
        <v>16</v>
      </c>
      <c r="R218" s="217"/>
      <c r="S218" s="172">
        <f t="shared" si="611"/>
        <v>7436.9412638819449</v>
      </c>
      <c r="T218" s="172">
        <f t="shared" si="612"/>
        <v>16</v>
      </c>
      <c r="U218" s="217">
        <f t="shared" si="613"/>
        <v>4.9659788203700025E-2</v>
      </c>
      <c r="V218" s="217">
        <f t="shared" si="614"/>
        <v>9.9360468605557816E-3</v>
      </c>
      <c r="W218" s="217">
        <f t="shared" si="615"/>
        <v>3.6303633283445165E-2</v>
      </c>
      <c r="X218" s="197">
        <f t="shared" si="616"/>
        <v>350</v>
      </c>
      <c r="Y218" s="443">
        <f t="shared" si="680"/>
        <v>350</v>
      </c>
      <c r="AA218" s="217">
        <f t="shared" si="617"/>
        <v>3.0684708179547511</v>
      </c>
      <c r="AB218" s="173">
        <f t="shared" si="618"/>
        <v>2.2431960212766762</v>
      </c>
      <c r="AC218" s="173">
        <f t="shared" si="619"/>
        <v>1.2045567677919451</v>
      </c>
      <c r="AD218" s="173"/>
      <c r="AE218" s="173">
        <f t="shared" si="620"/>
        <v>0.7310468811210169</v>
      </c>
      <c r="AF218" s="545">
        <f t="shared" si="621"/>
        <v>54.716053146499142</v>
      </c>
      <c r="AG218" s="528">
        <f t="shared" si="622"/>
        <v>0.12793320419617796</v>
      </c>
      <c r="AI218" s="173">
        <f t="shared" si="623"/>
        <v>0.39538788602911062</v>
      </c>
      <c r="AJ218" s="173">
        <f t="shared" si="624"/>
        <v>1</v>
      </c>
      <c r="AK218" s="173">
        <f t="shared" si="625"/>
        <v>1.0312663160837139</v>
      </c>
      <c r="AM218" s="545">
        <f t="shared" si="626"/>
        <v>20</v>
      </c>
      <c r="AN218" s="460">
        <f t="shared" si="627"/>
        <v>54.716053146499142</v>
      </c>
      <c r="AP218">
        <f t="shared" si="628"/>
        <v>20</v>
      </c>
      <c r="AQ218">
        <f t="shared" si="629"/>
        <v>54.716053146499142</v>
      </c>
      <c r="AS218" s="5">
        <f t="shared" si="600"/>
        <v>18.276172028025421</v>
      </c>
      <c r="AT218" s="5">
        <f t="shared" si="630"/>
        <v>0.20008234468900685</v>
      </c>
      <c r="AU218" s="5">
        <f t="shared" si="478"/>
        <v>18.076089683336413</v>
      </c>
      <c r="AV218" s="5"/>
      <c r="AW218" s="173">
        <f t="shared" si="479"/>
        <v>1.094771620567986E-2</v>
      </c>
      <c r="AX218" s="173">
        <f t="shared" si="631"/>
        <v>0.32829631887899491</v>
      </c>
      <c r="AY218" s="173">
        <f t="shared" si="632"/>
        <v>0.49452614189716004</v>
      </c>
      <c r="AZ218" s="173">
        <f t="shared" si="633"/>
        <v>0.66386039294008903</v>
      </c>
      <c r="BA218" s="460">
        <f t="shared" si="594"/>
        <v>2.5010293086125856E-2</v>
      </c>
      <c r="BB218" s="5">
        <f t="shared" si="595"/>
        <v>8.0371253481127017E-2</v>
      </c>
      <c r="BD218" s="173">
        <f t="shared" si="681"/>
        <v>6.0408929267341101E-2</v>
      </c>
      <c r="BE218" s="173">
        <f t="shared" si="682"/>
        <v>0.57418123845882207</v>
      </c>
      <c r="BG218" s="528">
        <f t="shared" si="683"/>
        <v>7.2984774704532409E-5</v>
      </c>
      <c r="BH218" s="528">
        <f t="shared" si="634"/>
        <v>7.628072975078215E-2</v>
      </c>
      <c r="BI218" s="528">
        <f t="shared" si="635"/>
        <v>7.5477077659733646E-2</v>
      </c>
      <c r="BJ218" s="528">
        <f t="shared" si="684"/>
        <v>0.15725172304195165</v>
      </c>
      <c r="BK218">
        <f t="shared" si="685"/>
        <v>2.6988888042037692E-2</v>
      </c>
      <c r="BL218" s="460">
        <f t="shared" si="686"/>
        <v>102.46596570177134</v>
      </c>
      <c r="BM218" s="528">
        <f t="shared" si="636"/>
        <v>0.23362919486310696</v>
      </c>
      <c r="BN218" s="460">
        <f t="shared" si="687"/>
        <v>233.62919486310696</v>
      </c>
      <c r="BO218" s="528">
        <f t="shared" si="637"/>
        <v>1.3999999999999999E-2</v>
      </c>
      <c r="BR218" s="460">
        <f t="shared" si="688"/>
        <v>13.999999999999998</v>
      </c>
      <c r="BS218" s="528">
        <f t="shared" si="689"/>
        <v>1.0947716205679861E-4</v>
      </c>
      <c r="BT218" s="528">
        <f t="shared" si="690"/>
        <v>9.8905228379432015E-3</v>
      </c>
      <c r="BU218" s="528">
        <f t="shared" si="691"/>
        <v>1.1072786117077556E-3</v>
      </c>
      <c r="BV218" s="528"/>
      <c r="BW218" s="528">
        <f t="shared" si="692"/>
        <v>2.7358026573249573E-4</v>
      </c>
      <c r="BX218" s="460">
        <f t="shared" si="693"/>
        <v>11.380858877440252</v>
      </c>
      <c r="BY218" s="173">
        <f t="shared" si="694"/>
        <v>0.36145226214664994</v>
      </c>
      <c r="BZ218" s="5">
        <f t="shared" si="695"/>
        <v>0.32</v>
      </c>
      <c r="CA218" s="173">
        <f t="shared" si="696"/>
        <v>0.46958535142573987</v>
      </c>
      <c r="CB218" s="5">
        <f t="shared" si="697"/>
        <v>46.958535142573986</v>
      </c>
      <c r="CE218" s="562">
        <f t="shared" si="638"/>
        <v>-50</v>
      </c>
      <c r="CF218">
        <f t="shared" si="639"/>
        <v>-50</v>
      </c>
      <c r="CG218" s="173">
        <f t="shared" si="640"/>
        <v>4.0496913462633177E-2</v>
      </c>
      <c r="CI218" s="170">
        <v>2</v>
      </c>
      <c r="CJ218" s="217">
        <f t="shared" si="698"/>
        <v>0.02</v>
      </c>
      <c r="CK218" s="217"/>
      <c r="CL218" s="217">
        <f t="shared" si="641"/>
        <v>0.32</v>
      </c>
      <c r="CM218" s="541">
        <f t="shared" si="642"/>
        <v>60</v>
      </c>
      <c r="CN218" s="443">
        <f t="shared" si="643"/>
        <v>16.399999999999999</v>
      </c>
      <c r="CO218" s="443">
        <f t="shared" si="644"/>
        <v>76.400000000000006</v>
      </c>
      <c r="CP218" s="443"/>
      <c r="CQ218" s="217">
        <f t="shared" si="645"/>
        <v>0.21465968586387432</v>
      </c>
      <c r="CR218" s="172">
        <f t="shared" si="646"/>
        <v>33.164921465968582</v>
      </c>
      <c r="CS218" s="172">
        <f t="shared" si="647"/>
        <v>0.32</v>
      </c>
      <c r="CT218" s="217">
        <f t="shared" si="648"/>
        <v>2.0728075916230364</v>
      </c>
      <c r="CU218" s="217">
        <f t="shared" si="649"/>
        <v>16</v>
      </c>
      <c r="CV218" s="217"/>
      <c r="CW218" s="172">
        <f t="shared" si="650"/>
        <v>7440.0032256316317</v>
      </c>
      <c r="CX218" s="172">
        <f t="shared" si="651"/>
        <v>16</v>
      </c>
      <c r="CY218" s="217">
        <f t="shared" si="652"/>
        <v>4.9691056910569111E-2</v>
      </c>
      <c r="CZ218" s="217">
        <f t="shared" si="653"/>
        <v>9.9382113821138221E-3</v>
      </c>
      <c r="DA218" s="217">
        <f t="shared" si="654"/>
        <v>3.6359309934562767E-2</v>
      </c>
      <c r="DB218" s="197">
        <f t="shared" si="655"/>
        <v>350</v>
      </c>
      <c r="DC218" s="443">
        <f t="shared" si="656"/>
        <v>350</v>
      </c>
      <c r="DE218" s="217">
        <f t="shared" si="657"/>
        <v>3.06656694091249</v>
      </c>
      <c r="DF218" s="173">
        <f t="shared" si="658"/>
        <v>2.2438294689603588</v>
      </c>
      <c r="DG218" s="173">
        <f t="shared" si="659"/>
        <v>1.2041493223478366</v>
      </c>
      <c r="DH218" s="173"/>
      <c r="DI218" s="173">
        <f t="shared" si="660"/>
        <v>0.73170731707317083</v>
      </c>
      <c r="DJ218" s="545">
        <f t="shared" si="661"/>
        <v>54.666666666666664</v>
      </c>
      <c r="DK218" s="528">
        <f t="shared" si="662"/>
        <v>0.12804878048780488</v>
      </c>
      <c r="DM218" s="173">
        <f t="shared" si="663"/>
        <v>0.39520940802374149</v>
      </c>
      <c r="DN218" s="173">
        <f t="shared" si="664"/>
        <v>1</v>
      </c>
      <c r="DO218" s="173">
        <f t="shared" si="665"/>
        <v>1.0312380952380953</v>
      </c>
      <c r="DQ218" s="545">
        <f t="shared" si="666"/>
        <v>20</v>
      </c>
      <c r="DR218" s="460">
        <f t="shared" si="667"/>
        <v>54.666666666666664</v>
      </c>
      <c r="DT218">
        <f t="shared" si="668"/>
        <v>20</v>
      </c>
      <c r="DU218">
        <f t="shared" si="669"/>
        <v>54.666666666666664</v>
      </c>
      <c r="DW218" s="5">
        <f t="shared" si="670"/>
        <v>18.292682926829272</v>
      </c>
      <c r="DX218" s="5">
        <f t="shared" si="671"/>
        <v>0.2</v>
      </c>
      <c r="DY218" s="5">
        <f t="shared" si="672"/>
        <v>18.092682926829273</v>
      </c>
      <c r="DZ218" s="5"/>
      <c r="EA218" s="173">
        <f t="shared" si="673"/>
        <v>1.0933333333333331E-2</v>
      </c>
      <c r="EB218" s="173">
        <f t="shared" si="699"/>
        <v>0.32800000000000001</v>
      </c>
      <c r="EC218" s="173">
        <f t="shared" si="700"/>
        <v>0.49453333333333332</v>
      </c>
      <c r="ED218" s="173">
        <f t="shared" si="701"/>
        <v>0.66325155028309524</v>
      </c>
      <c r="EE218" s="460">
        <f t="shared" si="674"/>
        <v>2.5000000000000001E-2</v>
      </c>
      <c r="EF218" s="5">
        <f t="shared" si="675"/>
        <v>8.0411924119241196E-2</v>
      </c>
      <c r="EH218" s="173">
        <f t="shared" si="702"/>
        <v>6.0369234254249435E-2</v>
      </c>
      <c r="EI218" s="173">
        <f t="shared" si="703"/>
        <v>0.5741854133369193</v>
      </c>
      <c r="EK218" s="528">
        <f t="shared" si="704"/>
        <v>7.288888888888887E-5</v>
      </c>
      <c r="EL218" s="528">
        <f t="shared" si="705"/>
        <v>7.9354133333333354E-2</v>
      </c>
      <c r="EM218" s="528">
        <f t="shared" si="706"/>
        <v>6.286666666666667E-3</v>
      </c>
      <c r="EN218" s="528">
        <f t="shared" si="707"/>
        <v>0.15715041973333335</v>
      </c>
      <c r="EO218">
        <f t="shared" si="708"/>
        <v>2.7E-2</v>
      </c>
      <c r="EP218" s="460">
        <f t="shared" si="709"/>
        <v>33.286666666666669</v>
      </c>
      <c r="EQ218" s="460"/>
      <c r="ER218" s="460">
        <f t="shared" si="710"/>
        <v>269.86410862222226</v>
      </c>
      <c r="ES218" s="528">
        <f t="shared" si="711"/>
        <v>1.3999999999999999E-2</v>
      </c>
      <c r="EV218" s="460">
        <f t="shared" si="712"/>
        <v>13.999999999999998</v>
      </c>
      <c r="EW218" s="528">
        <f t="shared" si="713"/>
        <v>1.093333333333333E-4</v>
      </c>
      <c r="EX218" s="528">
        <f t="shared" si="714"/>
        <v>9.8906666666666657E-3</v>
      </c>
      <c r="EY218" s="528">
        <f t="shared" si="715"/>
        <v>1.1047817402829174E-3</v>
      </c>
      <c r="EZ218" s="528"/>
      <c r="FA218" s="528">
        <f t="shared" si="716"/>
        <v>2.7333333333333333E-4</v>
      </c>
      <c r="FB218" s="460">
        <f t="shared" si="717"/>
        <v>11.37811507361625</v>
      </c>
      <c r="FC218" s="173">
        <f t="shared" si="718"/>
        <v>0.29524222369583852</v>
      </c>
      <c r="FD218" s="5">
        <f t="shared" si="719"/>
        <v>0.32</v>
      </c>
      <c r="FE218" s="173">
        <f t="shared" si="720"/>
        <v>0.52012034882410896</v>
      </c>
      <c r="FF218" s="5">
        <f t="shared" si="721"/>
        <v>52.012034882410894</v>
      </c>
      <c r="FI218" s="562">
        <f t="shared" si="676"/>
        <v>-50</v>
      </c>
      <c r="FJ218">
        <f t="shared" si="677"/>
        <v>-50</v>
      </c>
      <c r="FL218">
        <f t="shared" si="678"/>
        <v>4.0000000000000008E-2</v>
      </c>
    </row>
    <row r="219" spans="5:168">
      <c r="E219" s="170">
        <v>3</v>
      </c>
      <c r="F219" s="217">
        <f t="shared" si="679"/>
        <v>0.03</v>
      </c>
      <c r="G219" s="217"/>
      <c r="H219" s="217">
        <f t="shared" si="603"/>
        <v>0.48</v>
      </c>
      <c r="I219" s="541">
        <f t="shared" si="604"/>
        <v>59.975306760083761</v>
      </c>
      <c r="J219" s="172">
        <f t="shared" si="605"/>
        <v>16.414815943949744</v>
      </c>
      <c r="K219" s="172">
        <f t="shared" si="606"/>
        <v>76.390122704033502</v>
      </c>
      <c r="L219" s="443"/>
      <c r="M219" s="217">
        <f t="shared" si="607"/>
        <v>0.21488328423073347</v>
      </c>
      <c r="N219" s="172">
        <f t="shared" si="608"/>
        <v>33.185804040082715</v>
      </c>
      <c r="O219" s="172">
        <f t="shared" si="599"/>
        <v>0.48</v>
      </c>
      <c r="P219" s="217">
        <f t="shared" si="609"/>
        <v>2.0741127525051697</v>
      </c>
      <c r="Q219" s="217">
        <f t="shared" si="610"/>
        <v>16</v>
      </c>
      <c r="R219" s="217"/>
      <c r="S219" s="172">
        <f t="shared" si="611"/>
        <v>4937.9717811481987</v>
      </c>
      <c r="T219" s="172">
        <f t="shared" si="612"/>
        <v>16</v>
      </c>
      <c r="U219" s="217">
        <f t="shared" si="613"/>
        <v>7.4489682305550031E-2</v>
      </c>
      <c r="V219" s="217">
        <f t="shared" si="614"/>
        <v>1.4904070290833673E-2</v>
      </c>
      <c r="W219" s="217">
        <f t="shared" si="615"/>
        <v>5.4455449925167744E-2</v>
      </c>
      <c r="X219" s="197">
        <f t="shared" si="616"/>
        <v>350</v>
      </c>
      <c r="Y219" s="443">
        <f t="shared" si="680"/>
        <v>350</v>
      </c>
      <c r="AA219" s="217">
        <f t="shared" si="617"/>
        <v>3.0684708179547511</v>
      </c>
      <c r="AB219" s="173">
        <f t="shared" si="618"/>
        <v>2.2431960212766762</v>
      </c>
      <c r="AC219" s="173">
        <f t="shared" si="619"/>
        <v>1.2045567677919451</v>
      </c>
      <c r="AD219" s="173"/>
      <c r="AE219" s="173">
        <f t="shared" si="620"/>
        <v>0.7310468811210169</v>
      </c>
      <c r="AF219" s="545">
        <f t="shared" si="621"/>
        <v>82.07407971974871</v>
      </c>
      <c r="AG219" s="528">
        <f t="shared" si="622"/>
        <v>0.12793320419617796</v>
      </c>
      <c r="AI219" s="173">
        <f t="shared" si="623"/>
        <v>0.48424928562451536</v>
      </c>
      <c r="AJ219" s="173">
        <f t="shared" si="624"/>
        <v>1</v>
      </c>
      <c r="AK219" s="173">
        <f t="shared" si="625"/>
        <v>1.0468994741255706</v>
      </c>
      <c r="AM219" s="545">
        <f t="shared" si="626"/>
        <v>30</v>
      </c>
      <c r="AN219" s="460">
        <f t="shared" si="627"/>
        <v>82.07407971974871</v>
      </c>
      <c r="AP219">
        <f t="shared" si="628"/>
        <v>30</v>
      </c>
      <c r="AQ219">
        <f t="shared" si="629"/>
        <v>82.07407971974871</v>
      </c>
      <c r="AS219" s="5">
        <f t="shared" si="600"/>
        <v>12.184114685350281</v>
      </c>
      <c r="AT219" s="5">
        <f t="shared" si="630"/>
        <v>0.20008234468900685</v>
      </c>
      <c r="AU219" s="5">
        <f t="shared" si="478"/>
        <v>11.984032340661274</v>
      </c>
      <c r="AV219" s="5"/>
      <c r="AW219" s="173">
        <f t="shared" si="479"/>
        <v>1.6421574308519791E-2</v>
      </c>
      <c r="AX219" s="173">
        <f t="shared" si="631"/>
        <v>0.49244447831849231</v>
      </c>
      <c r="AY219" s="173">
        <f t="shared" si="632"/>
        <v>0.49178921284574012</v>
      </c>
      <c r="AZ219" s="173">
        <f t="shared" si="633"/>
        <v>1.0013324112356197</v>
      </c>
      <c r="BA219" s="460">
        <f t="shared" si="594"/>
        <v>3.7515439629188782E-2</v>
      </c>
      <c r="BB219" s="5">
        <f t="shared" si="595"/>
        <v>7.9926442984946458E-2</v>
      </c>
      <c r="BD219" s="173">
        <f t="shared" si="681"/>
        <v>7.3985526306433277E-2</v>
      </c>
      <c r="BE219" s="173">
        <f t="shared" si="682"/>
        <v>0.57259014594253488</v>
      </c>
      <c r="BG219" s="528">
        <f t="shared" si="683"/>
        <v>1.0947716205679861E-4</v>
      </c>
      <c r="BH219" s="528">
        <f t="shared" si="634"/>
        <v>0.11442109462617323</v>
      </c>
      <c r="BI219" s="528">
        <f t="shared" si="635"/>
        <v>0.11321561648960046</v>
      </c>
      <c r="BJ219" s="528">
        <f t="shared" si="684"/>
        <v>0.23587758456292748</v>
      </c>
      <c r="BK219">
        <f t="shared" si="685"/>
        <v>2.6988888042037692E-2</v>
      </c>
      <c r="BL219" s="460">
        <f t="shared" si="686"/>
        <v>140.20450453163815</v>
      </c>
      <c r="BM219" s="528">
        <f t="shared" si="636"/>
        <v>0.35044683092857448</v>
      </c>
      <c r="BN219" s="460">
        <f t="shared" si="687"/>
        <v>350.44683092857446</v>
      </c>
      <c r="BO219" s="528">
        <f t="shared" si="637"/>
        <v>2.0999999999999998E-2</v>
      </c>
      <c r="BR219" s="460">
        <f t="shared" si="688"/>
        <v>20.999999999999996</v>
      </c>
      <c r="BS219" s="528">
        <f t="shared" si="689"/>
        <v>1.6421574308519792E-4</v>
      </c>
      <c r="BT219" s="528">
        <f t="shared" si="690"/>
        <v>9.8357842569148021E-3</v>
      </c>
      <c r="BU219" s="528">
        <f t="shared" si="691"/>
        <v>3.0513010520040076E-3</v>
      </c>
      <c r="BV219" s="528"/>
      <c r="BW219" s="528">
        <f t="shared" si="692"/>
        <v>4.1037039859874355E-4</v>
      </c>
      <c r="BX219" s="460">
        <f t="shared" si="693"/>
        <v>13.461671450602751</v>
      </c>
      <c r="BY219" s="173">
        <f t="shared" si="694"/>
        <v>0.5250743323333984</v>
      </c>
      <c r="BZ219" s="5">
        <f t="shared" si="695"/>
        <v>0.48</v>
      </c>
      <c r="CA219" s="173">
        <f t="shared" si="696"/>
        <v>0.47757661752800262</v>
      </c>
      <c r="CB219" s="5">
        <f t="shared" si="697"/>
        <v>47.75766175280026</v>
      </c>
      <c r="CE219" s="562">
        <f t="shared" si="638"/>
        <v>-50</v>
      </c>
      <c r="CF219">
        <f t="shared" si="639"/>
        <v>-50</v>
      </c>
      <c r="CG219" s="173">
        <f t="shared" si="640"/>
        <v>6.0745370193949752E-2</v>
      </c>
      <c r="CI219" s="170">
        <v>3</v>
      </c>
      <c r="CJ219" s="217">
        <f t="shared" si="698"/>
        <v>0.03</v>
      </c>
      <c r="CK219" s="217"/>
      <c r="CL219" s="217">
        <f t="shared" si="641"/>
        <v>0.48</v>
      </c>
      <c r="CM219" s="541">
        <f t="shared" si="642"/>
        <v>60</v>
      </c>
      <c r="CN219" s="443">
        <f t="shared" si="643"/>
        <v>16.399999999999999</v>
      </c>
      <c r="CO219" s="443">
        <f t="shared" si="644"/>
        <v>76.400000000000006</v>
      </c>
      <c r="CP219" s="443"/>
      <c r="CQ219" s="217">
        <f t="shared" si="645"/>
        <v>0.21465968586387432</v>
      </c>
      <c r="CR219" s="172">
        <f t="shared" si="646"/>
        <v>33.164921465968582</v>
      </c>
      <c r="CS219" s="172">
        <f t="shared" si="647"/>
        <v>0.48</v>
      </c>
      <c r="CT219" s="217">
        <f t="shared" si="648"/>
        <v>2.0728075916230364</v>
      </c>
      <c r="CU219" s="217">
        <f t="shared" si="649"/>
        <v>16</v>
      </c>
      <c r="CV219" s="217"/>
      <c r="CW219" s="172">
        <f t="shared" si="650"/>
        <v>4940.0048579014656</v>
      </c>
      <c r="CX219" s="172">
        <f t="shared" si="651"/>
        <v>16</v>
      </c>
      <c r="CY219" s="217">
        <f t="shared" si="652"/>
        <v>7.4536585365853669E-2</v>
      </c>
      <c r="CZ219" s="217">
        <f t="shared" si="653"/>
        <v>1.4907317073170733E-2</v>
      </c>
      <c r="DA219" s="217">
        <f t="shared" si="654"/>
        <v>5.453896490184415E-2</v>
      </c>
      <c r="DB219" s="197">
        <f t="shared" si="655"/>
        <v>350</v>
      </c>
      <c r="DC219" s="443">
        <f t="shared" si="656"/>
        <v>350</v>
      </c>
      <c r="DE219" s="217">
        <f t="shared" si="657"/>
        <v>3.06656694091249</v>
      </c>
      <c r="DF219" s="173">
        <f t="shared" si="658"/>
        <v>2.2438294689603588</v>
      </c>
      <c r="DG219" s="173">
        <f t="shared" si="659"/>
        <v>1.2041493223478366</v>
      </c>
      <c r="DH219" s="173"/>
      <c r="DI219" s="173">
        <f t="shared" si="660"/>
        <v>0.73170731707317083</v>
      </c>
      <c r="DJ219" s="545">
        <f t="shared" si="661"/>
        <v>81.999999999999986</v>
      </c>
      <c r="DK219" s="528">
        <f t="shared" si="662"/>
        <v>0.12804878048780488</v>
      </c>
      <c r="DM219" s="173">
        <f t="shared" si="663"/>
        <v>0.48403069560278328</v>
      </c>
      <c r="DN219" s="173">
        <f t="shared" si="664"/>
        <v>1</v>
      </c>
      <c r="DO219" s="173">
        <f t="shared" si="665"/>
        <v>1.0468571428571429</v>
      </c>
      <c r="DQ219" s="545">
        <f t="shared" si="666"/>
        <v>30</v>
      </c>
      <c r="DR219" s="460">
        <f t="shared" si="667"/>
        <v>81.999999999999986</v>
      </c>
      <c r="DT219">
        <f t="shared" si="668"/>
        <v>30</v>
      </c>
      <c r="DU219">
        <f t="shared" si="669"/>
        <v>81.999999999999986</v>
      </c>
      <c r="DW219" s="5">
        <f t="shared" si="670"/>
        <v>12.195121951219514</v>
      </c>
      <c r="DX219" s="5">
        <f t="shared" si="671"/>
        <v>0.2</v>
      </c>
      <c r="DY219" s="5">
        <f t="shared" si="672"/>
        <v>11.995121951219515</v>
      </c>
      <c r="DZ219" s="5"/>
      <c r="EA219" s="173">
        <f t="shared" si="673"/>
        <v>1.6399999999999998E-2</v>
      </c>
      <c r="EB219" s="173">
        <f t="shared" si="699"/>
        <v>0.49199999999999994</v>
      </c>
      <c r="EC219" s="173">
        <f t="shared" si="700"/>
        <v>0.49180000000000001</v>
      </c>
      <c r="ED219" s="173">
        <f t="shared" si="701"/>
        <v>1.0004066693777958</v>
      </c>
      <c r="EE219" s="460">
        <f t="shared" si="674"/>
        <v>3.7500000000000006E-2</v>
      </c>
      <c r="EF219" s="5">
        <f t="shared" si="675"/>
        <v>7.9967479674796754E-2</v>
      </c>
      <c r="EH219" s="173">
        <f t="shared" si="702"/>
        <v>7.393691004272944E-2</v>
      </c>
      <c r="EI219" s="173">
        <f t="shared" si="703"/>
        <v>0.5725964256495728</v>
      </c>
      <c r="EK219" s="528">
        <f t="shared" si="704"/>
        <v>1.0933333333333331E-4</v>
      </c>
      <c r="EL219" s="528">
        <f t="shared" si="705"/>
        <v>0.11903119999999999</v>
      </c>
      <c r="EM219" s="528">
        <f t="shared" si="706"/>
        <v>9.4299999999999991E-3</v>
      </c>
      <c r="EN219" s="528">
        <f t="shared" si="707"/>
        <v>0.23572562960000001</v>
      </c>
      <c r="EO219">
        <f t="shared" si="708"/>
        <v>2.7E-2</v>
      </c>
      <c r="EP219" s="460">
        <f t="shared" si="709"/>
        <v>36.43</v>
      </c>
      <c r="EQ219" s="460"/>
      <c r="ER219" s="460">
        <f t="shared" si="710"/>
        <v>391.29616293333333</v>
      </c>
      <c r="ES219" s="528">
        <f t="shared" si="711"/>
        <v>2.0999999999999998E-2</v>
      </c>
      <c r="EV219" s="460">
        <f t="shared" si="712"/>
        <v>20.999999999999996</v>
      </c>
      <c r="EW219" s="528">
        <f t="shared" si="713"/>
        <v>1.6399999999999997E-4</v>
      </c>
      <c r="EX219" s="528">
        <f t="shared" si="714"/>
        <v>9.8360000000000027E-3</v>
      </c>
      <c r="EY219" s="528">
        <f t="shared" si="715"/>
        <v>3.0444204834418E-3</v>
      </c>
      <c r="EZ219" s="528"/>
      <c r="FA219" s="528">
        <f t="shared" si="716"/>
        <v>4.0999999999999994E-4</v>
      </c>
      <c r="FB219" s="460">
        <f t="shared" si="717"/>
        <v>13.454420483441803</v>
      </c>
      <c r="FC219" s="173">
        <f t="shared" si="718"/>
        <v>0.42575058341677519</v>
      </c>
      <c r="FD219" s="5">
        <f t="shared" si="719"/>
        <v>0.48</v>
      </c>
      <c r="FE219" s="173">
        <f t="shared" si="720"/>
        <v>0.52994721592040217</v>
      </c>
      <c r="FF219" s="5">
        <f t="shared" si="721"/>
        <v>52.994721592040214</v>
      </c>
      <c r="FI219" s="562">
        <f t="shared" si="676"/>
        <v>-50</v>
      </c>
      <c r="FJ219">
        <f t="shared" si="677"/>
        <v>-50</v>
      </c>
      <c r="FL219">
        <f t="shared" si="678"/>
        <v>0.06</v>
      </c>
    </row>
    <row r="220" spans="5:168">
      <c r="E220" s="170">
        <v>4</v>
      </c>
      <c r="F220" s="217">
        <f t="shared" si="679"/>
        <v>0.04</v>
      </c>
      <c r="G220" s="217"/>
      <c r="H220" s="217">
        <f t="shared" si="603"/>
        <v>0.64</v>
      </c>
      <c r="I220" s="541">
        <f t="shared" si="604"/>
        <v>59.975306760083761</v>
      </c>
      <c r="J220" s="172">
        <f t="shared" si="605"/>
        <v>16.414815943949744</v>
      </c>
      <c r="K220" s="172">
        <f t="shared" si="606"/>
        <v>76.390122704033502</v>
      </c>
      <c r="L220" s="443"/>
      <c r="M220" s="217">
        <f t="shared" si="607"/>
        <v>0.21488328423073347</v>
      </c>
      <c r="N220" s="172">
        <f t="shared" si="608"/>
        <v>33.185804040082715</v>
      </c>
      <c r="O220" s="172">
        <f t="shared" si="599"/>
        <v>0.64</v>
      </c>
      <c r="P220" s="217">
        <f t="shared" si="609"/>
        <v>2.0741127525051697</v>
      </c>
      <c r="Q220" s="217">
        <f t="shared" si="610"/>
        <v>16</v>
      </c>
      <c r="R220" s="217"/>
      <c r="S220" s="172">
        <f t="shared" si="611"/>
        <v>3688.4878690934656</v>
      </c>
      <c r="T220" s="172">
        <f t="shared" si="612"/>
        <v>16</v>
      </c>
      <c r="U220" s="217">
        <f t="shared" si="613"/>
        <v>9.9319576407400051E-2</v>
      </c>
      <c r="V220" s="217">
        <f t="shared" si="614"/>
        <v>1.9872093721111563E-2</v>
      </c>
      <c r="W220" s="217">
        <f t="shared" si="615"/>
        <v>7.260726656689033E-2</v>
      </c>
      <c r="X220" s="197">
        <f t="shared" si="616"/>
        <v>350</v>
      </c>
      <c r="Y220" s="443">
        <f t="shared" si="680"/>
        <v>350</v>
      </c>
      <c r="AA220" s="217">
        <f t="shared" si="617"/>
        <v>3.0684708179547511</v>
      </c>
      <c r="AB220" s="173">
        <f t="shared" si="618"/>
        <v>2.2431960212766762</v>
      </c>
      <c r="AC220" s="173">
        <f t="shared" si="619"/>
        <v>1.2045567677919451</v>
      </c>
      <c r="AD220" s="173"/>
      <c r="AE220" s="173">
        <f t="shared" si="620"/>
        <v>0.7310468811210169</v>
      </c>
      <c r="AF220" s="545">
        <f t="shared" si="621"/>
        <v>109.43210629299828</v>
      </c>
      <c r="AG220" s="528">
        <f t="shared" si="622"/>
        <v>0.12793320419617796</v>
      </c>
      <c r="AI220" s="173">
        <f t="shared" si="623"/>
        <v>0.55916291082039582</v>
      </c>
      <c r="AJ220" s="173">
        <f t="shared" si="624"/>
        <v>1</v>
      </c>
      <c r="AK220" s="173">
        <f t="shared" si="625"/>
        <v>1.0625326321674275</v>
      </c>
      <c r="AM220" s="545">
        <f t="shared" si="626"/>
        <v>40</v>
      </c>
      <c r="AN220" s="460">
        <f t="shared" si="627"/>
        <v>109.43210629299828</v>
      </c>
      <c r="AP220">
        <f t="shared" si="628"/>
        <v>40</v>
      </c>
      <c r="AQ220">
        <f t="shared" si="629"/>
        <v>109.43210629299828</v>
      </c>
      <c r="AS220" s="5">
        <f t="shared" si="600"/>
        <v>9.1380860140127105</v>
      </c>
      <c r="AT220" s="5">
        <f t="shared" si="630"/>
        <v>0.20008234468900685</v>
      </c>
      <c r="AU220" s="5">
        <f t="shared" si="478"/>
        <v>8.9380036693237042</v>
      </c>
      <c r="AV220" s="5"/>
      <c r="AW220" s="173">
        <f t="shared" si="479"/>
        <v>2.189543241135972E-2</v>
      </c>
      <c r="AX220" s="173">
        <f t="shared" si="631"/>
        <v>0.65659263775798982</v>
      </c>
      <c r="AY220" s="173">
        <f t="shared" si="632"/>
        <v>0.48905228379432014</v>
      </c>
      <c r="AZ220" s="173">
        <f t="shared" si="633"/>
        <v>1.3425816819907375</v>
      </c>
      <c r="BA220" s="460">
        <f t="shared" si="594"/>
        <v>5.0020586172251712E-2</v>
      </c>
      <c r="BB220" s="5">
        <f t="shared" si="595"/>
        <v>7.9481632488765899E-2</v>
      </c>
      <c r="BD220" s="173">
        <f t="shared" si="681"/>
        <v>8.5431127058310782E-2</v>
      </c>
      <c r="BE220" s="173">
        <f t="shared" si="682"/>
        <v>0.57099461981955668</v>
      </c>
      <c r="BG220" s="528">
        <f t="shared" si="683"/>
        <v>1.4596954940906482E-4</v>
      </c>
      <c r="BH220" s="528">
        <f t="shared" si="634"/>
        <v>0.1525614595015643</v>
      </c>
      <c r="BI220" s="528">
        <f t="shared" si="635"/>
        <v>0.15095415531946729</v>
      </c>
      <c r="BJ220" s="528">
        <f t="shared" si="684"/>
        <v>0.31450344608390329</v>
      </c>
      <c r="BK220">
        <f t="shared" si="685"/>
        <v>2.6988888042037692E-2</v>
      </c>
      <c r="BL220" s="460">
        <f t="shared" si="686"/>
        <v>177.94304336150498</v>
      </c>
      <c r="BM220" s="528">
        <f t="shared" si="636"/>
        <v>0.46726649282024518</v>
      </c>
      <c r="BN220" s="460">
        <f t="shared" si="687"/>
        <v>467.26649282024516</v>
      </c>
      <c r="BO220" s="528">
        <f t="shared" si="637"/>
        <v>2.7999999999999997E-2</v>
      </c>
      <c r="BR220" s="460">
        <f t="shared" si="688"/>
        <v>27.999999999999996</v>
      </c>
      <c r="BS220" s="528">
        <f t="shared" si="689"/>
        <v>2.1895432411359723E-4</v>
      </c>
      <c r="BT220" s="528">
        <f t="shared" si="690"/>
        <v>9.781045675886401E-3</v>
      </c>
      <c r="BU220" s="528">
        <f t="shared" si="691"/>
        <v>6.2637137200110471E-3</v>
      </c>
      <c r="BV220" s="528"/>
      <c r="BW220" s="528">
        <f t="shared" si="692"/>
        <v>5.4716053146499147E-4</v>
      </c>
      <c r="BX220" s="460">
        <f t="shared" si="693"/>
        <v>16.810874251476037</v>
      </c>
      <c r="BY220" s="173">
        <f t="shared" si="694"/>
        <v>0.68996479274785771</v>
      </c>
      <c r="BZ220" s="5">
        <f t="shared" si="695"/>
        <v>0.64</v>
      </c>
      <c r="CA220" s="173">
        <f t="shared" si="696"/>
        <v>0.48121574607827594</v>
      </c>
      <c r="CB220" s="5">
        <f t="shared" si="697"/>
        <v>48.121574607827597</v>
      </c>
      <c r="CE220" s="562">
        <f t="shared" si="638"/>
        <v>-50</v>
      </c>
      <c r="CF220">
        <f t="shared" si="639"/>
        <v>-50</v>
      </c>
      <c r="CG220" s="173">
        <f t="shared" si="640"/>
        <v>8.0993826925266355E-2</v>
      </c>
      <c r="CI220" s="170">
        <v>4</v>
      </c>
      <c r="CJ220" s="217">
        <f t="shared" si="698"/>
        <v>0.04</v>
      </c>
      <c r="CK220" s="217"/>
      <c r="CL220" s="217">
        <f t="shared" si="641"/>
        <v>0.64</v>
      </c>
      <c r="CM220" s="541">
        <f t="shared" si="642"/>
        <v>60</v>
      </c>
      <c r="CN220" s="443">
        <f t="shared" si="643"/>
        <v>16.399999999999999</v>
      </c>
      <c r="CO220" s="443">
        <f t="shared" si="644"/>
        <v>76.400000000000006</v>
      </c>
      <c r="CP220" s="443"/>
      <c r="CQ220" s="217">
        <f t="shared" si="645"/>
        <v>0.21465968586387432</v>
      </c>
      <c r="CR220" s="172">
        <f t="shared" si="646"/>
        <v>33.164921465968582</v>
      </c>
      <c r="CS220" s="172">
        <f t="shared" si="647"/>
        <v>0.64</v>
      </c>
      <c r="CT220" s="217">
        <f t="shared" si="648"/>
        <v>2.0728075916230364</v>
      </c>
      <c r="CU220" s="217">
        <f t="shared" si="649"/>
        <v>16</v>
      </c>
      <c r="CV220" s="217"/>
      <c r="CW220" s="172">
        <f t="shared" si="650"/>
        <v>3690.0065033486085</v>
      </c>
      <c r="CX220" s="172">
        <f t="shared" si="651"/>
        <v>16</v>
      </c>
      <c r="CY220" s="217">
        <f t="shared" si="652"/>
        <v>9.9382113821138221E-2</v>
      </c>
      <c r="CZ220" s="217">
        <f t="shared" si="653"/>
        <v>1.9876422764227644E-2</v>
      </c>
      <c r="DA220" s="217">
        <f t="shared" si="654"/>
        <v>7.2718619869125534E-2</v>
      </c>
      <c r="DB220" s="197">
        <f t="shared" si="655"/>
        <v>350</v>
      </c>
      <c r="DC220" s="443">
        <f t="shared" si="656"/>
        <v>350</v>
      </c>
      <c r="DE220" s="217">
        <f t="shared" si="657"/>
        <v>3.06656694091249</v>
      </c>
      <c r="DF220" s="173">
        <f t="shared" si="658"/>
        <v>2.2438294689603588</v>
      </c>
      <c r="DG220" s="173">
        <f t="shared" si="659"/>
        <v>1.2041493223478366</v>
      </c>
      <c r="DH220" s="173"/>
      <c r="DI220" s="173">
        <f t="shared" si="660"/>
        <v>0.73170731707317083</v>
      </c>
      <c r="DJ220" s="545">
        <f t="shared" si="661"/>
        <v>109.33333333333333</v>
      </c>
      <c r="DK220" s="528">
        <f t="shared" si="662"/>
        <v>0.12804878048780488</v>
      </c>
      <c r="DM220" s="173">
        <f t="shared" si="663"/>
        <v>0.55891050480461746</v>
      </c>
      <c r="DN220" s="173">
        <f t="shared" si="664"/>
        <v>1</v>
      </c>
      <c r="DO220" s="173">
        <f t="shared" si="665"/>
        <v>1.0624761904761906</v>
      </c>
      <c r="DQ220" s="545">
        <f t="shared" si="666"/>
        <v>40</v>
      </c>
      <c r="DR220" s="460">
        <f t="shared" si="667"/>
        <v>109.33333333333333</v>
      </c>
      <c r="DT220">
        <f t="shared" si="668"/>
        <v>40</v>
      </c>
      <c r="DU220">
        <f t="shared" si="669"/>
        <v>109.33333333333333</v>
      </c>
      <c r="DW220" s="5">
        <f t="shared" si="670"/>
        <v>9.1463414634146361</v>
      </c>
      <c r="DX220" s="5">
        <f t="shared" si="671"/>
        <v>0.2</v>
      </c>
      <c r="DY220" s="5">
        <f t="shared" si="672"/>
        <v>8.9463414634146368</v>
      </c>
      <c r="DZ220" s="5"/>
      <c r="EA220" s="173">
        <f t="shared" si="673"/>
        <v>2.1866666666666663E-2</v>
      </c>
      <c r="EB220" s="173">
        <f t="shared" si="699"/>
        <v>0.65600000000000003</v>
      </c>
      <c r="EC220" s="173">
        <f t="shared" si="700"/>
        <v>0.48906666666666665</v>
      </c>
      <c r="ED220" s="173">
        <f t="shared" si="701"/>
        <v>1.341330425299891</v>
      </c>
      <c r="EE220" s="460">
        <f t="shared" si="674"/>
        <v>0.05</v>
      </c>
      <c r="EF220" s="5">
        <f t="shared" si="675"/>
        <v>7.9523035230352312E-2</v>
      </c>
      <c r="EH220" s="173">
        <f t="shared" si="702"/>
        <v>8.5374989832437978E-2</v>
      </c>
      <c r="EI220" s="173">
        <f t="shared" si="703"/>
        <v>0.57100301614303617</v>
      </c>
      <c r="EK220" s="528">
        <f t="shared" si="704"/>
        <v>1.4577777777777777E-4</v>
      </c>
      <c r="EL220" s="528">
        <f t="shared" si="705"/>
        <v>0.15870826666666671</v>
      </c>
      <c r="EM220" s="528">
        <f t="shared" si="706"/>
        <v>1.2573333333333334E-2</v>
      </c>
      <c r="EN220" s="528">
        <f t="shared" si="707"/>
        <v>0.3143008394666667</v>
      </c>
      <c r="EO220">
        <f t="shared" si="708"/>
        <v>2.7E-2</v>
      </c>
      <c r="EP220" s="460">
        <f t="shared" si="709"/>
        <v>39.573333333333338</v>
      </c>
      <c r="EQ220" s="460"/>
      <c r="ER220" s="460">
        <f t="shared" si="710"/>
        <v>512.72821724444452</v>
      </c>
      <c r="ES220" s="528">
        <f t="shared" si="711"/>
        <v>2.7999999999999997E-2</v>
      </c>
      <c r="EV220" s="460">
        <f t="shared" si="712"/>
        <v>27.999999999999996</v>
      </c>
      <c r="EW220" s="528">
        <f t="shared" si="713"/>
        <v>2.1866666666666662E-4</v>
      </c>
      <c r="EX220" s="528">
        <f t="shared" si="714"/>
        <v>9.7813333333333329E-3</v>
      </c>
      <c r="EY220" s="528">
        <f t="shared" si="715"/>
        <v>6.2495892822810144E-3</v>
      </c>
      <c r="EZ220" s="528"/>
      <c r="FA220" s="528">
        <f t="shared" si="716"/>
        <v>5.4666666666666665E-4</v>
      </c>
      <c r="FB220" s="460">
        <f t="shared" si="717"/>
        <v>16.796255948947682</v>
      </c>
      <c r="FC220" s="173">
        <f t="shared" si="718"/>
        <v>0.55752447319339227</v>
      </c>
      <c r="FD220" s="5">
        <f t="shared" si="719"/>
        <v>0.64</v>
      </c>
      <c r="FE220" s="173">
        <f t="shared" si="720"/>
        <v>0.53443584187748305</v>
      </c>
      <c r="FF220" s="5">
        <f t="shared" si="721"/>
        <v>53.443584187748307</v>
      </c>
      <c r="FI220" s="562">
        <f t="shared" si="676"/>
        <v>-50</v>
      </c>
      <c r="FJ220">
        <f t="shared" si="677"/>
        <v>-50</v>
      </c>
      <c r="FL220">
        <f t="shared" si="678"/>
        <v>8.0000000000000016E-2</v>
      </c>
    </row>
    <row r="221" spans="5:168">
      <c r="E221" s="170">
        <v>5</v>
      </c>
      <c r="F221" s="217">
        <f t="shared" si="679"/>
        <v>0.05</v>
      </c>
      <c r="G221" s="217"/>
      <c r="H221" s="217">
        <f t="shared" si="603"/>
        <v>0.8</v>
      </c>
      <c r="I221" s="541">
        <f t="shared" si="604"/>
        <v>59.975306760083761</v>
      </c>
      <c r="J221" s="172">
        <f t="shared" si="605"/>
        <v>16.414815943949744</v>
      </c>
      <c r="K221" s="172">
        <f t="shared" si="606"/>
        <v>76.390122704033502</v>
      </c>
      <c r="L221" s="443"/>
      <c r="M221" s="217">
        <f t="shared" si="607"/>
        <v>0.21488328423073347</v>
      </c>
      <c r="N221" s="172">
        <f t="shared" si="608"/>
        <v>33.185804040082715</v>
      </c>
      <c r="O221" s="172">
        <f t="shared" si="599"/>
        <v>0.8</v>
      </c>
      <c r="P221" s="217">
        <f t="shared" si="609"/>
        <v>2.0741127525051697</v>
      </c>
      <c r="Q221" s="217">
        <f t="shared" si="610"/>
        <v>16</v>
      </c>
      <c r="R221" s="217"/>
      <c r="S221" s="172">
        <f t="shared" si="611"/>
        <v>2938.7981933757897</v>
      </c>
      <c r="T221" s="172">
        <f t="shared" si="612"/>
        <v>16</v>
      </c>
      <c r="U221" s="217">
        <f t="shared" si="613"/>
        <v>0.12414947050925007</v>
      </c>
      <c r="V221" s="217">
        <f t="shared" si="614"/>
        <v>2.4840117151389462E-2</v>
      </c>
      <c r="W221" s="217">
        <f t="shared" si="615"/>
        <v>9.0759083208612923E-2</v>
      </c>
      <c r="X221" s="197">
        <f t="shared" si="616"/>
        <v>350</v>
      </c>
      <c r="Y221" s="443">
        <f t="shared" si="680"/>
        <v>350</v>
      </c>
      <c r="AA221" s="217">
        <f t="shared" si="617"/>
        <v>3.0684708179547511</v>
      </c>
      <c r="AB221" s="173">
        <f t="shared" si="618"/>
        <v>2.2431960212766762</v>
      </c>
      <c r="AC221" s="173">
        <f t="shared" si="619"/>
        <v>1.2045567677919451</v>
      </c>
      <c r="AD221" s="173"/>
      <c r="AE221" s="173">
        <f t="shared" si="620"/>
        <v>0.7310468811210169</v>
      </c>
      <c r="AF221" s="545">
        <f t="shared" si="621"/>
        <v>136.79013286624789</v>
      </c>
      <c r="AG221" s="528">
        <f t="shared" si="622"/>
        <v>0.12793320419617796</v>
      </c>
      <c r="AI221" s="173">
        <f t="shared" si="623"/>
        <v>0.62516313954552893</v>
      </c>
      <c r="AJ221" s="173">
        <f t="shared" si="624"/>
        <v>1</v>
      </c>
      <c r="AK221" s="173">
        <f t="shared" si="625"/>
        <v>1.0781657902092845</v>
      </c>
      <c r="AM221" s="545">
        <f t="shared" si="626"/>
        <v>50</v>
      </c>
      <c r="AN221" s="460">
        <f t="shared" si="627"/>
        <v>136.79013286624789</v>
      </c>
      <c r="AP221">
        <f t="shared" si="628"/>
        <v>50</v>
      </c>
      <c r="AQ221">
        <f t="shared" si="629"/>
        <v>136.79013286624789</v>
      </c>
      <c r="AS221" s="5">
        <f t="shared" si="600"/>
        <v>7.3104688112101677</v>
      </c>
      <c r="AT221" s="5">
        <f t="shared" si="630"/>
        <v>0.20008234468900685</v>
      </c>
      <c r="AU221" s="5">
        <f t="shared" si="478"/>
        <v>7.1103864665211605</v>
      </c>
      <c r="AV221" s="5"/>
      <c r="AW221" s="173">
        <f t="shared" si="479"/>
        <v>2.7369290514199653E-2</v>
      </c>
      <c r="AX221" s="173">
        <f t="shared" si="631"/>
        <v>0.82074079719748727</v>
      </c>
      <c r="AY221" s="173">
        <f t="shared" si="632"/>
        <v>0.48631535474290016</v>
      </c>
      <c r="AZ221" s="173">
        <f t="shared" si="633"/>
        <v>1.6876719790831762</v>
      </c>
      <c r="BA221" s="460">
        <f t="shared" si="594"/>
        <v>6.2525732715314641E-2</v>
      </c>
      <c r="BB221" s="5">
        <f t="shared" si="595"/>
        <v>7.9036821992585327E-2</v>
      </c>
      <c r="BD221" s="173">
        <f t="shared" si="681"/>
        <v>9.5514903748402269E-2</v>
      </c>
      <c r="BE221" s="173">
        <f t="shared" si="682"/>
        <v>0.56939462281906628</v>
      </c>
      <c r="BG221" s="528">
        <f t="shared" si="683"/>
        <v>1.8246193676133099E-4</v>
      </c>
      <c r="BH221" s="528">
        <f t="shared" si="634"/>
        <v>0.19070182437695543</v>
      </c>
      <c r="BI221" s="528">
        <f t="shared" si="635"/>
        <v>0.18869269414933418</v>
      </c>
      <c r="BJ221" s="528">
        <f t="shared" si="684"/>
        <v>0.39312930760487924</v>
      </c>
      <c r="BK221">
        <f t="shared" si="685"/>
        <v>2.6988888042037692E-2</v>
      </c>
      <c r="BL221" s="460">
        <f t="shared" si="686"/>
        <v>215.68158219137186</v>
      </c>
      <c r="BM221" s="528">
        <f t="shared" si="636"/>
        <v>0.58408818059081669</v>
      </c>
      <c r="BN221" s="460">
        <f t="shared" si="687"/>
        <v>584.08818059081671</v>
      </c>
      <c r="BO221" s="528">
        <f t="shared" si="637"/>
        <v>3.4999999999999996E-2</v>
      </c>
      <c r="BR221" s="460">
        <f t="shared" si="688"/>
        <v>34.999999999999993</v>
      </c>
      <c r="BS221" s="528">
        <f t="shared" si="689"/>
        <v>2.7369290514199648E-4</v>
      </c>
      <c r="BT221" s="528">
        <f t="shared" si="690"/>
        <v>9.7263070948580017E-3</v>
      </c>
      <c r="BU221" s="528">
        <f t="shared" si="691"/>
        <v>1.0942257554330297E-2</v>
      </c>
      <c r="BV221" s="528"/>
      <c r="BW221" s="528">
        <f t="shared" si="692"/>
        <v>6.8395066433123944E-4</v>
      </c>
      <c r="BX221" s="460">
        <f t="shared" si="693"/>
        <v>21.626208218661535</v>
      </c>
      <c r="BY221" s="173">
        <f t="shared" si="694"/>
        <v>0.85632138432862948</v>
      </c>
      <c r="BZ221" s="5">
        <f t="shared" si="695"/>
        <v>0.8</v>
      </c>
      <c r="CA221" s="173">
        <f t="shared" si="696"/>
        <v>0.48299805072206481</v>
      </c>
      <c r="CB221" s="5">
        <f t="shared" si="697"/>
        <v>48.299805072206482</v>
      </c>
      <c r="CE221" s="562">
        <f t="shared" si="638"/>
        <v>-50</v>
      </c>
      <c r="CF221">
        <f t="shared" si="639"/>
        <v>-50</v>
      </c>
      <c r="CG221" s="173">
        <f t="shared" si="640"/>
        <v>0.10124228365658294</v>
      </c>
      <c r="CI221" s="170">
        <v>5</v>
      </c>
      <c r="CJ221" s="217">
        <f t="shared" si="698"/>
        <v>0.05</v>
      </c>
      <c r="CK221" s="217"/>
      <c r="CL221" s="217">
        <f t="shared" si="641"/>
        <v>0.8</v>
      </c>
      <c r="CM221" s="541">
        <f t="shared" si="642"/>
        <v>60</v>
      </c>
      <c r="CN221" s="443">
        <f t="shared" si="643"/>
        <v>16.399999999999999</v>
      </c>
      <c r="CO221" s="443">
        <f t="shared" si="644"/>
        <v>76.400000000000006</v>
      </c>
      <c r="CP221" s="443"/>
      <c r="CQ221" s="217">
        <f t="shared" si="645"/>
        <v>0.21465968586387432</v>
      </c>
      <c r="CR221" s="172">
        <f t="shared" si="646"/>
        <v>33.164921465968582</v>
      </c>
      <c r="CS221" s="172">
        <f t="shared" si="647"/>
        <v>0.8</v>
      </c>
      <c r="CT221" s="217">
        <f t="shared" si="648"/>
        <v>2.0728075916230364</v>
      </c>
      <c r="CU221" s="217">
        <f t="shared" si="649"/>
        <v>16</v>
      </c>
      <c r="CV221" s="217"/>
      <c r="CW221" s="172">
        <f t="shared" si="650"/>
        <v>2940.0081621321519</v>
      </c>
      <c r="CX221" s="172">
        <f t="shared" si="651"/>
        <v>16</v>
      </c>
      <c r="CY221" s="217">
        <f t="shared" si="652"/>
        <v>0.12422764227642279</v>
      </c>
      <c r="CZ221" s="217">
        <f t="shared" si="653"/>
        <v>2.4845528455284559E-2</v>
      </c>
      <c r="DA221" s="217">
        <f t="shared" si="654"/>
        <v>9.0898274836406931E-2</v>
      </c>
      <c r="DB221" s="197">
        <f t="shared" si="655"/>
        <v>350</v>
      </c>
      <c r="DC221" s="443">
        <f t="shared" si="656"/>
        <v>350</v>
      </c>
      <c r="DE221" s="217">
        <f t="shared" si="657"/>
        <v>3.06656694091249</v>
      </c>
      <c r="DF221" s="173">
        <f t="shared" si="658"/>
        <v>2.2438294689603588</v>
      </c>
      <c r="DG221" s="173">
        <f t="shared" si="659"/>
        <v>1.2041493223478366</v>
      </c>
      <c r="DH221" s="173"/>
      <c r="DI221" s="173">
        <f t="shared" si="660"/>
        <v>0.73170731707317083</v>
      </c>
      <c r="DJ221" s="545">
        <f t="shared" si="661"/>
        <v>136.66666666666666</v>
      </c>
      <c r="DK221" s="528">
        <f t="shared" si="662"/>
        <v>0.12804878048780488</v>
      </c>
      <c r="DM221" s="173">
        <f t="shared" si="663"/>
        <v>0.62488094104092384</v>
      </c>
      <c r="DN221" s="173">
        <f t="shared" si="664"/>
        <v>1</v>
      </c>
      <c r="DO221" s="173">
        <f t="shared" si="665"/>
        <v>1.078095238095238</v>
      </c>
      <c r="DQ221" s="545">
        <f t="shared" si="666"/>
        <v>50</v>
      </c>
      <c r="DR221" s="460">
        <f t="shared" si="667"/>
        <v>136.66666666666666</v>
      </c>
      <c r="DT221">
        <f t="shared" si="668"/>
        <v>50</v>
      </c>
      <c r="DU221">
        <f t="shared" si="669"/>
        <v>136.66666666666666</v>
      </c>
      <c r="DW221" s="5">
        <f t="shared" si="670"/>
        <v>7.3170731707317076</v>
      </c>
      <c r="DX221" s="5">
        <f t="shared" si="671"/>
        <v>0.2</v>
      </c>
      <c r="DY221" s="5">
        <f t="shared" si="672"/>
        <v>7.1170731707317074</v>
      </c>
      <c r="DZ221" s="5"/>
      <c r="EA221" s="173">
        <f t="shared" si="673"/>
        <v>2.7333333333333334E-2</v>
      </c>
      <c r="EB221" s="173">
        <f t="shared" si="699"/>
        <v>0.82</v>
      </c>
      <c r="EC221" s="173">
        <f t="shared" si="700"/>
        <v>0.48633333333333334</v>
      </c>
      <c r="ED221" s="173">
        <f t="shared" si="701"/>
        <v>1.6860863605209047</v>
      </c>
      <c r="EE221" s="460">
        <f t="shared" si="674"/>
        <v>6.2500000000000014E-2</v>
      </c>
      <c r="EF221" s="5">
        <f t="shared" si="675"/>
        <v>7.9078590785907857E-2</v>
      </c>
      <c r="EH221" s="173">
        <f t="shared" si="702"/>
        <v>9.5452140421842357E-2</v>
      </c>
      <c r="EI221" s="173">
        <f t="shared" si="703"/>
        <v>0.56940514769557737</v>
      </c>
      <c r="EK221" s="528">
        <f t="shared" si="704"/>
        <v>1.8222222222222224E-4</v>
      </c>
      <c r="EL221" s="528">
        <f t="shared" si="705"/>
        <v>0.19838533333333336</v>
      </c>
      <c r="EM221" s="528">
        <f t="shared" si="706"/>
        <v>1.5716666666666667E-2</v>
      </c>
      <c r="EN221" s="528">
        <f t="shared" si="707"/>
        <v>0.39287604933333337</v>
      </c>
      <c r="EO221">
        <f t="shared" si="708"/>
        <v>2.7E-2</v>
      </c>
      <c r="EP221" s="460">
        <f t="shared" si="709"/>
        <v>42.716666666666669</v>
      </c>
      <c r="EQ221" s="460"/>
      <c r="ER221" s="460">
        <f t="shared" si="710"/>
        <v>634.16027155555571</v>
      </c>
      <c r="ES221" s="528">
        <f t="shared" si="711"/>
        <v>3.4999999999999996E-2</v>
      </c>
      <c r="EV221" s="460">
        <f t="shared" si="712"/>
        <v>34.999999999999993</v>
      </c>
      <c r="EW221" s="528">
        <f t="shared" si="713"/>
        <v>2.7333333333333333E-4</v>
      </c>
      <c r="EX221" s="528">
        <f t="shared" si="714"/>
        <v>9.7266666666666682E-3</v>
      </c>
      <c r="EY221" s="528">
        <f t="shared" si="715"/>
        <v>1.0917583177058173E-2</v>
      </c>
      <c r="EZ221" s="528"/>
      <c r="FA221" s="528">
        <f t="shared" si="716"/>
        <v>6.8333333333333332E-4</v>
      </c>
      <c r="FB221" s="460">
        <f t="shared" si="717"/>
        <v>21.60091651039151</v>
      </c>
      <c r="FC221" s="173">
        <f t="shared" si="718"/>
        <v>0.69076118806594722</v>
      </c>
      <c r="FD221" s="5">
        <f t="shared" si="719"/>
        <v>0.8</v>
      </c>
      <c r="FE221" s="173">
        <f t="shared" si="720"/>
        <v>0.53663860208078495</v>
      </c>
      <c r="FF221" s="5">
        <f t="shared" si="721"/>
        <v>53.663860208078496</v>
      </c>
      <c r="FI221" s="562">
        <f t="shared" si="676"/>
        <v>-50</v>
      </c>
      <c r="FJ221">
        <f t="shared" si="677"/>
        <v>-50</v>
      </c>
      <c r="FL221">
        <f t="shared" si="678"/>
        <v>0.1</v>
      </c>
    </row>
    <row r="222" spans="5:168">
      <c r="E222" s="170">
        <v>6</v>
      </c>
      <c r="F222" s="217">
        <f t="shared" si="679"/>
        <v>0.06</v>
      </c>
      <c r="G222" s="217"/>
      <c r="H222" s="217">
        <f t="shared" si="603"/>
        <v>0.96</v>
      </c>
      <c r="I222" s="541">
        <f t="shared" si="604"/>
        <v>59.975306760083761</v>
      </c>
      <c r="J222" s="172">
        <f t="shared" si="605"/>
        <v>16.414815943949744</v>
      </c>
      <c r="K222" s="172">
        <f t="shared" si="606"/>
        <v>76.390122704033502</v>
      </c>
      <c r="L222" s="443"/>
      <c r="M222" s="217">
        <f t="shared" si="607"/>
        <v>0.21488328423073347</v>
      </c>
      <c r="N222" s="172">
        <f t="shared" si="608"/>
        <v>33.185804040082715</v>
      </c>
      <c r="O222" s="172">
        <f t="shared" si="599"/>
        <v>0.96</v>
      </c>
      <c r="P222" s="217">
        <f t="shared" si="609"/>
        <v>2.0741127525051697</v>
      </c>
      <c r="Q222" s="217">
        <f t="shared" si="610"/>
        <v>16</v>
      </c>
      <c r="R222" s="217"/>
      <c r="S222" s="172">
        <f t="shared" si="611"/>
        <v>2439.0056426564638</v>
      </c>
      <c r="T222" s="172">
        <f t="shared" si="612"/>
        <v>16</v>
      </c>
      <c r="U222" s="217">
        <f t="shared" si="613"/>
        <v>0.14897936461110006</v>
      </c>
      <c r="V222" s="217">
        <f t="shared" si="614"/>
        <v>2.9808140581667347E-2</v>
      </c>
      <c r="W222" s="217">
        <f t="shared" si="615"/>
        <v>0.10891089985033549</v>
      </c>
      <c r="X222" s="197">
        <f t="shared" si="616"/>
        <v>350</v>
      </c>
      <c r="Y222" s="443">
        <f t="shared" si="680"/>
        <v>350</v>
      </c>
      <c r="AA222" s="217">
        <f t="shared" si="617"/>
        <v>3.0684708179547511</v>
      </c>
      <c r="AB222" s="173">
        <f t="shared" si="618"/>
        <v>2.2431960212766762</v>
      </c>
      <c r="AC222" s="173">
        <f t="shared" si="619"/>
        <v>1.2045567677919451</v>
      </c>
      <c r="AD222" s="173"/>
      <c r="AE222" s="173">
        <f t="shared" si="620"/>
        <v>0.7310468811210169</v>
      </c>
      <c r="AF222" s="545">
        <f t="shared" si="621"/>
        <v>164.14815943949742</v>
      </c>
      <c r="AG222" s="528">
        <f t="shared" si="622"/>
        <v>0.12793320419617796</v>
      </c>
      <c r="AI222" s="173">
        <f t="shared" si="623"/>
        <v>0.68483190729967225</v>
      </c>
      <c r="AJ222" s="173">
        <f t="shared" si="624"/>
        <v>1</v>
      </c>
      <c r="AK222" s="173">
        <f t="shared" si="625"/>
        <v>1.0937989482511414</v>
      </c>
      <c r="AM222" s="545">
        <f t="shared" si="626"/>
        <v>60</v>
      </c>
      <c r="AN222" s="460">
        <f t="shared" si="627"/>
        <v>164.14815943949742</v>
      </c>
      <c r="AP222">
        <f t="shared" si="628"/>
        <v>60</v>
      </c>
      <c r="AQ222">
        <f t="shared" si="629"/>
        <v>164.14815943949742</v>
      </c>
      <c r="AS222" s="5">
        <f t="shared" si="600"/>
        <v>6.0920573426751403</v>
      </c>
      <c r="AT222" s="5">
        <f t="shared" si="630"/>
        <v>0.20008234468900685</v>
      </c>
      <c r="AU222" s="5">
        <f t="shared" si="478"/>
        <v>5.8919749979861331</v>
      </c>
      <c r="AV222" s="5"/>
      <c r="AW222" s="173">
        <f t="shared" si="479"/>
        <v>3.2843148617039582E-2</v>
      </c>
      <c r="AX222" s="173">
        <f t="shared" si="631"/>
        <v>0.98488895663698461</v>
      </c>
      <c r="AY222" s="173">
        <f t="shared" si="632"/>
        <v>0.48357842569148018</v>
      </c>
      <c r="AZ222" s="173">
        <f t="shared" si="633"/>
        <v>2.0366685201654078</v>
      </c>
      <c r="BA222" s="460">
        <f t="shared" si="594"/>
        <v>7.5030879258377564E-2</v>
      </c>
      <c r="BB222" s="5">
        <f t="shared" si="595"/>
        <v>7.8592011496404768E-2</v>
      </c>
      <c r="BD222" s="173">
        <f t="shared" si="681"/>
        <v>0.10463133472186933</v>
      </c>
      <c r="BE222" s="173">
        <f t="shared" si="682"/>
        <v>0.56779011714510619</v>
      </c>
      <c r="BG222" s="528">
        <f t="shared" si="683"/>
        <v>2.189543241135972E-4</v>
      </c>
      <c r="BH222" s="528">
        <f t="shared" si="634"/>
        <v>0.22884218925234645</v>
      </c>
      <c r="BI222" s="528">
        <f t="shared" si="635"/>
        <v>0.22643123297920092</v>
      </c>
      <c r="BJ222" s="528">
        <f t="shared" si="684"/>
        <v>0.47175516912585497</v>
      </c>
      <c r="BK222">
        <f t="shared" si="685"/>
        <v>2.6988888042037692E-2</v>
      </c>
      <c r="BL222" s="460">
        <f t="shared" si="686"/>
        <v>253.42012102123863</v>
      </c>
      <c r="BM222" s="528">
        <f t="shared" si="636"/>
        <v>0.70091189429298828</v>
      </c>
      <c r="BN222" s="460">
        <f t="shared" si="687"/>
        <v>700.91189429298834</v>
      </c>
      <c r="BO222" s="528">
        <f t="shared" si="637"/>
        <v>4.1999999999999996E-2</v>
      </c>
      <c r="BR222" s="460">
        <f t="shared" si="688"/>
        <v>41.999999999999993</v>
      </c>
      <c r="BS222" s="528">
        <f t="shared" si="689"/>
        <v>3.2843148617039578E-4</v>
      </c>
      <c r="BT222" s="528">
        <f t="shared" si="690"/>
        <v>9.6715685138296023E-3</v>
      </c>
      <c r="BU222" s="528">
        <f t="shared" si="691"/>
        <v>1.726076532250943E-2</v>
      </c>
      <c r="BV222" s="528"/>
      <c r="BW222" s="528">
        <f t="shared" si="692"/>
        <v>8.2074079719748709E-4</v>
      </c>
      <c r="BX222" s="460">
        <f t="shared" si="693"/>
        <v>28.081506119706912</v>
      </c>
      <c r="BY222" s="173">
        <f t="shared" si="694"/>
        <v>1.0243179398432605</v>
      </c>
      <c r="BZ222" s="5">
        <f t="shared" si="695"/>
        <v>0.96</v>
      </c>
      <c r="CA222" s="173">
        <f t="shared" si="696"/>
        <v>0.48379343890618132</v>
      </c>
      <c r="CB222" s="5">
        <f t="shared" si="697"/>
        <v>48.379343890618131</v>
      </c>
      <c r="CE222" s="562">
        <f t="shared" si="638"/>
        <v>-50</v>
      </c>
      <c r="CF222">
        <f t="shared" si="639"/>
        <v>-50</v>
      </c>
      <c r="CG222" s="173">
        <f t="shared" si="640"/>
        <v>0.1214907403878995</v>
      </c>
      <c r="CI222" s="170">
        <v>6</v>
      </c>
      <c r="CJ222" s="217">
        <f t="shared" si="698"/>
        <v>0.06</v>
      </c>
      <c r="CK222" s="217"/>
      <c r="CL222" s="217">
        <f t="shared" si="641"/>
        <v>0.96</v>
      </c>
      <c r="CM222" s="541">
        <f t="shared" si="642"/>
        <v>60</v>
      </c>
      <c r="CN222" s="443">
        <f t="shared" si="643"/>
        <v>16.399999999999999</v>
      </c>
      <c r="CO222" s="443">
        <f t="shared" si="644"/>
        <v>76.400000000000006</v>
      </c>
      <c r="CP222" s="443"/>
      <c r="CQ222" s="217">
        <f t="shared" si="645"/>
        <v>0.21465968586387432</v>
      </c>
      <c r="CR222" s="172">
        <f t="shared" si="646"/>
        <v>33.164921465968582</v>
      </c>
      <c r="CS222" s="172">
        <f t="shared" si="647"/>
        <v>0.96</v>
      </c>
      <c r="CT222" s="217">
        <f t="shared" si="648"/>
        <v>2.0728075916230364</v>
      </c>
      <c r="CU222" s="217">
        <f t="shared" si="649"/>
        <v>16</v>
      </c>
      <c r="CV222" s="217"/>
      <c r="CW222" s="172">
        <f t="shared" si="650"/>
        <v>2440.0098344137373</v>
      </c>
      <c r="CX222" s="172">
        <f t="shared" si="651"/>
        <v>16</v>
      </c>
      <c r="CY222" s="217">
        <f t="shared" si="652"/>
        <v>0.14907317073170734</v>
      </c>
      <c r="CZ222" s="217">
        <f t="shared" si="653"/>
        <v>2.9814634146341466E-2</v>
      </c>
      <c r="DA222" s="217">
        <f t="shared" si="654"/>
        <v>0.1090779298036883</v>
      </c>
      <c r="DB222" s="197">
        <f t="shared" si="655"/>
        <v>350</v>
      </c>
      <c r="DC222" s="443">
        <f t="shared" si="656"/>
        <v>350</v>
      </c>
      <c r="DE222" s="217">
        <f t="shared" si="657"/>
        <v>3.06656694091249</v>
      </c>
      <c r="DF222" s="173">
        <f t="shared" si="658"/>
        <v>2.2438294689603588</v>
      </c>
      <c r="DG222" s="173">
        <f t="shared" si="659"/>
        <v>1.2041493223478366</v>
      </c>
      <c r="DH222" s="173"/>
      <c r="DI222" s="173">
        <f t="shared" si="660"/>
        <v>0.73170731707317083</v>
      </c>
      <c r="DJ222" s="545">
        <f t="shared" si="661"/>
        <v>163.99999999999997</v>
      </c>
      <c r="DK222" s="528">
        <f t="shared" si="662"/>
        <v>0.12804878048780488</v>
      </c>
      <c r="DM222" s="173">
        <f t="shared" si="663"/>
        <v>0.68452277432633934</v>
      </c>
      <c r="DN222" s="173">
        <f t="shared" si="664"/>
        <v>1</v>
      </c>
      <c r="DO222" s="173">
        <f t="shared" si="665"/>
        <v>1.0937142857142856</v>
      </c>
      <c r="DQ222" s="545">
        <f t="shared" si="666"/>
        <v>60</v>
      </c>
      <c r="DR222" s="460">
        <f t="shared" si="667"/>
        <v>163.99999999999997</v>
      </c>
      <c r="DT222">
        <f t="shared" si="668"/>
        <v>60</v>
      </c>
      <c r="DU222">
        <f t="shared" si="669"/>
        <v>163.99999999999997</v>
      </c>
      <c r="DW222" s="5">
        <f t="shared" si="670"/>
        <v>6.0975609756097571</v>
      </c>
      <c r="DX222" s="5">
        <f t="shared" si="671"/>
        <v>0.2</v>
      </c>
      <c r="DY222" s="5">
        <f t="shared" si="672"/>
        <v>5.8975609756097569</v>
      </c>
      <c r="DZ222" s="5"/>
      <c r="EA222" s="173">
        <f t="shared" si="673"/>
        <v>3.2799999999999996E-2</v>
      </c>
      <c r="EB222" s="173">
        <f t="shared" si="699"/>
        <v>0.98399999999999987</v>
      </c>
      <c r="EC222" s="173">
        <f t="shared" si="700"/>
        <v>0.48360000000000003</v>
      </c>
      <c r="ED222" s="173">
        <f t="shared" si="701"/>
        <v>2.0347394540942925</v>
      </c>
      <c r="EE222" s="460">
        <f t="shared" si="674"/>
        <v>7.5000000000000011E-2</v>
      </c>
      <c r="EF222" s="5">
        <f t="shared" si="675"/>
        <v>7.8634146341463415E-2</v>
      </c>
      <c r="EH222" s="173">
        <f t="shared" si="702"/>
        <v>0.10456258094238748</v>
      </c>
      <c r="EI222" s="173">
        <f t="shared" si="703"/>
        <v>0.56780278266313566</v>
      </c>
      <c r="EK222" s="528">
        <f t="shared" si="704"/>
        <v>2.1866666666666668E-4</v>
      </c>
      <c r="EL222" s="528">
        <f t="shared" si="705"/>
        <v>0.23806239999999998</v>
      </c>
      <c r="EM222" s="528">
        <f t="shared" si="706"/>
        <v>1.8859999999999998E-2</v>
      </c>
      <c r="EN222" s="528">
        <f t="shared" si="707"/>
        <v>0.47145125920000003</v>
      </c>
      <c r="EO222">
        <f t="shared" si="708"/>
        <v>2.7E-2</v>
      </c>
      <c r="EP222" s="460">
        <f t="shared" si="709"/>
        <v>45.86</v>
      </c>
      <c r="EQ222" s="460"/>
      <c r="ER222" s="460">
        <f t="shared" si="710"/>
        <v>755.59232586666667</v>
      </c>
      <c r="ES222" s="528">
        <f t="shared" si="711"/>
        <v>4.1999999999999996E-2</v>
      </c>
      <c r="EV222" s="460">
        <f t="shared" si="712"/>
        <v>41.999999999999993</v>
      </c>
      <c r="EW222" s="528">
        <f t="shared" si="713"/>
        <v>3.28E-4</v>
      </c>
      <c r="EX222" s="528">
        <f t="shared" si="714"/>
        <v>9.6720000000000018E-3</v>
      </c>
      <c r="EY222" s="528">
        <f t="shared" si="715"/>
        <v>1.7221842948999349E-2</v>
      </c>
      <c r="EZ222" s="528"/>
      <c r="FA222" s="528">
        <f t="shared" si="716"/>
        <v>8.1999999999999987E-4</v>
      </c>
      <c r="FB222" s="460">
        <f t="shared" si="717"/>
        <v>28.041842948999353</v>
      </c>
      <c r="FC222" s="173">
        <f t="shared" si="718"/>
        <v>0.82563416881566609</v>
      </c>
      <c r="FD222" s="5">
        <f t="shared" si="719"/>
        <v>0.96</v>
      </c>
      <c r="FE222" s="173">
        <f t="shared" si="720"/>
        <v>0.5376241207552197</v>
      </c>
      <c r="FF222" s="5">
        <f t="shared" si="721"/>
        <v>53.762412075521972</v>
      </c>
      <c r="FI222" s="562">
        <f t="shared" si="676"/>
        <v>-50</v>
      </c>
      <c r="FJ222">
        <f t="shared" si="677"/>
        <v>-50</v>
      </c>
      <c r="FL222">
        <f t="shared" si="678"/>
        <v>0.12</v>
      </c>
    </row>
    <row r="223" spans="5:168">
      <c r="E223" s="170">
        <v>7</v>
      </c>
      <c r="F223" s="217">
        <f t="shared" si="679"/>
        <v>7.0000000000000007E-2</v>
      </c>
      <c r="G223" s="217"/>
      <c r="H223" s="217">
        <f t="shared" si="603"/>
        <v>1.1200000000000001</v>
      </c>
      <c r="I223" s="541">
        <f t="shared" si="604"/>
        <v>59.975306760083761</v>
      </c>
      <c r="J223" s="172">
        <f t="shared" si="605"/>
        <v>16.414815943949744</v>
      </c>
      <c r="K223" s="172">
        <f t="shared" si="606"/>
        <v>76.390122704033502</v>
      </c>
      <c r="L223" s="443"/>
      <c r="M223" s="217">
        <f t="shared" si="607"/>
        <v>0.21488328423073347</v>
      </c>
      <c r="N223" s="172">
        <f t="shared" si="608"/>
        <v>33.185804040082715</v>
      </c>
      <c r="O223" s="172">
        <f t="shared" si="599"/>
        <v>1.1200000000000001</v>
      </c>
      <c r="P223" s="217">
        <f t="shared" si="609"/>
        <v>2.0741127525051697</v>
      </c>
      <c r="Q223" s="217">
        <f t="shared" si="610"/>
        <v>16</v>
      </c>
      <c r="R223" s="217"/>
      <c r="S223" s="172">
        <f t="shared" si="611"/>
        <v>2082.0114550281533</v>
      </c>
      <c r="T223" s="172">
        <f t="shared" si="612"/>
        <v>16</v>
      </c>
      <c r="U223" s="217">
        <f t="shared" si="613"/>
        <v>0.17380925871295011</v>
      </c>
      <c r="V223" s="217">
        <f t="shared" si="614"/>
        <v>3.4776164011945249E-2</v>
      </c>
      <c r="W223" s="217">
        <f t="shared" si="615"/>
        <v>0.12706271649205811</v>
      </c>
      <c r="X223" s="197">
        <f t="shared" si="616"/>
        <v>350</v>
      </c>
      <c r="Y223" s="443">
        <f t="shared" si="680"/>
        <v>350</v>
      </c>
      <c r="AA223" s="217">
        <f t="shared" si="617"/>
        <v>3.0684708179547511</v>
      </c>
      <c r="AB223" s="173">
        <f t="shared" si="618"/>
        <v>2.2431960212766762</v>
      </c>
      <c r="AC223" s="173">
        <f t="shared" si="619"/>
        <v>1.2045567677919451</v>
      </c>
      <c r="AD223" s="173"/>
      <c r="AE223" s="173">
        <f t="shared" si="620"/>
        <v>0.7310468811210169</v>
      </c>
      <c r="AF223" s="545">
        <f t="shared" si="621"/>
        <v>191.50618601274704</v>
      </c>
      <c r="AG223" s="528">
        <f t="shared" si="622"/>
        <v>0.12793320419617796</v>
      </c>
      <c r="AI223" s="173">
        <f t="shared" si="623"/>
        <v>0.73970300220087759</v>
      </c>
      <c r="AJ223" s="173">
        <f t="shared" si="624"/>
        <v>1</v>
      </c>
      <c r="AK223" s="173">
        <f t="shared" si="625"/>
        <v>1.1094321062929984</v>
      </c>
      <c r="AM223" s="545">
        <f t="shared" si="626"/>
        <v>70</v>
      </c>
      <c r="AN223" s="460">
        <f t="shared" si="627"/>
        <v>191.50618601274704</v>
      </c>
      <c r="AP223">
        <f t="shared" si="628"/>
        <v>70</v>
      </c>
      <c r="AQ223">
        <f t="shared" si="629"/>
        <v>191.50618601274704</v>
      </c>
      <c r="AS223" s="5">
        <f t="shared" si="600"/>
        <v>5.2217634365786907</v>
      </c>
      <c r="AT223" s="5">
        <f t="shared" si="630"/>
        <v>0.20008234468900685</v>
      </c>
      <c r="AU223" s="5">
        <f t="shared" si="478"/>
        <v>5.0216810918896835</v>
      </c>
      <c r="AV223" s="5"/>
      <c r="AW223" s="173">
        <f t="shared" si="479"/>
        <v>3.8317006719879518E-2</v>
      </c>
      <c r="AX223" s="173">
        <f t="shared" si="631"/>
        <v>1.1490371160764823</v>
      </c>
      <c r="AY223" s="173">
        <f t="shared" si="632"/>
        <v>0.48084149664006026</v>
      </c>
      <c r="AZ223" s="173">
        <f t="shared" si="633"/>
        <v>2.3896380077541601</v>
      </c>
      <c r="BA223" s="460">
        <f t="shared" si="594"/>
        <v>8.7536025801440501E-2</v>
      </c>
      <c r="BB223" s="5">
        <f t="shared" si="595"/>
        <v>7.8147201000224209E-2</v>
      </c>
      <c r="BD223" s="173">
        <f t="shared" si="681"/>
        <v>0.11301475821012569</v>
      </c>
      <c r="BE223" s="173">
        <f t="shared" si="682"/>
        <v>0.56618106446616545</v>
      </c>
      <c r="BG223" s="528">
        <f t="shared" si="683"/>
        <v>2.5544671146586343E-4</v>
      </c>
      <c r="BH223" s="528">
        <f t="shared" si="634"/>
        <v>0.26698255412773758</v>
      </c>
      <c r="BI223" s="528">
        <f t="shared" si="635"/>
        <v>0.26416977180906781</v>
      </c>
      <c r="BJ223" s="528">
        <f t="shared" si="684"/>
        <v>0.55038103064683086</v>
      </c>
      <c r="BK223">
        <f t="shared" si="685"/>
        <v>2.6988888042037692E-2</v>
      </c>
      <c r="BL223" s="460">
        <f t="shared" si="686"/>
        <v>291.15865985110548</v>
      </c>
      <c r="BM223" s="528">
        <f t="shared" si="636"/>
        <v>0.81773763397946153</v>
      </c>
      <c r="BN223" s="460">
        <f t="shared" si="687"/>
        <v>817.73763397946152</v>
      </c>
      <c r="BO223" s="528">
        <f t="shared" si="637"/>
        <v>4.9000000000000002E-2</v>
      </c>
      <c r="BR223" s="460">
        <f t="shared" si="688"/>
        <v>49</v>
      </c>
      <c r="BS223" s="528">
        <f t="shared" si="689"/>
        <v>3.8317006719879509E-4</v>
      </c>
      <c r="BT223" s="528">
        <f t="shared" si="690"/>
        <v>9.6168299328012064E-3</v>
      </c>
      <c r="BU223" s="528">
        <f t="shared" si="691"/>
        <v>2.5376225329867854E-2</v>
      </c>
      <c r="BV223" s="528"/>
      <c r="BW223" s="528">
        <f t="shared" si="692"/>
        <v>9.5753093006373507E-4</v>
      </c>
      <c r="BX223" s="460">
        <f t="shared" si="693"/>
        <v>36.333756259931583</v>
      </c>
      <c r="BY223" s="173">
        <f t="shared" si="694"/>
        <v>1.1941114475970716</v>
      </c>
      <c r="BZ223" s="5">
        <f t="shared" si="695"/>
        <v>1.1200000000000001</v>
      </c>
      <c r="CA223" s="173">
        <f t="shared" si="696"/>
        <v>0.48398706171346512</v>
      </c>
      <c r="CB223" s="5">
        <f t="shared" si="697"/>
        <v>48.398706171346511</v>
      </c>
      <c r="CE223" s="562">
        <f t="shared" si="638"/>
        <v>-50</v>
      </c>
      <c r="CF223">
        <f t="shared" si="639"/>
        <v>-50</v>
      </c>
      <c r="CG223" s="173">
        <f t="shared" si="640"/>
        <v>0.14173919711921612</v>
      </c>
      <c r="CI223" s="170">
        <v>7</v>
      </c>
      <c r="CJ223" s="217">
        <f t="shared" si="698"/>
        <v>7.0000000000000007E-2</v>
      </c>
      <c r="CK223" s="217"/>
      <c r="CL223" s="217">
        <f t="shared" si="641"/>
        <v>1.1200000000000001</v>
      </c>
      <c r="CM223" s="541">
        <f t="shared" si="642"/>
        <v>60</v>
      </c>
      <c r="CN223" s="443">
        <f t="shared" si="643"/>
        <v>16.399999999999999</v>
      </c>
      <c r="CO223" s="443">
        <f t="shared" si="644"/>
        <v>76.400000000000006</v>
      </c>
      <c r="CP223" s="443"/>
      <c r="CQ223" s="217">
        <f t="shared" si="645"/>
        <v>0.21465968586387432</v>
      </c>
      <c r="CR223" s="172">
        <f t="shared" si="646"/>
        <v>33.164921465968582</v>
      </c>
      <c r="CS223" s="172">
        <f t="shared" si="647"/>
        <v>1.1200000000000001</v>
      </c>
      <c r="CT223" s="217">
        <f t="shared" si="648"/>
        <v>2.0728075916230364</v>
      </c>
      <c r="CU223" s="217">
        <f t="shared" si="649"/>
        <v>16</v>
      </c>
      <c r="CV223" s="217"/>
      <c r="CW223" s="172">
        <f t="shared" si="650"/>
        <v>2082.8686632147537</v>
      </c>
      <c r="CX223" s="172">
        <f t="shared" si="651"/>
        <v>16</v>
      </c>
      <c r="CY223" s="217">
        <f t="shared" si="652"/>
        <v>0.1739186991869919</v>
      </c>
      <c r="CZ223" s="217">
        <f t="shared" si="653"/>
        <v>3.4783739837398388E-2</v>
      </c>
      <c r="DA223" s="217">
        <f t="shared" si="654"/>
        <v>0.12725758477096968</v>
      </c>
      <c r="DB223" s="197">
        <f t="shared" si="655"/>
        <v>350</v>
      </c>
      <c r="DC223" s="443">
        <f t="shared" si="656"/>
        <v>350</v>
      </c>
      <c r="DE223" s="217">
        <f t="shared" si="657"/>
        <v>3.06656694091249</v>
      </c>
      <c r="DF223" s="173">
        <f t="shared" si="658"/>
        <v>2.2438294689603588</v>
      </c>
      <c r="DG223" s="173">
        <f t="shared" si="659"/>
        <v>1.2041493223478366</v>
      </c>
      <c r="DH223" s="173"/>
      <c r="DI223" s="173">
        <f t="shared" si="660"/>
        <v>0.73170731707317083</v>
      </c>
      <c r="DJ223" s="545">
        <f t="shared" si="661"/>
        <v>191.33333333333331</v>
      </c>
      <c r="DK223" s="528">
        <f t="shared" si="662"/>
        <v>0.12804878048780488</v>
      </c>
      <c r="DM223" s="173">
        <f t="shared" si="663"/>
        <v>0.73936910042729453</v>
      </c>
      <c r="DN223" s="173">
        <f t="shared" si="664"/>
        <v>1</v>
      </c>
      <c r="DO223" s="173">
        <f t="shared" si="665"/>
        <v>1.1093333333333333</v>
      </c>
      <c r="DQ223" s="545">
        <f t="shared" si="666"/>
        <v>70</v>
      </c>
      <c r="DR223" s="460">
        <f t="shared" si="667"/>
        <v>191.33333333333331</v>
      </c>
      <c r="DT223">
        <f t="shared" si="668"/>
        <v>70</v>
      </c>
      <c r="DU223">
        <f t="shared" si="669"/>
        <v>191.33333333333331</v>
      </c>
      <c r="DW223" s="5">
        <f t="shared" si="670"/>
        <v>5.2264808362369344</v>
      </c>
      <c r="DX223" s="5">
        <f t="shared" si="671"/>
        <v>0.2</v>
      </c>
      <c r="DY223" s="5">
        <f t="shared" si="672"/>
        <v>5.0264808362369342</v>
      </c>
      <c r="DZ223" s="5"/>
      <c r="EA223" s="173">
        <f t="shared" si="673"/>
        <v>3.8266666666666664E-2</v>
      </c>
      <c r="EB223" s="173">
        <f t="shared" si="699"/>
        <v>1.1479999999999999</v>
      </c>
      <c r="EC223" s="173">
        <f t="shared" si="700"/>
        <v>0.48086666666666666</v>
      </c>
      <c r="ED223" s="173">
        <f t="shared" si="701"/>
        <v>2.3873561624844029</v>
      </c>
      <c r="EE223" s="460">
        <f t="shared" si="674"/>
        <v>8.7500000000000008E-2</v>
      </c>
      <c r="EF223" s="5">
        <f t="shared" si="675"/>
        <v>7.8189701897018973E-2</v>
      </c>
      <c r="EH223" s="173">
        <f t="shared" si="702"/>
        <v>0.11294049564064944</v>
      </c>
      <c r="EI223" s="173">
        <f t="shared" si="703"/>
        <v>0.56619588286897482</v>
      </c>
      <c r="EK223" s="528">
        <f t="shared" si="704"/>
        <v>2.5511111111111112E-4</v>
      </c>
      <c r="EL223" s="528">
        <f t="shared" si="705"/>
        <v>0.27773946666666666</v>
      </c>
      <c r="EM223" s="528">
        <f t="shared" si="706"/>
        <v>2.2003333333333333E-2</v>
      </c>
      <c r="EN223" s="528">
        <f t="shared" si="707"/>
        <v>0.55002646906666675</v>
      </c>
      <c r="EO223">
        <f t="shared" si="708"/>
        <v>2.7E-2</v>
      </c>
      <c r="EP223" s="460">
        <f t="shared" si="709"/>
        <v>49.00333333333333</v>
      </c>
      <c r="EQ223" s="460"/>
      <c r="ER223" s="460">
        <f t="shared" si="710"/>
        <v>877.02438017777786</v>
      </c>
      <c r="ES223" s="528">
        <f t="shared" si="711"/>
        <v>4.9000000000000002E-2</v>
      </c>
      <c r="EV223" s="460">
        <f t="shared" si="712"/>
        <v>49</v>
      </c>
      <c r="EW223" s="528">
        <f t="shared" si="713"/>
        <v>3.8266666666666663E-4</v>
      </c>
      <c r="EX223" s="528">
        <f t="shared" si="714"/>
        <v>9.6173333333333354E-3</v>
      </c>
      <c r="EY223" s="528">
        <f t="shared" si="715"/>
        <v>2.5319002900728107E-2</v>
      </c>
      <c r="EZ223" s="528"/>
      <c r="FA223" s="528">
        <f t="shared" si="716"/>
        <v>9.5666666666666665E-4</v>
      </c>
      <c r="FB223" s="460">
        <f t="shared" si="717"/>
        <v>36.275669567394772</v>
      </c>
      <c r="FC223" s="173">
        <f t="shared" si="718"/>
        <v>0.96230004974517269</v>
      </c>
      <c r="FD223" s="5">
        <f t="shared" si="719"/>
        <v>1.1200000000000001</v>
      </c>
      <c r="FE223" s="173">
        <f t="shared" si="720"/>
        <v>0.53786676907444875</v>
      </c>
      <c r="FF223" s="5">
        <f t="shared" si="721"/>
        <v>53.786676907444871</v>
      </c>
      <c r="FI223" s="562">
        <f t="shared" si="676"/>
        <v>-50</v>
      </c>
      <c r="FJ223">
        <f t="shared" si="677"/>
        <v>-50</v>
      </c>
      <c r="FL223">
        <f t="shared" si="678"/>
        <v>0.14000000000000001</v>
      </c>
    </row>
    <row r="224" spans="5:168">
      <c r="E224" s="170">
        <v>8</v>
      </c>
      <c r="F224" s="217">
        <f t="shared" si="679"/>
        <v>0.08</v>
      </c>
      <c r="G224" s="217"/>
      <c r="H224" s="217">
        <f t="shared" si="603"/>
        <v>1.28</v>
      </c>
      <c r="I224" s="541">
        <f t="shared" si="604"/>
        <v>59.975306760083761</v>
      </c>
      <c r="J224" s="172">
        <f t="shared" si="605"/>
        <v>16.414815943949744</v>
      </c>
      <c r="K224" s="172">
        <f t="shared" si="606"/>
        <v>76.390122704033502</v>
      </c>
      <c r="L224" s="443"/>
      <c r="M224" s="217">
        <f t="shared" si="607"/>
        <v>0.21488328423073347</v>
      </c>
      <c r="N224" s="172">
        <f t="shared" si="608"/>
        <v>33.185804040082715</v>
      </c>
      <c r="O224" s="172">
        <f t="shared" si="599"/>
        <v>1.28</v>
      </c>
      <c r="P224" s="217">
        <f t="shared" si="609"/>
        <v>2.0741127525051697</v>
      </c>
      <c r="Q224" s="217">
        <f t="shared" si="610"/>
        <v>16</v>
      </c>
      <c r="R224" s="217"/>
      <c r="S224" s="172">
        <f t="shared" si="611"/>
        <v>1814.2662496219702</v>
      </c>
      <c r="T224" s="172">
        <f t="shared" si="612"/>
        <v>16</v>
      </c>
      <c r="U224" s="217">
        <f t="shared" si="613"/>
        <v>0.1986391528148001</v>
      </c>
      <c r="V224" s="217">
        <f t="shared" si="614"/>
        <v>3.9744187442223126E-2</v>
      </c>
      <c r="W224" s="217">
        <f t="shared" si="615"/>
        <v>0.14521453313378066</v>
      </c>
      <c r="X224" s="197">
        <f t="shared" si="616"/>
        <v>350</v>
      </c>
      <c r="Y224" s="443">
        <f t="shared" si="680"/>
        <v>350</v>
      </c>
      <c r="AA224" s="217">
        <f t="shared" si="617"/>
        <v>3.0684708179547511</v>
      </c>
      <c r="AB224" s="173">
        <f t="shared" si="618"/>
        <v>2.2431960212766762</v>
      </c>
      <c r="AC224" s="173">
        <f t="shared" si="619"/>
        <v>1.2045567677919451</v>
      </c>
      <c r="AD224" s="173"/>
      <c r="AE224" s="173">
        <f t="shared" si="620"/>
        <v>0.7310468811210169</v>
      </c>
      <c r="AF224" s="545">
        <f t="shared" si="621"/>
        <v>218.86421258599657</v>
      </c>
      <c r="AG224" s="528">
        <f t="shared" si="622"/>
        <v>0.12793320419617796</v>
      </c>
      <c r="AI224" s="173">
        <f t="shared" si="623"/>
        <v>0.79077577205822125</v>
      </c>
      <c r="AJ224" s="173">
        <f t="shared" si="624"/>
        <v>1</v>
      </c>
      <c r="AK224" s="173">
        <f t="shared" si="625"/>
        <v>1.1250652643348551</v>
      </c>
      <c r="AM224" s="545">
        <f t="shared" si="626"/>
        <v>80</v>
      </c>
      <c r="AN224" s="460">
        <f t="shared" si="627"/>
        <v>218.86421258599657</v>
      </c>
      <c r="AP224">
        <f t="shared" si="628"/>
        <v>80</v>
      </c>
      <c r="AQ224">
        <f t="shared" si="629"/>
        <v>218.86421258599657</v>
      </c>
      <c r="AS224" s="5">
        <f t="shared" si="600"/>
        <v>4.5690430070063552</v>
      </c>
      <c r="AT224" s="5">
        <f t="shared" si="630"/>
        <v>0.20008234468900685</v>
      </c>
      <c r="AU224" s="5">
        <f t="shared" si="478"/>
        <v>4.368960662317348</v>
      </c>
      <c r="AV224" s="5"/>
      <c r="AW224" s="173">
        <f t="shared" si="479"/>
        <v>4.379086482271944E-2</v>
      </c>
      <c r="AX224" s="173">
        <f t="shared" si="631"/>
        <v>1.3131852755159796</v>
      </c>
      <c r="AY224" s="173">
        <f t="shared" si="632"/>
        <v>0.47810456758864028</v>
      </c>
      <c r="AZ224" s="173">
        <f t="shared" si="633"/>
        <v>2.7466486717312439</v>
      </c>
      <c r="BA224" s="460">
        <f t="shared" si="594"/>
        <v>0.10004117234450342</v>
      </c>
      <c r="BB224" s="5">
        <f t="shared" si="595"/>
        <v>7.770239050404365E-2</v>
      </c>
      <c r="BD224" s="173">
        <f t="shared" si="681"/>
        <v>0.1208178585346822</v>
      </c>
      <c r="BE224" s="173">
        <f t="shared" si="682"/>
        <v>0.56456742590449449</v>
      </c>
      <c r="BG224" s="528">
        <f t="shared" si="683"/>
        <v>2.9193909881812963E-4</v>
      </c>
      <c r="BH224" s="528">
        <f t="shared" si="634"/>
        <v>0.3051229190031286</v>
      </c>
      <c r="BI224" s="528">
        <f t="shared" si="635"/>
        <v>0.30190831063893458</v>
      </c>
      <c r="BJ224" s="528">
        <f t="shared" si="684"/>
        <v>0.62900689216780659</v>
      </c>
      <c r="BK224">
        <f t="shared" si="685"/>
        <v>2.6988888042037692E-2</v>
      </c>
      <c r="BL224" s="460">
        <f t="shared" si="686"/>
        <v>328.89719868097228</v>
      </c>
      <c r="BM224" s="528">
        <f t="shared" si="636"/>
        <v>0.93456539970293906</v>
      </c>
      <c r="BN224" s="460">
        <f t="shared" si="687"/>
        <v>934.56539970293909</v>
      </c>
      <c r="BO224" s="528">
        <f t="shared" si="637"/>
        <v>5.5999999999999994E-2</v>
      </c>
      <c r="BR224" s="460">
        <f t="shared" si="688"/>
        <v>55.999999999999993</v>
      </c>
      <c r="BS224" s="528">
        <f t="shared" si="689"/>
        <v>4.3790864822719445E-4</v>
      </c>
      <c r="BT224" s="528">
        <f t="shared" si="690"/>
        <v>9.5620913517728053E-3</v>
      </c>
      <c r="BU224" s="528">
        <f t="shared" si="691"/>
        <v>3.5432915574648192E-2</v>
      </c>
      <c r="BV224" s="528"/>
      <c r="BW224" s="528">
        <f t="shared" si="692"/>
        <v>1.0943210629299829E-3</v>
      </c>
      <c r="BX224" s="460">
        <f t="shared" si="693"/>
        <v>46.527236637578177</v>
      </c>
      <c r="BY224" s="173">
        <f t="shared" si="694"/>
        <v>1.365846185588304</v>
      </c>
      <c r="BZ224" s="5">
        <f t="shared" si="695"/>
        <v>1.28</v>
      </c>
      <c r="CA224" s="173">
        <f t="shared" si="696"/>
        <v>0.48377717758955513</v>
      </c>
      <c r="CB224" s="5">
        <f t="shared" si="697"/>
        <v>48.377717758955512</v>
      </c>
      <c r="CE224" s="562">
        <f t="shared" si="638"/>
        <v>-50</v>
      </c>
      <c r="CF224">
        <f t="shared" si="639"/>
        <v>-50</v>
      </c>
      <c r="CG224" s="173">
        <f t="shared" si="640"/>
        <v>0.16198765385053271</v>
      </c>
      <c r="CI224" s="170">
        <v>8</v>
      </c>
      <c r="CJ224" s="217">
        <f t="shared" si="698"/>
        <v>0.08</v>
      </c>
      <c r="CK224" s="217"/>
      <c r="CL224" s="217">
        <f t="shared" si="641"/>
        <v>1.28</v>
      </c>
      <c r="CM224" s="541">
        <f t="shared" si="642"/>
        <v>60</v>
      </c>
      <c r="CN224" s="443">
        <f t="shared" si="643"/>
        <v>16.399999999999999</v>
      </c>
      <c r="CO224" s="443">
        <f t="shared" si="644"/>
        <v>76.400000000000006</v>
      </c>
      <c r="CP224" s="443"/>
      <c r="CQ224" s="217">
        <f t="shared" si="645"/>
        <v>0.21465968586387432</v>
      </c>
      <c r="CR224" s="172">
        <f t="shared" si="646"/>
        <v>33.164921465968582</v>
      </c>
      <c r="CS224" s="172">
        <f t="shared" si="647"/>
        <v>1.28</v>
      </c>
      <c r="CT224" s="217">
        <f t="shared" si="648"/>
        <v>2.0728075916230364</v>
      </c>
      <c r="CU224" s="217">
        <f t="shared" si="649"/>
        <v>16</v>
      </c>
      <c r="CV224" s="217"/>
      <c r="CW224" s="172">
        <f t="shared" si="650"/>
        <v>1815.0132201306753</v>
      </c>
      <c r="CX224" s="172">
        <f t="shared" si="651"/>
        <v>16</v>
      </c>
      <c r="CY224" s="217">
        <f t="shared" si="652"/>
        <v>0.19876422764227644</v>
      </c>
      <c r="CZ224" s="217">
        <f t="shared" si="653"/>
        <v>3.9752845528455288E-2</v>
      </c>
      <c r="DA224" s="217">
        <f t="shared" si="654"/>
        <v>0.14543723973825107</v>
      </c>
      <c r="DB224" s="197">
        <f t="shared" si="655"/>
        <v>350</v>
      </c>
      <c r="DC224" s="443">
        <f t="shared" si="656"/>
        <v>350</v>
      </c>
      <c r="DE224" s="217">
        <f t="shared" si="657"/>
        <v>3.06656694091249</v>
      </c>
      <c r="DF224" s="173">
        <f t="shared" si="658"/>
        <v>2.2438294689603588</v>
      </c>
      <c r="DG224" s="173">
        <f t="shared" si="659"/>
        <v>1.2041493223478366</v>
      </c>
      <c r="DH224" s="173"/>
      <c r="DI224" s="173">
        <f t="shared" si="660"/>
        <v>0.73170731707317083</v>
      </c>
      <c r="DJ224" s="545">
        <f t="shared" si="661"/>
        <v>218.66666666666666</v>
      </c>
      <c r="DK224" s="528">
        <f t="shared" si="662"/>
        <v>0.12804878048780488</v>
      </c>
      <c r="DM224" s="173">
        <f t="shared" si="663"/>
        <v>0.79041881604748299</v>
      </c>
      <c r="DN224" s="173">
        <f t="shared" si="664"/>
        <v>1</v>
      </c>
      <c r="DO224" s="173">
        <f t="shared" si="665"/>
        <v>1.1249523809523809</v>
      </c>
      <c r="DQ224" s="545">
        <f t="shared" si="666"/>
        <v>80</v>
      </c>
      <c r="DR224" s="460">
        <f t="shared" si="667"/>
        <v>218.66666666666666</v>
      </c>
      <c r="DT224">
        <f t="shared" si="668"/>
        <v>80</v>
      </c>
      <c r="DU224">
        <f t="shared" si="669"/>
        <v>218.66666666666666</v>
      </c>
      <c r="DW224" s="5">
        <f t="shared" si="670"/>
        <v>4.573170731707318</v>
      </c>
      <c r="DX224" s="5">
        <f t="shared" si="671"/>
        <v>0.2</v>
      </c>
      <c r="DY224" s="5">
        <f t="shared" si="672"/>
        <v>4.3731707317073178</v>
      </c>
      <c r="DZ224" s="5"/>
      <c r="EA224" s="173">
        <f t="shared" si="673"/>
        <v>4.3733333333333325E-2</v>
      </c>
      <c r="EB224" s="173">
        <f t="shared" si="699"/>
        <v>1.3120000000000001</v>
      </c>
      <c r="EC224" s="173">
        <f t="shared" si="700"/>
        <v>0.47813333333333335</v>
      </c>
      <c r="ED224" s="173">
        <f t="shared" si="701"/>
        <v>2.744004461795873</v>
      </c>
      <c r="EE224" s="460">
        <f t="shared" si="674"/>
        <v>0.1</v>
      </c>
      <c r="EF224" s="5">
        <f t="shared" si="675"/>
        <v>7.7745257452574532E-2</v>
      </c>
      <c r="EH224" s="173">
        <f t="shared" si="702"/>
        <v>0.12073846850849887</v>
      </c>
      <c r="EI224" s="173">
        <f t="shared" si="703"/>
        <v>0.5645844095930701</v>
      </c>
      <c r="EK224" s="528">
        <f t="shared" si="704"/>
        <v>2.9155555555555548E-4</v>
      </c>
      <c r="EL224" s="528">
        <f t="shared" si="705"/>
        <v>0.31741653333333342</v>
      </c>
      <c r="EM224" s="528">
        <f t="shared" si="706"/>
        <v>2.5146666666666668E-2</v>
      </c>
      <c r="EN224" s="528">
        <f t="shared" si="707"/>
        <v>0.62860167893333341</v>
      </c>
      <c r="EO224">
        <f t="shared" si="708"/>
        <v>2.7E-2</v>
      </c>
      <c r="EP224" s="460">
        <f t="shared" si="709"/>
        <v>52.146666666666668</v>
      </c>
      <c r="EQ224" s="460"/>
      <c r="ER224" s="460">
        <f t="shared" si="710"/>
        <v>998.45643448888904</v>
      </c>
      <c r="ES224" s="528">
        <f t="shared" si="711"/>
        <v>5.5999999999999994E-2</v>
      </c>
      <c r="EV224" s="460">
        <f t="shared" si="712"/>
        <v>55.999999999999993</v>
      </c>
      <c r="EW224" s="528">
        <f t="shared" si="713"/>
        <v>4.3733333333333319E-4</v>
      </c>
      <c r="EX224" s="528">
        <f t="shared" si="714"/>
        <v>9.5626666666666672E-3</v>
      </c>
      <c r="EY224" s="528">
        <f t="shared" si="715"/>
        <v>3.5353015689053365E-2</v>
      </c>
      <c r="EZ224" s="528"/>
      <c r="FA224" s="528">
        <f t="shared" si="716"/>
        <v>1.0933333333333333E-3</v>
      </c>
      <c r="FB224" s="460">
        <f t="shared" si="717"/>
        <v>46.446349022386698</v>
      </c>
      <c r="FC224" s="173">
        <f t="shared" si="718"/>
        <v>1.1009027835112757</v>
      </c>
      <c r="FD224" s="5">
        <f t="shared" si="719"/>
        <v>1.28</v>
      </c>
      <c r="FE224" s="173">
        <f t="shared" si="720"/>
        <v>0.53761119893870635</v>
      </c>
      <c r="FF224" s="5">
        <f t="shared" si="721"/>
        <v>53.761119893870635</v>
      </c>
      <c r="FI224" s="562">
        <f t="shared" si="676"/>
        <v>-50</v>
      </c>
      <c r="FJ224">
        <f t="shared" si="677"/>
        <v>-50</v>
      </c>
      <c r="FL224">
        <f t="shared" si="678"/>
        <v>0.16000000000000003</v>
      </c>
    </row>
    <row r="225" spans="5:168">
      <c r="E225" s="170">
        <v>9</v>
      </c>
      <c r="F225" s="217">
        <f t="shared" si="679"/>
        <v>0.09</v>
      </c>
      <c r="G225" s="217"/>
      <c r="H225" s="217">
        <f t="shared" si="603"/>
        <v>1.44</v>
      </c>
      <c r="I225" s="541">
        <f t="shared" si="604"/>
        <v>59.975306760083761</v>
      </c>
      <c r="J225" s="172">
        <f t="shared" si="605"/>
        <v>16.414815943949744</v>
      </c>
      <c r="K225" s="172">
        <f t="shared" si="606"/>
        <v>76.390122704033502</v>
      </c>
      <c r="L225" s="443"/>
      <c r="M225" s="217">
        <f t="shared" si="607"/>
        <v>0.21488328423073347</v>
      </c>
      <c r="N225" s="172">
        <f t="shared" si="608"/>
        <v>33.185804040082715</v>
      </c>
      <c r="O225" s="172">
        <f t="shared" si="599"/>
        <v>1.44</v>
      </c>
      <c r="P225" s="217">
        <f t="shared" si="609"/>
        <v>2.0741127525051697</v>
      </c>
      <c r="Q225" s="217">
        <f t="shared" si="610"/>
        <v>16</v>
      </c>
      <c r="R225" s="217"/>
      <c r="S225" s="172">
        <f t="shared" si="611"/>
        <v>1606.0203704765308</v>
      </c>
      <c r="T225" s="172">
        <f t="shared" si="612"/>
        <v>16</v>
      </c>
      <c r="U225" s="217">
        <f t="shared" si="613"/>
        <v>0.22346904691665009</v>
      </c>
      <c r="V225" s="217">
        <f t="shared" si="614"/>
        <v>4.4712210872501025E-2</v>
      </c>
      <c r="W225" s="217">
        <f t="shared" si="615"/>
        <v>0.16336634977550324</v>
      </c>
      <c r="X225" s="197">
        <f t="shared" si="616"/>
        <v>350</v>
      </c>
      <c r="Y225" s="443">
        <f t="shared" si="680"/>
        <v>350</v>
      </c>
      <c r="AA225" s="217">
        <f t="shared" si="617"/>
        <v>3.0684708179547511</v>
      </c>
      <c r="AB225" s="173">
        <f t="shared" si="618"/>
        <v>2.2431960212766762</v>
      </c>
      <c r="AC225" s="173">
        <f t="shared" si="619"/>
        <v>1.2045567677919451</v>
      </c>
      <c r="AD225" s="173"/>
      <c r="AE225" s="173">
        <f t="shared" si="620"/>
        <v>0.7310468811210169</v>
      </c>
      <c r="AF225" s="545">
        <f t="shared" si="621"/>
        <v>246.22223915924616</v>
      </c>
      <c r="AG225" s="528">
        <f t="shared" si="622"/>
        <v>0.12793320419617796</v>
      </c>
      <c r="AI225" s="173">
        <f t="shared" si="623"/>
        <v>0.83874436623059367</v>
      </c>
      <c r="AJ225" s="173">
        <f t="shared" si="624"/>
        <v>1</v>
      </c>
      <c r="AK225" s="173">
        <f t="shared" si="625"/>
        <v>1.140698422376712</v>
      </c>
      <c r="AM225" s="545">
        <f t="shared" si="626"/>
        <v>90</v>
      </c>
      <c r="AN225" s="460">
        <f t="shared" si="627"/>
        <v>246.22223915924616</v>
      </c>
      <c r="AP225">
        <f t="shared" si="628"/>
        <v>90</v>
      </c>
      <c r="AQ225">
        <f t="shared" si="629"/>
        <v>246.22223915924616</v>
      </c>
      <c r="AS225" s="5">
        <f t="shared" si="600"/>
        <v>4.0613715617834263</v>
      </c>
      <c r="AT225" s="5">
        <f t="shared" si="630"/>
        <v>0.20008234468900685</v>
      </c>
      <c r="AU225" s="5">
        <f t="shared" si="478"/>
        <v>3.8612892170944195</v>
      </c>
      <c r="AV225" s="5"/>
      <c r="AW225" s="173">
        <f t="shared" si="479"/>
        <v>4.9264722925559376E-2</v>
      </c>
      <c r="AX225" s="173">
        <f t="shared" si="631"/>
        <v>1.477333434955477</v>
      </c>
      <c r="AY225" s="173">
        <f t="shared" si="632"/>
        <v>0.47536763853722031</v>
      </c>
      <c r="AZ225" s="173">
        <f t="shared" si="633"/>
        <v>3.1077703133125771</v>
      </c>
      <c r="BA225" s="460">
        <f t="shared" si="594"/>
        <v>0.11254631888756636</v>
      </c>
      <c r="BB225" s="5">
        <f t="shared" si="595"/>
        <v>7.7257580007863078E-2</v>
      </c>
      <c r="BD225" s="173">
        <f t="shared" si="681"/>
        <v>0.12814669058746617</v>
      </c>
      <c r="BE225" s="173">
        <f t="shared" si="682"/>
        <v>0.56294916202514556</v>
      </c>
      <c r="BG225" s="528">
        <f t="shared" si="683"/>
        <v>3.2843148617039584E-4</v>
      </c>
      <c r="BH225" s="528">
        <f t="shared" si="634"/>
        <v>0.34326328387851973</v>
      </c>
      <c r="BI225" s="528">
        <f t="shared" si="635"/>
        <v>0.33964684946880142</v>
      </c>
      <c r="BJ225" s="528">
        <f t="shared" si="684"/>
        <v>0.70763275368878253</v>
      </c>
      <c r="BK225">
        <f t="shared" si="685"/>
        <v>2.6988888042037692E-2</v>
      </c>
      <c r="BL225" s="460">
        <f t="shared" si="686"/>
        <v>366.63573751083914</v>
      </c>
      <c r="BM225" s="528">
        <f t="shared" si="636"/>
        <v>1.0513951915161264</v>
      </c>
      <c r="BN225" s="460">
        <f t="shared" si="687"/>
        <v>1051.3951915161263</v>
      </c>
      <c r="BO225" s="528">
        <f t="shared" si="637"/>
        <v>6.3E-2</v>
      </c>
      <c r="BR225" s="460">
        <f t="shared" si="688"/>
        <v>63</v>
      </c>
      <c r="BS225" s="528">
        <f t="shared" si="689"/>
        <v>4.926472292555937E-4</v>
      </c>
      <c r="BT225" s="528">
        <f t="shared" si="690"/>
        <v>9.507352770744406E-3</v>
      </c>
      <c r="BU225" s="528">
        <f t="shared" si="691"/>
        <v>4.7565076061333818E-2</v>
      </c>
      <c r="BV225" s="528"/>
      <c r="BW225" s="528">
        <f t="shared" si="692"/>
        <v>1.2311111957962308E-3</v>
      </c>
      <c r="BX225" s="460">
        <f t="shared" si="693"/>
        <v>58.79618725713005</v>
      </c>
      <c r="BY225" s="173">
        <f t="shared" si="694"/>
        <v>1.5396563938214418</v>
      </c>
      <c r="BZ225" s="5">
        <f t="shared" si="695"/>
        <v>1.44</v>
      </c>
      <c r="CA225" s="173">
        <f t="shared" si="696"/>
        <v>0.48327720034630717</v>
      </c>
      <c r="CB225" s="5">
        <f t="shared" si="697"/>
        <v>48.327720034630715</v>
      </c>
      <c r="CE225" s="562">
        <f t="shared" si="638"/>
        <v>-50</v>
      </c>
      <c r="CF225">
        <f t="shared" si="639"/>
        <v>-50</v>
      </c>
      <c r="CG225" s="173">
        <f t="shared" si="640"/>
        <v>0.18223611058184927</v>
      </c>
      <c r="CI225" s="170">
        <v>9</v>
      </c>
      <c r="CJ225" s="217">
        <f t="shared" si="698"/>
        <v>0.09</v>
      </c>
      <c r="CK225" s="217"/>
      <c r="CL225" s="217">
        <f t="shared" si="641"/>
        <v>1.44</v>
      </c>
      <c r="CM225" s="541">
        <f t="shared" si="642"/>
        <v>60</v>
      </c>
      <c r="CN225" s="443">
        <f t="shared" si="643"/>
        <v>16.399999999999999</v>
      </c>
      <c r="CO225" s="443">
        <f t="shared" si="644"/>
        <v>76.400000000000006</v>
      </c>
      <c r="CP225" s="443"/>
      <c r="CQ225" s="217">
        <f t="shared" si="645"/>
        <v>0.21465968586387432</v>
      </c>
      <c r="CR225" s="172">
        <f t="shared" si="646"/>
        <v>33.164921465968582</v>
      </c>
      <c r="CS225" s="172">
        <f t="shared" si="647"/>
        <v>1.44</v>
      </c>
      <c r="CT225" s="217">
        <f t="shared" si="648"/>
        <v>2.0728075916230364</v>
      </c>
      <c r="CU225" s="217">
        <f t="shared" si="649"/>
        <v>16</v>
      </c>
      <c r="CV225" s="217"/>
      <c r="CW225" s="172">
        <f t="shared" si="650"/>
        <v>1606.6816005692087</v>
      </c>
      <c r="CX225" s="172">
        <f t="shared" si="651"/>
        <v>16</v>
      </c>
      <c r="CY225" s="217">
        <f t="shared" si="652"/>
        <v>0.22360975609756098</v>
      </c>
      <c r="CZ225" s="217">
        <f t="shared" si="653"/>
        <v>4.4721951219512196E-2</v>
      </c>
      <c r="DA225" s="217">
        <f t="shared" si="654"/>
        <v>0.16361689470553245</v>
      </c>
      <c r="DB225" s="197">
        <f t="shared" si="655"/>
        <v>350</v>
      </c>
      <c r="DC225" s="443">
        <f t="shared" si="656"/>
        <v>350</v>
      </c>
      <c r="DE225" s="217">
        <f t="shared" si="657"/>
        <v>3.06656694091249</v>
      </c>
      <c r="DF225" s="173">
        <f t="shared" si="658"/>
        <v>2.2438294689603588</v>
      </c>
      <c r="DG225" s="173">
        <f t="shared" si="659"/>
        <v>1.2041493223478366</v>
      </c>
      <c r="DH225" s="173"/>
      <c r="DI225" s="173">
        <f t="shared" si="660"/>
        <v>0.73170731707317083</v>
      </c>
      <c r="DJ225" s="545">
        <f t="shared" si="661"/>
        <v>245.99999999999997</v>
      </c>
      <c r="DK225" s="528">
        <f t="shared" si="662"/>
        <v>0.12804878048780488</v>
      </c>
      <c r="DM225" s="173">
        <f t="shared" si="663"/>
        <v>0.8383657572069263</v>
      </c>
      <c r="DN225" s="173">
        <f t="shared" si="664"/>
        <v>1</v>
      </c>
      <c r="DO225" s="173">
        <f t="shared" si="665"/>
        <v>1.1405714285714286</v>
      </c>
      <c r="DQ225" s="545">
        <f t="shared" si="666"/>
        <v>90</v>
      </c>
      <c r="DR225" s="460">
        <f t="shared" si="667"/>
        <v>245.99999999999997</v>
      </c>
      <c r="DT225">
        <f t="shared" si="668"/>
        <v>90</v>
      </c>
      <c r="DU225">
        <f t="shared" si="669"/>
        <v>245.99999999999997</v>
      </c>
      <c r="DW225" s="5">
        <f t="shared" si="670"/>
        <v>4.0650406504065044</v>
      </c>
      <c r="DX225" s="5">
        <f t="shared" si="671"/>
        <v>0.2</v>
      </c>
      <c r="DY225" s="5">
        <f t="shared" si="672"/>
        <v>3.8650406504065042</v>
      </c>
      <c r="DZ225" s="5"/>
      <c r="EA225" s="173">
        <f t="shared" si="673"/>
        <v>4.9200000000000001E-2</v>
      </c>
      <c r="EB225" s="173">
        <f t="shared" si="699"/>
        <v>1.476</v>
      </c>
      <c r="EC225" s="173">
        <f t="shared" si="700"/>
        <v>0.47539999999999999</v>
      </c>
      <c r="ED225" s="173">
        <f t="shared" si="701"/>
        <v>3.1047538914598234</v>
      </c>
      <c r="EE225" s="460">
        <f t="shared" si="674"/>
        <v>0.1125</v>
      </c>
      <c r="EF225" s="5">
        <f t="shared" si="675"/>
        <v>7.7300813008130076E-2</v>
      </c>
      <c r="EH225" s="173">
        <f t="shared" si="702"/>
        <v>0.12806248474865697</v>
      </c>
      <c r="EI225" s="173">
        <f t="shared" si="703"/>
        <v>0.56296832356122251</v>
      </c>
      <c r="EK225" s="528">
        <f t="shared" si="704"/>
        <v>3.2800000000000006E-4</v>
      </c>
      <c r="EL225" s="528">
        <f t="shared" si="705"/>
        <v>0.35709359999999996</v>
      </c>
      <c r="EM225" s="528">
        <f t="shared" si="706"/>
        <v>2.8289999999999999E-2</v>
      </c>
      <c r="EN225" s="528">
        <f t="shared" si="707"/>
        <v>0.70717688880000007</v>
      </c>
      <c r="EO225">
        <f t="shared" si="708"/>
        <v>2.7E-2</v>
      </c>
      <c r="EP225" s="460">
        <f t="shared" si="709"/>
        <v>55.29</v>
      </c>
      <c r="EQ225" s="460"/>
      <c r="ER225" s="460">
        <f t="shared" si="710"/>
        <v>1119.8884887999998</v>
      </c>
      <c r="ES225" s="528">
        <f t="shared" si="711"/>
        <v>6.3E-2</v>
      </c>
      <c r="EV225" s="460">
        <f t="shared" si="712"/>
        <v>63</v>
      </c>
      <c r="EW225" s="528">
        <f t="shared" si="713"/>
        <v>4.9200000000000003E-4</v>
      </c>
      <c r="EX225" s="528">
        <f t="shared" si="714"/>
        <v>9.5079999999999991E-3</v>
      </c>
      <c r="EY225" s="528">
        <f t="shared" si="715"/>
        <v>4.745781861232138E-2</v>
      </c>
      <c r="EZ225" s="528"/>
      <c r="FA225" s="528">
        <f t="shared" si="716"/>
        <v>1.23E-3</v>
      </c>
      <c r="FB225" s="460">
        <f t="shared" si="717"/>
        <v>58.687818612321387</v>
      </c>
      <c r="FC225" s="173">
        <f t="shared" si="718"/>
        <v>1.2415763074123212</v>
      </c>
      <c r="FD225" s="5">
        <f t="shared" si="719"/>
        <v>1.44</v>
      </c>
      <c r="FE225" s="173">
        <f t="shared" si="720"/>
        <v>0.53699758459962577</v>
      </c>
      <c r="FF225" s="5">
        <f t="shared" si="721"/>
        <v>53.699758459962574</v>
      </c>
      <c r="FI225" s="562">
        <f t="shared" si="676"/>
        <v>-50</v>
      </c>
      <c r="FJ225">
        <f t="shared" si="677"/>
        <v>-50</v>
      </c>
      <c r="FL225">
        <f t="shared" si="678"/>
        <v>0.18000000000000002</v>
      </c>
    </row>
    <row r="226" spans="5:168">
      <c r="E226" s="170">
        <v>10</v>
      </c>
      <c r="F226" s="217">
        <f t="shared" si="679"/>
        <v>0.1</v>
      </c>
      <c r="G226" s="217"/>
      <c r="H226" s="217">
        <f t="shared" si="603"/>
        <v>1.6</v>
      </c>
      <c r="I226" s="541">
        <f t="shared" si="604"/>
        <v>59.975306760083761</v>
      </c>
      <c r="J226" s="172">
        <f t="shared" si="605"/>
        <v>16.414815943949744</v>
      </c>
      <c r="K226" s="172">
        <f t="shared" si="606"/>
        <v>76.390122704033502</v>
      </c>
      <c r="L226" s="443"/>
      <c r="M226" s="217">
        <f t="shared" si="607"/>
        <v>0.21488328423073347</v>
      </c>
      <c r="N226" s="172">
        <f t="shared" si="608"/>
        <v>33.185804040082715</v>
      </c>
      <c r="O226" s="172">
        <f t="shared" si="599"/>
        <v>1.6</v>
      </c>
      <c r="P226" s="217">
        <f t="shared" si="609"/>
        <v>2.0741127525051697</v>
      </c>
      <c r="Q226" s="217">
        <f t="shared" si="610"/>
        <v>16</v>
      </c>
      <c r="R226" s="217"/>
      <c r="S226" s="172">
        <f t="shared" si="611"/>
        <v>1439.4240240856122</v>
      </c>
      <c r="T226" s="172">
        <f t="shared" si="612"/>
        <v>16</v>
      </c>
      <c r="U226" s="217">
        <f t="shared" si="613"/>
        <v>0.24829894101850014</v>
      </c>
      <c r="V226" s="217">
        <f t="shared" si="614"/>
        <v>4.9680234302778924E-2</v>
      </c>
      <c r="W226" s="217">
        <f t="shared" si="615"/>
        <v>0.18151816641722585</v>
      </c>
      <c r="X226" s="197">
        <f t="shared" si="616"/>
        <v>350</v>
      </c>
      <c r="Y226" s="443">
        <f t="shared" si="680"/>
        <v>350</v>
      </c>
      <c r="AA226" s="217">
        <f t="shared" si="617"/>
        <v>3.0684708179547511</v>
      </c>
      <c r="AB226" s="173">
        <f t="shared" si="618"/>
        <v>2.2431960212766762</v>
      </c>
      <c r="AC226" s="173">
        <f t="shared" si="619"/>
        <v>1.2045567677919451</v>
      </c>
      <c r="AD226" s="173"/>
      <c r="AE226" s="173">
        <f t="shared" si="620"/>
        <v>0.7310468811210169</v>
      </c>
      <c r="AF226" s="545">
        <f t="shared" si="621"/>
        <v>273.58026573249577</v>
      </c>
      <c r="AG226" s="528">
        <f t="shared" si="622"/>
        <v>0.12793320419617796</v>
      </c>
      <c r="AI226" s="173">
        <f t="shared" si="623"/>
        <v>0.88411419064103081</v>
      </c>
      <c r="AJ226" s="173">
        <f t="shared" si="624"/>
        <v>1</v>
      </c>
      <c r="AK226" s="173">
        <f t="shared" si="625"/>
        <v>1.156331580418569</v>
      </c>
      <c r="AM226" s="545">
        <f t="shared" si="626"/>
        <v>100</v>
      </c>
      <c r="AN226" s="460">
        <f t="shared" si="627"/>
        <v>273.58026573249577</v>
      </c>
      <c r="AP226">
        <f t="shared" si="628"/>
        <v>100</v>
      </c>
      <c r="AQ226">
        <f t="shared" si="629"/>
        <v>273.58026573249577</v>
      </c>
      <c r="AS226" s="5">
        <f t="shared" si="600"/>
        <v>3.6552344056050838</v>
      </c>
      <c r="AT226" s="5">
        <f t="shared" si="630"/>
        <v>0.20008234468900685</v>
      </c>
      <c r="AU226" s="5">
        <f t="shared" si="478"/>
        <v>3.4551520609160771</v>
      </c>
      <c r="AV226" s="5"/>
      <c r="AW226" s="173">
        <f t="shared" si="479"/>
        <v>5.4738581028399305E-2</v>
      </c>
      <c r="AX226" s="173">
        <f t="shared" si="631"/>
        <v>1.6414815943949745</v>
      </c>
      <c r="AY226" s="173">
        <f t="shared" si="632"/>
        <v>0.47263070948580033</v>
      </c>
      <c r="AZ226" s="173">
        <f t="shared" si="633"/>
        <v>3.4730743505449069</v>
      </c>
      <c r="BA226" s="460">
        <f t="shared" si="594"/>
        <v>0.12505146543062928</v>
      </c>
      <c r="BB226" s="5">
        <f t="shared" si="595"/>
        <v>7.6812769511682533E-2</v>
      </c>
      <c r="BD226" s="173">
        <f t="shared" si="681"/>
        <v>0.13507847228975128</v>
      </c>
      <c r="BE226" s="173">
        <f t="shared" si="682"/>
        <v>0.56132623282472749</v>
      </c>
      <c r="BG226" s="528">
        <f t="shared" si="683"/>
        <v>3.649238735226621E-4</v>
      </c>
      <c r="BH226" s="528">
        <f t="shared" si="634"/>
        <v>0.38140364875391086</v>
      </c>
      <c r="BI226" s="528">
        <f t="shared" si="635"/>
        <v>0.37738538829866836</v>
      </c>
      <c r="BJ226" s="528">
        <f t="shared" si="684"/>
        <v>0.78625861520975848</v>
      </c>
      <c r="BK226">
        <f t="shared" si="685"/>
        <v>2.6988888042037692E-2</v>
      </c>
      <c r="BL226" s="460">
        <f t="shared" si="686"/>
        <v>404.37427634070605</v>
      </c>
      <c r="BM226" s="528">
        <f t="shared" si="636"/>
        <v>1.16822700947173</v>
      </c>
      <c r="BN226" s="460">
        <f t="shared" si="687"/>
        <v>1168.2270094717301</v>
      </c>
      <c r="BO226" s="528">
        <f t="shared" si="637"/>
        <v>6.9999999999999993E-2</v>
      </c>
      <c r="BR226" s="460">
        <f t="shared" si="688"/>
        <v>69.999999999999986</v>
      </c>
      <c r="BS226" s="528">
        <f t="shared" si="689"/>
        <v>5.4738581028399317E-4</v>
      </c>
      <c r="BT226" s="528">
        <f t="shared" si="690"/>
        <v>9.4526141897160049E-3</v>
      </c>
      <c r="BU226" s="528">
        <f t="shared" si="691"/>
        <v>6.1898756145253392E-2</v>
      </c>
      <c r="BV226" s="528"/>
      <c r="BW226" s="528">
        <f t="shared" si="692"/>
        <v>1.3679013286624789E-3</v>
      </c>
      <c r="BX226" s="460">
        <f t="shared" si="693"/>
        <v>73.26665747391587</v>
      </c>
      <c r="BY226" s="173">
        <f t="shared" si="694"/>
        <v>1.7156681216518139</v>
      </c>
      <c r="BZ226" s="5">
        <f t="shared" si="695"/>
        <v>1.6</v>
      </c>
      <c r="CA226" s="173">
        <f t="shared" si="696"/>
        <v>0.48255734328528183</v>
      </c>
      <c r="CB226" s="5">
        <f t="shared" si="697"/>
        <v>48.255734328528185</v>
      </c>
      <c r="CE226" s="562">
        <f t="shared" si="638"/>
        <v>-50</v>
      </c>
      <c r="CF226">
        <f t="shared" si="639"/>
        <v>-50</v>
      </c>
      <c r="CG226" s="173">
        <f t="shared" si="640"/>
        <v>0.20248456731316589</v>
      </c>
      <c r="CI226" s="170">
        <v>10</v>
      </c>
      <c r="CJ226" s="217">
        <f t="shared" si="698"/>
        <v>0.1</v>
      </c>
      <c r="CK226" s="217"/>
      <c r="CL226" s="217">
        <f t="shared" si="641"/>
        <v>1.6</v>
      </c>
      <c r="CM226" s="541">
        <f t="shared" si="642"/>
        <v>60</v>
      </c>
      <c r="CN226" s="443">
        <f t="shared" si="643"/>
        <v>16.399999999999999</v>
      </c>
      <c r="CO226" s="443">
        <f t="shared" si="644"/>
        <v>76.400000000000006</v>
      </c>
      <c r="CP226" s="443"/>
      <c r="CQ226" s="217">
        <f t="shared" si="645"/>
        <v>0.21465968586387432</v>
      </c>
      <c r="CR226" s="172">
        <f t="shared" si="646"/>
        <v>33.164921465968582</v>
      </c>
      <c r="CS226" s="172">
        <f t="shared" si="647"/>
        <v>1.6</v>
      </c>
      <c r="CT226" s="217">
        <f t="shared" si="648"/>
        <v>2.0728075916230364</v>
      </c>
      <c r="CU226" s="217">
        <f t="shared" si="649"/>
        <v>16</v>
      </c>
      <c r="CV226" s="217"/>
      <c r="CW226" s="172">
        <f t="shared" si="650"/>
        <v>1440.0166618455864</v>
      </c>
      <c r="CX226" s="172">
        <f t="shared" si="651"/>
        <v>16</v>
      </c>
      <c r="CY226" s="217">
        <f t="shared" si="652"/>
        <v>0.24845528455284557</v>
      </c>
      <c r="CZ226" s="217">
        <f t="shared" si="653"/>
        <v>4.9691056910569117E-2</v>
      </c>
      <c r="DA226" s="217">
        <f t="shared" si="654"/>
        <v>0.18179654967281386</v>
      </c>
      <c r="DB226" s="197">
        <f t="shared" si="655"/>
        <v>350</v>
      </c>
      <c r="DC226" s="443">
        <f t="shared" si="656"/>
        <v>350</v>
      </c>
      <c r="DE226" s="217">
        <f t="shared" si="657"/>
        <v>3.06656694091249</v>
      </c>
      <c r="DF226" s="173">
        <f t="shared" si="658"/>
        <v>2.2438294689603588</v>
      </c>
      <c r="DG226" s="173">
        <f t="shared" si="659"/>
        <v>1.2041493223478366</v>
      </c>
      <c r="DH226" s="173"/>
      <c r="DI226" s="173">
        <f t="shared" si="660"/>
        <v>0.73170731707317083</v>
      </c>
      <c r="DJ226" s="545">
        <f t="shared" si="661"/>
        <v>273.33333333333331</v>
      </c>
      <c r="DK226" s="528">
        <f t="shared" si="662"/>
        <v>0.12804878048780488</v>
      </c>
      <c r="DM226" s="173">
        <f t="shared" si="663"/>
        <v>0.88371510168853684</v>
      </c>
      <c r="DN226" s="173">
        <f t="shared" si="664"/>
        <v>1</v>
      </c>
      <c r="DO226" s="173">
        <f t="shared" si="665"/>
        <v>1.1561904761904762</v>
      </c>
      <c r="DQ226" s="545">
        <f t="shared" si="666"/>
        <v>100</v>
      </c>
      <c r="DR226" s="460">
        <f t="shared" si="667"/>
        <v>273.33333333333331</v>
      </c>
      <c r="DT226">
        <f t="shared" si="668"/>
        <v>100</v>
      </c>
      <c r="DU226">
        <f t="shared" si="669"/>
        <v>273.33333333333331</v>
      </c>
      <c r="DW226" s="5">
        <f t="shared" si="670"/>
        <v>3.6585365853658538</v>
      </c>
      <c r="DX226" s="5">
        <f t="shared" si="671"/>
        <v>0.2</v>
      </c>
      <c r="DY226" s="5">
        <f t="shared" si="672"/>
        <v>3.4585365853658536</v>
      </c>
      <c r="DZ226" s="5"/>
      <c r="EA226" s="173">
        <f t="shared" si="673"/>
        <v>5.4666666666666669E-2</v>
      </c>
      <c r="EB226" s="173">
        <f t="shared" si="699"/>
        <v>1.64</v>
      </c>
      <c r="EC226" s="173">
        <f t="shared" si="700"/>
        <v>0.47266666666666668</v>
      </c>
      <c r="ED226" s="173">
        <f t="shared" si="701"/>
        <v>3.4696755994358246</v>
      </c>
      <c r="EE226" s="460">
        <f t="shared" si="674"/>
        <v>0.12500000000000003</v>
      </c>
      <c r="EF226" s="5">
        <f t="shared" si="675"/>
        <v>7.6856368563685634E-2</v>
      </c>
      <c r="EH226" s="173">
        <f t="shared" si="702"/>
        <v>0.13498971154211059</v>
      </c>
      <c r="EI226" s="173">
        <f t="shared" si="703"/>
        <v>0.56134758493389025</v>
      </c>
      <c r="EK226" s="528">
        <f t="shared" si="704"/>
        <v>3.6444444444444453E-4</v>
      </c>
      <c r="EL226" s="528">
        <f t="shared" si="705"/>
        <v>0.39677066666666672</v>
      </c>
      <c r="EM226" s="528">
        <f t="shared" si="706"/>
        <v>3.1433333333333334E-2</v>
      </c>
      <c r="EN226" s="528">
        <f t="shared" si="707"/>
        <v>0.78575209866666673</v>
      </c>
      <c r="EO226">
        <f t="shared" si="708"/>
        <v>2.7E-2</v>
      </c>
      <c r="EP226" s="460">
        <f t="shared" si="709"/>
        <v>58.433333333333337</v>
      </c>
      <c r="EQ226" s="460"/>
      <c r="ER226" s="460">
        <f t="shared" si="710"/>
        <v>1241.3205431111112</v>
      </c>
      <c r="ES226" s="528">
        <f t="shared" si="711"/>
        <v>6.9999999999999993E-2</v>
      </c>
      <c r="EV226" s="460">
        <f t="shared" si="712"/>
        <v>69.999999999999986</v>
      </c>
      <c r="EW226" s="528">
        <f t="shared" si="713"/>
        <v>5.4666666666666676E-4</v>
      </c>
      <c r="EX226" s="528">
        <f t="shared" si="714"/>
        <v>9.4533333333333327E-3</v>
      </c>
      <c r="EY226" s="528">
        <f t="shared" si="715"/>
        <v>6.1759176789328012E-2</v>
      </c>
      <c r="EZ226" s="528"/>
      <c r="FA226" s="528">
        <f t="shared" si="716"/>
        <v>1.3666666666666666E-3</v>
      </c>
      <c r="FB226" s="460">
        <f t="shared" si="717"/>
        <v>73.125843455994683</v>
      </c>
      <c r="FC226" s="173">
        <f t="shared" si="718"/>
        <v>1.3844463865671059</v>
      </c>
      <c r="FD226" s="5">
        <f t="shared" si="719"/>
        <v>1.6</v>
      </c>
      <c r="FE226" s="173">
        <f t="shared" si="720"/>
        <v>0.53611283057438952</v>
      </c>
      <c r="FF226" s="5">
        <f t="shared" si="721"/>
        <v>53.611283057438953</v>
      </c>
      <c r="FI226" s="562">
        <f t="shared" si="676"/>
        <v>-50</v>
      </c>
      <c r="FJ226">
        <f t="shared" si="677"/>
        <v>-50</v>
      </c>
      <c r="FL226">
        <f t="shared" si="678"/>
        <v>0.2</v>
      </c>
    </row>
    <row r="227" spans="5:168">
      <c r="E227" s="170">
        <v>11</v>
      </c>
      <c r="F227" s="217">
        <f t="shared" si="679"/>
        <v>0.11</v>
      </c>
      <c r="G227" s="217"/>
      <c r="H227" s="217">
        <f t="shared" si="603"/>
        <v>1.76</v>
      </c>
      <c r="I227" s="541">
        <f t="shared" si="604"/>
        <v>59.975306760083761</v>
      </c>
      <c r="J227" s="172">
        <f t="shared" si="605"/>
        <v>16.414815943949744</v>
      </c>
      <c r="K227" s="172">
        <f t="shared" si="606"/>
        <v>76.390122704033502</v>
      </c>
      <c r="L227" s="443"/>
      <c r="M227" s="217">
        <f t="shared" si="607"/>
        <v>0.21488328423073347</v>
      </c>
      <c r="N227" s="172">
        <f t="shared" si="608"/>
        <v>33.185804040082715</v>
      </c>
      <c r="O227" s="172">
        <f t="shared" si="599"/>
        <v>1.76</v>
      </c>
      <c r="P227" s="217">
        <f t="shared" si="609"/>
        <v>2.0741127525051697</v>
      </c>
      <c r="Q227" s="217">
        <f t="shared" si="610"/>
        <v>16</v>
      </c>
      <c r="R227" s="217"/>
      <c r="S227" s="172">
        <f t="shared" si="611"/>
        <v>1303.1182510107574</v>
      </c>
      <c r="T227" s="172">
        <f t="shared" si="612"/>
        <v>16</v>
      </c>
      <c r="U227" s="217">
        <f t="shared" si="613"/>
        <v>0.27312883512035013</v>
      </c>
      <c r="V227" s="217">
        <f t="shared" si="614"/>
        <v>5.4648257733056808E-2</v>
      </c>
      <c r="W227" s="217">
        <f t="shared" si="615"/>
        <v>0.19966998305894842</v>
      </c>
      <c r="X227" s="197">
        <f t="shared" si="616"/>
        <v>350</v>
      </c>
      <c r="Y227" s="443">
        <f t="shared" si="680"/>
        <v>350</v>
      </c>
      <c r="AA227" s="217">
        <f t="shared" si="617"/>
        <v>3.0684708179547511</v>
      </c>
      <c r="AB227" s="173">
        <f t="shared" si="618"/>
        <v>2.2431960212766762</v>
      </c>
      <c r="AC227" s="173">
        <f t="shared" si="619"/>
        <v>1.2045567677919451</v>
      </c>
      <c r="AD227" s="173"/>
      <c r="AE227" s="173">
        <f t="shared" si="620"/>
        <v>0.7310468811210169</v>
      </c>
      <c r="AF227" s="545">
        <f t="shared" si="621"/>
        <v>300.93829230574528</v>
      </c>
      <c r="AG227" s="528">
        <f t="shared" si="622"/>
        <v>0.12793320419617796</v>
      </c>
      <c r="AI227" s="173">
        <f t="shared" si="623"/>
        <v>0.92726678593710532</v>
      </c>
      <c r="AJ227" s="173">
        <f t="shared" si="624"/>
        <v>1</v>
      </c>
      <c r="AK227" s="173">
        <f t="shared" si="625"/>
        <v>1.1719647384604259</v>
      </c>
      <c r="AM227" s="545">
        <f t="shared" si="626"/>
        <v>110</v>
      </c>
      <c r="AN227" s="460">
        <f t="shared" si="627"/>
        <v>300.93829230574528</v>
      </c>
      <c r="AP227">
        <f t="shared" si="628"/>
        <v>110</v>
      </c>
      <c r="AQ227">
        <f t="shared" si="629"/>
        <v>300.93829230574528</v>
      </c>
      <c r="AS227" s="5">
        <f t="shared" si="600"/>
        <v>3.3229403687318948</v>
      </c>
      <c r="AT227" s="5">
        <f t="shared" si="630"/>
        <v>0.20008234468900685</v>
      </c>
      <c r="AU227" s="5">
        <f t="shared" si="478"/>
        <v>3.122858024042888</v>
      </c>
      <c r="AV227" s="5"/>
      <c r="AW227" s="173">
        <f t="shared" si="479"/>
        <v>6.0212439131239227E-2</v>
      </c>
      <c r="AX227" s="173">
        <f t="shared" si="631"/>
        <v>1.8056297538344717</v>
      </c>
      <c r="AY227" s="173">
        <f t="shared" si="632"/>
        <v>0.4698937804343804</v>
      </c>
      <c r="AZ227" s="173">
        <f t="shared" si="633"/>
        <v>3.8426338653925294</v>
      </c>
      <c r="BA227" s="460">
        <f t="shared" si="594"/>
        <v>0.13755661197369221</v>
      </c>
      <c r="BB227" s="5">
        <f t="shared" si="595"/>
        <v>7.6367959015501974E-2</v>
      </c>
      <c r="BD227" s="173">
        <f t="shared" si="681"/>
        <v>0.14167149693479775</v>
      </c>
      <c r="BE227" s="173">
        <f t="shared" si="682"/>
        <v>0.5596985977198683</v>
      </c>
      <c r="BG227" s="528">
        <f t="shared" si="683"/>
        <v>4.0141626087492819E-4</v>
      </c>
      <c r="BH227" s="528">
        <f t="shared" si="634"/>
        <v>0.41954401362930188</v>
      </c>
      <c r="BI227" s="528">
        <f t="shared" si="635"/>
        <v>0.41512392712853508</v>
      </c>
      <c r="BJ227" s="528">
        <f t="shared" si="684"/>
        <v>0.8648844767307341</v>
      </c>
      <c r="BK227">
        <f t="shared" si="685"/>
        <v>2.6988888042037692E-2</v>
      </c>
      <c r="BL227" s="460">
        <f t="shared" si="686"/>
        <v>442.11281517057279</v>
      </c>
      <c r="BM227" s="528">
        <f t="shared" si="636"/>
        <v>1.2850608536224584</v>
      </c>
      <c r="BN227" s="460">
        <f t="shared" si="687"/>
        <v>1285.0608536224584</v>
      </c>
      <c r="BO227" s="528">
        <f t="shared" si="637"/>
        <v>7.6999999999999999E-2</v>
      </c>
      <c r="BR227" s="460">
        <f t="shared" si="688"/>
        <v>77</v>
      </c>
      <c r="BS227" s="528">
        <f t="shared" si="689"/>
        <v>6.0212439131239221E-4</v>
      </c>
      <c r="BT227" s="528">
        <f t="shared" si="690"/>
        <v>9.397875608687609E-3</v>
      </c>
      <c r="BU227" s="528">
        <f t="shared" si="691"/>
        <v>7.8553155394400664E-2</v>
      </c>
      <c r="BV227" s="528"/>
      <c r="BW227" s="528">
        <f t="shared" si="692"/>
        <v>1.5046914615287265E-3</v>
      </c>
      <c r="BX227" s="460">
        <f t="shared" si="693"/>
        <v>90.057846855929398</v>
      </c>
      <c r="BY227" s="173">
        <f t="shared" si="694"/>
        <v>1.8940005686474128</v>
      </c>
      <c r="BZ227" s="5">
        <f t="shared" si="695"/>
        <v>1.76</v>
      </c>
      <c r="CA227" s="173">
        <f t="shared" si="696"/>
        <v>0.48166385498168995</v>
      </c>
      <c r="CB227" s="5">
        <f t="shared" si="697"/>
        <v>48.166385498168992</v>
      </c>
      <c r="CE227" s="562">
        <f t="shared" si="638"/>
        <v>-50</v>
      </c>
      <c r="CF227">
        <f t="shared" si="639"/>
        <v>-50</v>
      </c>
      <c r="CG227" s="173">
        <f t="shared" si="640"/>
        <v>0.22273302404448245</v>
      </c>
      <c r="CI227" s="170">
        <v>11</v>
      </c>
      <c r="CJ227" s="217">
        <f t="shared" si="698"/>
        <v>0.11</v>
      </c>
      <c r="CK227" s="217"/>
      <c r="CL227" s="217">
        <f t="shared" si="641"/>
        <v>1.76</v>
      </c>
      <c r="CM227" s="541">
        <f t="shared" si="642"/>
        <v>60</v>
      </c>
      <c r="CN227" s="443">
        <f t="shared" si="643"/>
        <v>16.399999999999999</v>
      </c>
      <c r="CO227" s="443">
        <f t="shared" si="644"/>
        <v>76.400000000000006</v>
      </c>
      <c r="CP227" s="443"/>
      <c r="CQ227" s="217">
        <f t="shared" si="645"/>
        <v>0.21465968586387432</v>
      </c>
      <c r="CR227" s="172">
        <f t="shared" si="646"/>
        <v>33.164921465968582</v>
      </c>
      <c r="CS227" s="172">
        <f t="shared" si="647"/>
        <v>1.76</v>
      </c>
      <c r="CT227" s="217">
        <f t="shared" si="648"/>
        <v>2.0728075916230364</v>
      </c>
      <c r="CU227" s="217">
        <f t="shared" si="649"/>
        <v>16</v>
      </c>
      <c r="CV227" s="217"/>
      <c r="CW227" s="172">
        <f t="shared" si="650"/>
        <v>1303.6547677713688</v>
      </c>
      <c r="CX227" s="172">
        <f t="shared" si="651"/>
        <v>16</v>
      </c>
      <c r="CY227" s="217">
        <f t="shared" si="652"/>
        <v>0.27330081300813008</v>
      </c>
      <c r="CZ227" s="217">
        <f t="shared" si="653"/>
        <v>5.4660162601626018E-2</v>
      </c>
      <c r="DA227" s="217">
        <f t="shared" si="654"/>
        <v>0.19997620464009519</v>
      </c>
      <c r="DB227" s="197">
        <f t="shared" si="655"/>
        <v>350</v>
      </c>
      <c r="DC227" s="443">
        <f t="shared" si="656"/>
        <v>350</v>
      </c>
      <c r="DE227" s="217">
        <f t="shared" si="657"/>
        <v>3.06656694091249</v>
      </c>
      <c r="DF227" s="173">
        <f t="shared" si="658"/>
        <v>2.2438294689603588</v>
      </c>
      <c r="DG227" s="173">
        <f t="shared" si="659"/>
        <v>1.2041493223478366</v>
      </c>
      <c r="DH227" s="173"/>
      <c r="DI227" s="173">
        <f t="shared" si="660"/>
        <v>0.73170731707317083</v>
      </c>
      <c r="DJ227" s="545">
        <f t="shared" si="661"/>
        <v>300.66666666666663</v>
      </c>
      <c r="DK227" s="528">
        <f t="shared" si="662"/>
        <v>0.12804878048780488</v>
      </c>
      <c r="DM227" s="173">
        <f t="shared" si="663"/>
        <v>0.9268482179125227</v>
      </c>
      <c r="DN227" s="173">
        <f t="shared" si="664"/>
        <v>1</v>
      </c>
      <c r="DO227" s="173">
        <f t="shared" si="665"/>
        <v>1.1718095238095239</v>
      </c>
      <c r="DQ227" s="545">
        <f t="shared" si="666"/>
        <v>110</v>
      </c>
      <c r="DR227" s="460">
        <f t="shared" si="667"/>
        <v>300.66666666666663</v>
      </c>
      <c r="DT227">
        <f t="shared" si="668"/>
        <v>110</v>
      </c>
      <c r="DU227">
        <f t="shared" si="669"/>
        <v>300.66666666666663</v>
      </c>
      <c r="DW227" s="5">
        <f t="shared" si="670"/>
        <v>3.3259423503325944</v>
      </c>
      <c r="DX227" s="5">
        <f t="shared" si="671"/>
        <v>0.2</v>
      </c>
      <c r="DY227" s="5">
        <f t="shared" si="672"/>
        <v>3.1259423503325943</v>
      </c>
      <c r="DZ227" s="5"/>
      <c r="EA227" s="173">
        <f t="shared" si="673"/>
        <v>6.013333333333333E-2</v>
      </c>
      <c r="EB227" s="173">
        <f t="shared" si="699"/>
        <v>1.8039999999999998</v>
      </c>
      <c r="EC227" s="173">
        <f t="shared" si="700"/>
        <v>0.46993333333333331</v>
      </c>
      <c r="ED227" s="173">
        <f t="shared" si="701"/>
        <v>3.8388423889913459</v>
      </c>
      <c r="EE227" s="460">
        <f t="shared" si="674"/>
        <v>0.13750000000000001</v>
      </c>
      <c r="EF227" s="5">
        <f t="shared" si="675"/>
        <v>7.6411924119241179E-2</v>
      </c>
      <c r="EH227" s="173">
        <f t="shared" si="702"/>
        <v>0.141578403877302</v>
      </c>
      <c r="EI227" s="173">
        <f t="shared" si="703"/>
        <v>0.55972215329472974</v>
      </c>
      <c r="EK227" s="528">
        <f t="shared" si="704"/>
        <v>4.0088888888888883E-4</v>
      </c>
      <c r="EL227" s="528">
        <f t="shared" si="705"/>
        <v>0.43644773333333337</v>
      </c>
      <c r="EM227" s="528">
        <f t="shared" si="706"/>
        <v>3.4576666666666665E-2</v>
      </c>
      <c r="EN227" s="528">
        <f t="shared" si="707"/>
        <v>0.8643273085333335</v>
      </c>
      <c r="EO227">
        <f t="shared" si="708"/>
        <v>2.7E-2</v>
      </c>
      <c r="EP227" s="460">
        <f t="shared" si="709"/>
        <v>61.576666666666668</v>
      </c>
      <c r="EQ227" s="460"/>
      <c r="ER227" s="460">
        <f t="shared" si="710"/>
        <v>1362.7525974222224</v>
      </c>
      <c r="ES227" s="528">
        <f t="shared" si="711"/>
        <v>7.6999999999999999E-2</v>
      </c>
      <c r="EV227" s="460">
        <f t="shared" si="712"/>
        <v>77</v>
      </c>
      <c r="EW227" s="528">
        <f t="shared" si="713"/>
        <v>6.0133333333333317E-4</v>
      </c>
      <c r="EX227" s="528">
        <f t="shared" si="714"/>
        <v>9.398666666666668E-3</v>
      </c>
      <c r="EY227" s="528">
        <f t="shared" si="715"/>
        <v>7.8376020997545787E-2</v>
      </c>
      <c r="EZ227" s="528"/>
      <c r="FA227" s="528">
        <f t="shared" si="716"/>
        <v>1.5033333333333333E-3</v>
      </c>
      <c r="FB227" s="460">
        <f t="shared" si="717"/>
        <v>89.879354330879124</v>
      </c>
      <c r="FC227" s="173">
        <f t="shared" si="718"/>
        <v>1.5296319517531014</v>
      </c>
      <c r="FD227" s="5">
        <f t="shared" si="719"/>
        <v>1.76</v>
      </c>
      <c r="FE227" s="173">
        <f t="shared" si="720"/>
        <v>0.53501425868084296</v>
      </c>
      <c r="FF227" s="5">
        <f t="shared" si="721"/>
        <v>53.501425868084297</v>
      </c>
      <c r="FI227" s="562">
        <f t="shared" si="676"/>
        <v>-50</v>
      </c>
      <c r="FJ227">
        <f t="shared" si="677"/>
        <v>-50</v>
      </c>
      <c r="FL227">
        <f t="shared" si="678"/>
        <v>0.22</v>
      </c>
    </row>
    <row r="228" spans="5:168">
      <c r="E228" s="170">
        <v>12</v>
      </c>
      <c r="F228" s="217">
        <f t="shared" si="679"/>
        <v>0.12</v>
      </c>
      <c r="G228" s="217"/>
      <c r="H228" s="217">
        <f t="shared" si="603"/>
        <v>1.92</v>
      </c>
      <c r="I228" s="541">
        <f t="shared" si="604"/>
        <v>59.975306760083761</v>
      </c>
      <c r="J228" s="172">
        <f t="shared" si="605"/>
        <v>16.414815943949744</v>
      </c>
      <c r="K228" s="172">
        <f t="shared" si="606"/>
        <v>76.390122704033502</v>
      </c>
      <c r="L228" s="443"/>
      <c r="M228" s="217">
        <f t="shared" si="607"/>
        <v>0.21488328423073347</v>
      </c>
      <c r="N228" s="172">
        <f t="shared" si="608"/>
        <v>33.185804040082715</v>
      </c>
      <c r="O228" s="172">
        <f t="shared" si="599"/>
        <v>1.92</v>
      </c>
      <c r="P228" s="217">
        <f t="shared" si="609"/>
        <v>2.0741127525051697</v>
      </c>
      <c r="Q228" s="217">
        <f t="shared" si="610"/>
        <v>16</v>
      </c>
      <c r="R228" s="217"/>
      <c r="S228" s="172">
        <f t="shared" si="611"/>
        <v>1189.530411687603</v>
      </c>
      <c r="T228" s="172">
        <f t="shared" si="612"/>
        <v>16</v>
      </c>
      <c r="U228" s="217">
        <f t="shared" si="613"/>
        <v>0.29795872922220012</v>
      </c>
      <c r="V228" s="217">
        <f t="shared" si="614"/>
        <v>5.9616281163334693E-2</v>
      </c>
      <c r="W228" s="217">
        <f t="shared" si="615"/>
        <v>0.21782179970067098</v>
      </c>
      <c r="X228" s="197">
        <f t="shared" si="616"/>
        <v>350</v>
      </c>
      <c r="Y228" s="443">
        <f t="shared" si="680"/>
        <v>350</v>
      </c>
      <c r="AA228" s="217">
        <f t="shared" si="617"/>
        <v>3.0684708179547511</v>
      </c>
      <c r="AB228" s="173">
        <f t="shared" si="618"/>
        <v>2.2431960212766762</v>
      </c>
      <c r="AC228" s="173">
        <f t="shared" si="619"/>
        <v>1.2045567677919451</v>
      </c>
      <c r="AD228" s="173"/>
      <c r="AE228" s="173">
        <f t="shared" si="620"/>
        <v>0.7310468811210169</v>
      </c>
      <c r="AF228" s="545">
        <f t="shared" si="621"/>
        <v>328.29631887899484</v>
      </c>
      <c r="AG228" s="528">
        <f t="shared" si="622"/>
        <v>0.12793320419617796</v>
      </c>
      <c r="AI228" s="173">
        <f t="shared" si="623"/>
        <v>0.96849857124903072</v>
      </c>
      <c r="AJ228" s="173">
        <f t="shared" si="624"/>
        <v>1</v>
      </c>
      <c r="AK228" s="173">
        <f t="shared" si="625"/>
        <v>1.1875978965022829</v>
      </c>
      <c r="AM228" s="545">
        <f t="shared" si="626"/>
        <v>120</v>
      </c>
      <c r="AN228" s="460">
        <f t="shared" si="627"/>
        <v>328.29631887899484</v>
      </c>
      <c r="AP228">
        <f t="shared" si="628"/>
        <v>120</v>
      </c>
      <c r="AQ228">
        <f t="shared" si="629"/>
        <v>328.29631887899484</v>
      </c>
      <c r="AS228" s="5">
        <f t="shared" si="600"/>
        <v>3.0460286713375702</v>
      </c>
      <c r="AT228" s="5">
        <f t="shared" si="630"/>
        <v>0.20008234468900685</v>
      </c>
      <c r="AU228" s="5">
        <f t="shared" si="478"/>
        <v>2.8459463266485634</v>
      </c>
      <c r="AV228" s="5"/>
      <c r="AW228" s="173">
        <f t="shared" si="479"/>
        <v>6.5686297234079163E-2</v>
      </c>
      <c r="AX228" s="173">
        <f t="shared" si="631"/>
        <v>1.9697779132739692</v>
      </c>
      <c r="AY228" s="173">
        <f t="shared" si="632"/>
        <v>0.46715685138296043</v>
      </c>
      <c r="AZ228" s="173">
        <f t="shared" si="633"/>
        <v>4.2165236524792133</v>
      </c>
      <c r="BA228" s="460">
        <f t="shared" si="594"/>
        <v>0.15006175851675513</v>
      </c>
      <c r="BB228" s="5">
        <f t="shared" si="595"/>
        <v>7.5923148519321401E-2</v>
      </c>
      <c r="BD228" s="173">
        <f t="shared" si="681"/>
        <v>0.14797105261286655</v>
      </c>
      <c r="BE228" s="173">
        <f t="shared" si="682"/>
        <v>0.55806621553537317</v>
      </c>
      <c r="BG228" s="528">
        <f t="shared" si="683"/>
        <v>4.3790864822719445E-4</v>
      </c>
      <c r="BH228" s="528">
        <f t="shared" si="634"/>
        <v>0.4576843785046929</v>
      </c>
      <c r="BI228" s="528">
        <f t="shared" si="635"/>
        <v>0.45286246595840185</v>
      </c>
      <c r="BJ228" s="528">
        <f t="shared" si="684"/>
        <v>0.94351033825170993</v>
      </c>
      <c r="BK228">
        <f t="shared" si="685"/>
        <v>2.6988888042037692E-2</v>
      </c>
      <c r="BL228" s="460">
        <f t="shared" si="686"/>
        <v>479.85135400043953</v>
      </c>
      <c r="BM228" s="528">
        <f t="shared" si="636"/>
        <v>1.4018967240210218</v>
      </c>
      <c r="BN228" s="460">
        <f t="shared" si="687"/>
        <v>1401.8967240210218</v>
      </c>
      <c r="BO228" s="528">
        <f t="shared" si="637"/>
        <v>8.3999999999999991E-2</v>
      </c>
      <c r="BR228" s="460">
        <f t="shared" si="688"/>
        <v>83.999999999999986</v>
      </c>
      <c r="BS228" s="528">
        <f t="shared" si="689"/>
        <v>6.5686297234079168E-4</v>
      </c>
      <c r="BT228" s="528">
        <f t="shared" si="690"/>
        <v>9.3431370276592079E-3</v>
      </c>
      <c r="BU228" s="528">
        <f t="shared" si="691"/>
        <v>9.7641633664128299E-2</v>
      </c>
      <c r="BV228" s="528"/>
      <c r="BW228" s="528">
        <f t="shared" si="692"/>
        <v>1.6414815943949742E-3</v>
      </c>
      <c r="BX228" s="460">
        <f t="shared" si="693"/>
        <v>109.28311525852327</v>
      </c>
      <c r="BY228" s="173">
        <f t="shared" si="694"/>
        <v>2.0747670946635925</v>
      </c>
      <c r="BZ228" s="5">
        <f t="shared" si="695"/>
        <v>1.92</v>
      </c>
      <c r="CA228" s="173">
        <f t="shared" si="696"/>
        <v>0.48062877121543102</v>
      </c>
      <c r="CB228" s="5">
        <f t="shared" si="697"/>
        <v>48.062877121543103</v>
      </c>
      <c r="CE228" s="562">
        <f t="shared" si="638"/>
        <v>-50</v>
      </c>
      <c r="CF228">
        <f t="shared" si="639"/>
        <v>-50</v>
      </c>
      <c r="CG228" s="173">
        <f t="shared" si="640"/>
        <v>0.24298148077579901</v>
      </c>
      <c r="CI228" s="170">
        <v>12</v>
      </c>
      <c r="CJ228" s="217">
        <f t="shared" si="698"/>
        <v>0.12</v>
      </c>
      <c r="CK228" s="217"/>
      <c r="CL228" s="217">
        <f t="shared" si="641"/>
        <v>1.92</v>
      </c>
      <c r="CM228" s="541">
        <f t="shared" si="642"/>
        <v>60</v>
      </c>
      <c r="CN228" s="443">
        <f t="shared" si="643"/>
        <v>16.399999999999999</v>
      </c>
      <c r="CO228" s="443">
        <f t="shared" si="644"/>
        <v>76.400000000000006</v>
      </c>
      <c r="CP228" s="443"/>
      <c r="CQ228" s="217">
        <f t="shared" si="645"/>
        <v>0.21465968586387432</v>
      </c>
      <c r="CR228" s="172">
        <f t="shared" si="646"/>
        <v>33.164921465968582</v>
      </c>
      <c r="CS228" s="172">
        <f t="shared" si="647"/>
        <v>1.92</v>
      </c>
      <c r="CT228" s="217">
        <f t="shared" si="648"/>
        <v>2.0728075916230364</v>
      </c>
      <c r="CU228" s="217">
        <f t="shared" si="649"/>
        <v>16</v>
      </c>
      <c r="CV228" s="217"/>
      <c r="CW228" s="172">
        <f t="shared" si="650"/>
        <v>1190.0201609488713</v>
      </c>
      <c r="CX228" s="172">
        <f t="shared" si="651"/>
        <v>16</v>
      </c>
      <c r="CY228" s="217">
        <f t="shared" si="652"/>
        <v>0.29814634146341468</v>
      </c>
      <c r="CZ228" s="217">
        <f t="shared" si="653"/>
        <v>5.9629268292682933E-2</v>
      </c>
      <c r="DA228" s="217">
        <f t="shared" si="654"/>
        <v>0.2181558596073766</v>
      </c>
      <c r="DB228" s="197">
        <f t="shared" si="655"/>
        <v>350</v>
      </c>
      <c r="DC228" s="443">
        <f t="shared" si="656"/>
        <v>350</v>
      </c>
      <c r="DE228" s="217">
        <f t="shared" si="657"/>
        <v>3.06656694091249</v>
      </c>
      <c r="DF228" s="173">
        <f t="shared" si="658"/>
        <v>2.2438294689603588</v>
      </c>
      <c r="DG228" s="173">
        <f t="shared" si="659"/>
        <v>1.2041493223478366</v>
      </c>
      <c r="DH228" s="173"/>
      <c r="DI228" s="173">
        <f t="shared" si="660"/>
        <v>0.73170731707317083</v>
      </c>
      <c r="DJ228" s="545">
        <f t="shared" si="661"/>
        <v>327.99999999999994</v>
      </c>
      <c r="DK228" s="528">
        <f t="shared" si="662"/>
        <v>0.12804878048780488</v>
      </c>
      <c r="DM228" s="173">
        <f t="shared" si="663"/>
        <v>0.96806139120556656</v>
      </c>
      <c r="DN228" s="173">
        <f t="shared" si="664"/>
        <v>1</v>
      </c>
      <c r="DO228" s="173">
        <f t="shared" si="665"/>
        <v>1.1874285714285715</v>
      </c>
      <c r="DQ228" s="545">
        <f t="shared" si="666"/>
        <v>120</v>
      </c>
      <c r="DR228" s="460">
        <f t="shared" si="667"/>
        <v>327.99999999999994</v>
      </c>
      <c r="DT228">
        <f t="shared" si="668"/>
        <v>120</v>
      </c>
      <c r="DU228">
        <f t="shared" si="669"/>
        <v>327.99999999999994</v>
      </c>
      <c r="DW228" s="5">
        <f t="shared" si="670"/>
        <v>3.0487804878048785</v>
      </c>
      <c r="DX228" s="5">
        <f t="shared" si="671"/>
        <v>0.2</v>
      </c>
      <c r="DY228" s="5">
        <f t="shared" si="672"/>
        <v>2.8487804878048784</v>
      </c>
      <c r="DZ228" s="5"/>
      <c r="EA228" s="173">
        <f t="shared" si="673"/>
        <v>6.5599999999999992E-2</v>
      </c>
      <c r="EB228" s="173">
        <f t="shared" si="699"/>
        <v>1.9679999999999997</v>
      </c>
      <c r="EC228" s="173">
        <f t="shared" si="700"/>
        <v>0.4672</v>
      </c>
      <c r="ED228" s="173">
        <f t="shared" si="701"/>
        <v>4.212328767123287</v>
      </c>
      <c r="EE228" s="460">
        <f t="shared" si="674"/>
        <v>0.15000000000000002</v>
      </c>
      <c r="EF228" s="5">
        <f t="shared" si="675"/>
        <v>7.5967479674796751E-2</v>
      </c>
      <c r="EH228" s="173">
        <f t="shared" si="702"/>
        <v>0.14787382008545888</v>
      </c>
      <c r="EI228" s="173">
        <f t="shared" si="703"/>
        <v>0.55809198763883594</v>
      </c>
      <c r="EK228" s="528">
        <f t="shared" si="704"/>
        <v>4.3733333333333325E-4</v>
      </c>
      <c r="EL228" s="528">
        <f t="shared" si="705"/>
        <v>0.47612479999999996</v>
      </c>
      <c r="EM228" s="528">
        <f t="shared" si="706"/>
        <v>3.7719999999999997E-2</v>
      </c>
      <c r="EN228" s="528">
        <f t="shared" si="707"/>
        <v>0.94290251840000006</v>
      </c>
      <c r="EO228">
        <f t="shared" si="708"/>
        <v>2.7E-2</v>
      </c>
      <c r="EP228" s="460">
        <f t="shared" si="709"/>
        <v>64.72</v>
      </c>
      <c r="EQ228" s="460"/>
      <c r="ER228" s="460">
        <f t="shared" si="710"/>
        <v>1484.1846517333333</v>
      </c>
      <c r="ES228" s="528">
        <f t="shared" si="711"/>
        <v>8.3999999999999991E-2</v>
      </c>
      <c r="EV228" s="460">
        <f t="shared" si="712"/>
        <v>83.999999999999986</v>
      </c>
      <c r="EW228" s="528">
        <f t="shared" si="713"/>
        <v>6.559999999999999E-4</v>
      </c>
      <c r="EX228" s="528">
        <f t="shared" si="714"/>
        <v>9.3439999999999981E-3</v>
      </c>
      <c r="EY228" s="528">
        <f t="shared" si="715"/>
        <v>9.7421455470137461E-2</v>
      </c>
      <c r="EZ228" s="528"/>
      <c r="FA228" s="528">
        <f t="shared" si="716"/>
        <v>1.6399999999999997E-3</v>
      </c>
      <c r="FB228" s="460">
        <f t="shared" si="717"/>
        <v>109.06145547013746</v>
      </c>
      <c r="FC228" s="173">
        <f t="shared" si="718"/>
        <v>1.6772461072034708</v>
      </c>
      <c r="FD228" s="5">
        <f t="shared" si="719"/>
        <v>1.92</v>
      </c>
      <c r="FE228" s="173">
        <f t="shared" si="720"/>
        <v>0.5337416297859654</v>
      </c>
      <c r="FF228" s="5">
        <f t="shared" si="721"/>
        <v>53.374162978596537</v>
      </c>
      <c r="FI228" s="562">
        <f t="shared" si="676"/>
        <v>-50</v>
      </c>
      <c r="FJ228">
        <f t="shared" si="677"/>
        <v>-50</v>
      </c>
      <c r="FL228">
        <f t="shared" si="678"/>
        <v>0.24</v>
      </c>
    </row>
    <row r="229" spans="5:168">
      <c r="E229" s="170">
        <v>13</v>
      </c>
      <c r="F229" s="217">
        <f t="shared" si="679"/>
        <v>0.13</v>
      </c>
      <c r="G229" s="217"/>
      <c r="H229" s="217">
        <f t="shared" si="603"/>
        <v>2.08</v>
      </c>
      <c r="I229" s="541">
        <f t="shared" si="604"/>
        <v>59.975119332423596</v>
      </c>
      <c r="J229" s="172">
        <f t="shared" si="605"/>
        <v>16.414928400545843</v>
      </c>
      <c r="K229" s="172">
        <f t="shared" si="606"/>
        <v>76.390047732969435</v>
      </c>
      <c r="L229" s="443"/>
      <c r="M229" s="217">
        <f t="shared" si="607"/>
        <v>0.2148849816133791</v>
      </c>
      <c r="N229" s="172">
        <f t="shared" si="608"/>
        <v>33.185962468645762</v>
      </c>
      <c r="O229" s="172">
        <f t="shared" si="599"/>
        <v>2.08</v>
      </c>
      <c r="P229" s="217">
        <f t="shared" si="609"/>
        <v>2.0741226542903601</v>
      </c>
      <c r="Q229" s="217">
        <f t="shared" si="610"/>
        <v>16</v>
      </c>
      <c r="R229" s="217"/>
      <c r="S229" s="172">
        <f t="shared" si="611"/>
        <v>1093.4144926019478</v>
      </c>
      <c r="T229" s="172">
        <f t="shared" si="612"/>
        <v>16</v>
      </c>
      <c r="U229" s="217">
        <f t="shared" si="613"/>
        <v>0.32278708234304621</v>
      </c>
      <c r="V229" s="217">
        <f t="shared" si="614"/>
        <v>6.4584198101336712E-2</v>
      </c>
      <c r="W229" s="217">
        <f t="shared" si="615"/>
        <v>0.23597087319538665</v>
      </c>
      <c r="X229" s="197">
        <f t="shared" si="616"/>
        <v>350</v>
      </c>
      <c r="Y229" s="443">
        <f t="shared" si="680"/>
        <v>350</v>
      </c>
      <c r="AA229" s="217">
        <f t="shared" si="617"/>
        <v>3.0684852620035366</v>
      </c>
      <c r="AB229" s="173">
        <f t="shared" si="618"/>
        <v>2.2431912126292315</v>
      </c>
      <c r="AC229" s="173">
        <f t="shared" si="619"/>
        <v>1.2045598557665116</v>
      </c>
      <c r="AD229" s="173"/>
      <c r="AE229" s="173">
        <f t="shared" si="620"/>
        <v>0.73104187281139565</v>
      </c>
      <c r="AF229" s="545">
        <f t="shared" si="621"/>
        <v>355.65678201182658</v>
      </c>
      <c r="AG229" s="528">
        <f t="shared" si="622"/>
        <v>0.12793232774199426</v>
      </c>
      <c r="AI229" s="173">
        <f t="shared" si="623"/>
        <v>1.0080487261633262</v>
      </c>
      <c r="AJ229" s="173">
        <f t="shared" si="624"/>
        <v>1.0080487261633262</v>
      </c>
      <c r="AK229" s="173">
        <f t="shared" si="625"/>
        <v>1.2059620193802416</v>
      </c>
      <c r="AM229" s="545">
        <f t="shared" si="626"/>
        <v>130</v>
      </c>
      <c r="AN229" s="460">
        <f t="shared" si="627"/>
        <v>350</v>
      </c>
      <c r="AP229">
        <f t="shared" si="628"/>
        <v>130</v>
      </c>
      <c r="AQ229">
        <f t="shared" si="629"/>
        <v>350</v>
      </c>
      <c r="AS229" s="5">
        <f t="shared" si="600"/>
        <v>2.8571428571428572</v>
      </c>
      <c r="AT229" s="5">
        <f t="shared" si="630"/>
        <v>0.20169338299957812</v>
      </c>
      <c r="AU229" s="5">
        <f t="shared" si="478"/>
        <v>2.6554494741432793</v>
      </c>
      <c r="AV229" s="5"/>
      <c r="AW229" s="173">
        <f t="shared" si="479"/>
        <v>7.0592684049852333E-2</v>
      </c>
      <c r="AX229" s="173">
        <f t="shared" si="631"/>
        <v>2.13394069207096</v>
      </c>
      <c r="AY229" s="173">
        <f t="shared" si="632"/>
        <v>0.46844393046521121</v>
      </c>
      <c r="AZ229" s="173">
        <f t="shared" si="633"/>
        <v>4.5553812383730659</v>
      </c>
      <c r="BA229" s="460">
        <f t="shared" si="594"/>
        <v>0.16387587368715725</v>
      </c>
      <c r="BB229" s="5">
        <f t="shared" si="595"/>
        <v>7.6744809176672604E-2</v>
      </c>
      <c r="BD229" s="173">
        <f t="shared" si="681"/>
        <v>0.1546324885556167</v>
      </c>
      <c r="BE229" s="173">
        <f t="shared" si="682"/>
        <v>0.56107890555274431</v>
      </c>
      <c r="BG229" s="528">
        <f t="shared" si="683"/>
        <v>4.7822413033805862E-4</v>
      </c>
      <c r="BH229" s="528">
        <f t="shared" si="634"/>
        <v>0.4918687368473037</v>
      </c>
      <c r="BI229" s="528">
        <f t="shared" si="635"/>
        <v>0.4827997106260099</v>
      </c>
      <c r="BJ229" s="528">
        <f t="shared" si="684"/>
        <v>1.0058838653072417</v>
      </c>
      <c r="BK229">
        <f t="shared" si="685"/>
        <v>2.6988803699590617E-2</v>
      </c>
      <c r="BL229" s="460">
        <f t="shared" si="686"/>
        <v>509.78851432560054</v>
      </c>
      <c r="BM229" s="528">
        <f t="shared" si="636"/>
        <v>1.4985302188746987</v>
      </c>
      <c r="BN229" s="460">
        <f t="shared" si="687"/>
        <v>1498.5302188746987</v>
      </c>
      <c r="BO229" s="528">
        <f t="shared" si="637"/>
        <v>9.0999999999999998E-2</v>
      </c>
      <c r="BR229" s="460">
        <f t="shared" si="688"/>
        <v>91</v>
      </c>
      <c r="BS229" s="528">
        <f t="shared" si="689"/>
        <v>7.173361955070879E-4</v>
      </c>
      <c r="BT229" s="528">
        <f t="shared" si="690"/>
        <v>9.4442861476879622E-3</v>
      </c>
      <c r="BU229" s="528">
        <f t="shared" si="691"/>
        <v>0.11690791849154873</v>
      </c>
      <c r="BV229" s="528"/>
      <c r="BW229" s="528">
        <f t="shared" si="692"/>
        <v>1.7782839100591334E-3</v>
      </c>
      <c r="BX229" s="460">
        <f t="shared" si="693"/>
        <v>128.84782474480292</v>
      </c>
      <c r="BY229" s="173">
        <f t="shared" si="694"/>
        <v>2.2278671653552875</v>
      </c>
      <c r="BZ229" s="5">
        <f t="shared" si="695"/>
        <v>2.08</v>
      </c>
      <c r="CA229" s="173">
        <f t="shared" si="696"/>
        <v>0.48283754353610714</v>
      </c>
      <c r="CB229" s="5">
        <f t="shared" si="697"/>
        <v>48.283754353610711</v>
      </c>
      <c r="CE229" s="562">
        <f t="shared" si="638"/>
        <v>-50</v>
      </c>
      <c r="CF229">
        <f t="shared" si="639"/>
        <v>-50</v>
      </c>
      <c r="CG229" s="173">
        <f t="shared" si="640"/>
        <v>0.26124700955226265</v>
      </c>
      <c r="CI229" s="170">
        <v>13</v>
      </c>
      <c r="CJ229" s="217">
        <f t="shared" si="698"/>
        <v>0.13</v>
      </c>
      <c r="CK229" s="217"/>
      <c r="CL229" s="217">
        <f t="shared" si="641"/>
        <v>2.08</v>
      </c>
      <c r="CM229" s="541">
        <f t="shared" si="642"/>
        <v>60</v>
      </c>
      <c r="CN229" s="443">
        <f t="shared" si="643"/>
        <v>16.399999999999999</v>
      </c>
      <c r="CO229" s="443">
        <f t="shared" si="644"/>
        <v>76.400000000000006</v>
      </c>
      <c r="CP229" s="443"/>
      <c r="CQ229" s="217">
        <f t="shared" si="645"/>
        <v>0.21465968586387432</v>
      </c>
      <c r="CR229" s="172">
        <f t="shared" si="646"/>
        <v>33.164921465968582</v>
      </c>
      <c r="CS229" s="172">
        <f t="shared" si="647"/>
        <v>2.08</v>
      </c>
      <c r="CT229" s="217">
        <f t="shared" si="648"/>
        <v>2.0728075916230364</v>
      </c>
      <c r="CU229" s="217">
        <f t="shared" si="649"/>
        <v>16</v>
      </c>
      <c r="CV229" s="217"/>
      <c r="CW229" s="172">
        <f t="shared" si="650"/>
        <v>1093.8680863143488</v>
      </c>
      <c r="CX229" s="172">
        <f t="shared" si="651"/>
        <v>16</v>
      </c>
      <c r="CY229" s="217">
        <f t="shared" si="652"/>
        <v>0.32299186991869921</v>
      </c>
      <c r="CZ229" s="217">
        <f t="shared" si="653"/>
        <v>6.4598373983739854E-2</v>
      </c>
      <c r="DA229" s="217">
        <f t="shared" si="654"/>
        <v>0.23633551457465801</v>
      </c>
      <c r="DB229" s="197">
        <f t="shared" si="655"/>
        <v>350</v>
      </c>
      <c r="DC229" s="443">
        <f t="shared" si="656"/>
        <v>350</v>
      </c>
      <c r="DE229" s="217">
        <f t="shared" si="657"/>
        <v>3.06656694091249</v>
      </c>
      <c r="DF229" s="173">
        <f t="shared" si="658"/>
        <v>2.2438294689603588</v>
      </c>
      <c r="DG229" s="173">
        <f t="shared" si="659"/>
        <v>1.2041493223478366</v>
      </c>
      <c r="DH229" s="173"/>
      <c r="DI229" s="173">
        <f t="shared" si="660"/>
        <v>0.73170731707317083</v>
      </c>
      <c r="DJ229" s="545">
        <f t="shared" si="661"/>
        <v>355.33333333333331</v>
      </c>
      <c r="DK229" s="528">
        <f t="shared" si="662"/>
        <v>0.12804878048780488</v>
      </c>
      <c r="DM229" s="173">
        <f t="shared" si="663"/>
        <v>1.0075902417342555</v>
      </c>
      <c r="DN229" s="173">
        <f t="shared" si="664"/>
        <v>1.0075902417342555</v>
      </c>
      <c r="DO229" s="173">
        <f t="shared" si="665"/>
        <v>1.2056224012846337</v>
      </c>
      <c r="DQ229" s="545">
        <f t="shared" si="666"/>
        <v>130</v>
      </c>
      <c r="DR229" s="460">
        <f t="shared" si="667"/>
        <v>350</v>
      </c>
      <c r="DT229">
        <f t="shared" si="668"/>
        <v>130</v>
      </c>
      <c r="DU229">
        <f t="shared" si="669"/>
        <v>350</v>
      </c>
      <c r="DW229" s="5">
        <f t="shared" si="670"/>
        <v>2.8571428571428572</v>
      </c>
      <c r="DX229" s="5">
        <f t="shared" si="671"/>
        <v>0.20151804834685111</v>
      </c>
      <c r="DY229" s="5">
        <f t="shared" si="672"/>
        <v>2.6556248087960062</v>
      </c>
      <c r="DZ229" s="5"/>
      <c r="EA229" s="173">
        <f t="shared" si="673"/>
        <v>7.0531316921397885E-2</v>
      </c>
      <c r="EB229" s="173">
        <f t="shared" si="699"/>
        <v>2.1320000000000006</v>
      </c>
      <c r="EC229" s="173">
        <f t="shared" si="700"/>
        <v>0.46826178753379438</v>
      </c>
      <c r="ED229" s="173">
        <f t="shared" si="701"/>
        <v>4.5530087159762838</v>
      </c>
      <c r="EE229" s="460">
        <f t="shared" si="674"/>
        <v>0.16373341428181654</v>
      </c>
      <c r="EF229" s="5">
        <f t="shared" si="675"/>
        <v>7.6718050031884602E-2</v>
      </c>
      <c r="EH229" s="173">
        <f t="shared" si="702"/>
        <v>0.15449496199543686</v>
      </c>
      <c r="EI229" s="173">
        <f t="shared" si="703"/>
        <v>0.56084222837686437</v>
      </c>
      <c r="EK229" s="528">
        <f t="shared" si="704"/>
        <v>4.7737386563942961E-4</v>
      </c>
      <c r="EL229" s="528">
        <f t="shared" si="705"/>
        <v>0.51191629821550588</v>
      </c>
      <c r="EM229" s="528">
        <f t="shared" si="706"/>
        <v>4.0250000000000001E-2</v>
      </c>
      <c r="EN229" s="528">
        <f t="shared" si="707"/>
        <v>1.0061459800000001</v>
      </c>
      <c r="EO229">
        <f t="shared" si="708"/>
        <v>2.7E-2</v>
      </c>
      <c r="EP229" s="460">
        <f t="shared" si="709"/>
        <v>67.25</v>
      </c>
      <c r="EQ229" s="460"/>
      <c r="ER229" s="460">
        <f t="shared" si="710"/>
        <v>1585.7896520811455</v>
      </c>
      <c r="ES229" s="528">
        <f t="shared" si="711"/>
        <v>9.0999999999999998E-2</v>
      </c>
      <c r="EV229" s="460">
        <f t="shared" si="712"/>
        <v>91</v>
      </c>
      <c r="EW229" s="528">
        <f t="shared" si="713"/>
        <v>7.1606079845914442E-4</v>
      </c>
      <c r="EX229" s="528">
        <f t="shared" si="714"/>
        <v>9.4363201539218056E-3</v>
      </c>
      <c r="EY229" s="528">
        <f t="shared" si="715"/>
        <v>0.11677503260967126</v>
      </c>
      <c r="EZ229" s="528"/>
      <c r="FA229" s="528">
        <f t="shared" si="716"/>
        <v>1.7766666666666671E-3</v>
      </c>
      <c r="FB229" s="460">
        <f t="shared" si="717"/>
        <v>128.70408022871888</v>
      </c>
      <c r="FC229" s="173">
        <f t="shared" si="718"/>
        <v>1.8054937323098643</v>
      </c>
      <c r="FD229" s="5">
        <f t="shared" si="719"/>
        <v>2.08</v>
      </c>
      <c r="FE229" s="173">
        <f t="shared" si="720"/>
        <v>0.53532450270186716</v>
      </c>
      <c r="FF229" s="5">
        <f t="shared" si="721"/>
        <v>53.532450270186715</v>
      </c>
      <c r="FI229" s="562">
        <f t="shared" si="676"/>
        <v>-50</v>
      </c>
      <c r="FJ229">
        <f t="shared" si="677"/>
        <v>-50</v>
      </c>
      <c r="FL229">
        <f t="shared" si="678"/>
        <v>0.25804140337096787</v>
      </c>
    </row>
    <row r="230" spans="5:168">
      <c r="E230" s="170">
        <v>14</v>
      </c>
      <c r="F230" s="217">
        <f t="shared" si="679"/>
        <v>0.14000000000000001</v>
      </c>
      <c r="G230" s="217"/>
      <c r="H230" s="217">
        <f t="shared" si="603"/>
        <v>2.2400000000000002</v>
      </c>
      <c r="I230" s="541">
        <f t="shared" si="604"/>
        <v>59.974180111025284</v>
      </c>
      <c r="J230" s="172">
        <f t="shared" si="605"/>
        <v>16.415491933384828</v>
      </c>
      <c r="K230" s="172">
        <f t="shared" si="606"/>
        <v>76.389672044410105</v>
      </c>
      <c r="L230" s="443"/>
      <c r="M230" s="217">
        <f t="shared" si="607"/>
        <v>0.21489348744080222</v>
      </c>
      <c r="N230" s="172">
        <f t="shared" si="608"/>
        <v>33.186756355187136</v>
      </c>
      <c r="O230" s="172">
        <f t="shared" si="599"/>
        <v>2.2400000000000002</v>
      </c>
      <c r="P230" s="217">
        <f t="shared" si="609"/>
        <v>2.074172272199196</v>
      </c>
      <c r="Q230" s="217">
        <f t="shared" si="610"/>
        <v>16</v>
      </c>
      <c r="R230" s="217"/>
      <c r="S230" s="172">
        <f t="shared" si="611"/>
        <v>1011.0170407442771</v>
      </c>
      <c r="T230" s="172">
        <f t="shared" si="612"/>
        <v>16</v>
      </c>
      <c r="U230" s="217">
        <f t="shared" si="613"/>
        <v>0.34760854229120558</v>
      </c>
      <c r="V230" s="217">
        <f t="shared" si="614"/>
        <v>6.9551638718069617E-2</v>
      </c>
      <c r="W230" s="217">
        <f t="shared" si="615"/>
        <v>0.25410767611606733</v>
      </c>
      <c r="X230" s="197">
        <f t="shared" si="616"/>
        <v>350</v>
      </c>
      <c r="Y230" s="443">
        <f t="shared" si="680"/>
        <v>350</v>
      </c>
      <c r="AA230" s="217">
        <f t="shared" si="617"/>
        <v>3.0685576412287694</v>
      </c>
      <c r="AB230" s="173">
        <f t="shared" si="618"/>
        <v>2.2431671158058619</v>
      </c>
      <c r="AC230" s="173">
        <f t="shared" si="619"/>
        <v>1.204575328907856</v>
      </c>
      <c r="AD230" s="173"/>
      <c r="AE230" s="173">
        <f t="shared" si="620"/>
        <v>0.73101677663373155</v>
      </c>
      <c r="AF230" s="545">
        <f t="shared" si="621"/>
        <v>383.0281451123127</v>
      </c>
      <c r="AG230" s="528">
        <f t="shared" si="622"/>
        <v>0.12792793591090301</v>
      </c>
      <c r="AI230" s="173">
        <f t="shared" si="623"/>
        <v>1.0461195576473667</v>
      </c>
      <c r="AJ230" s="173">
        <f t="shared" si="624"/>
        <v>1.0461195576473667</v>
      </c>
      <c r="AK230" s="173">
        <f t="shared" si="625"/>
        <v>1.2341626352943458</v>
      </c>
      <c r="AM230" s="545">
        <f t="shared" si="626"/>
        <v>140</v>
      </c>
      <c r="AN230" s="460">
        <f t="shared" si="627"/>
        <v>350</v>
      </c>
      <c r="AP230">
        <f t="shared" si="628"/>
        <v>140</v>
      </c>
      <c r="AQ230">
        <f t="shared" si="629"/>
        <v>350</v>
      </c>
      <c r="AS230" s="5">
        <f t="shared" si="600"/>
        <v>2.8571428571428572</v>
      </c>
      <c r="AT230" s="5">
        <f t="shared" si="630"/>
        <v>0.20931398592743172</v>
      </c>
      <c r="AU230" s="5">
        <f t="shared" si="478"/>
        <v>2.6478288712154257</v>
      </c>
      <c r="AV230" s="5"/>
      <c r="AW230" s="173">
        <f t="shared" si="479"/>
        <v>7.3259895074601095E-2</v>
      </c>
      <c r="AX230" s="173">
        <f t="shared" si="631"/>
        <v>2.298168870673877</v>
      </c>
      <c r="AY230" s="173">
        <f t="shared" si="632"/>
        <v>0.48474047430931627</v>
      </c>
      <c r="AZ230" s="173">
        <f t="shared" si="633"/>
        <v>4.7410294631337084</v>
      </c>
      <c r="BA230" s="460">
        <f t="shared" si="594"/>
        <v>0.18314973768650278</v>
      </c>
      <c r="BB230" s="5">
        <f t="shared" si="595"/>
        <v>8.2412362849906495E-2</v>
      </c>
      <c r="BD230" s="173">
        <f t="shared" si="681"/>
        <v>0.16347593887771261</v>
      </c>
      <c r="BE230" s="173">
        <f t="shared" si="682"/>
        <v>0.58143299445320829</v>
      </c>
      <c r="BG230" s="528">
        <f t="shared" si="683"/>
        <v>5.3448765183899255E-4</v>
      </c>
      <c r="BH230" s="528">
        <f t="shared" si="634"/>
        <v>0.51044256241462549</v>
      </c>
      <c r="BI230" s="528">
        <f t="shared" si="635"/>
        <v>0.48279214989375352</v>
      </c>
      <c r="BJ230" s="528">
        <f t="shared" si="684"/>
        <v>1.00587397139718</v>
      </c>
      <c r="BK230">
        <f t="shared" si="685"/>
        <v>2.6988381049961378E-2</v>
      </c>
      <c r="BL230" s="460">
        <f t="shared" si="686"/>
        <v>509.78053094371489</v>
      </c>
      <c r="BM230" s="528">
        <f t="shared" si="636"/>
        <v>1.5171880073071298</v>
      </c>
      <c r="BN230" s="460">
        <f t="shared" si="687"/>
        <v>1517.1880073071297</v>
      </c>
      <c r="BO230" s="528">
        <f t="shared" si="637"/>
        <v>9.8000000000000004E-2</v>
      </c>
      <c r="BR230" s="460">
        <f t="shared" si="688"/>
        <v>98</v>
      </c>
      <c r="BS230" s="528">
        <f t="shared" si="689"/>
        <v>8.0173147775848888E-4</v>
      </c>
      <c r="BT230" s="528">
        <f t="shared" si="690"/>
        <v>1.0141929811164737E-2</v>
      </c>
      <c r="BU230" s="528">
        <f t="shared" si="691"/>
        <v>0.12826064481139177</v>
      </c>
      <c r="BV230" s="528"/>
      <c r="BW230" s="528">
        <f t="shared" si="692"/>
        <v>1.915140725561564E-3</v>
      </c>
      <c r="BX230" s="460">
        <f t="shared" si="693"/>
        <v>141.11944682587654</v>
      </c>
      <c r="BY230" s="173">
        <f t="shared" si="694"/>
        <v>2.2657509992332363</v>
      </c>
      <c r="BZ230" s="5">
        <f t="shared" si="695"/>
        <v>2.2400000000000002</v>
      </c>
      <c r="CA230" s="173">
        <f t="shared" si="696"/>
        <v>0.49714242983715495</v>
      </c>
      <c r="CB230" s="5">
        <f t="shared" si="697"/>
        <v>49.714242983715494</v>
      </c>
      <c r="CE230" s="562">
        <f t="shared" si="638"/>
        <v>-50</v>
      </c>
      <c r="CF230">
        <f t="shared" si="639"/>
        <v>-50</v>
      </c>
      <c r="CG230" s="173">
        <f t="shared" si="640"/>
        <v>0.2711088342345192</v>
      </c>
      <c r="CI230" s="170">
        <v>14</v>
      </c>
      <c r="CJ230" s="217">
        <f t="shared" si="698"/>
        <v>0.14000000000000001</v>
      </c>
      <c r="CK230" s="217"/>
      <c r="CL230" s="217">
        <f t="shared" si="641"/>
        <v>2.2400000000000002</v>
      </c>
      <c r="CM230" s="541">
        <f t="shared" si="642"/>
        <v>60</v>
      </c>
      <c r="CN230" s="443">
        <f t="shared" si="643"/>
        <v>16.399999999999999</v>
      </c>
      <c r="CO230" s="443">
        <f t="shared" si="644"/>
        <v>76.400000000000006</v>
      </c>
      <c r="CP230" s="443"/>
      <c r="CQ230" s="217">
        <f t="shared" si="645"/>
        <v>0.21465968586387432</v>
      </c>
      <c r="CR230" s="172">
        <f t="shared" si="646"/>
        <v>33.164921465968582</v>
      </c>
      <c r="CS230" s="172">
        <f t="shared" si="647"/>
        <v>2.2400000000000002</v>
      </c>
      <c r="CT230" s="217">
        <f t="shared" si="648"/>
        <v>2.0728075916230364</v>
      </c>
      <c r="CU230" s="217">
        <f t="shared" si="649"/>
        <v>16</v>
      </c>
      <c r="CV230" s="217"/>
      <c r="CW230" s="172">
        <f t="shared" si="650"/>
        <v>1011.4522903055555</v>
      </c>
      <c r="CX230" s="172">
        <f t="shared" si="651"/>
        <v>16</v>
      </c>
      <c r="CY230" s="217">
        <f t="shared" si="652"/>
        <v>0.34783739837398381</v>
      </c>
      <c r="CZ230" s="217">
        <f t="shared" si="653"/>
        <v>6.9567479674796776E-2</v>
      </c>
      <c r="DA230" s="217">
        <f t="shared" si="654"/>
        <v>0.25451516954193937</v>
      </c>
      <c r="DB230" s="197">
        <f t="shared" si="655"/>
        <v>350</v>
      </c>
      <c r="DC230" s="443">
        <f t="shared" si="656"/>
        <v>350</v>
      </c>
      <c r="DE230" s="217">
        <f t="shared" si="657"/>
        <v>3.06656694091249</v>
      </c>
      <c r="DF230" s="173">
        <f t="shared" si="658"/>
        <v>2.2438294689603588</v>
      </c>
      <c r="DG230" s="173">
        <f t="shared" si="659"/>
        <v>1.2041493223478366</v>
      </c>
      <c r="DH230" s="173"/>
      <c r="DI230" s="173">
        <f t="shared" si="660"/>
        <v>0.73170731707317083</v>
      </c>
      <c r="DJ230" s="545">
        <f t="shared" si="661"/>
        <v>382.66666666666663</v>
      </c>
      <c r="DK230" s="528">
        <f t="shared" si="662"/>
        <v>0.12804878048780488</v>
      </c>
      <c r="DM230" s="173">
        <f t="shared" si="663"/>
        <v>1.0456258094238748</v>
      </c>
      <c r="DN230" s="173">
        <f t="shared" si="664"/>
        <v>1.0456258094238748</v>
      </c>
      <c r="DO230" s="173">
        <f t="shared" si="665"/>
        <v>1.2337968958695369</v>
      </c>
      <c r="DQ230" s="545">
        <f t="shared" si="666"/>
        <v>140</v>
      </c>
      <c r="DR230" s="460">
        <f t="shared" si="667"/>
        <v>350</v>
      </c>
      <c r="DT230">
        <f t="shared" si="668"/>
        <v>140</v>
      </c>
      <c r="DU230">
        <f t="shared" si="669"/>
        <v>350</v>
      </c>
      <c r="DW230" s="5">
        <f t="shared" si="670"/>
        <v>2.8571428571428572</v>
      </c>
      <c r="DX230" s="5">
        <f t="shared" si="671"/>
        <v>0.20912516188477498</v>
      </c>
      <c r="DY230" s="5">
        <f t="shared" si="672"/>
        <v>2.6480176952580821</v>
      </c>
      <c r="DZ230" s="5"/>
      <c r="EA230" s="173">
        <f t="shared" si="673"/>
        <v>7.3193806659671234E-2</v>
      </c>
      <c r="EB230" s="173">
        <f t="shared" si="699"/>
        <v>2.2960000000000003</v>
      </c>
      <c r="EC230" s="173">
        <f t="shared" si="700"/>
        <v>0.48454623804527075</v>
      </c>
      <c r="ED230" s="173">
        <f t="shared" si="701"/>
        <v>4.7384538764812101</v>
      </c>
      <c r="EE230" s="460">
        <f t="shared" si="674"/>
        <v>0.18298451664917811</v>
      </c>
      <c r="EF230" s="5">
        <f t="shared" si="675"/>
        <v>8.2382772741362548E-2</v>
      </c>
      <c r="EH230" s="173">
        <f t="shared" si="702"/>
        <v>0.16332506300276747</v>
      </c>
      <c r="EI230" s="173">
        <f t="shared" si="703"/>
        <v>0.58117929095898324</v>
      </c>
      <c r="EK230" s="528">
        <f t="shared" si="704"/>
        <v>5.3350152409715925E-4</v>
      </c>
      <c r="EL230" s="528">
        <f t="shared" si="705"/>
        <v>0.53124064873589394</v>
      </c>
      <c r="EM230" s="528">
        <f t="shared" si="706"/>
        <v>4.0250000000000001E-2</v>
      </c>
      <c r="EN230" s="528">
        <f t="shared" si="707"/>
        <v>1.0061459800000001</v>
      </c>
      <c r="EO230">
        <f t="shared" si="708"/>
        <v>2.7E-2</v>
      </c>
      <c r="EP230" s="460">
        <f t="shared" si="709"/>
        <v>67.25</v>
      </c>
      <c r="EQ230" s="460"/>
      <c r="ER230" s="460">
        <f t="shared" si="710"/>
        <v>1605.1701302599913</v>
      </c>
      <c r="ES230" s="528">
        <f t="shared" si="711"/>
        <v>9.8000000000000004E-2</v>
      </c>
      <c r="EV230" s="460">
        <f t="shared" si="712"/>
        <v>98</v>
      </c>
      <c r="EW230" s="528">
        <f t="shared" si="713"/>
        <v>8.0025228614573883E-4</v>
      </c>
      <c r="EX230" s="528">
        <f t="shared" si="714"/>
        <v>1.0133081047187594E-2</v>
      </c>
      <c r="EY230" s="528">
        <f t="shared" si="715"/>
        <v>0.12810935701292506</v>
      </c>
      <c r="EZ230" s="528"/>
      <c r="FA230" s="528">
        <f t="shared" si="716"/>
        <v>1.9133333333333337E-3</v>
      </c>
      <c r="FB230" s="460">
        <f t="shared" si="717"/>
        <v>140.95602367959171</v>
      </c>
      <c r="FC230" s="173">
        <f t="shared" si="718"/>
        <v>1.844126153939583</v>
      </c>
      <c r="FD230" s="5">
        <f t="shared" si="719"/>
        <v>2.2400000000000002</v>
      </c>
      <c r="FE230" s="173">
        <f t="shared" si="720"/>
        <v>0.54846493853753198</v>
      </c>
      <c r="FF230" s="5">
        <f t="shared" si="721"/>
        <v>54.846493853753195</v>
      </c>
      <c r="FI230" s="562">
        <f t="shared" si="676"/>
        <v>-50</v>
      </c>
      <c r="FJ230">
        <f t="shared" si="677"/>
        <v>-50</v>
      </c>
      <c r="FL230">
        <f t="shared" si="678"/>
        <v>0.26778221948660214</v>
      </c>
    </row>
    <row r="231" spans="5:168">
      <c r="E231" s="170">
        <v>15</v>
      </c>
      <c r="F231" s="217">
        <f t="shared" si="679"/>
        <v>0.15</v>
      </c>
      <c r="G231" s="217"/>
      <c r="H231" s="217">
        <f t="shared" si="603"/>
        <v>2.4</v>
      </c>
      <c r="I231" s="541">
        <f t="shared" si="604"/>
        <v>59.973273875808758</v>
      </c>
      <c r="J231" s="172">
        <f t="shared" si="605"/>
        <v>16.416035674514745</v>
      </c>
      <c r="K231" s="172">
        <f t="shared" si="606"/>
        <v>76.389309550323503</v>
      </c>
      <c r="L231" s="443"/>
      <c r="M231" s="217">
        <f t="shared" si="607"/>
        <v>0.21490169461481953</v>
      </c>
      <c r="N231" s="172">
        <f t="shared" si="608"/>
        <v>33.187522332838221</v>
      </c>
      <c r="O231" s="172">
        <f t="shared" si="599"/>
        <v>2.4</v>
      </c>
      <c r="P231" s="217">
        <f t="shared" si="609"/>
        <v>2.0742201458023888</v>
      </c>
      <c r="Q231" s="217">
        <f t="shared" si="610"/>
        <v>16</v>
      </c>
      <c r="R231" s="217"/>
      <c r="S231" s="172">
        <f t="shared" si="611"/>
        <v>939.60681107816265</v>
      </c>
      <c r="T231" s="172">
        <f t="shared" si="612"/>
        <v>16</v>
      </c>
      <c r="U231" s="217">
        <f t="shared" si="613"/>
        <v>0.37242912791263388</v>
      </c>
      <c r="V231" s="217">
        <f t="shared" si="614"/>
        <v>7.4519018991796512E-2</v>
      </c>
      <c r="W231" s="217">
        <f t="shared" si="615"/>
        <v>0.2722429229299122</v>
      </c>
      <c r="X231" s="197">
        <f t="shared" si="616"/>
        <v>350</v>
      </c>
      <c r="Y231" s="443">
        <f t="shared" si="680"/>
        <v>350</v>
      </c>
      <c r="AA231" s="217">
        <f t="shared" si="617"/>
        <v>3.0686274759868892</v>
      </c>
      <c r="AB231" s="173">
        <f t="shared" si="618"/>
        <v>2.2431438650568825</v>
      </c>
      <c r="AC231" s="173">
        <f t="shared" si="619"/>
        <v>1.2045902569583709</v>
      </c>
      <c r="AD231" s="173"/>
      <c r="AE231" s="173">
        <f t="shared" si="620"/>
        <v>0.73099256348653852</v>
      </c>
      <c r="AF231" s="545">
        <f t="shared" si="621"/>
        <v>410.4008918628686</v>
      </c>
      <c r="AG231" s="528">
        <f t="shared" si="622"/>
        <v>0.12792369861014424</v>
      </c>
      <c r="AI231" s="173">
        <f t="shared" si="623"/>
        <v>1.082854550136376</v>
      </c>
      <c r="AJ231" s="173">
        <f t="shared" si="624"/>
        <v>1.082854550136376</v>
      </c>
      <c r="AK231" s="173">
        <f t="shared" si="625"/>
        <v>1.26137374084176</v>
      </c>
      <c r="AM231" s="545">
        <f t="shared" si="626"/>
        <v>150</v>
      </c>
      <c r="AN231" s="460">
        <f t="shared" si="627"/>
        <v>350</v>
      </c>
      <c r="AP231">
        <f t="shared" si="628"/>
        <v>150</v>
      </c>
      <c r="AQ231">
        <f t="shared" si="629"/>
        <v>350</v>
      </c>
      <c r="AS231" s="5">
        <f t="shared" si="600"/>
        <v>2.8571428571428572</v>
      </c>
      <c r="AT231" s="5">
        <f t="shared" si="630"/>
        <v>0.21666742136746958</v>
      </c>
      <c r="AU231" s="5">
        <f t="shared" si="478"/>
        <v>2.6404754357753877</v>
      </c>
      <c r="AV231" s="5"/>
      <c r="AW231" s="173">
        <f t="shared" si="479"/>
        <v>7.5833597478614345E-2</v>
      </c>
      <c r="AX231" s="173">
        <f t="shared" si="631"/>
        <v>2.4624053511772117</v>
      </c>
      <c r="AY231" s="173">
        <f t="shared" si="632"/>
        <v>0.50036889702672394</v>
      </c>
      <c r="AZ231" s="173">
        <f t="shared" si="633"/>
        <v>4.9211798850992503</v>
      </c>
      <c r="BA231" s="460">
        <f t="shared" si="594"/>
        <v>0.20312570753200274</v>
      </c>
      <c r="BB231" s="5">
        <f t="shared" si="595"/>
        <v>8.8055070705101809E-2</v>
      </c>
      <c r="BD231" s="173">
        <f t="shared" si="681"/>
        <v>0.17216320064291465</v>
      </c>
      <c r="BE231" s="173">
        <f t="shared" si="682"/>
        <v>0.60101399700401203</v>
      </c>
      <c r="BG231" s="528">
        <f t="shared" si="683"/>
        <v>5.9280335311224976E-4</v>
      </c>
      <c r="BH231" s="528">
        <f t="shared" si="634"/>
        <v>0.52836449174854694</v>
      </c>
      <c r="BI231" s="528">
        <f t="shared" si="635"/>
        <v>0.48278485470026056</v>
      </c>
      <c r="BJ231" s="528">
        <f t="shared" si="684"/>
        <v>1.0058644250150157</v>
      </c>
      <c r="BK231">
        <f t="shared" si="685"/>
        <v>2.6987973244113939E-2</v>
      </c>
      <c r="BL231" s="460">
        <f t="shared" si="686"/>
        <v>509.77282794437451</v>
      </c>
      <c r="BM231" s="528">
        <f t="shared" si="636"/>
        <v>1.5351980097794415</v>
      </c>
      <c r="BN231" s="460">
        <f t="shared" si="687"/>
        <v>1535.1980097794415</v>
      </c>
      <c r="BO231" s="528">
        <f t="shared" si="637"/>
        <v>0.105</v>
      </c>
      <c r="BR231" s="460">
        <f t="shared" si="688"/>
        <v>105</v>
      </c>
      <c r="BS231" s="528">
        <f t="shared" si="689"/>
        <v>8.8920502966837464E-4</v>
      </c>
      <c r="BT231" s="528">
        <f t="shared" si="690"/>
        <v>1.0836534737842157E-2</v>
      </c>
      <c r="BU231" s="528">
        <f t="shared" si="691"/>
        <v>0.13981875466320531</v>
      </c>
      <c r="BV231" s="528"/>
      <c r="BW231" s="528">
        <f t="shared" si="692"/>
        <v>2.0520044593143431E-3</v>
      </c>
      <c r="BX231" s="460">
        <f t="shared" si="693"/>
        <v>153.59649889003018</v>
      </c>
      <c r="BY231" s="173">
        <f t="shared" si="694"/>
        <v>2.303191046951079</v>
      </c>
      <c r="BZ231" s="5">
        <f t="shared" si="695"/>
        <v>2.4</v>
      </c>
      <c r="CA231" s="173">
        <f t="shared" si="696"/>
        <v>0.51029183718910154</v>
      </c>
      <c r="CB231" s="5">
        <f t="shared" si="697"/>
        <v>51.029183718910154</v>
      </c>
      <c r="CE231" s="562">
        <f t="shared" si="638"/>
        <v>-50</v>
      </c>
      <c r="CF231">
        <f t="shared" si="639"/>
        <v>-50</v>
      </c>
      <c r="CG231" s="173">
        <f t="shared" si="640"/>
        <v>0.28062430400804561</v>
      </c>
      <c r="CI231" s="170">
        <v>15</v>
      </c>
      <c r="CJ231" s="217">
        <f t="shared" si="698"/>
        <v>0.15</v>
      </c>
      <c r="CK231" s="217"/>
      <c r="CL231" s="217">
        <f t="shared" si="641"/>
        <v>2.4</v>
      </c>
      <c r="CM231" s="541">
        <f t="shared" si="642"/>
        <v>60</v>
      </c>
      <c r="CN231" s="443">
        <f t="shared" si="643"/>
        <v>16.399999999999999</v>
      </c>
      <c r="CO231" s="443">
        <f t="shared" si="644"/>
        <v>76.400000000000006</v>
      </c>
      <c r="CP231" s="443"/>
      <c r="CQ231" s="217">
        <f t="shared" si="645"/>
        <v>0.21465968586387432</v>
      </c>
      <c r="CR231" s="172">
        <f t="shared" si="646"/>
        <v>33.164921465968582</v>
      </c>
      <c r="CS231" s="172">
        <f t="shared" si="647"/>
        <v>2.4</v>
      </c>
      <c r="CT231" s="217">
        <f t="shared" si="648"/>
        <v>2.0728075916230364</v>
      </c>
      <c r="CU231" s="217">
        <f t="shared" si="649"/>
        <v>16</v>
      </c>
      <c r="CV231" s="217"/>
      <c r="CW231" s="172">
        <f t="shared" si="650"/>
        <v>940.02552036230441</v>
      </c>
      <c r="CX231" s="172">
        <f t="shared" si="651"/>
        <v>16</v>
      </c>
      <c r="CY231" s="217">
        <f t="shared" si="652"/>
        <v>0.37268292682926829</v>
      </c>
      <c r="CZ231" s="217">
        <f t="shared" si="653"/>
        <v>7.4536585365853655E-2</v>
      </c>
      <c r="DA231" s="217">
        <f t="shared" si="654"/>
        <v>0.27269482450922072</v>
      </c>
      <c r="DB231" s="197">
        <f t="shared" si="655"/>
        <v>350</v>
      </c>
      <c r="DC231" s="443">
        <f t="shared" si="656"/>
        <v>350</v>
      </c>
      <c r="DE231" s="217">
        <f t="shared" si="657"/>
        <v>3.06656694091249</v>
      </c>
      <c r="DF231" s="173">
        <f t="shared" si="658"/>
        <v>2.2438294689603588</v>
      </c>
      <c r="DG231" s="173">
        <f t="shared" si="659"/>
        <v>1.2041493223478366</v>
      </c>
      <c r="DH231" s="173"/>
      <c r="DI231" s="173">
        <f t="shared" si="660"/>
        <v>0.73170731707317083</v>
      </c>
      <c r="DJ231" s="545">
        <f t="shared" si="661"/>
        <v>409.99999999999994</v>
      </c>
      <c r="DK231" s="528">
        <f t="shared" si="662"/>
        <v>0.12804878048780488</v>
      </c>
      <c r="DM231" s="173">
        <f t="shared" si="663"/>
        <v>1.082325538564332</v>
      </c>
      <c r="DN231" s="173">
        <f t="shared" si="664"/>
        <v>1.082325538564332</v>
      </c>
      <c r="DO231" s="173">
        <f t="shared" si="665"/>
        <v>1.2609818804180237</v>
      </c>
      <c r="DQ231" s="545">
        <f t="shared" si="666"/>
        <v>150</v>
      </c>
      <c r="DR231" s="460">
        <f t="shared" si="667"/>
        <v>350</v>
      </c>
      <c r="DT231">
        <f t="shared" si="668"/>
        <v>150</v>
      </c>
      <c r="DU231">
        <f t="shared" si="669"/>
        <v>350</v>
      </c>
      <c r="DW231" s="5">
        <f t="shared" si="670"/>
        <v>2.8571428571428572</v>
      </c>
      <c r="DX231" s="5">
        <f t="shared" si="671"/>
        <v>0.21646510771286642</v>
      </c>
      <c r="DY231" s="5">
        <f t="shared" si="672"/>
        <v>2.6406777494299907</v>
      </c>
      <c r="DZ231" s="5"/>
      <c r="EA231" s="173">
        <f t="shared" si="673"/>
        <v>7.5762787699503245E-2</v>
      </c>
      <c r="EB231" s="173">
        <f t="shared" si="699"/>
        <v>2.46</v>
      </c>
      <c r="EC231" s="173">
        <f t="shared" si="700"/>
        <v>0.50016276928216596</v>
      </c>
      <c r="ED231" s="173">
        <f t="shared" si="701"/>
        <v>4.9183988714925624</v>
      </c>
      <c r="EE231" s="460">
        <f t="shared" si="674"/>
        <v>0.20293603848081226</v>
      </c>
      <c r="EF231" s="5">
        <f t="shared" si="675"/>
        <v>8.8022591647666334E-2</v>
      </c>
      <c r="EH231" s="173">
        <f t="shared" si="702"/>
        <v>0.17199873464871307</v>
      </c>
      <c r="EI231" s="173">
        <f t="shared" si="703"/>
        <v>0.60074339426699641</v>
      </c>
      <c r="EK231" s="528">
        <f t="shared" si="704"/>
        <v>5.9167129441516824E-4</v>
      </c>
      <c r="EL231" s="528">
        <f t="shared" si="705"/>
        <v>0.54988631312299452</v>
      </c>
      <c r="EM231" s="528">
        <f t="shared" si="706"/>
        <v>4.0250000000000001E-2</v>
      </c>
      <c r="EN231" s="528">
        <f t="shared" si="707"/>
        <v>1.0061459800000001</v>
      </c>
      <c r="EO231">
        <f t="shared" si="708"/>
        <v>2.7E-2</v>
      </c>
      <c r="EP231" s="460">
        <f t="shared" si="709"/>
        <v>67.25</v>
      </c>
      <c r="EQ231" s="460"/>
      <c r="ER231" s="460">
        <f t="shared" si="710"/>
        <v>1623.8739644174098</v>
      </c>
      <c r="ES231" s="528">
        <f t="shared" si="711"/>
        <v>0.105</v>
      </c>
      <c r="EV231" s="460">
        <f t="shared" si="712"/>
        <v>105</v>
      </c>
      <c r="EW231" s="528">
        <f t="shared" si="713"/>
        <v>8.8750694162275225E-4</v>
      </c>
      <c r="EX231" s="528">
        <f t="shared" si="714"/>
        <v>1.0826778772662957E-2</v>
      </c>
      <c r="EY231" s="528">
        <f t="shared" si="715"/>
        <v>0.13964805158885543</v>
      </c>
      <c r="EZ231" s="528"/>
      <c r="FA231" s="528">
        <f t="shared" si="716"/>
        <v>2.0499999999999997E-3</v>
      </c>
      <c r="FB231" s="460">
        <f t="shared" si="717"/>
        <v>153.41233730314113</v>
      </c>
      <c r="FC231" s="173">
        <f t="shared" si="718"/>
        <v>1.8822863017205511</v>
      </c>
      <c r="FD231" s="5">
        <f t="shared" si="719"/>
        <v>2.4</v>
      </c>
      <c r="FE231" s="173">
        <f t="shared" si="720"/>
        <v>0.56044828180584749</v>
      </c>
      <c r="FF231" s="5">
        <f t="shared" si="721"/>
        <v>56.044828180584751</v>
      </c>
      <c r="FI231" s="562">
        <f t="shared" si="676"/>
        <v>-50</v>
      </c>
      <c r="FJ231">
        <f t="shared" si="677"/>
        <v>-50</v>
      </c>
      <c r="FL231">
        <f t="shared" si="678"/>
        <v>0.27718093060793869</v>
      </c>
    </row>
    <row r="232" spans="5:168">
      <c r="E232" s="170">
        <v>16</v>
      </c>
      <c r="F232" s="217">
        <f t="shared" si="679"/>
        <v>0.16</v>
      </c>
      <c r="G232" s="217"/>
      <c r="H232" s="217">
        <f t="shared" si="603"/>
        <v>2.56</v>
      </c>
      <c r="I232" s="541">
        <f t="shared" si="604"/>
        <v>59.972397377626308</v>
      </c>
      <c r="J232" s="172">
        <f t="shared" si="605"/>
        <v>16.416561573424215</v>
      </c>
      <c r="K232" s="172">
        <f t="shared" si="606"/>
        <v>76.388958951050526</v>
      </c>
      <c r="L232" s="443"/>
      <c r="M232" s="217">
        <f t="shared" si="607"/>
        <v>0.21490963255287224</v>
      </c>
      <c r="N232" s="172">
        <f t="shared" si="608"/>
        <v>33.188263150631812</v>
      </c>
      <c r="O232" s="172">
        <f t="shared" si="599"/>
        <v>2.56</v>
      </c>
      <c r="P232" s="217">
        <f t="shared" si="609"/>
        <v>2.0742664469144882</v>
      </c>
      <c r="Q232" s="217">
        <f t="shared" si="610"/>
        <v>16</v>
      </c>
      <c r="R232" s="217"/>
      <c r="S232" s="172">
        <f t="shared" si="611"/>
        <v>877.12364875600417</v>
      </c>
      <c r="T232" s="172">
        <f t="shared" si="612"/>
        <v>16</v>
      </c>
      <c r="U232" s="217">
        <f t="shared" si="613"/>
        <v>0.3972488689800272</v>
      </c>
      <c r="V232" s="217">
        <f t="shared" si="614"/>
        <v>7.9486340986907572E-2</v>
      </c>
      <c r="W232" s="217">
        <f t="shared" si="615"/>
        <v>0.29037666666309192</v>
      </c>
      <c r="X232" s="197">
        <f t="shared" si="616"/>
        <v>350</v>
      </c>
      <c r="Y232" s="443">
        <f t="shared" si="680"/>
        <v>350</v>
      </c>
      <c r="AA232" s="217">
        <f t="shared" si="617"/>
        <v>3.0686950169085532</v>
      </c>
      <c r="AB232" s="173">
        <f t="shared" si="618"/>
        <v>2.2431213770437379</v>
      </c>
      <c r="AC232" s="173">
        <f t="shared" si="619"/>
        <v>1.2046046936096548</v>
      </c>
      <c r="AD232" s="173"/>
      <c r="AE232" s="173">
        <f t="shared" si="620"/>
        <v>0.73096914639092758</v>
      </c>
      <c r="AF232" s="545">
        <f t="shared" si="621"/>
        <v>437.77497529131239</v>
      </c>
      <c r="AG232" s="528">
        <f t="shared" si="622"/>
        <v>0.12791960061841234</v>
      </c>
      <c r="AI232" s="173">
        <f t="shared" si="623"/>
        <v>1.1183852840991175</v>
      </c>
      <c r="AJ232" s="173">
        <f t="shared" si="624"/>
        <v>1.1183852840991175</v>
      </c>
      <c r="AK232" s="173">
        <f t="shared" si="625"/>
        <v>1.2876928030363832</v>
      </c>
      <c r="AM232" s="545">
        <f t="shared" si="626"/>
        <v>160</v>
      </c>
      <c r="AN232" s="460">
        <f t="shared" si="627"/>
        <v>350</v>
      </c>
      <c r="AP232">
        <f t="shared" si="628"/>
        <v>160</v>
      </c>
      <c r="AQ232">
        <f t="shared" si="629"/>
        <v>350</v>
      </c>
      <c r="AS232" s="5">
        <f t="shared" si="600"/>
        <v>2.8571428571428572</v>
      </c>
      <c r="AT232" s="5">
        <f t="shared" si="630"/>
        <v>0.22378000540288881</v>
      </c>
      <c r="AU232" s="5">
        <f t="shared" si="478"/>
        <v>2.6333628517399683</v>
      </c>
      <c r="AV232" s="5"/>
      <c r="AW232" s="173">
        <f t="shared" si="479"/>
        <v>7.8323001891011088E-2</v>
      </c>
      <c r="AX232" s="173">
        <f t="shared" si="631"/>
        <v>2.626649851747874</v>
      </c>
      <c r="AY232" s="173">
        <f t="shared" si="632"/>
        <v>0.5153949956888717</v>
      </c>
      <c r="AZ232" s="173">
        <f t="shared" si="633"/>
        <v>5.0963821413072132</v>
      </c>
      <c r="BA232" s="460">
        <f t="shared" si="594"/>
        <v>0.22378000540288881</v>
      </c>
      <c r="BB232" s="5">
        <f t="shared" si="595"/>
        <v>9.3673773202777214E-2</v>
      </c>
      <c r="BD232" s="173">
        <f t="shared" si="681"/>
        <v>0.18070720916807148</v>
      </c>
      <c r="BE232" s="173">
        <f t="shared" si="682"/>
        <v>0.61989793712447128</v>
      </c>
      <c r="BG232" s="528">
        <f t="shared" si="683"/>
        <v>6.5310190890626276E-4</v>
      </c>
      <c r="BH232" s="528">
        <f t="shared" si="634"/>
        <v>0.54569873677996017</v>
      </c>
      <c r="BI232" s="528">
        <f t="shared" si="635"/>
        <v>0.48277779888989186</v>
      </c>
      <c r="BJ232" s="528">
        <f t="shared" si="684"/>
        <v>1.0058551919291581</v>
      </c>
      <c r="BK232">
        <f t="shared" si="685"/>
        <v>2.6987578819931839E-2</v>
      </c>
      <c r="BL232" s="460">
        <f t="shared" si="686"/>
        <v>509.76537770982367</v>
      </c>
      <c r="BM232" s="528">
        <f t="shared" si="636"/>
        <v>1.5526242997354369</v>
      </c>
      <c r="BN232" s="460">
        <f t="shared" si="687"/>
        <v>1552.6242997354368</v>
      </c>
      <c r="BO232" s="528">
        <f t="shared" si="637"/>
        <v>0.11199999999999999</v>
      </c>
      <c r="BR232" s="460">
        <f t="shared" si="688"/>
        <v>111.99999999999999</v>
      </c>
      <c r="BS232" s="528">
        <f t="shared" si="689"/>
        <v>9.7965286335939409E-4</v>
      </c>
      <c r="BT232" s="528">
        <f t="shared" si="690"/>
        <v>1.1528203573535248E-2</v>
      </c>
      <c r="BU232" s="528">
        <f t="shared" si="691"/>
        <v>0.15157191059284278</v>
      </c>
      <c r="BV232" s="528"/>
      <c r="BW232" s="528">
        <f t="shared" si="692"/>
        <v>2.1888748764565618E-3</v>
      </c>
      <c r="BX232" s="460">
        <f t="shared" si="693"/>
        <v>166.26864190619398</v>
      </c>
      <c r="BY232" s="173">
        <f t="shared" si="694"/>
        <v>2.3402410502340416</v>
      </c>
      <c r="BZ232" s="5">
        <f t="shared" si="695"/>
        <v>2.56</v>
      </c>
      <c r="CA232" s="173">
        <f t="shared" si="696"/>
        <v>0.52242327954004042</v>
      </c>
      <c r="CB232" s="5">
        <f t="shared" si="697"/>
        <v>52.24232795400404</v>
      </c>
      <c r="CE232" s="562">
        <f t="shared" si="638"/>
        <v>-50</v>
      </c>
      <c r="CF232">
        <f t="shared" si="639"/>
        <v>-50</v>
      </c>
      <c r="CG232" s="173">
        <f t="shared" si="640"/>
        <v>0.28982753492378877</v>
      </c>
      <c r="CI232" s="170">
        <v>16</v>
      </c>
      <c r="CJ232" s="217">
        <f t="shared" si="698"/>
        <v>0.16</v>
      </c>
      <c r="CK232" s="217"/>
      <c r="CL232" s="217">
        <f t="shared" si="641"/>
        <v>2.56</v>
      </c>
      <c r="CM232" s="541">
        <f t="shared" si="642"/>
        <v>60</v>
      </c>
      <c r="CN232" s="443">
        <f t="shared" si="643"/>
        <v>16.399999999999999</v>
      </c>
      <c r="CO232" s="443">
        <f t="shared" si="644"/>
        <v>76.400000000000006</v>
      </c>
      <c r="CP232" s="443"/>
      <c r="CQ232" s="217">
        <f t="shared" si="645"/>
        <v>0.21465968586387432</v>
      </c>
      <c r="CR232" s="172">
        <f t="shared" si="646"/>
        <v>33.164921465968582</v>
      </c>
      <c r="CS232" s="172">
        <f t="shared" si="647"/>
        <v>2.56</v>
      </c>
      <c r="CT232" s="217">
        <f t="shared" si="648"/>
        <v>2.0728075916230364</v>
      </c>
      <c r="CU232" s="217">
        <f t="shared" si="649"/>
        <v>16</v>
      </c>
      <c r="CV232" s="217"/>
      <c r="CW232" s="172">
        <f t="shared" si="650"/>
        <v>877.52733711434348</v>
      </c>
      <c r="CX232" s="172">
        <f t="shared" si="651"/>
        <v>16</v>
      </c>
      <c r="CY232" s="217">
        <f t="shared" si="652"/>
        <v>0.39752845528455288</v>
      </c>
      <c r="CZ232" s="217">
        <f t="shared" si="653"/>
        <v>7.9505691056910577E-2</v>
      </c>
      <c r="DA232" s="217">
        <f t="shared" si="654"/>
        <v>0.29087447947650213</v>
      </c>
      <c r="DB232" s="197">
        <f t="shared" si="655"/>
        <v>350</v>
      </c>
      <c r="DC232" s="443">
        <f t="shared" si="656"/>
        <v>350</v>
      </c>
      <c r="DE232" s="217">
        <f t="shared" si="657"/>
        <v>3.06656694091249</v>
      </c>
      <c r="DF232" s="173">
        <f t="shared" si="658"/>
        <v>2.2438294689603588</v>
      </c>
      <c r="DG232" s="173">
        <f t="shared" si="659"/>
        <v>1.2041493223478366</v>
      </c>
      <c r="DH232" s="173"/>
      <c r="DI232" s="173">
        <f t="shared" si="660"/>
        <v>0.73170731707317083</v>
      </c>
      <c r="DJ232" s="545">
        <f t="shared" si="661"/>
        <v>437.33333333333331</v>
      </c>
      <c r="DK232" s="528">
        <f t="shared" si="662"/>
        <v>0.12804878048780488</v>
      </c>
      <c r="DM232" s="173">
        <f t="shared" si="663"/>
        <v>1.1178210096092349</v>
      </c>
      <c r="DN232" s="173">
        <f t="shared" si="664"/>
        <v>1.1178210096092349</v>
      </c>
      <c r="DO232" s="173">
        <f t="shared" si="665"/>
        <v>1.2872748219327665</v>
      </c>
      <c r="DQ232" s="545">
        <f t="shared" si="666"/>
        <v>160</v>
      </c>
      <c r="DR232" s="460">
        <f t="shared" si="667"/>
        <v>350</v>
      </c>
      <c r="DT232">
        <f t="shared" si="668"/>
        <v>160</v>
      </c>
      <c r="DU232">
        <f t="shared" si="669"/>
        <v>350</v>
      </c>
      <c r="DW232" s="5">
        <f t="shared" si="670"/>
        <v>2.8571428571428572</v>
      </c>
      <c r="DX232" s="5">
        <f t="shared" si="671"/>
        <v>0.22356420192184698</v>
      </c>
      <c r="DY232" s="5">
        <f t="shared" si="672"/>
        <v>2.6335786552210103</v>
      </c>
      <c r="DZ232" s="5"/>
      <c r="EA232" s="173">
        <f t="shared" si="673"/>
        <v>7.8247470672646438E-2</v>
      </c>
      <c r="EB232" s="173">
        <f t="shared" si="699"/>
        <v>2.6239999999999997</v>
      </c>
      <c r="EC232" s="173">
        <f t="shared" si="700"/>
        <v>0.51517717147128417</v>
      </c>
      <c r="ED232" s="173">
        <f t="shared" si="701"/>
        <v>5.0933933902897337</v>
      </c>
      <c r="EE232" s="460">
        <f t="shared" si="674"/>
        <v>0.22356420192184695</v>
      </c>
      <c r="EF232" s="5">
        <f t="shared" si="675"/>
        <v>9.3638352185635904E-2</v>
      </c>
      <c r="EH232" s="173">
        <f t="shared" si="702"/>
        <v>0.18052892440500842</v>
      </c>
      <c r="EI232" s="173">
        <f t="shared" si="703"/>
        <v>0.61961055830344536</v>
      </c>
      <c r="EK232" s="528">
        <f t="shared" si="704"/>
        <v>6.5181385093658498E-4</v>
      </c>
      <c r="EL232" s="528">
        <f t="shared" si="705"/>
        <v>0.56792014214206799</v>
      </c>
      <c r="EM232" s="528">
        <f t="shared" si="706"/>
        <v>4.0250000000000001E-2</v>
      </c>
      <c r="EN232" s="528">
        <f t="shared" si="707"/>
        <v>1.0061459800000001</v>
      </c>
      <c r="EO232">
        <f t="shared" si="708"/>
        <v>2.7E-2</v>
      </c>
      <c r="EP232" s="460">
        <f t="shared" si="709"/>
        <v>67.25</v>
      </c>
      <c r="EQ232" s="460"/>
      <c r="ER232" s="460">
        <f t="shared" si="710"/>
        <v>1641.9679359930046</v>
      </c>
      <c r="ES232" s="528">
        <f t="shared" si="711"/>
        <v>0.11199999999999999</v>
      </c>
      <c r="EV232" s="460">
        <f t="shared" si="712"/>
        <v>111.99999999999999</v>
      </c>
      <c r="EW232" s="528">
        <f t="shared" si="713"/>
        <v>9.777207764048773E-4</v>
      </c>
      <c r="EX232" s="528">
        <f t="shared" si="714"/>
        <v>1.1517517318833218E-2</v>
      </c>
      <c r="EY232" s="528">
        <f t="shared" si="715"/>
        <v>0.15138079622033604</v>
      </c>
      <c r="EZ232" s="528"/>
      <c r="FA232" s="528">
        <f t="shared" si="716"/>
        <v>2.1866666666666662E-3</v>
      </c>
      <c r="FB232" s="460">
        <f t="shared" si="717"/>
        <v>166.06270098224078</v>
      </c>
      <c r="FC232" s="173">
        <f t="shared" si="718"/>
        <v>1.9200306369752453</v>
      </c>
      <c r="FD232" s="5">
        <f t="shared" si="719"/>
        <v>2.56</v>
      </c>
      <c r="FE232" s="173">
        <f t="shared" si="720"/>
        <v>0.57142466367784028</v>
      </c>
      <c r="FF232" s="5">
        <f t="shared" si="721"/>
        <v>57.142466367784031</v>
      </c>
      <c r="FI232" s="562">
        <f t="shared" si="676"/>
        <v>-50</v>
      </c>
      <c r="FJ232">
        <f t="shared" si="677"/>
        <v>-50</v>
      </c>
      <c r="FL232">
        <f t="shared" si="678"/>
        <v>0.28627123416821876</v>
      </c>
    </row>
    <row r="233" spans="5:168">
      <c r="E233" s="170">
        <v>17</v>
      </c>
      <c r="F233" s="217">
        <f t="shared" si="679"/>
        <v>0.17</v>
      </c>
      <c r="G233" s="217"/>
      <c r="H233" s="217">
        <f t="shared" si="603"/>
        <v>2.72</v>
      </c>
      <c r="I233" s="541">
        <f t="shared" si="604"/>
        <v>59.971547868102306</v>
      </c>
      <c r="J233" s="172">
        <f t="shared" si="605"/>
        <v>16.417071279138614</v>
      </c>
      <c r="K233" s="172">
        <f t="shared" si="606"/>
        <v>76.388619147240917</v>
      </c>
      <c r="L233" s="443"/>
      <c r="M233" s="217">
        <f t="shared" si="607"/>
        <v>0.21491732613846376</v>
      </c>
      <c r="N233" s="172">
        <f t="shared" si="608"/>
        <v>33.188981133908399</v>
      </c>
      <c r="O233" s="172">
        <f t="shared" si="599"/>
        <v>2.72</v>
      </c>
      <c r="P233" s="217">
        <f t="shared" si="609"/>
        <v>2.0743113208692749</v>
      </c>
      <c r="Q233" s="217">
        <f t="shared" si="610"/>
        <v>16</v>
      </c>
      <c r="R233" s="217"/>
      <c r="S233" s="172">
        <f t="shared" si="611"/>
        <v>821.99214892324835</v>
      </c>
      <c r="T233" s="172">
        <f t="shared" si="612"/>
        <v>16</v>
      </c>
      <c r="U233" s="217">
        <f t="shared" si="613"/>
        <v>0.42206779242428627</v>
      </c>
      <c r="V233" s="217">
        <f t="shared" si="614"/>
        <v>8.4453606570747033E-2</v>
      </c>
      <c r="W233" s="217">
        <f t="shared" si="615"/>
        <v>0.30850895528043176</v>
      </c>
      <c r="X233" s="197">
        <f t="shared" si="616"/>
        <v>350</v>
      </c>
      <c r="Y233" s="443">
        <f t="shared" si="680"/>
        <v>350</v>
      </c>
      <c r="AA233" s="217">
        <f t="shared" si="617"/>
        <v>3.0687604759961848</v>
      </c>
      <c r="AB233" s="173">
        <f t="shared" si="618"/>
        <v>2.2430995812723542</v>
      </c>
      <c r="AC233" s="173">
        <f t="shared" si="619"/>
        <v>1.2046186842781337</v>
      </c>
      <c r="AD233" s="173"/>
      <c r="AE233" s="173">
        <f t="shared" si="620"/>
        <v>0.73094645177356055</v>
      </c>
      <c r="AF233" s="545">
        <f t="shared" si="621"/>
        <v>465.15035290892746</v>
      </c>
      <c r="AG233" s="528">
        <f t="shared" si="622"/>
        <v>0.1279156290603731</v>
      </c>
      <c r="AI233" s="173">
        <f t="shared" si="623"/>
        <v>1.1528230602790792</v>
      </c>
      <c r="AJ233" s="173">
        <f t="shared" si="624"/>
        <v>1.1528230602790792</v>
      </c>
      <c r="AK233" s="173">
        <f t="shared" si="625"/>
        <v>1.313202266873392</v>
      </c>
      <c r="AM233" s="545">
        <f t="shared" si="626"/>
        <v>170</v>
      </c>
      <c r="AN233" s="460">
        <f t="shared" si="627"/>
        <v>350</v>
      </c>
      <c r="AP233">
        <f t="shared" si="628"/>
        <v>170</v>
      </c>
      <c r="AQ233">
        <f t="shared" si="629"/>
        <v>350</v>
      </c>
      <c r="AS233" s="5">
        <f t="shared" si="600"/>
        <v>2.8571428571428572</v>
      </c>
      <c r="AT233" s="5">
        <f t="shared" si="630"/>
        <v>0.23067399817283887</v>
      </c>
      <c r="AU233" s="5">
        <f t="shared" si="478"/>
        <v>2.6264688589700182</v>
      </c>
      <c r="AV233" s="5"/>
      <c r="AW233" s="173">
        <f t="shared" si="479"/>
        <v>8.0735899360493607E-2</v>
      </c>
      <c r="AX233" s="173">
        <f t="shared" si="631"/>
        <v>2.7909021174535655</v>
      </c>
      <c r="AY233" s="173">
        <f t="shared" si="632"/>
        <v>0.52987442685196562</v>
      </c>
      <c r="AZ233" s="173">
        <f t="shared" si="633"/>
        <v>5.2671009885013333</v>
      </c>
      <c r="BA233" s="460">
        <f t="shared" si="594"/>
        <v>0.24509112305864131</v>
      </c>
      <c r="BB233" s="5">
        <f t="shared" si="595"/>
        <v>9.926923058178784E-2</v>
      </c>
      <c r="BD233" s="173">
        <f t="shared" si="681"/>
        <v>0.18911909092510054</v>
      </c>
      <c r="BE233" s="173">
        <f t="shared" si="682"/>
        <v>0.63814912485359099</v>
      </c>
      <c r="BG233" s="528">
        <f t="shared" si="683"/>
        <v>7.1532061104672892E-4</v>
      </c>
      <c r="BH233" s="528">
        <f t="shared" si="634"/>
        <v>0.56249961283202055</v>
      </c>
      <c r="BI233" s="528">
        <f t="shared" si="635"/>
        <v>0.48277096033822359</v>
      </c>
      <c r="BJ233" s="528">
        <f t="shared" si="684"/>
        <v>1.0058462431839303</v>
      </c>
      <c r="BK233">
        <f t="shared" si="685"/>
        <v>2.6987196540646036E-2</v>
      </c>
      <c r="BL233" s="460">
        <f t="shared" si="686"/>
        <v>509.75815687886961</v>
      </c>
      <c r="BM233" s="528">
        <f t="shared" si="636"/>
        <v>1.5695210692710087</v>
      </c>
      <c r="BN233" s="460">
        <f t="shared" si="687"/>
        <v>1569.5210692710086</v>
      </c>
      <c r="BO233" s="528">
        <f t="shared" si="637"/>
        <v>0.11899999999999999</v>
      </c>
      <c r="BR233" s="460">
        <f t="shared" si="688"/>
        <v>119</v>
      </c>
      <c r="BS233" s="528">
        <f t="shared" si="689"/>
        <v>1.0729809165700933E-3</v>
      </c>
      <c r="BT233" s="528">
        <f t="shared" si="690"/>
        <v>1.2217029166542121E-2</v>
      </c>
      <c r="BU233" s="528">
        <f t="shared" si="691"/>
        <v>0.16351091666636908</v>
      </c>
      <c r="BV233" s="528"/>
      <c r="BW233" s="528">
        <f t="shared" si="692"/>
        <v>2.3257517645446377E-3</v>
      </c>
      <c r="BX233" s="460">
        <f t="shared" si="693"/>
        <v>179.12667851402591</v>
      </c>
      <c r="BY233" s="173">
        <f t="shared" si="694"/>
        <v>2.3769460120198933</v>
      </c>
      <c r="BZ233" s="5">
        <f t="shared" si="695"/>
        <v>2.72</v>
      </c>
      <c r="CA233" s="173">
        <f t="shared" si="696"/>
        <v>0.53365289598625321</v>
      </c>
      <c r="CB233" s="5">
        <f t="shared" si="697"/>
        <v>53.365289598625324</v>
      </c>
      <c r="CE233" s="562">
        <f t="shared" si="638"/>
        <v>-50</v>
      </c>
      <c r="CF233">
        <f t="shared" si="639"/>
        <v>-50</v>
      </c>
      <c r="CG233" s="173">
        <f t="shared" si="640"/>
        <v>0.29874738492579311</v>
      </c>
      <c r="CI233" s="170">
        <v>17</v>
      </c>
      <c r="CJ233" s="217">
        <f t="shared" si="698"/>
        <v>0.17</v>
      </c>
      <c r="CK233" s="217"/>
      <c r="CL233" s="217">
        <f t="shared" si="641"/>
        <v>2.72</v>
      </c>
      <c r="CM233" s="541">
        <f t="shared" si="642"/>
        <v>60</v>
      </c>
      <c r="CN233" s="443">
        <f t="shared" si="643"/>
        <v>16.399999999999999</v>
      </c>
      <c r="CO233" s="443">
        <f t="shared" si="644"/>
        <v>76.400000000000006</v>
      </c>
      <c r="CP233" s="443"/>
      <c r="CQ233" s="217">
        <f t="shared" si="645"/>
        <v>0.21465968586387432</v>
      </c>
      <c r="CR233" s="172">
        <f t="shared" si="646"/>
        <v>33.164921465968582</v>
      </c>
      <c r="CS233" s="172">
        <f t="shared" si="647"/>
        <v>2.72</v>
      </c>
      <c r="CT233" s="217">
        <f t="shared" si="648"/>
        <v>2.0728075916230364</v>
      </c>
      <c r="CU233" s="217">
        <f t="shared" si="649"/>
        <v>16</v>
      </c>
      <c r="CV233" s="217"/>
      <c r="CW233" s="172">
        <f t="shared" si="650"/>
        <v>822.38211050294672</v>
      </c>
      <c r="CX233" s="172">
        <f t="shared" si="651"/>
        <v>16</v>
      </c>
      <c r="CY233" s="217">
        <f t="shared" si="652"/>
        <v>0.42237398373983748</v>
      </c>
      <c r="CZ233" s="217">
        <f t="shared" si="653"/>
        <v>8.4474796747967484E-2</v>
      </c>
      <c r="DA233" s="217">
        <f t="shared" si="654"/>
        <v>0.30905413444378355</v>
      </c>
      <c r="DB233" s="197">
        <f t="shared" si="655"/>
        <v>350</v>
      </c>
      <c r="DC233" s="443">
        <f t="shared" si="656"/>
        <v>350</v>
      </c>
      <c r="DE233" s="217">
        <f t="shared" si="657"/>
        <v>3.06656694091249</v>
      </c>
      <c r="DF233" s="173">
        <f t="shared" si="658"/>
        <v>2.2438294689603588</v>
      </c>
      <c r="DG233" s="173">
        <f t="shared" si="659"/>
        <v>1.2041493223478366</v>
      </c>
      <c r="DH233" s="173"/>
      <c r="DI233" s="173">
        <f t="shared" si="660"/>
        <v>0.73170731707317083</v>
      </c>
      <c r="DJ233" s="545">
        <f t="shared" si="661"/>
        <v>464.66666666666663</v>
      </c>
      <c r="DK233" s="528">
        <f t="shared" si="662"/>
        <v>0.12804878048780488</v>
      </c>
      <c r="DM233" s="173">
        <f t="shared" si="663"/>
        <v>1.1522235232883624</v>
      </c>
      <c r="DN233" s="173">
        <f t="shared" si="664"/>
        <v>1.1522235232883624</v>
      </c>
      <c r="DO233" s="173">
        <f t="shared" si="665"/>
        <v>1.312758165398787</v>
      </c>
      <c r="DQ233" s="545">
        <f t="shared" si="666"/>
        <v>170</v>
      </c>
      <c r="DR233" s="460">
        <f t="shared" si="667"/>
        <v>350</v>
      </c>
      <c r="DT233">
        <f t="shared" si="668"/>
        <v>170</v>
      </c>
      <c r="DU233">
        <f t="shared" si="669"/>
        <v>350</v>
      </c>
      <c r="DW233" s="5">
        <f t="shared" si="670"/>
        <v>2.8571428571428572</v>
      </c>
      <c r="DX233" s="5">
        <f t="shared" si="671"/>
        <v>0.23044470465767247</v>
      </c>
      <c r="DY233" s="5">
        <f t="shared" si="672"/>
        <v>2.6266981524851847</v>
      </c>
      <c r="DZ233" s="5"/>
      <c r="EA233" s="173">
        <f t="shared" si="673"/>
        <v>8.065564663018536E-2</v>
      </c>
      <c r="EB233" s="173">
        <f t="shared" si="699"/>
        <v>2.7879999999999998</v>
      </c>
      <c r="EC233" s="173">
        <f t="shared" si="700"/>
        <v>0.52964509497751455</v>
      </c>
      <c r="ED233" s="173">
        <f t="shared" si="701"/>
        <v>5.2639022364935917</v>
      </c>
      <c r="EE233" s="460">
        <f t="shared" si="674"/>
        <v>0.24484749869877701</v>
      </c>
      <c r="EF233" s="5">
        <f t="shared" si="675"/>
        <v>9.9230819093884745E-2</v>
      </c>
      <c r="EH233" s="173">
        <f t="shared" si="702"/>
        <v>0.18892676955570653</v>
      </c>
      <c r="EI233" s="173">
        <f t="shared" si="703"/>
        <v>0.63784508956715147</v>
      </c>
      <c r="EK233" s="528">
        <f t="shared" si="704"/>
        <v>7.1386648509510087E-4</v>
      </c>
      <c r="EL233" s="528">
        <f t="shared" si="705"/>
        <v>0.58539868324188549</v>
      </c>
      <c r="EM233" s="528">
        <f t="shared" si="706"/>
        <v>4.0250000000000001E-2</v>
      </c>
      <c r="EN233" s="528">
        <f t="shared" si="707"/>
        <v>1.0061459800000001</v>
      </c>
      <c r="EO233">
        <f t="shared" si="708"/>
        <v>2.7E-2</v>
      </c>
      <c r="EP233" s="460">
        <f t="shared" si="709"/>
        <v>67.25</v>
      </c>
      <c r="EQ233" s="460"/>
      <c r="ER233" s="460">
        <f t="shared" si="710"/>
        <v>1659.5085297269804</v>
      </c>
      <c r="ES233" s="528">
        <f t="shared" si="711"/>
        <v>0.11899999999999999</v>
      </c>
      <c r="EV233" s="460">
        <f t="shared" si="712"/>
        <v>119</v>
      </c>
      <c r="EW233" s="528">
        <f t="shared" si="713"/>
        <v>1.0707997276426513E-3</v>
      </c>
      <c r="EX233" s="528">
        <f t="shared" si="714"/>
        <v>1.2205390748547824E-2</v>
      </c>
      <c r="EY233" s="528">
        <f t="shared" si="715"/>
        <v>0.16329841092028149</v>
      </c>
      <c r="EZ233" s="528"/>
      <c r="FA233" s="528">
        <f t="shared" si="716"/>
        <v>2.3233333333333331E-3</v>
      </c>
      <c r="FB233" s="460">
        <f t="shared" si="717"/>
        <v>178.89793472980531</v>
      </c>
      <c r="FC233" s="173">
        <f t="shared" si="718"/>
        <v>1.9574064644567857</v>
      </c>
      <c r="FD233" s="5">
        <f t="shared" si="719"/>
        <v>2.72</v>
      </c>
      <c r="FE233" s="173">
        <f t="shared" si="720"/>
        <v>0.58151884397241271</v>
      </c>
      <c r="FF233" s="5">
        <f t="shared" si="721"/>
        <v>58.151884397241268</v>
      </c>
      <c r="FI233" s="562">
        <f t="shared" si="676"/>
        <v>-50</v>
      </c>
      <c r="FJ233">
        <f t="shared" si="677"/>
        <v>-50</v>
      </c>
      <c r="FL233">
        <f t="shared" si="678"/>
        <v>0.29508163401287335</v>
      </c>
    </row>
    <row r="234" spans="5:168">
      <c r="E234" s="170">
        <v>18</v>
      </c>
      <c r="F234" s="217">
        <f t="shared" si="679"/>
        <v>0.18</v>
      </c>
      <c r="G234" s="217"/>
      <c r="H234" s="217">
        <f t="shared" si="603"/>
        <v>2.88</v>
      </c>
      <c r="I234" s="541">
        <f t="shared" si="604"/>
        <v>59.970722997811542</v>
      </c>
      <c r="J234" s="172">
        <f t="shared" si="605"/>
        <v>16.417566201313072</v>
      </c>
      <c r="K234" s="172">
        <f t="shared" si="606"/>
        <v>76.388289199124614</v>
      </c>
      <c r="L234" s="443"/>
      <c r="M234" s="217">
        <f t="shared" si="607"/>
        <v>0.21492479664304251</v>
      </c>
      <c r="N234" s="172">
        <f t="shared" si="608"/>
        <v>33.189678270465265</v>
      </c>
      <c r="O234" s="172">
        <f t="shared" si="599"/>
        <v>2.88</v>
      </c>
      <c r="P234" s="217">
        <f t="shared" si="609"/>
        <v>2.0743548919040791</v>
      </c>
      <c r="Q234" s="217">
        <f t="shared" si="610"/>
        <v>16</v>
      </c>
      <c r="R234" s="217"/>
      <c r="S234" s="172">
        <f t="shared" si="611"/>
        <v>772.98700249202238</v>
      </c>
      <c r="T234" s="172">
        <f t="shared" si="612"/>
        <v>16</v>
      </c>
      <c r="U234" s="217">
        <f t="shared" si="613"/>
        <v>0.44688592275986777</v>
      </c>
      <c r="V234" s="217">
        <f t="shared" si="614"/>
        <v>8.9420817443106482E-2</v>
      </c>
      <c r="W234" s="217">
        <f t="shared" si="615"/>
        <v>0.32663983244297873</v>
      </c>
      <c r="X234" s="197">
        <f t="shared" si="616"/>
        <v>350</v>
      </c>
      <c r="Y234" s="443">
        <f t="shared" si="680"/>
        <v>350</v>
      </c>
      <c r="AA234" s="217">
        <f t="shared" si="617"/>
        <v>3.0688240344782307</v>
      </c>
      <c r="AB234" s="173">
        <f t="shared" si="618"/>
        <v>2.2430784174814806</v>
      </c>
      <c r="AC234" s="173">
        <f t="shared" si="619"/>
        <v>1.2046322677876484</v>
      </c>
      <c r="AD234" s="173"/>
      <c r="AE234" s="173">
        <f t="shared" si="620"/>
        <v>0.73092441674090791</v>
      </c>
      <c r="AF234" s="545">
        <f t="shared" si="621"/>
        <v>492.52698603939211</v>
      </c>
      <c r="AG234" s="528">
        <f t="shared" si="622"/>
        <v>0.12791177292965888</v>
      </c>
      <c r="AI234" s="173">
        <f t="shared" si="623"/>
        <v>1.1862630231582492</v>
      </c>
      <c r="AJ234" s="173">
        <f t="shared" si="624"/>
        <v>1.1862630231582492</v>
      </c>
      <c r="AK234" s="173">
        <f t="shared" si="625"/>
        <v>1.3379726097468512</v>
      </c>
      <c r="AM234" s="545">
        <f t="shared" si="626"/>
        <v>180</v>
      </c>
      <c r="AN234" s="460">
        <f t="shared" si="627"/>
        <v>350</v>
      </c>
      <c r="AP234">
        <f t="shared" si="628"/>
        <v>180</v>
      </c>
      <c r="AQ234">
        <f t="shared" si="629"/>
        <v>350</v>
      </c>
      <c r="AS234" s="5">
        <f t="shared" si="600"/>
        <v>2.8571428571428572</v>
      </c>
      <c r="AT234" s="5">
        <f t="shared" si="630"/>
        <v>0.23736842856502602</v>
      </c>
      <c r="AU234" s="5">
        <f t="shared" ref="AU234:AU297" si="722">AS234-AT234</f>
        <v>2.619774428577831</v>
      </c>
      <c r="AV234" s="5"/>
      <c r="AW234" s="173">
        <f t="shared" ref="AW234:AW297" si="723">AT234/AS234</f>
        <v>8.3078949997759111E-2</v>
      </c>
      <c r="AX234" s="173">
        <f t="shared" si="631"/>
        <v>2.9551619162363529</v>
      </c>
      <c r="AY234" s="173">
        <f t="shared" si="632"/>
        <v>0.54385476838654723</v>
      </c>
      <c r="AZ234" s="173">
        <f t="shared" si="633"/>
        <v>5.4337335774464668</v>
      </c>
      <c r="BA234" s="460">
        <f t="shared" si="594"/>
        <v>0.26703948213565426</v>
      </c>
      <c r="BB234" s="5">
        <f t="shared" si="595"/>
        <v>0.10484213486664544</v>
      </c>
      <c r="BD234" s="173">
        <f t="shared" si="681"/>
        <v>0.19740850767046406</v>
      </c>
      <c r="BE234" s="173">
        <f t="shared" si="682"/>
        <v>0.65582253783842825</v>
      </c>
      <c r="BG234" s="528">
        <f t="shared" si="683"/>
        <v>7.7940237801359341E-4</v>
      </c>
      <c r="BH234" s="528">
        <f t="shared" si="634"/>
        <v>0.57881355089114672</v>
      </c>
      <c r="BI234" s="528">
        <f t="shared" si="635"/>
        <v>0.48276432013238291</v>
      </c>
      <c r="BJ234" s="528">
        <f t="shared" si="684"/>
        <v>1.0058375540268234</v>
      </c>
      <c r="BK234">
        <f t="shared" si="685"/>
        <v>2.6986825349015194E-2</v>
      </c>
      <c r="BL234" s="460">
        <f t="shared" si="686"/>
        <v>509.75114548139811</v>
      </c>
      <c r="BM234" s="528">
        <f t="shared" si="636"/>
        <v>1.5859346388380304</v>
      </c>
      <c r="BN234" s="460">
        <f t="shared" si="687"/>
        <v>1585.9346388380304</v>
      </c>
      <c r="BO234" s="528">
        <f t="shared" si="637"/>
        <v>0.126</v>
      </c>
      <c r="BR234" s="460">
        <f t="shared" si="688"/>
        <v>126</v>
      </c>
      <c r="BS234" s="528">
        <f t="shared" si="689"/>
        <v>1.16910356702039E-3</v>
      </c>
      <c r="BT234" s="528">
        <f t="shared" si="690"/>
        <v>1.2903096034105098E-2</v>
      </c>
      <c r="BU234" s="528">
        <f t="shared" si="691"/>
        <v>0.17562753197836015</v>
      </c>
      <c r="BV234" s="528"/>
      <c r="BW234" s="528">
        <f t="shared" si="692"/>
        <v>2.4626349301969603E-3</v>
      </c>
      <c r="BX234" s="460">
        <f t="shared" si="693"/>
        <v>192.16236650968261</v>
      </c>
      <c r="BY234" s="173">
        <f t="shared" si="694"/>
        <v>2.4133440192870643</v>
      </c>
      <c r="BZ234" s="5">
        <f t="shared" si="695"/>
        <v>2.88</v>
      </c>
      <c r="CA234" s="173">
        <f t="shared" si="696"/>
        <v>0.54407950616969236</v>
      </c>
      <c r="CB234" s="5">
        <f t="shared" si="697"/>
        <v>54.407950616969238</v>
      </c>
      <c r="CE234" s="562">
        <f t="shared" si="638"/>
        <v>-50</v>
      </c>
      <c r="CF234">
        <f t="shared" si="639"/>
        <v>-50</v>
      </c>
      <c r="CG234" s="173">
        <f t="shared" si="640"/>
        <v>0.30740852297878796</v>
      </c>
      <c r="CI234" s="170">
        <v>18</v>
      </c>
      <c r="CJ234" s="217">
        <f t="shared" si="698"/>
        <v>0.18</v>
      </c>
      <c r="CK234" s="217"/>
      <c r="CL234" s="217">
        <f t="shared" si="641"/>
        <v>2.88</v>
      </c>
      <c r="CM234" s="541">
        <f t="shared" si="642"/>
        <v>60</v>
      </c>
      <c r="CN234" s="443">
        <f t="shared" si="643"/>
        <v>16.399999999999999</v>
      </c>
      <c r="CO234" s="443">
        <f t="shared" si="644"/>
        <v>76.400000000000006</v>
      </c>
      <c r="CP234" s="443"/>
      <c r="CQ234" s="217">
        <f t="shared" si="645"/>
        <v>0.21465968586387432</v>
      </c>
      <c r="CR234" s="172">
        <f t="shared" si="646"/>
        <v>33.164921465968582</v>
      </c>
      <c r="CS234" s="172">
        <f t="shared" si="647"/>
        <v>2.88</v>
      </c>
      <c r="CT234" s="217">
        <f t="shared" si="648"/>
        <v>2.0728075916230364</v>
      </c>
      <c r="CU234" s="217">
        <f t="shared" si="649"/>
        <v>16</v>
      </c>
      <c r="CV234" s="217"/>
      <c r="CW234" s="172">
        <f t="shared" si="650"/>
        <v>773.36435052866364</v>
      </c>
      <c r="CX234" s="172">
        <f t="shared" si="651"/>
        <v>16</v>
      </c>
      <c r="CY234" s="217">
        <f t="shared" si="652"/>
        <v>0.44721951219512196</v>
      </c>
      <c r="CZ234" s="217">
        <f t="shared" si="653"/>
        <v>8.9443902439024392E-2</v>
      </c>
      <c r="DA234" s="217">
        <f t="shared" si="654"/>
        <v>0.3272337894110649</v>
      </c>
      <c r="DB234" s="197">
        <f t="shared" si="655"/>
        <v>350</v>
      </c>
      <c r="DC234" s="443">
        <f t="shared" si="656"/>
        <v>350</v>
      </c>
      <c r="DE234" s="217">
        <f t="shared" si="657"/>
        <v>3.06656694091249</v>
      </c>
      <c r="DF234" s="173">
        <f t="shared" si="658"/>
        <v>2.2438294689603588</v>
      </c>
      <c r="DG234" s="173">
        <f t="shared" si="659"/>
        <v>1.2041493223478366</v>
      </c>
      <c r="DH234" s="173"/>
      <c r="DI234" s="173">
        <f t="shared" si="660"/>
        <v>0.73170731707317083</v>
      </c>
      <c r="DJ234" s="545">
        <f t="shared" si="661"/>
        <v>491.99999999999994</v>
      </c>
      <c r="DK234" s="528">
        <f t="shared" si="662"/>
        <v>0.12804878048780488</v>
      </c>
      <c r="DM234" s="173">
        <f t="shared" si="663"/>
        <v>1.1856282240712246</v>
      </c>
      <c r="DN234" s="173">
        <f t="shared" si="664"/>
        <v>1.1856282240712246</v>
      </c>
      <c r="DO234" s="173">
        <f t="shared" si="665"/>
        <v>1.3375023882009072</v>
      </c>
      <c r="DQ234" s="545">
        <f t="shared" si="666"/>
        <v>180</v>
      </c>
      <c r="DR234" s="460">
        <f t="shared" si="667"/>
        <v>350</v>
      </c>
      <c r="DT234">
        <f t="shared" si="668"/>
        <v>180</v>
      </c>
      <c r="DU234">
        <f t="shared" si="669"/>
        <v>350</v>
      </c>
      <c r="DW234" s="5">
        <f t="shared" si="670"/>
        <v>2.8571428571428572</v>
      </c>
      <c r="DX234" s="5">
        <f t="shared" si="671"/>
        <v>0.23712564481424492</v>
      </c>
      <c r="DY234" s="5">
        <f t="shared" si="672"/>
        <v>2.6200172123286123</v>
      </c>
      <c r="DZ234" s="5"/>
      <c r="EA234" s="173">
        <f t="shared" si="673"/>
        <v>8.2993975684985719E-2</v>
      </c>
      <c r="EB234" s="173">
        <f t="shared" si="699"/>
        <v>2.9520000000000008</v>
      </c>
      <c r="EC234" s="173">
        <f t="shared" si="700"/>
        <v>0.54361411203561227</v>
      </c>
      <c r="ED234" s="173">
        <f t="shared" si="701"/>
        <v>5.4303226031899161</v>
      </c>
      <c r="EE234" s="460">
        <f t="shared" si="674"/>
        <v>0.26676635041602548</v>
      </c>
      <c r="EF234" s="5">
        <f t="shared" si="675"/>
        <v>0.10480068849314449</v>
      </c>
      <c r="EH234" s="173">
        <f t="shared" si="702"/>
        <v>0.19720194154606127</v>
      </c>
      <c r="EI234" s="173">
        <f t="shared" si="703"/>
        <v>0.65550196248515724</v>
      </c>
      <c r="EK234" s="528">
        <f t="shared" si="704"/>
        <v>7.7777211499072336E-4</v>
      </c>
      <c r="EL234" s="528">
        <f t="shared" si="705"/>
        <v>0.60237027552162647</v>
      </c>
      <c r="EM234" s="528">
        <f t="shared" si="706"/>
        <v>4.0250000000000001E-2</v>
      </c>
      <c r="EN234" s="528">
        <f t="shared" si="707"/>
        <v>1.0061459800000001</v>
      </c>
      <c r="EO234">
        <f t="shared" si="708"/>
        <v>2.7E-2</v>
      </c>
      <c r="EP234" s="460">
        <f t="shared" si="709"/>
        <v>67.25</v>
      </c>
      <c r="EQ234" s="460"/>
      <c r="ER234" s="460">
        <f t="shared" si="710"/>
        <v>1676.5440276366173</v>
      </c>
      <c r="ES234" s="528">
        <f t="shared" si="711"/>
        <v>0.126</v>
      </c>
      <c r="EV234" s="460">
        <f t="shared" si="712"/>
        <v>126</v>
      </c>
      <c r="EW234" s="528">
        <f t="shared" si="713"/>
        <v>1.166658172486085E-3</v>
      </c>
      <c r="EX234" s="528">
        <f t="shared" si="714"/>
        <v>1.2890484684656775E-2</v>
      </c>
      <c r="EY234" s="528">
        <f t="shared" si="715"/>
        <v>0.17539266952864524</v>
      </c>
      <c r="EZ234" s="528"/>
      <c r="FA234" s="528">
        <f t="shared" si="716"/>
        <v>2.4600000000000004E-3</v>
      </c>
      <c r="FB234" s="460">
        <f t="shared" si="717"/>
        <v>191.90981238578809</v>
      </c>
      <c r="FC234" s="173">
        <f t="shared" si="718"/>
        <v>1.994453840022405</v>
      </c>
      <c r="FD234" s="5">
        <f t="shared" si="719"/>
        <v>2.88</v>
      </c>
      <c r="FE234" s="173">
        <f t="shared" si="720"/>
        <v>0.59083542372549425</v>
      </c>
      <c r="FF234" s="5">
        <f t="shared" si="721"/>
        <v>59.083542372549424</v>
      </c>
      <c r="FI234" s="562">
        <f t="shared" si="676"/>
        <v>-50</v>
      </c>
      <c r="FJ234">
        <f t="shared" si="677"/>
        <v>-50</v>
      </c>
      <c r="FL234">
        <f t="shared" si="678"/>
        <v>0.30363649640848434</v>
      </c>
    </row>
    <row r="235" spans="5:168">
      <c r="E235" s="170">
        <v>19</v>
      </c>
      <c r="F235" s="217">
        <f t="shared" si="679"/>
        <v>0.19</v>
      </c>
      <c r="G235" s="217"/>
      <c r="H235" s="217">
        <f t="shared" si="603"/>
        <v>3.04</v>
      </c>
      <c r="I235" s="541">
        <f t="shared" si="604"/>
        <v>59.969920739624087</v>
      </c>
      <c r="J235" s="172">
        <f t="shared" si="605"/>
        <v>16.418047556225545</v>
      </c>
      <c r="K235" s="172">
        <f t="shared" si="606"/>
        <v>76.387968295849632</v>
      </c>
      <c r="L235" s="443"/>
      <c r="M235" s="217">
        <f t="shared" si="607"/>
        <v>0.21493206242002935</v>
      </c>
      <c r="N235" s="172">
        <f t="shared" si="608"/>
        <v>33.190356275412725</v>
      </c>
      <c r="O235" s="172">
        <f t="shared" si="599"/>
        <v>3.04</v>
      </c>
      <c r="P235" s="217">
        <f t="shared" si="609"/>
        <v>2.0743972672132953</v>
      </c>
      <c r="Q235" s="217">
        <f t="shared" si="610"/>
        <v>16</v>
      </c>
      <c r="R235" s="217"/>
      <c r="S235" s="172">
        <f t="shared" si="611"/>
        <v>729.14086464018897</v>
      </c>
      <c r="T235" s="172">
        <f t="shared" si="612"/>
        <v>16</v>
      </c>
      <c r="U235" s="217">
        <f t="shared" si="613"/>
        <v>0.47170328242598286</v>
      </c>
      <c r="V235" s="217">
        <f t="shared" si="614"/>
        <v>9.4387975159883064E-2</v>
      </c>
      <c r="W235" s="217">
        <f t="shared" si="615"/>
        <v>0.34476933811568949</v>
      </c>
      <c r="X235" s="197">
        <f t="shared" si="616"/>
        <v>350</v>
      </c>
      <c r="Y235" s="443">
        <f t="shared" si="680"/>
        <v>350</v>
      </c>
      <c r="AA235" s="217">
        <f t="shared" si="617"/>
        <v>3.0688858487221324</v>
      </c>
      <c r="AB235" s="173">
        <f t="shared" si="618"/>
        <v>2.2430578336765339</v>
      </c>
      <c r="AC235" s="173">
        <f t="shared" si="619"/>
        <v>1.2046454776361666</v>
      </c>
      <c r="AD235" s="173"/>
      <c r="AE235" s="173">
        <f t="shared" si="620"/>
        <v>0.7309029870272078</v>
      </c>
      <c r="AF235" s="545">
        <f t="shared" si="621"/>
        <v>519.90483928047558</v>
      </c>
      <c r="AG235" s="528">
        <f t="shared" si="622"/>
        <v>0.12790802272976137</v>
      </c>
      <c r="AI235" s="173">
        <f t="shared" si="623"/>
        <v>1.2187872652535454</v>
      </c>
      <c r="AJ235" s="173">
        <f t="shared" si="624"/>
        <v>1.2187872652535454</v>
      </c>
      <c r="AK235" s="173">
        <f t="shared" si="625"/>
        <v>1.3620646409285522</v>
      </c>
      <c r="AM235" s="545">
        <f t="shared" si="626"/>
        <v>190</v>
      </c>
      <c r="AN235" s="460">
        <f t="shared" si="627"/>
        <v>350</v>
      </c>
      <c r="AP235">
        <f t="shared" si="628"/>
        <v>190</v>
      </c>
      <c r="AQ235">
        <f t="shared" si="629"/>
        <v>350</v>
      </c>
      <c r="AS235" s="5">
        <f t="shared" si="600"/>
        <v>2.8571428571428572</v>
      </c>
      <c r="AT235" s="5">
        <f t="shared" si="630"/>
        <v>0.2438797150748781</v>
      </c>
      <c r="AU235" s="5">
        <f t="shared" si="722"/>
        <v>2.6132631420679791</v>
      </c>
      <c r="AV235" s="5"/>
      <c r="AW235" s="173">
        <f t="shared" si="723"/>
        <v>8.5357900276207335E-2</v>
      </c>
      <c r="AX235" s="173">
        <f t="shared" si="631"/>
        <v>3.1194290356828538</v>
      </c>
      <c r="AY235" s="173">
        <f t="shared" si="632"/>
        <v>0.55737707170406092</v>
      </c>
      <c r="AZ235" s="173">
        <f t="shared" si="633"/>
        <v>5.5966224555055133</v>
      </c>
      <c r="BA235" s="460">
        <f t="shared" si="594"/>
        <v>0.2896071616514177</v>
      </c>
      <c r="BB235" s="5">
        <f t="shared" si="595"/>
        <v>0.11039311949928901</v>
      </c>
      <c r="BD235" s="173">
        <f t="shared" si="681"/>
        <v>0.20558391966118741</v>
      </c>
      <c r="BE235" s="173">
        <f t="shared" si="682"/>
        <v>0.67296561424648416</v>
      </c>
      <c r="BG235" s="528">
        <f t="shared" si="683"/>
        <v>8.4529496046515122E-4</v>
      </c>
      <c r="BH235" s="528">
        <f t="shared" si="634"/>
        <v>0.5946806125192482</v>
      </c>
      <c r="BI235" s="528">
        <f t="shared" si="635"/>
        <v>0.48275786195397391</v>
      </c>
      <c r="BJ235" s="528">
        <f t="shared" si="684"/>
        <v>1.0058291031008872</v>
      </c>
      <c r="BK235">
        <f t="shared" si="685"/>
        <v>2.6986464332830837E-2</v>
      </c>
      <c r="BL235" s="460">
        <f t="shared" si="686"/>
        <v>509.74432628680478</v>
      </c>
      <c r="BM235" s="528">
        <f t="shared" si="636"/>
        <v>1.6019049701502688</v>
      </c>
      <c r="BN235" s="460">
        <f t="shared" si="687"/>
        <v>1601.9049701502688</v>
      </c>
      <c r="BO235" s="528">
        <f t="shared" si="637"/>
        <v>0.13299999999999998</v>
      </c>
      <c r="BR235" s="460">
        <f t="shared" si="688"/>
        <v>132.99999999999997</v>
      </c>
      <c r="BS235" s="528">
        <f t="shared" si="689"/>
        <v>1.2679424406977268E-3</v>
      </c>
      <c r="BT235" s="528">
        <f t="shared" si="690"/>
        <v>1.358648153874443E-2</v>
      </c>
      <c r="BU235" s="528">
        <f t="shared" si="691"/>
        <v>0.18791432340284414</v>
      </c>
      <c r="BV235" s="528"/>
      <c r="BW235" s="528">
        <f t="shared" si="692"/>
        <v>2.5995241964023785E-3</v>
      </c>
      <c r="BX235" s="460">
        <f t="shared" si="693"/>
        <v>205.36827157868868</v>
      </c>
      <c r="BY235" s="173">
        <f t="shared" si="694"/>
        <v>2.4494676084460942</v>
      </c>
      <c r="BZ235" s="5">
        <f t="shared" si="695"/>
        <v>3.04</v>
      </c>
      <c r="CA235" s="173">
        <f t="shared" si="696"/>
        <v>0.55378776537867824</v>
      </c>
      <c r="CB235" s="5">
        <f t="shared" si="697"/>
        <v>55.378776537867822</v>
      </c>
      <c r="CE235" s="562">
        <f t="shared" si="638"/>
        <v>-50</v>
      </c>
      <c r="CF235">
        <f t="shared" si="639"/>
        <v>-50</v>
      </c>
      <c r="CG235" s="173">
        <f t="shared" si="640"/>
        <v>0.31583223394707516</v>
      </c>
      <c r="CI235" s="170">
        <v>19</v>
      </c>
      <c r="CJ235" s="217">
        <f t="shared" si="698"/>
        <v>0.19</v>
      </c>
      <c r="CK235" s="217"/>
      <c r="CL235" s="217">
        <f t="shared" si="641"/>
        <v>3.04</v>
      </c>
      <c r="CM235" s="541">
        <f t="shared" si="642"/>
        <v>60</v>
      </c>
      <c r="CN235" s="443">
        <f t="shared" si="643"/>
        <v>16.399999999999999</v>
      </c>
      <c r="CO235" s="443">
        <f t="shared" si="644"/>
        <v>76.400000000000006</v>
      </c>
      <c r="CP235" s="443"/>
      <c r="CQ235" s="217">
        <f t="shared" si="645"/>
        <v>0.21465968586387432</v>
      </c>
      <c r="CR235" s="172">
        <f t="shared" si="646"/>
        <v>33.164921465968582</v>
      </c>
      <c r="CS235" s="172">
        <f t="shared" si="647"/>
        <v>3.04</v>
      </c>
      <c r="CT235" s="217">
        <f t="shared" si="648"/>
        <v>2.0728075916230364</v>
      </c>
      <c r="CU235" s="217">
        <f t="shared" si="649"/>
        <v>16</v>
      </c>
      <c r="CV235" s="217"/>
      <c r="CW235" s="172">
        <f t="shared" si="650"/>
        <v>729.50656513138188</v>
      </c>
      <c r="CX235" s="172">
        <f t="shared" si="651"/>
        <v>16</v>
      </c>
      <c r="CY235" s="217">
        <f t="shared" si="652"/>
        <v>0.47206504065040655</v>
      </c>
      <c r="CZ235" s="217">
        <f t="shared" si="653"/>
        <v>9.4413008130081313E-2</v>
      </c>
      <c r="DA235" s="217">
        <f t="shared" si="654"/>
        <v>0.34541344437834631</v>
      </c>
      <c r="DB235" s="197">
        <f t="shared" si="655"/>
        <v>350</v>
      </c>
      <c r="DC235" s="443">
        <f t="shared" si="656"/>
        <v>350</v>
      </c>
      <c r="DE235" s="217">
        <f t="shared" si="657"/>
        <v>3.06656694091249</v>
      </c>
      <c r="DF235" s="173">
        <f t="shared" si="658"/>
        <v>2.2438294689603588</v>
      </c>
      <c r="DG235" s="173">
        <f t="shared" si="659"/>
        <v>1.2041493223478366</v>
      </c>
      <c r="DH235" s="173"/>
      <c r="DI235" s="173">
        <f t="shared" si="660"/>
        <v>0.73170731707317083</v>
      </c>
      <c r="DJ235" s="545">
        <f t="shared" si="661"/>
        <v>519.33333333333326</v>
      </c>
      <c r="DK235" s="528">
        <f t="shared" si="662"/>
        <v>0.12804878048780488</v>
      </c>
      <c r="DM235" s="173">
        <f t="shared" si="663"/>
        <v>1.218117204463316</v>
      </c>
      <c r="DN235" s="173">
        <f t="shared" si="664"/>
        <v>1.218117204463316</v>
      </c>
      <c r="DO235" s="173">
        <f t="shared" si="665"/>
        <v>1.3615682996024563</v>
      </c>
      <c r="DQ235" s="545">
        <f t="shared" si="666"/>
        <v>190</v>
      </c>
      <c r="DR235" s="460">
        <f t="shared" si="667"/>
        <v>350</v>
      </c>
      <c r="DT235">
        <f t="shared" si="668"/>
        <v>190</v>
      </c>
      <c r="DU235">
        <f t="shared" si="669"/>
        <v>350</v>
      </c>
      <c r="DW235" s="5">
        <f t="shared" si="670"/>
        <v>2.8571428571428572</v>
      </c>
      <c r="DX235" s="5">
        <f t="shared" si="671"/>
        <v>0.24362344089266319</v>
      </c>
      <c r="DY235" s="5">
        <f t="shared" si="672"/>
        <v>2.613519416250194</v>
      </c>
      <c r="DZ235" s="5"/>
      <c r="EA235" s="173">
        <f t="shared" si="673"/>
        <v>8.5268204312432108E-2</v>
      </c>
      <c r="EB235" s="173">
        <f t="shared" si="699"/>
        <v>3.1160000000000005</v>
      </c>
      <c r="EC235" s="173">
        <f t="shared" si="700"/>
        <v>0.5571252688983247</v>
      </c>
      <c r="ED235" s="173">
        <f t="shared" si="701"/>
        <v>5.592997076154286</v>
      </c>
      <c r="EE235" s="460">
        <f t="shared" si="674"/>
        <v>0.28930283606003754</v>
      </c>
      <c r="EF235" s="5">
        <f t="shared" si="675"/>
        <v>0.11034859757500819</v>
      </c>
      <c r="EH235" s="173">
        <f t="shared" si="702"/>
        <v>0.20536290937177779</v>
      </c>
      <c r="EI235" s="173">
        <f t="shared" si="703"/>
        <v>0.67262861227986248</v>
      </c>
      <c r="EK235" s="528">
        <f t="shared" si="704"/>
        <v>8.4347849091282031E-4</v>
      </c>
      <c r="EL235" s="528">
        <f t="shared" si="705"/>
        <v>0.61887662689963241</v>
      </c>
      <c r="EM235" s="528">
        <f t="shared" si="706"/>
        <v>4.0250000000000001E-2</v>
      </c>
      <c r="EN235" s="528">
        <f t="shared" si="707"/>
        <v>1.0061459800000001</v>
      </c>
      <c r="EO235">
        <f t="shared" si="708"/>
        <v>2.7E-2</v>
      </c>
      <c r="EP235" s="460">
        <f t="shared" si="709"/>
        <v>67.25</v>
      </c>
      <c r="EQ235" s="460"/>
      <c r="ER235" s="460">
        <f t="shared" si="710"/>
        <v>1693.1160853905453</v>
      </c>
      <c r="ES235" s="528">
        <f t="shared" si="711"/>
        <v>0.13299999999999998</v>
      </c>
      <c r="EV235" s="460">
        <f t="shared" si="712"/>
        <v>132.99999999999997</v>
      </c>
      <c r="EW235" s="528">
        <f t="shared" si="713"/>
        <v>1.2652177363692303E-3</v>
      </c>
      <c r="EX235" s="528">
        <f t="shared" si="714"/>
        <v>1.3572877501726007E-2</v>
      </c>
      <c r="EY235" s="528">
        <f t="shared" si="715"/>
        <v>0.18765615261714053</v>
      </c>
      <c r="EZ235" s="528"/>
      <c r="FA235" s="528">
        <f t="shared" si="716"/>
        <v>2.5966666666666673E-3</v>
      </c>
      <c r="FB235" s="460">
        <f t="shared" si="717"/>
        <v>205.09091452190242</v>
      </c>
      <c r="FC235" s="173">
        <f t="shared" si="718"/>
        <v>2.031206999912448</v>
      </c>
      <c r="FD235" s="5">
        <f t="shared" si="719"/>
        <v>3.04</v>
      </c>
      <c r="FE235" s="173">
        <f t="shared" si="720"/>
        <v>0.59946281034327409</v>
      </c>
      <c r="FF235" s="5">
        <f t="shared" si="721"/>
        <v>59.946281034327406</v>
      </c>
      <c r="FI235" s="562">
        <f t="shared" si="676"/>
        <v>-50</v>
      </c>
      <c r="FJ235">
        <f t="shared" si="677"/>
        <v>-50</v>
      </c>
      <c r="FL235">
        <f t="shared" si="678"/>
        <v>0.31195684504548338</v>
      </c>
    </row>
    <row r="236" spans="5:168">
      <c r="E236" s="170">
        <v>20</v>
      </c>
      <c r="F236" s="217">
        <f t="shared" si="679"/>
        <v>0.2</v>
      </c>
      <c r="G236" s="217"/>
      <c r="H236" s="217">
        <f t="shared" si="603"/>
        <v>3.2</v>
      </c>
      <c r="I236" s="541">
        <f t="shared" si="604"/>
        <v>59.969139330007579</v>
      </c>
      <c r="J236" s="172">
        <f t="shared" si="605"/>
        <v>16.418516401995451</v>
      </c>
      <c r="K236" s="172">
        <f t="shared" si="606"/>
        <v>76.387655732003026</v>
      </c>
      <c r="L236" s="443"/>
      <c r="M236" s="217">
        <f t="shared" si="607"/>
        <v>0.21493913943626047</v>
      </c>
      <c r="N236" s="172">
        <f t="shared" si="608"/>
        <v>33.191016640836956</v>
      </c>
      <c r="O236" s="172">
        <f t="shared" si="599"/>
        <v>3.2</v>
      </c>
      <c r="P236" s="217">
        <f t="shared" si="609"/>
        <v>2.0744385400523098</v>
      </c>
      <c r="Q236" s="217">
        <f t="shared" si="610"/>
        <v>16</v>
      </c>
      <c r="R236" s="217"/>
      <c r="S236" s="172">
        <f t="shared" si="611"/>
        <v>689.67986299021595</v>
      </c>
      <c r="T236" s="172">
        <f t="shared" si="612"/>
        <v>16</v>
      </c>
      <c r="U236" s="217">
        <f t="shared" si="613"/>
        <v>0.49651989206391595</v>
      </c>
      <c r="V236" s="217">
        <f t="shared" si="614"/>
        <v>9.9355081152308386E-2</v>
      </c>
      <c r="W236" s="217">
        <f t="shared" si="615"/>
        <v>0.36289750906134538</v>
      </c>
      <c r="X236" s="197">
        <f t="shared" si="616"/>
        <v>350</v>
      </c>
      <c r="Y236" s="443">
        <f t="shared" si="680"/>
        <v>350</v>
      </c>
      <c r="AA236" s="217">
        <f t="shared" si="617"/>
        <v>3.0689460547621121</v>
      </c>
      <c r="AB236" s="173">
        <f t="shared" si="618"/>
        <v>2.2430377846240401</v>
      </c>
      <c r="AC236" s="173">
        <f t="shared" si="619"/>
        <v>1.2046583429657518</v>
      </c>
      <c r="AD236" s="173"/>
      <c r="AE236" s="173">
        <f t="shared" si="620"/>
        <v>0.73088211542314274</v>
      </c>
      <c r="AF236" s="545">
        <f t="shared" si="621"/>
        <v>547.28388006651505</v>
      </c>
      <c r="AG236" s="528">
        <f t="shared" si="622"/>
        <v>0.12790437019904996</v>
      </c>
      <c r="AI236" s="173">
        <f t="shared" si="623"/>
        <v>1.2504672041926856</v>
      </c>
      <c r="AJ236" s="173">
        <f t="shared" si="624"/>
        <v>1.2504672041926856</v>
      </c>
      <c r="AK236" s="173">
        <f t="shared" si="625"/>
        <v>1.3855312623649523</v>
      </c>
      <c r="AM236" s="545">
        <f t="shared" si="626"/>
        <v>200</v>
      </c>
      <c r="AN236" s="460">
        <f t="shared" si="627"/>
        <v>350</v>
      </c>
      <c r="AP236">
        <f t="shared" si="628"/>
        <v>200</v>
      </c>
      <c r="AQ236">
        <f t="shared" si="629"/>
        <v>350</v>
      </c>
      <c r="AS236" s="5">
        <f t="shared" si="600"/>
        <v>2.8571428571428572</v>
      </c>
      <c r="AT236" s="5">
        <f t="shared" si="630"/>
        <v>0.25022214122062059</v>
      </c>
      <c r="AU236" s="5">
        <f t="shared" si="722"/>
        <v>2.6069207159222367</v>
      </c>
      <c r="AV236" s="5"/>
      <c r="AW236" s="173">
        <f t="shared" si="723"/>
        <v>8.7577749427217202E-2</v>
      </c>
      <c r="AX236" s="173">
        <f t="shared" si="631"/>
        <v>3.2837032803990911</v>
      </c>
      <c r="AY236" s="173">
        <f t="shared" si="632"/>
        <v>0.57047705035847285</v>
      </c>
      <c r="AZ236" s="173">
        <f t="shared" si="633"/>
        <v>5.7560655215414851</v>
      </c>
      <c r="BA236" s="460">
        <f t="shared" si="594"/>
        <v>0.31277767652577576</v>
      </c>
      <c r="BB236" s="5">
        <f t="shared" si="595"/>
        <v>0.11592276716757995</v>
      </c>
      <c r="BD236" s="173">
        <f t="shared" si="681"/>
        <v>0.21365279023513262</v>
      </c>
      <c r="BE236" s="173">
        <f t="shared" si="682"/>
        <v>0.68961962569610291</v>
      </c>
      <c r="BG236" s="528">
        <f t="shared" si="683"/>
        <v>9.1295029550515164E-4</v>
      </c>
      <c r="BH236" s="528">
        <f t="shared" si="634"/>
        <v>0.61013564987867441</v>
      </c>
      <c r="BI236" s="528">
        <f t="shared" si="635"/>
        <v>0.48275157160656101</v>
      </c>
      <c r="BJ236" s="528">
        <f t="shared" si="684"/>
        <v>1.0058208718263211</v>
      </c>
      <c r="BK236">
        <f t="shared" si="685"/>
        <v>2.6986112698503411E-2</v>
      </c>
      <c r="BL236" s="460">
        <f t="shared" si="686"/>
        <v>509.73768430506436</v>
      </c>
      <c r="BM236" s="528">
        <f t="shared" si="636"/>
        <v>1.6174668246156503</v>
      </c>
      <c r="BN236" s="460">
        <f t="shared" si="687"/>
        <v>1617.4668246156502</v>
      </c>
      <c r="BO236" s="528">
        <f t="shared" si="637"/>
        <v>0.13999999999999999</v>
      </c>
      <c r="BR236" s="460">
        <f t="shared" si="688"/>
        <v>139.99999999999997</v>
      </c>
      <c r="BS236" s="528">
        <f t="shared" si="689"/>
        <v>1.3694254432577275E-3</v>
      </c>
      <c r="BT236" s="528">
        <f t="shared" si="690"/>
        <v>1.4267256844356991E-2</v>
      </c>
      <c r="BU236" s="528">
        <f t="shared" si="691"/>
        <v>0.20036454767736669</v>
      </c>
      <c r="BV236" s="528"/>
      <c r="BW236" s="528">
        <f t="shared" si="692"/>
        <v>2.736419400332576E-3</v>
      </c>
      <c r="BX236" s="460">
        <f t="shared" si="693"/>
        <v>218.73764936531398</v>
      </c>
      <c r="BY236" s="173">
        <f t="shared" si="694"/>
        <v>2.4853448056708798</v>
      </c>
      <c r="BZ236" s="5">
        <f t="shared" si="695"/>
        <v>3.2</v>
      </c>
      <c r="CA236" s="173">
        <f t="shared" si="696"/>
        <v>0.56285064659721984</v>
      </c>
      <c r="CB236" s="5">
        <f t="shared" si="697"/>
        <v>56.285064659721982</v>
      </c>
      <c r="CE236" s="562">
        <f t="shared" si="638"/>
        <v>-50</v>
      </c>
      <c r="CF236">
        <f t="shared" si="639"/>
        <v>-50</v>
      </c>
      <c r="CG236" s="173">
        <f t="shared" si="640"/>
        <v>0.32403703492039304</v>
      </c>
      <c r="CI236" s="170">
        <v>20</v>
      </c>
      <c r="CJ236" s="217">
        <f t="shared" si="698"/>
        <v>0.2</v>
      </c>
      <c r="CK236" s="217"/>
      <c r="CL236" s="217">
        <f t="shared" si="641"/>
        <v>3.2</v>
      </c>
      <c r="CM236" s="541">
        <f t="shared" si="642"/>
        <v>60</v>
      </c>
      <c r="CN236" s="443">
        <f t="shared" si="643"/>
        <v>16.399999999999999</v>
      </c>
      <c r="CO236" s="443">
        <f t="shared" si="644"/>
        <v>76.400000000000006</v>
      </c>
      <c r="CP236" s="443"/>
      <c r="CQ236" s="217">
        <f t="shared" si="645"/>
        <v>0.21465968586387432</v>
      </c>
      <c r="CR236" s="172">
        <f t="shared" si="646"/>
        <v>33.164921465968582</v>
      </c>
      <c r="CS236" s="172">
        <f t="shared" si="647"/>
        <v>3.2</v>
      </c>
      <c r="CT236" s="217">
        <f t="shared" si="648"/>
        <v>2.0728075916230364</v>
      </c>
      <c r="CU236" s="217">
        <f t="shared" si="649"/>
        <v>16</v>
      </c>
      <c r="CV236" s="217"/>
      <c r="CW236" s="172">
        <f t="shared" si="650"/>
        <v>690.03476070639238</v>
      </c>
      <c r="CX236" s="172">
        <f t="shared" si="651"/>
        <v>16</v>
      </c>
      <c r="CY236" s="217">
        <f t="shared" si="652"/>
        <v>0.49691056910569115</v>
      </c>
      <c r="CZ236" s="217">
        <f t="shared" si="653"/>
        <v>9.9382113821138235E-2</v>
      </c>
      <c r="DA236" s="217">
        <f t="shared" si="654"/>
        <v>0.36359309934562772</v>
      </c>
      <c r="DB236" s="197">
        <f t="shared" si="655"/>
        <v>350</v>
      </c>
      <c r="DC236" s="443">
        <f t="shared" si="656"/>
        <v>350</v>
      </c>
      <c r="DE236" s="217">
        <f t="shared" si="657"/>
        <v>3.06656694091249</v>
      </c>
      <c r="DF236" s="173">
        <f t="shared" si="658"/>
        <v>2.2438294689603588</v>
      </c>
      <c r="DG236" s="173">
        <f t="shared" si="659"/>
        <v>1.2041493223478366</v>
      </c>
      <c r="DH236" s="173"/>
      <c r="DI236" s="173">
        <f t="shared" si="660"/>
        <v>0.73170731707317083</v>
      </c>
      <c r="DJ236" s="545">
        <f t="shared" si="661"/>
        <v>546.66666666666663</v>
      </c>
      <c r="DK236" s="528">
        <f t="shared" si="662"/>
        <v>0.12804878048780488</v>
      </c>
      <c r="DM236" s="173">
        <f t="shared" si="663"/>
        <v>1.2497618820818477</v>
      </c>
      <c r="DN236" s="173">
        <f t="shared" si="664"/>
        <v>1.2497618820818477</v>
      </c>
      <c r="DO236" s="173">
        <f t="shared" si="665"/>
        <v>1.3850088015421094</v>
      </c>
      <c r="DQ236" s="545">
        <f t="shared" si="666"/>
        <v>200</v>
      </c>
      <c r="DR236" s="460">
        <f t="shared" si="667"/>
        <v>350</v>
      </c>
      <c r="DT236">
        <f t="shared" si="668"/>
        <v>200</v>
      </c>
      <c r="DU236">
        <f t="shared" si="669"/>
        <v>350</v>
      </c>
      <c r="DW236" s="5">
        <f t="shared" si="670"/>
        <v>2.8571428571428572</v>
      </c>
      <c r="DX236" s="5">
        <f t="shared" si="671"/>
        <v>0.24995237641636955</v>
      </c>
      <c r="DY236" s="5">
        <f t="shared" si="672"/>
        <v>2.6071904807264876</v>
      </c>
      <c r="DZ236" s="5"/>
      <c r="EA236" s="173">
        <f t="shared" si="673"/>
        <v>8.7483331745729337E-2</v>
      </c>
      <c r="EB236" s="173">
        <f t="shared" si="699"/>
        <v>3.2800000000000007</v>
      </c>
      <c r="EC236" s="173">
        <f t="shared" si="700"/>
        <v>0.5702142743742572</v>
      </c>
      <c r="ED236" s="173">
        <f t="shared" si="701"/>
        <v>5.7522235892803861</v>
      </c>
      <c r="EE236" s="460">
        <f t="shared" si="674"/>
        <v>0.31244047052046192</v>
      </c>
      <c r="EF236" s="5">
        <f t="shared" si="675"/>
        <v>0.11587513247673277</v>
      </c>
      <c r="EH236" s="173">
        <f t="shared" si="702"/>
        <v>0.21341714429800673</v>
      </c>
      <c r="EI236" s="173">
        <f t="shared" si="703"/>
        <v>0.68926630786264653</v>
      </c>
      <c r="EK236" s="528">
        <f t="shared" si="704"/>
        <v>9.1093754960632465E-4</v>
      </c>
      <c r="EL236" s="528">
        <f t="shared" si="705"/>
        <v>0.63495402181050353</v>
      </c>
      <c r="EM236" s="528">
        <f t="shared" si="706"/>
        <v>4.0250000000000001E-2</v>
      </c>
      <c r="EN236" s="528">
        <f t="shared" si="707"/>
        <v>1.0061459800000001</v>
      </c>
      <c r="EO236">
        <f t="shared" si="708"/>
        <v>2.7E-2</v>
      </c>
      <c r="EP236" s="460">
        <f t="shared" si="709"/>
        <v>67.25</v>
      </c>
      <c r="EQ236" s="460"/>
      <c r="ER236" s="460">
        <f t="shared" si="710"/>
        <v>1709.2609393601099</v>
      </c>
      <c r="ES236" s="528">
        <f t="shared" si="711"/>
        <v>0.13999999999999999</v>
      </c>
      <c r="EV236" s="460">
        <f t="shared" si="712"/>
        <v>139.99999999999997</v>
      </c>
      <c r="EW236" s="528">
        <f t="shared" si="713"/>
        <v>1.3664063244094868E-3</v>
      </c>
      <c r="EX236" s="528">
        <f t="shared" si="714"/>
        <v>1.4252641294638138E-2</v>
      </c>
      <c r="EY236" s="528">
        <f t="shared" si="715"/>
        <v>0.20008212970016923</v>
      </c>
      <c r="EZ236" s="528"/>
      <c r="FA236" s="528">
        <f t="shared" si="716"/>
        <v>2.7333333333333337E-3</v>
      </c>
      <c r="FB236" s="460">
        <f t="shared" si="717"/>
        <v>218.43451065255019</v>
      </c>
      <c r="FC236" s="173">
        <f t="shared" si="718"/>
        <v>2.0676954500126601</v>
      </c>
      <c r="FD236" s="5">
        <f t="shared" si="719"/>
        <v>3.2</v>
      </c>
      <c r="FE236" s="173">
        <f t="shared" si="720"/>
        <v>0.60747627313805885</v>
      </c>
      <c r="FF236" s="5">
        <f t="shared" si="721"/>
        <v>60.747627313805886</v>
      </c>
      <c r="FI236" s="562">
        <f t="shared" si="676"/>
        <v>-50</v>
      </c>
      <c r="FJ236">
        <f t="shared" si="677"/>
        <v>-50</v>
      </c>
      <c r="FL236">
        <f t="shared" si="678"/>
        <v>0.32006096980144877</v>
      </c>
    </row>
    <row r="237" spans="5:168">
      <c r="E237" s="170">
        <v>21</v>
      </c>
      <c r="F237" s="217">
        <f t="shared" si="679"/>
        <v>0.21</v>
      </c>
      <c r="G237" s="217"/>
      <c r="H237" s="217">
        <f t="shared" si="603"/>
        <v>3.36</v>
      </c>
      <c r="I237" s="541">
        <f t="shared" si="604"/>
        <v>59.968377223398313</v>
      </c>
      <c r="J237" s="172">
        <f t="shared" si="605"/>
        <v>16.418973665961008</v>
      </c>
      <c r="K237" s="172">
        <f t="shared" si="606"/>
        <v>76.387350889359325</v>
      </c>
      <c r="L237" s="443"/>
      <c r="M237" s="217">
        <f t="shared" si="607"/>
        <v>0.21494604168510684</v>
      </c>
      <c r="N237" s="172">
        <f t="shared" si="608"/>
        <v>33.191660674405625</v>
      </c>
      <c r="O237" s="172">
        <f t="shared" si="599"/>
        <v>3.36</v>
      </c>
      <c r="P237" s="217">
        <f t="shared" si="609"/>
        <v>2.0744787921503516</v>
      </c>
      <c r="Q237" s="217">
        <f t="shared" si="610"/>
        <v>16</v>
      </c>
      <c r="R237" s="217"/>
      <c r="S237" s="172">
        <f t="shared" si="611"/>
        <v>653.97753218195885</v>
      </c>
      <c r="T237" s="172">
        <f t="shared" si="612"/>
        <v>16</v>
      </c>
      <c r="U237" s="217">
        <f t="shared" si="613"/>
        <v>0.52133577074506743</v>
      </c>
      <c r="V237" s="217">
        <f t="shared" si="614"/>
        <v>0.1043221367427606</v>
      </c>
      <c r="W237" s="217">
        <f t="shared" si="615"/>
        <v>0.38102437924670618</v>
      </c>
      <c r="X237" s="197">
        <f t="shared" si="616"/>
        <v>350</v>
      </c>
      <c r="Y237" s="443">
        <f t="shared" si="680"/>
        <v>350</v>
      </c>
      <c r="AA237" s="217">
        <f t="shared" si="617"/>
        <v>3.0690047718188667</v>
      </c>
      <c r="AB237" s="173">
        <f t="shared" si="618"/>
        <v>2.2430182306812805</v>
      </c>
      <c r="AC237" s="173">
        <f t="shared" si="619"/>
        <v>1.2046708893165732</v>
      </c>
      <c r="AD237" s="173"/>
      <c r="AE237" s="173">
        <f t="shared" si="620"/>
        <v>0.7308617605543638</v>
      </c>
      <c r="AF237" s="545">
        <f t="shared" si="621"/>
        <v>574.66407830863523</v>
      </c>
      <c r="AG237" s="528">
        <f t="shared" si="622"/>
        <v>0.12790080809701368</v>
      </c>
      <c r="AI237" s="173">
        <f t="shared" si="623"/>
        <v>1.2813654305451279</v>
      </c>
      <c r="AJ237" s="173">
        <f t="shared" si="624"/>
        <v>1.2813654305451279</v>
      </c>
      <c r="AK237" s="173">
        <f t="shared" si="625"/>
        <v>1.4084188374408355</v>
      </c>
      <c r="AM237" s="545">
        <f t="shared" si="626"/>
        <v>210</v>
      </c>
      <c r="AN237" s="460">
        <f t="shared" si="627"/>
        <v>350</v>
      </c>
      <c r="AP237">
        <f t="shared" si="628"/>
        <v>210</v>
      </c>
      <c r="AQ237">
        <f t="shared" si="629"/>
        <v>350</v>
      </c>
      <c r="AS237" s="5">
        <f t="shared" si="600"/>
        <v>2.8571428571428572</v>
      </c>
      <c r="AT237" s="5">
        <f t="shared" si="630"/>
        <v>0.25640822510938338</v>
      </c>
      <c r="AU237" s="5">
        <f t="shared" si="722"/>
        <v>2.6007346320334737</v>
      </c>
      <c r="AV237" s="5"/>
      <c r="AW237" s="173">
        <f t="shared" si="723"/>
        <v>8.9742878788284186E-2</v>
      </c>
      <c r="AX237" s="173">
        <f t="shared" si="631"/>
        <v>3.4479844698518121</v>
      </c>
      <c r="AY237" s="173">
        <f t="shared" si="632"/>
        <v>0.58318600401410947</v>
      </c>
      <c r="AZ237" s="173">
        <f t="shared" si="633"/>
        <v>5.9123237631203374</v>
      </c>
      <c r="BA237" s="460">
        <f t="shared" si="594"/>
        <v>0.33653579545606571</v>
      </c>
      <c r="BB237" s="5">
        <f t="shared" si="595"/>
        <v>0.12143161624277587</v>
      </c>
      <c r="BD237" s="173">
        <f t="shared" si="681"/>
        <v>0.22162174709268107</v>
      </c>
      <c r="BE237" s="173">
        <f t="shared" si="682"/>
        <v>0.70582074453382859</v>
      </c>
      <c r="BG237" s="528">
        <f t="shared" si="683"/>
        <v>9.823239756882457E-4</v>
      </c>
      <c r="BH237" s="528">
        <f t="shared" si="634"/>
        <v>0.62520920748298547</v>
      </c>
      <c r="BI237" s="528">
        <f t="shared" si="635"/>
        <v>0.48274543664835645</v>
      </c>
      <c r="BJ237" s="528">
        <f t="shared" si="684"/>
        <v>1.0058128439197465</v>
      </c>
      <c r="BK237">
        <f t="shared" si="685"/>
        <v>2.6985769750529239E-2</v>
      </c>
      <c r="BL237" s="460">
        <f t="shared" si="686"/>
        <v>509.73120639888572</v>
      </c>
      <c r="BM237" s="528">
        <f t="shared" si="636"/>
        <v>1.6326506638051528</v>
      </c>
      <c r="BN237" s="460">
        <f t="shared" si="687"/>
        <v>1632.6506638051528</v>
      </c>
      <c r="BO237" s="528">
        <f t="shared" si="637"/>
        <v>0.14699999999999999</v>
      </c>
      <c r="BR237" s="460">
        <f t="shared" si="688"/>
        <v>147</v>
      </c>
      <c r="BS237" s="528">
        <f t="shared" si="689"/>
        <v>1.4734859635323685E-3</v>
      </c>
      <c r="BT237" s="528">
        <f t="shared" si="690"/>
        <v>1.4945487702428643E-2</v>
      </c>
      <c r="BU237" s="528">
        <f t="shared" si="691"/>
        <v>0.21297205578833189</v>
      </c>
      <c r="BV237" s="528"/>
      <c r="BW237" s="528">
        <f t="shared" si="692"/>
        <v>2.8733203915431767E-3</v>
      </c>
      <c r="BX237" s="460">
        <f t="shared" si="693"/>
        <v>232.26434984583608</v>
      </c>
      <c r="BY237" s="173">
        <f t="shared" si="694"/>
        <v>2.5209999316231415</v>
      </c>
      <c r="BZ237" s="5">
        <f t="shared" si="695"/>
        <v>3.36</v>
      </c>
      <c r="CA237" s="173">
        <f t="shared" si="696"/>
        <v>0.57133141286615319</v>
      </c>
      <c r="CB237" s="5">
        <f t="shared" si="697"/>
        <v>57.13314128661532</v>
      </c>
      <c r="CE237" s="562">
        <f t="shared" si="638"/>
        <v>-50</v>
      </c>
      <c r="CF237">
        <f t="shared" si="639"/>
        <v>-50</v>
      </c>
      <c r="CG237" s="173">
        <f t="shared" si="640"/>
        <v>0.33203915431767983</v>
      </c>
      <c r="CI237" s="170">
        <v>21</v>
      </c>
      <c r="CJ237" s="217">
        <f t="shared" si="698"/>
        <v>0.21</v>
      </c>
      <c r="CK237" s="217"/>
      <c r="CL237" s="217">
        <f t="shared" si="641"/>
        <v>3.36</v>
      </c>
      <c r="CM237" s="541">
        <f t="shared" si="642"/>
        <v>60</v>
      </c>
      <c r="CN237" s="443">
        <f t="shared" si="643"/>
        <v>16.399999999999999</v>
      </c>
      <c r="CO237" s="443">
        <f t="shared" si="644"/>
        <v>76.400000000000006</v>
      </c>
      <c r="CP237" s="443"/>
      <c r="CQ237" s="217">
        <f t="shared" si="645"/>
        <v>0.21465968586387432</v>
      </c>
      <c r="CR237" s="172">
        <f t="shared" si="646"/>
        <v>33.164921465968582</v>
      </c>
      <c r="CS237" s="172">
        <f t="shared" si="647"/>
        <v>3.36</v>
      </c>
      <c r="CT237" s="217">
        <f t="shared" si="648"/>
        <v>2.0728075916230364</v>
      </c>
      <c r="CU237" s="217">
        <f t="shared" si="649"/>
        <v>16</v>
      </c>
      <c r="CV237" s="217"/>
      <c r="CW237" s="172">
        <f t="shared" si="650"/>
        <v>654.32237104445869</v>
      </c>
      <c r="CX237" s="172">
        <f t="shared" si="651"/>
        <v>16</v>
      </c>
      <c r="CY237" s="217">
        <f t="shared" si="652"/>
        <v>0.52175609756097563</v>
      </c>
      <c r="CZ237" s="217">
        <f t="shared" si="653"/>
        <v>0.10435121951219513</v>
      </c>
      <c r="DA237" s="217">
        <f t="shared" si="654"/>
        <v>0.38177275431290908</v>
      </c>
      <c r="DB237" s="197">
        <f t="shared" si="655"/>
        <v>350</v>
      </c>
      <c r="DC237" s="443">
        <f t="shared" si="656"/>
        <v>350</v>
      </c>
      <c r="DE237" s="217">
        <f t="shared" si="657"/>
        <v>3.06656694091249</v>
      </c>
      <c r="DF237" s="173">
        <f t="shared" si="658"/>
        <v>2.2438294689603588</v>
      </c>
      <c r="DG237" s="173">
        <f t="shared" si="659"/>
        <v>1.2041493223478366</v>
      </c>
      <c r="DH237" s="173"/>
      <c r="DI237" s="173">
        <f t="shared" si="660"/>
        <v>0.73170731707317083</v>
      </c>
      <c r="DJ237" s="545">
        <f t="shared" si="661"/>
        <v>573.99999999999989</v>
      </c>
      <c r="DK237" s="528">
        <f t="shared" si="662"/>
        <v>0.12804878048780488</v>
      </c>
      <c r="DM237" s="173">
        <f t="shared" si="663"/>
        <v>1.2806248474865698</v>
      </c>
      <c r="DN237" s="173">
        <f t="shared" si="664"/>
        <v>1.2806248474865698</v>
      </c>
      <c r="DO237" s="173">
        <f t="shared" si="665"/>
        <v>1.4078702573974591</v>
      </c>
      <c r="DQ237" s="545">
        <f t="shared" si="666"/>
        <v>210</v>
      </c>
      <c r="DR237" s="460">
        <f t="shared" si="667"/>
        <v>350</v>
      </c>
      <c r="DT237">
        <f t="shared" si="668"/>
        <v>210</v>
      </c>
      <c r="DU237">
        <f t="shared" si="669"/>
        <v>350</v>
      </c>
      <c r="DW237" s="5">
        <f t="shared" si="670"/>
        <v>2.8571428571428572</v>
      </c>
      <c r="DX237" s="5">
        <f t="shared" si="671"/>
        <v>0.25612496949731395</v>
      </c>
      <c r="DY237" s="5">
        <f t="shared" si="672"/>
        <v>2.6010178876455434</v>
      </c>
      <c r="DZ237" s="5"/>
      <c r="EA237" s="173">
        <f t="shared" si="673"/>
        <v>8.9643739324059876E-2</v>
      </c>
      <c r="EB237" s="173">
        <f t="shared" si="699"/>
        <v>3.444</v>
      </c>
      <c r="EC237" s="173">
        <f t="shared" si="700"/>
        <v>0.58291242374328489</v>
      </c>
      <c r="ED237" s="173">
        <f t="shared" si="701"/>
        <v>5.9082631622151531</v>
      </c>
      <c r="EE237" s="460">
        <f t="shared" si="674"/>
        <v>0.33616402246522459</v>
      </c>
      <c r="EF237" s="5">
        <f t="shared" si="675"/>
        <v>0.12138083475679201</v>
      </c>
      <c r="EH237" s="173">
        <f t="shared" si="702"/>
        <v>0.22137128125350722</v>
      </c>
      <c r="EI237" s="173">
        <f t="shared" si="703"/>
        <v>0.70545121908098463</v>
      </c>
      <c r="EK237" s="528">
        <f t="shared" si="704"/>
        <v>9.801048832763881E-4</v>
      </c>
      <c r="EL237" s="528">
        <f t="shared" si="705"/>
        <v>0.65063426001402669</v>
      </c>
      <c r="EM237" s="528">
        <f t="shared" si="706"/>
        <v>4.0250000000000001E-2</v>
      </c>
      <c r="EN237" s="528">
        <f t="shared" si="707"/>
        <v>1.0061459800000001</v>
      </c>
      <c r="EO237">
        <f t="shared" si="708"/>
        <v>2.7E-2</v>
      </c>
      <c r="EP237" s="460">
        <f t="shared" si="709"/>
        <v>67.25</v>
      </c>
      <c r="EQ237" s="460"/>
      <c r="ER237" s="460">
        <f t="shared" si="710"/>
        <v>1725.0103448973032</v>
      </c>
      <c r="ES237" s="528">
        <f t="shared" si="711"/>
        <v>0.14699999999999999</v>
      </c>
      <c r="EV237" s="460">
        <f t="shared" si="712"/>
        <v>147</v>
      </c>
      <c r="EW237" s="528">
        <f t="shared" si="713"/>
        <v>1.4701573249145819E-3</v>
      </c>
      <c r="EX237" s="528">
        <f t="shared" si="714"/>
        <v>1.4929842675085422E-2</v>
      </c>
      <c r="EY237" s="528">
        <f t="shared" si="715"/>
        <v>0.21266446372595665</v>
      </c>
      <c r="EZ237" s="528"/>
      <c r="FA237" s="528">
        <f t="shared" si="716"/>
        <v>2.8700000000000002E-3</v>
      </c>
      <c r="FB237" s="460">
        <f t="shared" si="717"/>
        <v>231.93446372595668</v>
      </c>
      <c r="FC237" s="173">
        <f t="shared" si="718"/>
        <v>2.1039448086232597</v>
      </c>
      <c r="FD237" s="5">
        <f t="shared" si="719"/>
        <v>3.36</v>
      </c>
      <c r="FE237" s="173">
        <f t="shared" si="720"/>
        <v>0.61494032565944112</v>
      </c>
      <c r="FF237" s="5">
        <f t="shared" si="721"/>
        <v>61.49403256594411</v>
      </c>
      <c r="FI237" s="562">
        <f t="shared" si="676"/>
        <v>-50</v>
      </c>
      <c r="FJ237">
        <f t="shared" si="677"/>
        <v>-50</v>
      </c>
      <c r="FL237">
        <f t="shared" si="678"/>
        <v>0.32796489996607275</v>
      </c>
    </row>
    <row r="238" spans="5:168">
      <c r="E238" s="170">
        <v>22</v>
      </c>
      <c r="F238" s="217">
        <f t="shared" si="679"/>
        <v>0.22</v>
      </c>
      <c r="G238" s="217"/>
      <c r="H238" s="217">
        <f t="shared" si="603"/>
        <v>3.52</v>
      </c>
      <c r="I238" s="541">
        <f t="shared" si="604"/>
        <v>59.967633056251493</v>
      </c>
      <c r="J238" s="172">
        <f t="shared" si="605"/>
        <v>16.419420166249104</v>
      </c>
      <c r="K238" s="172">
        <f t="shared" si="606"/>
        <v>76.387053222500597</v>
      </c>
      <c r="L238" s="443"/>
      <c r="M238" s="217">
        <f t="shared" si="607"/>
        <v>0.21495278151195929</v>
      </c>
      <c r="N238" s="172">
        <f t="shared" si="608"/>
        <v>33.192289529784169</v>
      </c>
      <c r="O238" s="172">
        <f t="shared" si="599"/>
        <v>3.52</v>
      </c>
      <c r="P238" s="217">
        <f t="shared" si="609"/>
        <v>2.0745180956115106</v>
      </c>
      <c r="Q238" s="217">
        <f t="shared" si="610"/>
        <v>16</v>
      </c>
      <c r="R238" s="217"/>
      <c r="S238" s="172">
        <f t="shared" si="611"/>
        <v>621.52131185655048</v>
      </c>
      <c r="T238" s="172">
        <f t="shared" si="612"/>
        <v>16</v>
      </c>
      <c r="U238" s="217">
        <f t="shared" si="613"/>
        <v>0.54615093616044019</v>
      </c>
      <c r="V238" s="217">
        <f t="shared" si="614"/>
        <v>0.10928914315790327</v>
      </c>
      <c r="W238" s="217">
        <f t="shared" si="615"/>
        <v>0.39914998017999148</v>
      </c>
      <c r="X238" s="197">
        <f t="shared" si="616"/>
        <v>350</v>
      </c>
      <c r="Y238" s="443">
        <f t="shared" si="680"/>
        <v>350</v>
      </c>
      <c r="AA238" s="217">
        <f t="shared" si="617"/>
        <v>3.0690621050726383</v>
      </c>
      <c r="AB238" s="173">
        <f t="shared" si="618"/>
        <v>2.242999136874205</v>
      </c>
      <c r="AC238" s="173">
        <f t="shared" si="619"/>
        <v>1.20468313922097</v>
      </c>
      <c r="AD238" s="173"/>
      <c r="AE238" s="173">
        <f t="shared" si="620"/>
        <v>0.73084188591912447</v>
      </c>
      <c r="AF238" s="545">
        <f t="shared" si="621"/>
        <v>602.04540609580044</v>
      </c>
      <c r="AG238" s="528">
        <f t="shared" si="622"/>
        <v>0.1278973300358468</v>
      </c>
      <c r="AI238" s="173">
        <f t="shared" si="623"/>
        <v>1.3115371636756188</v>
      </c>
      <c r="AJ238" s="173">
        <f t="shared" si="624"/>
        <v>1.3115371636756188</v>
      </c>
      <c r="AK238" s="173">
        <f t="shared" si="625"/>
        <v>1.4307682693893473</v>
      </c>
      <c r="AM238" s="545">
        <f t="shared" si="626"/>
        <v>220</v>
      </c>
      <c r="AN238" s="460">
        <f t="shared" si="627"/>
        <v>350</v>
      </c>
      <c r="AP238">
        <f t="shared" si="628"/>
        <v>220</v>
      </c>
      <c r="AQ238">
        <f t="shared" si="629"/>
        <v>350</v>
      </c>
      <c r="AS238" s="5">
        <f t="shared" si="600"/>
        <v>2.8571428571428572</v>
      </c>
      <c r="AT238" s="5">
        <f t="shared" si="630"/>
        <v>0.2624490106078437</v>
      </c>
      <c r="AU238" s="5">
        <f t="shared" si="722"/>
        <v>2.5946938465350136</v>
      </c>
      <c r="AV238" s="5"/>
      <c r="AW238" s="173">
        <f t="shared" si="723"/>
        <v>9.185715371274529E-2</v>
      </c>
      <c r="AX238" s="173">
        <f t="shared" si="631"/>
        <v>3.6122724365748025</v>
      </c>
      <c r="AY238" s="173">
        <f t="shared" si="632"/>
        <v>0.59553154641594475</v>
      </c>
      <c r="AZ238" s="173">
        <f t="shared" si="633"/>
        <v>6.065627351421341</v>
      </c>
      <c r="BA238" s="460">
        <f t="shared" si="594"/>
        <v>0.36086738958578507</v>
      </c>
      <c r="BB238" s="5">
        <f t="shared" si="595"/>
        <v>0.12692016612856122</v>
      </c>
      <c r="BD238" s="173">
        <f t="shared" si="681"/>
        <v>0.22949671106636824</v>
      </c>
      <c r="BE238" s="173">
        <f t="shared" si="682"/>
        <v>0.72160088473048278</v>
      </c>
      <c r="BG238" s="528">
        <f t="shared" si="683"/>
        <v>1.0533748078056021E-3</v>
      </c>
      <c r="BH238" s="528">
        <f t="shared" si="634"/>
        <v>0.63992823266079035</v>
      </c>
      <c r="BI238" s="528">
        <f t="shared" si="635"/>
        <v>0.4827394461028246</v>
      </c>
      <c r="BJ238" s="528">
        <f t="shared" si="684"/>
        <v>1.0058050050154543</v>
      </c>
      <c r="BK238">
        <f t="shared" si="685"/>
        <v>2.6985434875313172E-2</v>
      </c>
      <c r="BL238" s="460">
        <f t="shared" si="686"/>
        <v>509.72488097813772</v>
      </c>
      <c r="BM238" s="528">
        <f t="shared" si="636"/>
        <v>1.647483358872202</v>
      </c>
      <c r="BN238" s="460">
        <f t="shared" si="687"/>
        <v>1647.483358872202</v>
      </c>
      <c r="BO238" s="528">
        <f t="shared" si="637"/>
        <v>0.154</v>
      </c>
      <c r="BR238" s="460">
        <f t="shared" si="688"/>
        <v>154</v>
      </c>
      <c r="BS238" s="528">
        <f t="shared" si="689"/>
        <v>1.5800622117084031E-3</v>
      </c>
      <c r="BT238" s="528">
        <f t="shared" si="690"/>
        <v>1.5621235105314464E-2</v>
      </c>
      <c r="BU238" s="528">
        <f t="shared" si="691"/>
        <v>0.22573121456919265</v>
      </c>
      <c r="BV238" s="528"/>
      <c r="BW238" s="528">
        <f t="shared" si="692"/>
        <v>3.010227030479002E-3</v>
      </c>
      <c r="BX238" s="460">
        <f t="shared" si="693"/>
        <v>245.94273891669451</v>
      </c>
      <c r="BY238" s="173">
        <f t="shared" si="694"/>
        <v>2.5564542323788833</v>
      </c>
      <c r="BZ238" s="5">
        <f t="shared" si="695"/>
        <v>3.52</v>
      </c>
      <c r="CA238" s="173">
        <f t="shared" si="696"/>
        <v>0.57928519912869447</v>
      </c>
      <c r="CB238" s="5">
        <f t="shared" si="697"/>
        <v>57.928519912869447</v>
      </c>
      <c r="CE238" s="562">
        <f t="shared" si="638"/>
        <v>-50</v>
      </c>
      <c r="CF238">
        <f t="shared" si="639"/>
        <v>-50</v>
      </c>
      <c r="CG238" s="173">
        <f t="shared" si="640"/>
        <v>0.3398529093593286</v>
      </c>
      <c r="CI238" s="170">
        <v>22</v>
      </c>
      <c r="CJ238" s="217">
        <f t="shared" si="698"/>
        <v>0.22</v>
      </c>
      <c r="CK238" s="217"/>
      <c r="CL238" s="217">
        <f t="shared" si="641"/>
        <v>3.52</v>
      </c>
      <c r="CM238" s="541">
        <f t="shared" si="642"/>
        <v>60</v>
      </c>
      <c r="CN238" s="443">
        <f t="shared" si="643"/>
        <v>16.399999999999999</v>
      </c>
      <c r="CO238" s="443">
        <f t="shared" si="644"/>
        <v>76.400000000000006</v>
      </c>
      <c r="CP238" s="443"/>
      <c r="CQ238" s="217">
        <f t="shared" si="645"/>
        <v>0.21465968586387432</v>
      </c>
      <c r="CR238" s="172">
        <f t="shared" si="646"/>
        <v>33.164921465968582</v>
      </c>
      <c r="CS238" s="172">
        <f t="shared" si="647"/>
        <v>3.52</v>
      </c>
      <c r="CT238" s="217">
        <f t="shared" si="648"/>
        <v>2.0728075916230364</v>
      </c>
      <c r="CU238" s="217">
        <f t="shared" si="649"/>
        <v>16</v>
      </c>
      <c r="CV238" s="217"/>
      <c r="CW238" s="172">
        <f t="shared" si="650"/>
        <v>621.85675110643353</v>
      </c>
      <c r="CX238" s="172">
        <f t="shared" si="651"/>
        <v>16</v>
      </c>
      <c r="CY238" s="217">
        <f t="shared" si="652"/>
        <v>0.54660162601626017</v>
      </c>
      <c r="CZ238" s="217">
        <f t="shared" si="653"/>
        <v>0.10932032520325204</v>
      </c>
      <c r="DA238" s="217">
        <f t="shared" si="654"/>
        <v>0.39995240928019038</v>
      </c>
      <c r="DB238" s="197">
        <f t="shared" si="655"/>
        <v>350</v>
      </c>
      <c r="DC238" s="443">
        <f t="shared" si="656"/>
        <v>350</v>
      </c>
      <c r="DE238" s="217">
        <f t="shared" si="657"/>
        <v>3.06656694091249</v>
      </c>
      <c r="DF238" s="173">
        <f t="shared" si="658"/>
        <v>2.2438294689603588</v>
      </c>
      <c r="DG238" s="173">
        <f t="shared" si="659"/>
        <v>1.2041493223478366</v>
      </c>
      <c r="DH238" s="173"/>
      <c r="DI238" s="173">
        <f t="shared" si="660"/>
        <v>0.73170731707317083</v>
      </c>
      <c r="DJ238" s="545">
        <f t="shared" si="661"/>
        <v>601.33333333333326</v>
      </c>
      <c r="DK238" s="528">
        <f t="shared" si="662"/>
        <v>0.12804878048780488</v>
      </c>
      <c r="DM238" s="173">
        <f t="shared" si="663"/>
        <v>1.3107613200332233</v>
      </c>
      <c r="DN238" s="173">
        <f t="shared" si="664"/>
        <v>1.3107613200332233</v>
      </c>
      <c r="DO238" s="173">
        <f t="shared" si="665"/>
        <v>1.4301935703949802</v>
      </c>
      <c r="DQ238" s="545">
        <f t="shared" si="666"/>
        <v>220</v>
      </c>
      <c r="DR238" s="460">
        <f t="shared" si="667"/>
        <v>350</v>
      </c>
      <c r="DT238">
        <f t="shared" si="668"/>
        <v>220</v>
      </c>
      <c r="DU238">
        <f t="shared" si="669"/>
        <v>350</v>
      </c>
      <c r="DW238" s="5">
        <f t="shared" si="670"/>
        <v>2.8571428571428572</v>
      </c>
      <c r="DX238" s="5">
        <f t="shared" si="671"/>
        <v>0.26215226400664465</v>
      </c>
      <c r="DY238" s="5">
        <f t="shared" si="672"/>
        <v>2.5949905931362127</v>
      </c>
      <c r="DZ238" s="5"/>
      <c r="EA238" s="173">
        <f t="shared" si="673"/>
        <v>9.1753292402325631E-2</v>
      </c>
      <c r="EB238" s="173">
        <f t="shared" si="699"/>
        <v>3.6080000000000005</v>
      </c>
      <c r="EC238" s="173">
        <f t="shared" si="700"/>
        <v>0.59524732668327829</v>
      </c>
      <c r="ED238" s="173">
        <f t="shared" si="701"/>
        <v>6.0613459956280664</v>
      </c>
      <c r="EE238" s="460">
        <f t="shared" si="674"/>
        <v>0.36045936300913639</v>
      </c>
      <c r="EF238" s="5">
        <f t="shared" si="675"/>
        <v>0.12686620677554816</v>
      </c>
      <c r="EH238" s="173">
        <f t="shared" si="702"/>
        <v>0.22923124769251074</v>
      </c>
      <c r="EI238" s="173">
        <f t="shared" si="703"/>
        <v>0.72121525758940197</v>
      </c>
      <c r="EK238" s="528">
        <f t="shared" si="704"/>
        <v>1.0509392983733042E-3</v>
      </c>
      <c r="EL238" s="528">
        <f t="shared" si="705"/>
        <v>0.66594539625607951</v>
      </c>
      <c r="EM238" s="528">
        <f t="shared" si="706"/>
        <v>4.0250000000000001E-2</v>
      </c>
      <c r="EN238" s="528">
        <f t="shared" si="707"/>
        <v>1.0061459800000001</v>
      </c>
      <c r="EO238">
        <f t="shared" si="708"/>
        <v>2.7E-2</v>
      </c>
      <c r="EP238" s="460">
        <f t="shared" si="709"/>
        <v>67.25</v>
      </c>
      <c r="EQ238" s="460"/>
      <c r="ER238" s="460">
        <f t="shared" si="710"/>
        <v>1740.392315554453</v>
      </c>
      <c r="ES238" s="528">
        <f t="shared" si="711"/>
        <v>0.154</v>
      </c>
      <c r="EV238" s="460">
        <f t="shared" si="712"/>
        <v>154</v>
      </c>
      <c r="EW238" s="528">
        <f t="shared" si="713"/>
        <v>1.5764089475599563E-3</v>
      </c>
      <c r="EX238" s="528">
        <f t="shared" si="714"/>
        <v>1.5604543433392423E-2</v>
      </c>
      <c r="EY238" s="528">
        <f t="shared" si="715"/>
        <v>0.22539753276382396</v>
      </c>
      <c r="EZ238" s="528"/>
      <c r="FA238" s="528">
        <f t="shared" si="716"/>
        <v>3.0066666666666666E-3</v>
      </c>
      <c r="FB238" s="460">
        <f t="shared" si="717"/>
        <v>245.58515181144298</v>
      </c>
      <c r="FC238" s="173">
        <f t="shared" si="718"/>
        <v>2.1399774673658962</v>
      </c>
      <c r="FD238" s="5">
        <f t="shared" si="719"/>
        <v>3.52</v>
      </c>
      <c r="FE238" s="173">
        <f t="shared" si="720"/>
        <v>0.62191060305372148</v>
      </c>
      <c r="FF238" s="5">
        <f t="shared" si="721"/>
        <v>62.191060305372147</v>
      </c>
      <c r="FI238" s="562">
        <f t="shared" si="676"/>
        <v>-50</v>
      </c>
      <c r="FJ238">
        <f t="shared" si="677"/>
        <v>-50</v>
      </c>
      <c r="FL238">
        <f t="shared" si="678"/>
        <v>0.33568277708167915</v>
      </c>
    </row>
    <row r="239" spans="5:168">
      <c r="E239" s="170">
        <v>23</v>
      </c>
      <c r="F239" s="217">
        <f t="shared" si="679"/>
        <v>0.23</v>
      </c>
      <c r="G239" s="217"/>
      <c r="H239" s="217">
        <f t="shared" si="603"/>
        <v>3.68</v>
      </c>
      <c r="I239" s="541">
        <f t="shared" si="604"/>
        <v>59.966905618373538</v>
      </c>
      <c r="J239" s="172">
        <f t="shared" si="605"/>
        <v>16.419856628975879</v>
      </c>
      <c r="K239" s="172">
        <f t="shared" si="606"/>
        <v>76.386762247349424</v>
      </c>
      <c r="L239" s="443"/>
      <c r="M239" s="217">
        <f t="shared" si="607"/>
        <v>0.21495936987378295</v>
      </c>
      <c r="N239" s="172">
        <f t="shared" si="608"/>
        <v>33.192904230890946</v>
      </c>
      <c r="O239" s="172">
        <f t="shared" si="599"/>
        <v>3.68</v>
      </c>
      <c r="P239" s="217">
        <f t="shared" si="609"/>
        <v>2.0745565144306841</v>
      </c>
      <c r="Q239" s="217">
        <f t="shared" si="610"/>
        <v>16</v>
      </c>
      <c r="R239" s="217"/>
      <c r="S239" s="172">
        <f t="shared" si="611"/>
        <v>591.88778437793997</v>
      </c>
      <c r="T239" s="172">
        <f t="shared" si="612"/>
        <v>16</v>
      </c>
      <c r="U239" s="217">
        <f t="shared" si="613"/>
        <v>0.57096540477956559</v>
      </c>
      <c r="V239" s="217">
        <f t="shared" si="614"/>
        <v>0.1142561015397049</v>
      </c>
      <c r="W239" s="217">
        <f t="shared" si="615"/>
        <v>0.41727434119393569</v>
      </c>
      <c r="X239" s="197">
        <f t="shared" si="616"/>
        <v>350</v>
      </c>
      <c r="Y239" s="443">
        <f t="shared" si="680"/>
        <v>350</v>
      </c>
      <c r="AA239" s="217">
        <f t="shared" si="617"/>
        <v>3.0691181478745597</v>
      </c>
      <c r="AB239" s="173">
        <f t="shared" si="618"/>
        <v>2.2429804721621247</v>
      </c>
      <c r="AC239" s="173">
        <f t="shared" si="619"/>
        <v>1.2046951126771794</v>
      </c>
      <c r="AD239" s="173"/>
      <c r="AE239" s="173">
        <f t="shared" si="620"/>
        <v>0.73082245912085353</v>
      </c>
      <c r="AF239" s="545">
        <f t="shared" si="621"/>
        <v>629.42783744407541</v>
      </c>
      <c r="AG239" s="528">
        <f t="shared" si="622"/>
        <v>0.12789393034614938</v>
      </c>
      <c r="AI239" s="173">
        <f t="shared" si="623"/>
        <v>1.3410314126970386</v>
      </c>
      <c r="AJ239" s="173">
        <f t="shared" si="624"/>
        <v>1.3410314126970386</v>
      </c>
      <c r="AK239" s="173">
        <f t="shared" si="625"/>
        <v>1.4526158612570657</v>
      </c>
      <c r="AM239" s="545">
        <f t="shared" si="626"/>
        <v>230</v>
      </c>
      <c r="AN239" s="460">
        <f t="shared" si="627"/>
        <v>350</v>
      </c>
      <c r="AP239">
        <f t="shared" si="628"/>
        <v>230</v>
      </c>
      <c r="AQ239">
        <f t="shared" si="629"/>
        <v>350</v>
      </c>
      <c r="AS239" s="5">
        <f t="shared" si="600"/>
        <v>2.8571428571428572</v>
      </c>
      <c r="AT239" s="5">
        <f t="shared" si="630"/>
        <v>0.26835429953273837</v>
      </c>
      <c r="AU239" s="5">
        <f t="shared" si="722"/>
        <v>2.5887885576101191</v>
      </c>
      <c r="AV239" s="5"/>
      <c r="AW239" s="173">
        <f t="shared" si="723"/>
        <v>9.3924004836458422E-2</v>
      </c>
      <c r="AX239" s="173">
        <f t="shared" si="631"/>
        <v>3.7765670246644523</v>
      </c>
      <c r="AY239" s="173">
        <f t="shared" si="632"/>
        <v>0.60753818590251962</v>
      </c>
      <c r="AZ239" s="173">
        <f t="shared" si="633"/>
        <v>6.2161805007437145</v>
      </c>
      <c r="BA239" s="460">
        <f t="shared" si="594"/>
        <v>0.3857593055783114</v>
      </c>
      <c r="BB239" s="5">
        <f t="shared" si="595"/>
        <v>0.13238888174744468</v>
      </c>
      <c r="BD239" s="173">
        <f t="shared" si="681"/>
        <v>0.23728300011007331</v>
      </c>
      <c r="BE239" s="173">
        <f t="shared" si="682"/>
        <v>0.73698837245836835</v>
      </c>
      <c r="BG239" s="528">
        <f t="shared" si="683"/>
        <v>1.126064442824741E-3</v>
      </c>
      <c r="BH239" s="528">
        <f t="shared" si="634"/>
        <v>0.65431664210656237</v>
      </c>
      <c r="BI239" s="528">
        <f t="shared" si="635"/>
        <v>0.48273359022790696</v>
      </c>
      <c r="BJ239" s="528">
        <f t="shared" si="684"/>
        <v>1.0057973423633784</v>
      </c>
      <c r="BK239">
        <f t="shared" si="685"/>
        <v>2.698510752826809E-2</v>
      </c>
      <c r="BL239" s="460">
        <f t="shared" si="686"/>
        <v>509.71869775617506</v>
      </c>
      <c r="BM239" s="528">
        <f t="shared" si="636"/>
        <v>1.6619887562431326</v>
      </c>
      <c r="BN239" s="460">
        <f t="shared" si="687"/>
        <v>1661.9887562431327</v>
      </c>
      <c r="BO239" s="528">
        <f t="shared" si="637"/>
        <v>0.161</v>
      </c>
      <c r="BR239" s="460">
        <f t="shared" si="688"/>
        <v>161</v>
      </c>
      <c r="BS239" s="528">
        <f t="shared" si="689"/>
        <v>1.6890966642371115E-3</v>
      </c>
      <c r="BT239" s="528">
        <f t="shared" si="690"/>
        <v>1.6294555834165038E-2</v>
      </c>
      <c r="BU239" s="528">
        <f t="shared" si="691"/>
        <v>0.23863684176463801</v>
      </c>
      <c r="BV239" s="528"/>
      <c r="BW239" s="528">
        <f t="shared" si="692"/>
        <v>3.1471391872203765E-3</v>
      </c>
      <c r="BX239" s="460">
        <f t="shared" si="693"/>
        <v>259.76763345026058</v>
      </c>
      <c r="BY239" s="173">
        <f t="shared" si="694"/>
        <v>2.591726380119201</v>
      </c>
      <c r="BZ239" s="5">
        <f t="shared" si="695"/>
        <v>3.68</v>
      </c>
      <c r="CA239" s="173">
        <f t="shared" si="696"/>
        <v>0.58676029165833243</v>
      </c>
      <c r="CB239" s="5">
        <f t="shared" si="697"/>
        <v>58.676029165833242</v>
      </c>
      <c r="CE239" s="562">
        <f t="shared" si="638"/>
        <v>-50</v>
      </c>
      <c r="CF239">
        <f t="shared" si="639"/>
        <v>-50</v>
      </c>
      <c r="CG239" s="173">
        <f t="shared" si="640"/>
        <v>0.34749100707788111</v>
      </c>
      <c r="CI239" s="170">
        <v>23</v>
      </c>
      <c r="CJ239" s="217">
        <f t="shared" si="698"/>
        <v>0.23</v>
      </c>
      <c r="CK239" s="217"/>
      <c r="CL239" s="217">
        <f t="shared" si="641"/>
        <v>3.68</v>
      </c>
      <c r="CM239" s="541">
        <f t="shared" si="642"/>
        <v>60</v>
      </c>
      <c r="CN239" s="443">
        <f t="shared" si="643"/>
        <v>16.399999999999999</v>
      </c>
      <c r="CO239" s="443">
        <f t="shared" si="644"/>
        <v>76.400000000000006</v>
      </c>
      <c r="CP239" s="443"/>
      <c r="CQ239" s="217">
        <f t="shared" si="645"/>
        <v>0.21465968586387432</v>
      </c>
      <c r="CR239" s="172">
        <f t="shared" si="646"/>
        <v>33.164921465968582</v>
      </c>
      <c r="CS239" s="172">
        <f t="shared" si="647"/>
        <v>3.68</v>
      </c>
      <c r="CT239" s="217">
        <f t="shared" si="648"/>
        <v>2.0728075916230364</v>
      </c>
      <c r="CU239" s="217">
        <f t="shared" si="649"/>
        <v>16</v>
      </c>
      <c r="CV239" s="217"/>
      <c r="CW239" s="172">
        <f t="shared" si="650"/>
        <v>592.21441155234368</v>
      </c>
      <c r="CX239" s="172">
        <f t="shared" si="651"/>
        <v>16</v>
      </c>
      <c r="CY239" s="217">
        <f t="shared" si="652"/>
        <v>0.57144715447154482</v>
      </c>
      <c r="CZ239" s="217">
        <f t="shared" si="653"/>
        <v>0.11428943089430896</v>
      </c>
      <c r="DA239" s="217">
        <f t="shared" si="654"/>
        <v>0.41813206424747185</v>
      </c>
      <c r="DB239" s="197">
        <f t="shared" si="655"/>
        <v>350</v>
      </c>
      <c r="DC239" s="443">
        <f t="shared" si="656"/>
        <v>350</v>
      </c>
      <c r="DE239" s="217">
        <f t="shared" si="657"/>
        <v>3.06656694091249</v>
      </c>
      <c r="DF239" s="173">
        <f t="shared" si="658"/>
        <v>2.2438294689603588</v>
      </c>
      <c r="DG239" s="173">
        <f t="shared" si="659"/>
        <v>1.2041493223478366</v>
      </c>
      <c r="DH239" s="173"/>
      <c r="DI239" s="173">
        <f t="shared" si="660"/>
        <v>0.73170731707317083</v>
      </c>
      <c r="DJ239" s="545">
        <f t="shared" si="661"/>
        <v>628.66666666666663</v>
      </c>
      <c r="DK239" s="528">
        <f t="shared" si="662"/>
        <v>0.12804878048780488</v>
      </c>
      <c r="DM239" s="173">
        <f t="shared" si="663"/>
        <v>1.3402203088263049</v>
      </c>
      <c r="DN239" s="173">
        <f t="shared" si="664"/>
        <v>1.3402203088263049</v>
      </c>
      <c r="DO239" s="173">
        <f t="shared" si="665"/>
        <v>1.4520150435750407</v>
      </c>
      <c r="DQ239" s="545">
        <f t="shared" si="666"/>
        <v>230</v>
      </c>
      <c r="DR239" s="460">
        <f t="shared" si="667"/>
        <v>350</v>
      </c>
      <c r="DT239">
        <f t="shared" si="668"/>
        <v>230</v>
      </c>
      <c r="DU239">
        <f t="shared" si="669"/>
        <v>350</v>
      </c>
      <c r="DW239" s="5">
        <f t="shared" si="670"/>
        <v>2.8571428571428572</v>
      </c>
      <c r="DX239" s="5">
        <f t="shared" si="671"/>
        <v>0.26804406176526097</v>
      </c>
      <c r="DY239" s="5">
        <f t="shared" si="672"/>
        <v>2.5890987953775961</v>
      </c>
      <c r="DZ239" s="5"/>
      <c r="EA239" s="173">
        <f t="shared" si="673"/>
        <v>9.381542161784133E-2</v>
      </c>
      <c r="EB239" s="173">
        <f t="shared" si="699"/>
        <v>3.7719999999999998</v>
      </c>
      <c r="EC239" s="173">
        <f t="shared" si="700"/>
        <v>0.60724348774648584</v>
      </c>
      <c r="ED239" s="173">
        <f t="shared" si="701"/>
        <v>6.211676331018551</v>
      </c>
      <c r="EE239" s="460">
        <f t="shared" si="674"/>
        <v>0.38531333878756263</v>
      </c>
      <c r="EF239" s="5">
        <f t="shared" si="675"/>
        <v>0.13233171620818823</v>
      </c>
      <c r="EH239" s="173">
        <f t="shared" si="702"/>
        <v>0.23700236766029764</v>
      </c>
      <c r="EI239" s="173">
        <f t="shared" si="703"/>
        <v>0.73658674740560737</v>
      </c>
      <c r="EK239" s="528">
        <f t="shared" si="704"/>
        <v>1.1234024455317379E-3</v>
      </c>
      <c r="EL239" s="528">
        <f t="shared" si="705"/>
        <v>0.68091233010229257</v>
      </c>
      <c r="EM239" s="528">
        <f t="shared" si="706"/>
        <v>4.0250000000000001E-2</v>
      </c>
      <c r="EN239" s="528">
        <f t="shared" si="707"/>
        <v>1.0061459800000001</v>
      </c>
      <c r="EO239">
        <f t="shared" si="708"/>
        <v>2.7E-2</v>
      </c>
      <c r="EP239" s="460">
        <f t="shared" si="709"/>
        <v>67.25</v>
      </c>
      <c r="EQ239" s="460"/>
      <c r="ER239" s="460">
        <f t="shared" si="710"/>
        <v>1755.4317125478242</v>
      </c>
      <c r="ES239" s="528">
        <f t="shared" si="711"/>
        <v>0.161</v>
      </c>
      <c r="EV239" s="460">
        <f t="shared" si="712"/>
        <v>161</v>
      </c>
      <c r="EW239" s="528">
        <f t="shared" si="713"/>
        <v>1.6851036682976068E-3</v>
      </c>
      <c r="EX239" s="528">
        <f t="shared" si="714"/>
        <v>1.6276801093607157E-2</v>
      </c>
      <c r="EY239" s="528">
        <f t="shared" si="715"/>
        <v>0.23827616514403843</v>
      </c>
      <c r="EZ239" s="528"/>
      <c r="FA239" s="528">
        <f t="shared" si="716"/>
        <v>3.143333333333333E-3</v>
      </c>
      <c r="FB239" s="460">
        <f t="shared" si="717"/>
        <v>259.38140323927655</v>
      </c>
      <c r="FC239" s="173">
        <f t="shared" si="718"/>
        <v>2.175813115787101</v>
      </c>
      <c r="FD239" s="5">
        <f t="shared" si="719"/>
        <v>3.68</v>
      </c>
      <c r="FE239" s="173">
        <f t="shared" si="720"/>
        <v>0.62843535598477818</v>
      </c>
      <c r="FF239" s="5">
        <f t="shared" si="721"/>
        <v>62.843535598477814</v>
      </c>
      <c r="FI239" s="562">
        <f t="shared" si="676"/>
        <v>-50</v>
      </c>
      <c r="FJ239">
        <f t="shared" si="677"/>
        <v>-50</v>
      </c>
      <c r="FL239">
        <f t="shared" si="678"/>
        <v>0.34322715226039519</v>
      </c>
    </row>
    <row r="240" spans="5:168">
      <c r="E240" s="170">
        <v>24</v>
      </c>
      <c r="F240" s="217">
        <f t="shared" si="679"/>
        <v>0.24</v>
      </c>
      <c r="G240" s="217"/>
      <c r="H240" s="217">
        <f t="shared" si="603"/>
        <v>3.84</v>
      </c>
      <c r="I240" s="541">
        <f t="shared" si="604"/>
        <v>59.966193829810862</v>
      </c>
      <c r="J240" s="172">
        <f t="shared" si="605"/>
        <v>16.420283702113483</v>
      </c>
      <c r="K240" s="172">
        <f t="shared" si="606"/>
        <v>76.386477531924342</v>
      </c>
      <c r="L240" s="443"/>
      <c r="M240" s="217">
        <f t="shared" si="607"/>
        <v>0.21496581654836389</v>
      </c>
      <c r="N240" s="172">
        <f t="shared" si="608"/>
        <v>33.193505691451094</v>
      </c>
      <c r="O240" s="172">
        <f t="shared" si="599"/>
        <v>3.84</v>
      </c>
      <c r="P240" s="217">
        <f t="shared" si="609"/>
        <v>2.0745941057156934</v>
      </c>
      <c r="Q240" s="217">
        <f t="shared" si="610"/>
        <v>16</v>
      </c>
      <c r="R240" s="217"/>
      <c r="S240" s="172">
        <f t="shared" si="611"/>
        <v>564.72410318355583</v>
      </c>
      <c r="T240" s="172">
        <f t="shared" si="612"/>
        <v>16</v>
      </c>
      <c r="U240" s="217">
        <f t="shared" si="613"/>
        <v>0.5957791919849329</v>
      </c>
      <c r="V240" s="217">
        <f t="shared" si="614"/>
        <v>0.11922301295476008</v>
      </c>
      <c r="W240" s="217">
        <f t="shared" si="615"/>
        <v>0.43539748968521103</v>
      </c>
      <c r="X240" s="197">
        <f t="shared" si="616"/>
        <v>350</v>
      </c>
      <c r="Y240" s="443">
        <f t="shared" si="680"/>
        <v>350</v>
      </c>
      <c r="AA240" s="217">
        <f t="shared" si="617"/>
        <v>3.0691729835293966</v>
      </c>
      <c r="AB240" s="173">
        <f t="shared" si="618"/>
        <v>2.2429622088449239</v>
      </c>
      <c r="AC240" s="173">
        <f t="shared" si="619"/>
        <v>1.2047068275312456</v>
      </c>
      <c r="AD240" s="173"/>
      <c r="AE240" s="173">
        <f t="shared" si="620"/>
        <v>0.73080345124947255</v>
      </c>
      <c r="AF240" s="545">
        <f t="shared" si="621"/>
        <v>656.8113480845393</v>
      </c>
      <c r="AG240" s="528">
        <f t="shared" si="622"/>
        <v>0.1278906039686577</v>
      </c>
      <c r="AI240" s="173">
        <f t="shared" si="623"/>
        <v>1.3698919124040816</v>
      </c>
      <c r="AJ240" s="173">
        <f t="shared" si="624"/>
        <v>1.3698919124040816</v>
      </c>
      <c r="AK240" s="173">
        <f t="shared" si="625"/>
        <v>1.4739940091882087</v>
      </c>
      <c r="AM240" s="545">
        <f t="shared" si="626"/>
        <v>240</v>
      </c>
      <c r="AN240" s="460">
        <f t="shared" si="627"/>
        <v>350</v>
      </c>
      <c r="AP240">
        <f t="shared" si="628"/>
        <v>240</v>
      </c>
      <c r="AQ240">
        <f t="shared" si="629"/>
        <v>350</v>
      </c>
      <c r="AS240" s="5">
        <f t="shared" si="600"/>
        <v>2.8571428571428572</v>
      </c>
      <c r="AT240" s="5">
        <f t="shared" si="630"/>
        <v>0.27413283883755252</v>
      </c>
      <c r="AU240" s="5">
        <f t="shared" si="722"/>
        <v>2.5830100183053046</v>
      </c>
      <c r="AV240" s="5"/>
      <c r="AW240" s="173">
        <f t="shared" si="723"/>
        <v>9.5946493593143375E-2</v>
      </c>
      <c r="AX240" s="173">
        <f t="shared" si="631"/>
        <v>3.9408680885072354</v>
      </c>
      <c r="AY240" s="173">
        <f t="shared" si="632"/>
        <v>0.6192277934036523</v>
      </c>
      <c r="AZ240" s="173">
        <f t="shared" si="633"/>
        <v>6.3641653854808897</v>
      </c>
      <c r="BA240" s="460">
        <f t="shared" si="594"/>
        <v>0.41119925825632875</v>
      </c>
      <c r="BB240" s="5">
        <f t="shared" si="595"/>
        <v>0.13783819733557776</v>
      </c>
      <c r="BD240" s="173">
        <f t="shared" si="681"/>
        <v>0.24498541414482519</v>
      </c>
      <c r="BE240" s="173">
        <f t="shared" si="682"/>
        <v>0.75200848670720399</v>
      </c>
      <c r="BG240" s="528">
        <f t="shared" si="683"/>
        <v>1.2003570628742303E-3</v>
      </c>
      <c r="BH240" s="528">
        <f t="shared" si="634"/>
        <v>0.6683957786209731</v>
      </c>
      <c r="BI240" s="528">
        <f t="shared" si="635"/>
        <v>0.48272786032997744</v>
      </c>
      <c r="BJ240" s="528">
        <f t="shared" si="684"/>
        <v>1.0057898445856019</v>
      </c>
      <c r="BK240">
        <f t="shared" si="685"/>
        <v>2.6984787223414887E-2</v>
      </c>
      <c r="BL240" s="460">
        <f t="shared" si="686"/>
        <v>509.71264755339229</v>
      </c>
      <c r="BM240" s="528">
        <f t="shared" si="636"/>
        <v>1.6761881336417708</v>
      </c>
      <c r="BN240" s="460">
        <f t="shared" si="687"/>
        <v>1676.1881336417707</v>
      </c>
      <c r="BO240" s="528">
        <f t="shared" si="637"/>
        <v>0.16799999999999998</v>
      </c>
      <c r="BR240" s="460">
        <f t="shared" si="688"/>
        <v>167.99999999999997</v>
      </c>
      <c r="BS240" s="528">
        <f t="shared" si="689"/>
        <v>1.8005355943113454E-3</v>
      </c>
      <c r="BT240" s="528">
        <f t="shared" si="690"/>
        <v>1.6965502922389769E-2</v>
      </c>
      <c r="BU240" s="528">
        <f t="shared" si="691"/>
        <v>0.25168415175833436</v>
      </c>
      <c r="BV240" s="528"/>
      <c r="BW240" s="528">
        <f t="shared" si="692"/>
        <v>3.2840567404226963E-3</v>
      </c>
      <c r="BX240" s="460">
        <f t="shared" si="693"/>
        <v>273.73424701545815</v>
      </c>
      <c r="BY240" s="173">
        <f t="shared" si="694"/>
        <v>2.6268328748383003</v>
      </c>
      <c r="BZ240" s="5">
        <f t="shared" si="695"/>
        <v>3.84</v>
      </c>
      <c r="CA240" s="173">
        <f t="shared" si="696"/>
        <v>0.59379917098847512</v>
      </c>
      <c r="CB240" s="5">
        <f t="shared" si="697"/>
        <v>59.379917098847514</v>
      </c>
      <c r="CE240" s="562">
        <f t="shared" si="638"/>
        <v>-50</v>
      </c>
      <c r="CF240">
        <f t="shared" si="639"/>
        <v>-50</v>
      </c>
      <c r="CG240" s="173">
        <f t="shared" si="640"/>
        <v>0.35496478698597694</v>
      </c>
      <c r="CI240" s="170">
        <v>24</v>
      </c>
      <c r="CJ240" s="217">
        <f t="shared" si="698"/>
        <v>0.24</v>
      </c>
      <c r="CK240" s="217"/>
      <c r="CL240" s="217">
        <f t="shared" si="641"/>
        <v>3.84</v>
      </c>
      <c r="CM240" s="541">
        <f t="shared" si="642"/>
        <v>60</v>
      </c>
      <c r="CN240" s="443">
        <f t="shared" si="643"/>
        <v>16.399999999999999</v>
      </c>
      <c r="CO240" s="443">
        <f t="shared" si="644"/>
        <v>76.400000000000006</v>
      </c>
      <c r="CP240" s="443"/>
      <c r="CQ240" s="217">
        <f t="shared" si="645"/>
        <v>0.21465968586387432</v>
      </c>
      <c r="CR240" s="172">
        <f t="shared" si="646"/>
        <v>33.164921465968582</v>
      </c>
      <c r="CS240" s="172">
        <f t="shared" si="647"/>
        <v>3.84</v>
      </c>
      <c r="CT240" s="217">
        <f t="shared" si="648"/>
        <v>2.0728075916230364</v>
      </c>
      <c r="CU240" s="217">
        <f t="shared" si="649"/>
        <v>16</v>
      </c>
      <c r="CV240" s="217"/>
      <c r="CW240" s="172">
        <f t="shared" si="650"/>
        <v>565.04244463822556</v>
      </c>
      <c r="CX240" s="172">
        <f t="shared" si="651"/>
        <v>16</v>
      </c>
      <c r="CY240" s="217">
        <f t="shared" si="652"/>
        <v>0.59629268292682935</v>
      </c>
      <c r="CZ240" s="217">
        <f t="shared" si="653"/>
        <v>0.11925853658536587</v>
      </c>
      <c r="DA240" s="217">
        <f t="shared" si="654"/>
        <v>0.4363117192147532</v>
      </c>
      <c r="DB240" s="197">
        <f t="shared" si="655"/>
        <v>350</v>
      </c>
      <c r="DC240" s="443">
        <f t="shared" si="656"/>
        <v>350</v>
      </c>
      <c r="DE240" s="217">
        <f t="shared" si="657"/>
        <v>3.06656694091249</v>
      </c>
      <c r="DF240" s="173">
        <f t="shared" si="658"/>
        <v>2.2438294689603588</v>
      </c>
      <c r="DG240" s="173">
        <f t="shared" si="659"/>
        <v>1.2041493223478366</v>
      </c>
      <c r="DH240" s="173"/>
      <c r="DI240" s="173">
        <f t="shared" si="660"/>
        <v>0.73170731707317083</v>
      </c>
      <c r="DJ240" s="545">
        <f t="shared" si="661"/>
        <v>655.99999999999989</v>
      </c>
      <c r="DK240" s="528">
        <f t="shared" si="662"/>
        <v>0.12804878048780488</v>
      </c>
      <c r="DM240" s="173">
        <f t="shared" si="663"/>
        <v>1.3690455486526787</v>
      </c>
      <c r="DN240" s="173">
        <f t="shared" si="664"/>
        <v>1.3690455486526787</v>
      </c>
      <c r="DO240" s="173">
        <f t="shared" si="665"/>
        <v>1.4733670730760582</v>
      </c>
      <c r="DQ240" s="545">
        <f t="shared" si="666"/>
        <v>240</v>
      </c>
      <c r="DR240" s="460">
        <f t="shared" si="667"/>
        <v>350</v>
      </c>
      <c r="DT240">
        <f t="shared" si="668"/>
        <v>240</v>
      </c>
      <c r="DU240">
        <f t="shared" si="669"/>
        <v>350</v>
      </c>
      <c r="DW240" s="5">
        <f t="shared" si="670"/>
        <v>2.8571428571428572</v>
      </c>
      <c r="DX240" s="5">
        <f t="shared" si="671"/>
        <v>0.27380910973053579</v>
      </c>
      <c r="DY240" s="5">
        <f t="shared" si="672"/>
        <v>2.5833337474123215</v>
      </c>
      <c r="DZ240" s="5"/>
      <c r="EA240" s="173">
        <f t="shared" si="673"/>
        <v>9.5833188405687525E-2</v>
      </c>
      <c r="EB240" s="173">
        <f t="shared" si="699"/>
        <v>3.9360000000000004</v>
      </c>
      <c r="EC240" s="173">
        <f t="shared" si="700"/>
        <v>0.61892277432633935</v>
      </c>
      <c r="ED240" s="173">
        <f t="shared" si="701"/>
        <v>6.3594363679444541</v>
      </c>
      <c r="EE240" s="460">
        <f t="shared" si="674"/>
        <v>0.41071366459580366</v>
      </c>
      <c r="EF240" s="5">
        <f t="shared" si="675"/>
        <v>0.13777779986199046</v>
      </c>
      <c r="EH240" s="173">
        <f t="shared" si="702"/>
        <v>0.24468944670284376</v>
      </c>
      <c r="EI240" s="173">
        <f t="shared" si="703"/>
        <v>0.75159096550860749</v>
      </c>
      <c r="EK240" s="528">
        <f t="shared" si="704"/>
        <v>1.1974585065548764E-3</v>
      </c>
      <c r="EL240" s="528">
        <f t="shared" si="705"/>
        <v>0.69555728144847995</v>
      </c>
      <c r="EM240" s="528">
        <f t="shared" si="706"/>
        <v>4.0250000000000001E-2</v>
      </c>
      <c r="EN240" s="528">
        <f t="shared" si="707"/>
        <v>1.0061459800000001</v>
      </c>
      <c r="EO240">
        <f t="shared" si="708"/>
        <v>2.7E-2</v>
      </c>
      <c r="EP240" s="460">
        <f t="shared" si="709"/>
        <v>67.25</v>
      </c>
      <c r="EQ240" s="460"/>
      <c r="ER240" s="460">
        <f t="shared" si="710"/>
        <v>1770.1507199550349</v>
      </c>
      <c r="ES240" s="528">
        <f t="shared" si="711"/>
        <v>0.16799999999999998</v>
      </c>
      <c r="EV240" s="460">
        <f t="shared" si="712"/>
        <v>167.99999999999997</v>
      </c>
      <c r="EW240" s="528">
        <f t="shared" si="713"/>
        <v>1.7961877598323146E-3</v>
      </c>
      <c r="EX240" s="528">
        <f t="shared" si="714"/>
        <v>1.6946669383024825E-2</v>
      </c>
      <c r="EY240" s="528">
        <f t="shared" si="715"/>
        <v>0.25129558525032702</v>
      </c>
      <c r="EZ240" s="528"/>
      <c r="FA240" s="528">
        <f t="shared" si="716"/>
        <v>3.2799999999999995E-3</v>
      </c>
      <c r="FB240" s="460">
        <f t="shared" si="717"/>
        <v>273.31844239318417</v>
      </c>
      <c r="FC240" s="173">
        <f t="shared" si="718"/>
        <v>2.211469162348219</v>
      </c>
      <c r="FD240" s="5">
        <f t="shared" si="719"/>
        <v>3.84</v>
      </c>
      <c r="FE240" s="173">
        <f t="shared" si="720"/>
        <v>0.63455665012592111</v>
      </c>
      <c r="FF240" s="5">
        <f t="shared" si="721"/>
        <v>63.455665012592114</v>
      </c>
      <c r="FI240" s="562">
        <f t="shared" si="676"/>
        <v>-50</v>
      </c>
      <c r="FJ240">
        <f t="shared" si="677"/>
        <v>-50</v>
      </c>
      <c r="FL240">
        <f t="shared" si="678"/>
        <v>0.35060922587446652</v>
      </c>
    </row>
    <row r="241" spans="5:168">
      <c r="E241" s="170">
        <v>25</v>
      </c>
      <c r="F241" s="217">
        <f t="shared" si="679"/>
        <v>0.25</v>
      </c>
      <c r="G241" s="217"/>
      <c r="H241" s="217">
        <f t="shared" si="603"/>
        <v>4</v>
      </c>
      <c r="I241" s="541">
        <f t="shared" si="604"/>
        <v>59.965496722032881</v>
      </c>
      <c r="J241" s="172">
        <f t="shared" si="605"/>
        <v>16.420701966780268</v>
      </c>
      <c r="K241" s="172">
        <f t="shared" si="606"/>
        <v>76.386198688813153</v>
      </c>
      <c r="L241" s="443"/>
      <c r="M241" s="217">
        <f t="shared" si="607"/>
        <v>0.21497213030467574</v>
      </c>
      <c r="N241" s="172">
        <f t="shared" si="608"/>
        <v>33.194094730917158</v>
      </c>
      <c r="O241" s="172">
        <f t="shared" si="599"/>
        <v>4</v>
      </c>
      <c r="P241" s="217">
        <f t="shared" si="609"/>
        <v>2.0746309206823224</v>
      </c>
      <c r="Q241" s="217">
        <f t="shared" si="610"/>
        <v>16</v>
      </c>
      <c r="R241" s="217"/>
      <c r="S241" s="172">
        <f t="shared" si="611"/>
        <v>539.73387837502639</v>
      </c>
      <c r="T241" s="172">
        <f t="shared" si="612"/>
        <v>16</v>
      </c>
      <c r="U241" s="217">
        <f t="shared" si="613"/>
        <v>0.6205923121865724</v>
      </c>
      <c r="V241" s="217">
        <f t="shared" si="614"/>
        <v>0.12418987840223472</v>
      </c>
      <c r="W241" s="217">
        <f t="shared" si="615"/>
        <v>0.45351945131850413</v>
      </c>
      <c r="X241" s="197">
        <f t="shared" si="616"/>
        <v>350</v>
      </c>
      <c r="Y241" s="443">
        <f t="shared" si="680"/>
        <v>350</v>
      </c>
      <c r="AA241" s="217">
        <f t="shared" si="617"/>
        <v>3.0692266867470375</v>
      </c>
      <c r="AB241" s="173">
        <f t="shared" si="618"/>
        <v>2.2429443220804117</v>
      </c>
      <c r="AC241" s="173">
        <f t="shared" si="619"/>
        <v>1.2047182997879646</v>
      </c>
      <c r="AD241" s="173"/>
      <c r="AE241" s="173">
        <f t="shared" si="620"/>
        <v>0.73078483637766989</v>
      </c>
      <c r="AF241" s="545">
        <f t="shared" si="621"/>
        <v>684.19591528251112</v>
      </c>
      <c r="AG241" s="528">
        <f t="shared" si="622"/>
        <v>0.12788734636609222</v>
      </c>
      <c r="AI241" s="173">
        <f t="shared" si="623"/>
        <v>1.3981578853032823</v>
      </c>
      <c r="AJ241" s="173">
        <f t="shared" si="624"/>
        <v>1.3981578853032823</v>
      </c>
      <c r="AK241" s="173">
        <f t="shared" si="625"/>
        <v>1.4949317668913202</v>
      </c>
      <c r="AM241" s="545">
        <f t="shared" si="626"/>
        <v>250</v>
      </c>
      <c r="AN241" s="460">
        <f t="shared" si="627"/>
        <v>350</v>
      </c>
      <c r="AP241">
        <f t="shared" si="628"/>
        <v>250</v>
      </c>
      <c r="AQ241">
        <f t="shared" si="629"/>
        <v>350</v>
      </c>
      <c r="AS241" s="5">
        <f t="shared" si="600"/>
        <v>2.8571428571428572</v>
      </c>
      <c r="AT241" s="5">
        <f t="shared" si="630"/>
        <v>0.27979247301848426</v>
      </c>
      <c r="AU241" s="5">
        <f t="shared" si="722"/>
        <v>2.5773503841243728</v>
      </c>
      <c r="AV241" s="5"/>
      <c r="AW241" s="173">
        <f t="shared" si="723"/>
        <v>9.7927365556469484E-2</v>
      </c>
      <c r="AX241" s="173">
        <f t="shared" si="631"/>
        <v>4.1051754916950678</v>
      </c>
      <c r="AY241" s="173">
        <f t="shared" si="632"/>
        <v>0.63061998348176374</v>
      </c>
      <c r="AZ241" s="173">
        <f t="shared" si="633"/>
        <v>6.5097453287630893</v>
      </c>
      <c r="BA241" s="460">
        <f t="shared" si="594"/>
        <v>0.43717573909138169</v>
      </c>
      <c r="BB241" s="5">
        <f t="shared" si="595"/>
        <v>0.14326851967732679</v>
      </c>
      <c r="BD241" s="173">
        <f t="shared" si="681"/>
        <v>0.25260830493476066</v>
      </c>
      <c r="BE241" s="173">
        <f t="shared" si="682"/>
        <v>0.76668389945915938</v>
      </c>
      <c r="BG241" s="528">
        <f t="shared" si="683"/>
        <v>1.2762191144402607E-3</v>
      </c>
      <c r="BH241" s="528">
        <f t="shared" si="634"/>
        <v>0.68218478298537322</v>
      </c>
      <c r="BI241" s="528">
        <f t="shared" si="635"/>
        <v>0.48272224861236468</v>
      </c>
      <c r="BJ241" s="528">
        <f t="shared" si="684"/>
        <v>1.0057825014781141</v>
      </c>
      <c r="BK241">
        <f t="shared" si="685"/>
        <v>2.6984473524914798E-2</v>
      </c>
      <c r="BL241" s="460">
        <f t="shared" si="686"/>
        <v>509.70672213727954</v>
      </c>
      <c r="BM241" s="528">
        <f t="shared" si="636"/>
        <v>1.6901005713631359</v>
      </c>
      <c r="BN241" s="460">
        <f t="shared" si="687"/>
        <v>1690.1005713631359</v>
      </c>
      <c r="BO241" s="528">
        <f t="shared" si="637"/>
        <v>0.17499999999999999</v>
      </c>
      <c r="BR241" s="460">
        <f t="shared" si="688"/>
        <v>175</v>
      </c>
      <c r="BS241" s="528">
        <f t="shared" si="689"/>
        <v>1.914328671660391E-3</v>
      </c>
      <c r="BT241" s="528">
        <f t="shared" si="690"/>
        <v>1.7634126050697072E-2</v>
      </c>
      <c r="BU241" s="528">
        <f t="shared" si="691"/>
        <v>0.26486870983838906</v>
      </c>
      <c r="BV241" s="528"/>
      <c r="BW241" s="528">
        <f t="shared" si="692"/>
        <v>3.4209795764125568E-3</v>
      </c>
      <c r="BX241" s="460">
        <f t="shared" si="693"/>
        <v>287.83814413715908</v>
      </c>
      <c r="BY241" s="173">
        <f t="shared" si="694"/>
        <v>2.6617883698523666</v>
      </c>
      <c r="BZ241" s="5">
        <f t="shared" si="695"/>
        <v>4</v>
      </c>
      <c r="CA241" s="173">
        <f t="shared" si="696"/>
        <v>0.60043936821857413</v>
      </c>
      <c r="CB241" s="5">
        <f t="shared" si="697"/>
        <v>60.043936821857415</v>
      </c>
      <c r="CE241" s="562">
        <f t="shared" si="638"/>
        <v>-50</v>
      </c>
      <c r="CF241">
        <f t="shared" si="639"/>
        <v>-50</v>
      </c>
      <c r="CG241" s="173">
        <f t="shared" si="640"/>
        <v>0.36228441865473598</v>
      </c>
      <c r="CI241" s="170">
        <v>25</v>
      </c>
      <c r="CJ241" s="217">
        <f t="shared" si="698"/>
        <v>0.25</v>
      </c>
      <c r="CK241" s="217"/>
      <c r="CL241" s="217">
        <f t="shared" si="641"/>
        <v>4</v>
      </c>
      <c r="CM241" s="541">
        <f t="shared" si="642"/>
        <v>60</v>
      </c>
      <c r="CN241" s="443">
        <f t="shared" si="643"/>
        <v>16.399999999999999</v>
      </c>
      <c r="CO241" s="443">
        <f t="shared" si="644"/>
        <v>76.400000000000006</v>
      </c>
      <c r="CP241" s="443"/>
      <c r="CQ241" s="217">
        <f t="shared" si="645"/>
        <v>0.21465968586387432</v>
      </c>
      <c r="CR241" s="172">
        <f t="shared" si="646"/>
        <v>33.164921465968582</v>
      </c>
      <c r="CS241" s="172">
        <f t="shared" si="647"/>
        <v>4</v>
      </c>
      <c r="CT241" s="217">
        <f t="shared" si="648"/>
        <v>2.0728075916230364</v>
      </c>
      <c r="CU241" s="217">
        <f t="shared" si="649"/>
        <v>16</v>
      </c>
      <c r="CV241" s="217"/>
      <c r="CW241" s="172">
        <f t="shared" si="650"/>
        <v>540.0444078977398</v>
      </c>
      <c r="CX241" s="172">
        <f t="shared" si="651"/>
        <v>16</v>
      </c>
      <c r="CY241" s="217">
        <f t="shared" si="652"/>
        <v>0.62113821138211389</v>
      </c>
      <c r="CZ241" s="217">
        <f t="shared" si="653"/>
        <v>0.12422764227642279</v>
      </c>
      <c r="DA241" s="217">
        <f t="shared" si="654"/>
        <v>0.45449137418203456</v>
      </c>
      <c r="DB241" s="197">
        <f t="shared" si="655"/>
        <v>350</v>
      </c>
      <c r="DC241" s="443">
        <f t="shared" si="656"/>
        <v>350</v>
      </c>
      <c r="DE241" s="217">
        <f t="shared" si="657"/>
        <v>3.06656694091249</v>
      </c>
      <c r="DF241" s="173">
        <f t="shared" si="658"/>
        <v>2.2438294689603588</v>
      </c>
      <c r="DG241" s="173">
        <f t="shared" si="659"/>
        <v>1.2041493223478366</v>
      </c>
      <c r="DH241" s="173"/>
      <c r="DI241" s="173">
        <f t="shared" si="660"/>
        <v>0.73170731707317083</v>
      </c>
      <c r="DJ241" s="545">
        <f t="shared" si="661"/>
        <v>683.33333333333326</v>
      </c>
      <c r="DK241" s="528">
        <f t="shared" si="662"/>
        <v>0.12804878048780488</v>
      </c>
      <c r="DM241" s="173">
        <f t="shared" si="663"/>
        <v>1.3972762620115438</v>
      </c>
      <c r="DN241" s="173">
        <f t="shared" si="664"/>
        <v>1.3972762620115438</v>
      </c>
      <c r="DO241" s="173">
        <f t="shared" si="665"/>
        <v>1.4942787126011434</v>
      </c>
      <c r="DQ241" s="545">
        <f t="shared" si="666"/>
        <v>250</v>
      </c>
      <c r="DR241" s="460">
        <f t="shared" si="667"/>
        <v>350</v>
      </c>
      <c r="DT241">
        <f t="shared" si="668"/>
        <v>250</v>
      </c>
      <c r="DU241">
        <f t="shared" si="669"/>
        <v>350</v>
      </c>
      <c r="DW241" s="5">
        <f t="shared" si="670"/>
        <v>2.8571428571428572</v>
      </c>
      <c r="DX241" s="5">
        <f t="shared" si="671"/>
        <v>0.27945525240230873</v>
      </c>
      <c r="DY241" s="5">
        <f t="shared" si="672"/>
        <v>2.5776876047405484</v>
      </c>
      <c r="DZ241" s="5"/>
      <c r="EA241" s="173">
        <f t="shared" si="673"/>
        <v>9.7809338340808058E-2</v>
      </c>
      <c r="EB241" s="173">
        <f t="shared" si="699"/>
        <v>4.1000000000000005</v>
      </c>
      <c r="EC241" s="173">
        <f t="shared" si="700"/>
        <v>0.63030479767243852</v>
      </c>
      <c r="ED241" s="173">
        <f t="shared" si="701"/>
        <v>6.504789452881047</v>
      </c>
      <c r="EE241" s="460">
        <f t="shared" si="674"/>
        <v>0.43664883187860737</v>
      </c>
      <c r="EF241" s="5">
        <f t="shared" si="675"/>
        <v>0.14320486693003046</v>
      </c>
      <c r="EH241" s="173">
        <f t="shared" si="702"/>
        <v>0.25229684179657474</v>
      </c>
      <c r="EI241" s="173">
        <f t="shared" si="703"/>
        <v>0.76625058199855534</v>
      </c>
      <c r="EK241" s="528">
        <f t="shared" si="704"/>
        <v>1.2730739276105175E-3</v>
      </c>
      <c r="EL241" s="528">
        <f t="shared" si="705"/>
        <v>0.70990017767758506</v>
      </c>
      <c r="EM241" s="528">
        <f t="shared" si="706"/>
        <v>4.0250000000000001E-2</v>
      </c>
      <c r="EN241" s="528">
        <f t="shared" si="707"/>
        <v>1.0061459800000001</v>
      </c>
      <c r="EO241">
        <f t="shared" si="708"/>
        <v>2.7E-2</v>
      </c>
      <c r="EP241" s="460">
        <f t="shared" si="709"/>
        <v>67.25</v>
      </c>
      <c r="EQ241" s="460"/>
      <c r="ER241" s="460">
        <f t="shared" si="710"/>
        <v>1784.5692316051955</v>
      </c>
      <c r="ES241" s="528">
        <f t="shared" si="711"/>
        <v>0.17499999999999999</v>
      </c>
      <c r="EV241" s="460">
        <f t="shared" si="712"/>
        <v>175</v>
      </c>
      <c r="EW241" s="528">
        <f t="shared" si="713"/>
        <v>1.909610891415776E-3</v>
      </c>
      <c r="EX241" s="528">
        <f t="shared" si="714"/>
        <v>1.7614198632393743E-2</v>
      </c>
      <c r="EY241" s="528">
        <f t="shared" si="715"/>
        <v>0.26445136784118334</v>
      </c>
      <c r="EZ241" s="528"/>
      <c r="FA241" s="528">
        <f t="shared" si="716"/>
        <v>3.4166666666666668E-3</v>
      </c>
      <c r="FB241" s="460">
        <f t="shared" si="717"/>
        <v>287.3918440316595</v>
      </c>
      <c r="FC241" s="173">
        <f t="shared" si="718"/>
        <v>2.2469610756368552</v>
      </c>
      <c r="FD241" s="5">
        <f t="shared" si="719"/>
        <v>4</v>
      </c>
      <c r="FE241" s="173">
        <f t="shared" si="720"/>
        <v>0.64031133723563571</v>
      </c>
      <c r="FF241" s="5">
        <f t="shared" si="721"/>
        <v>64.03113372356357</v>
      </c>
      <c r="FI241" s="562">
        <f t="shared" si="676"/>
        <v>-50</v>
      </c>
      <c r="FJ241">
        <f t="shared" si="677"/>
        <v>-50</v>
      </c>
      <c r="FL241">
        <f t="shared" si="678"/>
        <v>0.35783904271027339</v>
      </c>
    </row>
    <row r="242" spans="5:168">
      <c r="E242" s="170">
        <v>26</v>
      </c>
      <c r="F242" s="217">
        <f t="shared" si="679"/>
        <v>0.26</v>
      </c>
      <c r="G242" s="217"/>
      <c r="H242" s="217">
        <f t="shared" si="603"/>
        <v>4.16</v>
      </c>
      <c r="I242" s="541">
        <f t="shared" si="604"/>
        <v>59.964813422472552</v>
      </c>
      <c r="J242" s="172">
        <f t="shared" si="605"/>
        <v>16.421111946516469</v>
      </c>
      <c r="K242" s="172">
        <f t="shared" si="606"/>
        <v>76.385925368989021</v>
      </c>
      <c r="L242" s="443"/>
      <c r="M242" s="217">
        <f t="shared" si="607"/>
        <v>0.21497831904284867</v>
      </c>
      <c r="N242" s="172">
        <f t="shared" si="608"/>
        <v>33.194672087549087</v>
      </c>
      <c r="O242" s="172">
        <f t="shared" si="599"/>
        <v>4.16</v>
      </c>
      <c r="P242" s="217">
        <f t="shared" si="609"/>
        <v>2.0746670054718179</v>
      </c>
      <c r="Q242" s="217">
        <f t="shared" si="610"/>
        <v>16</v>
      </c>
      <c r="R242" s="217"/>
      <c r="S242" s="172">
        <f t="shared" si="611"/>
        <v>516.66631951356067</v>
      </c>
      <c r="T242" s="172">
        <f t="shared" si="612"/>
        <v>16</v>
      </c>
      <c r="U242" s="217">
        <f t="shared" si="613"/>
        <v>0.64540477892040637</v>
      </c>
      <c r="V242" s="217">
        <f t="shared" si="614"/>
        <v>0.12915669882068534</v>
      </c>
      <c r="W242" s="217">
        <f t="shared" si="615"/>
        <v>0.47164025020168326</v>
      </c>
      <c r="X242" s="197">
        <f t="shared" si="616"/>
        <v>350</v>
      </c>
      <c r="Y242" s="443">
        <f t="shared" si="680"/>
        <v>350</v>
      </c>
      <c r="AA242" s="217">
        <f t="shared" si="617"/>
        <v>3.069279324835001</v>
      </c>
      <c r="AB242" s="173">
        <f t="shared" si="618"/>
        <v>2.2429267894878042</v>
      </c>
      <c r="AC242" s="173">
        <f t="shared" si="619"/>
        <v>1.2047295438663561</v>
      </c>
      <c r="AD242" s="173"/>
      <c r="AE242" s="173">
        <f t="shared" si="620"/>
        <v>0.73076659114705378</v>
      </c>
      <c r="AF242" s="545">
        <f t="shared" si="621"/>
        <v>711.58151768238031</v>
      </c>
      <c r="AG242" s="528">
        <f t="shared" si="622"/>
        <v>0.12788415345073442</v>
      </c>
      <c r="AI242" s="173">
        <f t="shared" si="623"/>
        <v>1.4258646676740001</v>
      </c>
      <c r="AJ242" s="173">
        <f t="shared" si="624"/>
        <v>1.4258646676740001</v>
      </c>
      <c r="AK242" s="173">
        <f t="shared" si="625"/>
        <v>1.5154553093881482</v>
      </c>
      <c r="AM242" s="545">
        <f t="shared" si="626"/>
        <v>260</v>
      </c>
      <c r="AN242" s="460">
        <f t="shared" si="627"/>
        <v>350</v>
      </c>
      <c r="AP242">
        <f t="shared" si="628"/>
        <v>260</v>
      </c>
      <c r="AQ242">
        <f t="shared" si="629"/>
        <v>350</v>
      </c>
      <c r="AS242" s="5">
        <f t="shared" si="600"/>
        <v>2.8571428571428572</v>
      </c>
      <c r="AT242" s="5">
        <f t="shared" si="630"/>
        <v>0.28534026932660611</v>
      </c>
      <c r="AU242" s="5">
        <f t="shared" si="722"/>
        <v>2.5718025878162512</v>
      </c>
      <c r="AV242" s="5"/>
      <c r="AW242" s="173">
        <f t="shared" si="723"/>
        <v>9.9869094264312133E-2</v>
      </c>
      <c r="AX242" s="173">
        <f t="shared" si="631"/>
        <v>4.2694891060942819</v>
      </c>
      <c r="AY242" s="173">
        <f t="shared" si="632"/>
        <v>0.64173242738495662</v>
      </c>
      <c r="AZ242" s="173">
        <f t="shared" si="633"/>
        <v>6.653067421717088</v>
      </c>
      <c r="BA242" s="460">
        <f t="shared" si="594"/>
        <v>0.4636779376557349</v>
      </c>
      <c r="BB242" s="5">
        <f t="shared" si="595"/>
        <v>0.14868023088167309</v>
      </c>
      <c r="BD242" s="173">
        <f t="shared" si="681"/>
        <v>0.26015563412652659</v>
      </c>
      <c r="BE242" s="173">
        <f t="shared" si="682"/>
        <v>0.78103503733139512</v>
      </c>
      <c r="BG242" s="528">
        <f t="shared" si="683"/>
        <v>1.3536190793555034E-3</v>
      </c>
      <c r="BH242" s="528">
        <f t="shared" si="634"/>
        <v>0.69570089948269664</v>
      </c>
      <c r="BI242" s="528">
        <f t="shared" si="635"/>
        <v>0.48271674805090409</v>
      </c>
      <c r="BJ242" s="528">
        <f t="shared" si="684"/>
        <v>1.0057753038479313</v>
      </c>
      <c r="BK242">
        <f t="shared" si="685"/>
        <v>2.6984166040112646E-2</v>
      </c>
      <c r="BL242" s="460">
        <f t="shared" si="686"/>
        <v>509.70091409101667</v>
      </c>
      <c r="BM242" s="528">
        <f t="shared" si="636"/>
        <v>1.7037432572859514</v>
      </c>
      <c r="BN242" s="460">
        <f t="shared" si="687"/>
        <v>1703.7432572859514</v>
      </c>
      <c r="BO242" s="528">
        <f t="shared" si="637"/>
        <v>0.182</v>
      </c>
      <c r="BR242" s="460">
        <f t="shared" si="688"/>
        <v>182</v>
      </c>
      <c r="BS242" s="528">
        <f t="shared" si="689"/>
        <v>2.0304286190332551E-3</v>
      </c>
      <c r="BT242" s="528">
        <f t="shared" si="690"/>
        <v>1.8300471886177613E-2</v>
      </c>
      <c r="BU242" s="528">
        <f t="shared" si="691"/>
        <v>0.27818639336721224</v>
      </c>
      <c r="BV242" s="528"/>
      <c r="BW242" s="528">
        <f t="shared" si="692"/>
        <v>3.5579075884119024E-3</v>
      </c>
      <c r="BX242" s="460">
        <f t="shared" si="693"/>
        <v>302.07520146083499</v>
      </c>
      <c r="BY242" s="173">
        <f t="shared" si="694"/>
        <v>2.6966059379618352</v>
      </c>
      <c r="BZ242" s="5">
        <f t="shared" si="695"/>
        <v>4.16</v>
      </c>
      <c r="CA242" s="173">
        <f t="shared" si="696"/>
        <v>0.60671417281953111</v>
      </c>
      <c r="CB242" s="5">
        <f t="shared" si="697"/>
        <v>60.671417281953111</v>
      </c>
      <c r="CE242" s="562">
        <f t="shared" si="638"/>
        <v>-50</v>
      </c>
      <c r="CF242">
        <f t="shared" si="639"/>
        <v>-50</v>
      </c>
      <c r="CG242" s="173">
        <f t="shared" si="640"/>
        <v>0.36945906403822332</v>
      </c>
      <c r="CI242" s="170">
        <v>26</v>
      </c>
      <c r="CJ242" s="217">
        <f t="shared" si="698"/>
        <v>0.26</v>
      </c>
      <c r="CK242" s="217"/>
      <c r="CL242" s="217">
        <f t="shared" si="641"/>
        <v>4.16</v>
      </c>
      <c r="CM242" s="541">
        <f t="shared" si="642"/>
        <v>60</v>
      </c>
      <c r="CN242" s="443">
        <f t="shared" si="643"/>
        <v>16.399999999999999</v>
      </c>
      <c r="CO242" s="443">
        <f t="shared" si="644"/>
        <v>76.400000000000006</v>
      </c>
      <c r="CP242" s="443"/>
      <c r="CQ242" s="217">
        <f t="shared" si="645"/>
        <v>0.21465968586387432</v>
      </c>
      <c r="CR242" s="172">
        <f t="shared" si="646"/>
        <v>33.164921465968582</v>
      </c>
      <c r="CS242" s="172">
        <f t="shared" si="647"/>
        <v>4.16</v>
      </c>
      <c r="CT242" s="217">
        <f t="shared" si="648"/>
        <v>2.0728075916230364</v>
      </c>
      <c r="CU242" s="217">
        <f t="shared" si="649"/>
        <v>16</v>
      </c>
      <c r="CV242" s="217"/>
      <c r="CW242" s="172">
        <f t="shared" si="650"/>
        <v>516.96946543574234</v>
      </c>
      <c r="CX242" s="172">
        <f t="shared" si="651"/>
        <v>16</v>
      </c>
      <c r="CY242" s="217">
        <f t="shared" si="652"/>
        <v>0.64598373983739843</v>
      </c>
      <c r="CZ242" s="217">
        <f t="shared" si="653"/>
        <v>0.12919674796747971</v>
      </c>
      <c r="DA242" s="217">
        <f t="shared" si="654"/>
        <v>0.47267102914931602</v>
      </c>
      <c r="DB242" s="197">
        <f t="shared" si="655"/>
        <v>350</v>
      </c>
      <c r="DC242" s="443">
        <f t="shared" si="656"/>
        <v>350</v>
      </c>
      <c r="DE242" s="217">
        <f t="shared" si="657"/>
        <v>3.06656694091249</v>
      </c>
      <c r="DF242" s="173">
        <f t="shared" si="658"/>
        <v>2.2438294689603588</v>
      </c>
      <c r="DG242" s="173">
        <f t="shared" si="659"/>
        <v>1.2041493223478366</v>
      </c>
      <c r="DH242" s="173"/>
      <c r="DI242" s="173">
        <f t="shared" si="660"/>
        <v>0.73170731707317083</v>
      </c>
      <c r="DJ242" s="545">
        <f t="shared" si="661"/>
        <v>710.66666666666663</v>
      </c>
      <c r="DK242" s="528">
        <f t="shared" si="662"/>
        <v>0.12804878048780488</v>
      </c>
      <c r="DM242" s="173">
        <f t="shared" si="663"/>
        <v>1.4249477851753694</v>
      </c>
      <c r="DN242" s="173">
        <f t="shared" si="664"/>
        <v>1.4249477851753694</v>
      </c>
      <c r="DO242" s="173">
        <f t="shared" si="665"/>
        <v>1.5147761371669402</v>
      </c>
      <c r="DQ242" s="545">
        <f t="shared" si="666"/>
        <v>260</v>
      </c>
      <c r="DR242" s="460">
        <f t="shared" si="667"/>
        <v>350</v>
      </c>
      <c r="DT242">
        <f t="shared" si="668"/>
        <v>260</v>
      </c>
      <c r="DU242">
        <f t="shared" si="669"/>
        <v>350</v>
      </c>
      <c r="DW242" s="5">
        <f t="shared" si="670"/>
        <v>2.8571428571428572</v>
      </c>
      <c r="DX242" s="5">
        <f t="shared" si="671"/>
        <v>0.28498955703507389</v>
      </c>
      <c r="DY242" s="5">
        <f t="shared" si="672"/>
        <v>2.5721533001077832</v>
      </c>
      <c r="DZ242" s="5"/>
      <c r="EA242" s="173">
        <f t="shared" si="673"/>
        <v>9.9746344962275857E-2</v>
      </c>
      <c r="EB242" s="173">
        <f t="shared" si="699"/>
        <v>4.2640000000000002</v>
      </c>
      <c r="EC242" s="173">
        <f t="shared" si="700"/>
        <v>0.64140722592101795</v>
      </c>
      <c r="ED242" s="173">
        <f t="shared" si="701"/>
        <v>6.6478826986664847</v>
      </c>
      <c r="EE242" s="460">
        <f t="shared" si="674"/>
        <v>0.46310803018199509</v>
      </c>
      <c r="EF242" s="5">
        <f t="shared" si="675"/>
        <v>0.14861330178400523</v>
      </c>
      <c r="EH242" s="173">
        <f t="shared" si="702"/>
        <v>0.25982851943344343</v>
      </c>
      <c r="EI242" s="173">
        <f t="shared" si="703"/>
        <v>0.78058602172625502</v>
      </c>
      <c r="EK242" s="528">
        <f t="shared" si="704"/>
        <v>1.3502171902195056E-3</v>
      </c>
      <c r="EL242" s="528">
        <f t="shared" si="705"/>
        <v>0.72395897173619816</v>
      </c>
      <c r="EM242" s="528">
        <f t="shared" si="706"/>
        <v>4.0250000000000001E-2</v>
      </c>
      <c r="EN242" s="528">
        <f t="shared" si="707"/>
        <v>1.0061459800000001</v>
      </c>
      <c r="EO242">
        <f t="shared" si="708"/>
        <v>2.7E-2</v>
      </c>
      <c r="EP242" s="460">
        <f t="shared" si="709"/>
        <v>67.25</v>
      </c>
      <c r="EQ242" s="460"/>
      <c r="ER242" s="460">
        <f t="shared" si="710"/>
        <v>1798.7051689264176</v>
      </c>
      <c r="ES242" s="528">
        <f t="shared" si="711"/>
        <v>0.182</v>
      </c>
      <c r="EV242" s="460">
        <f t="shared" si="712"/>
        <v>182</v>
      </c>
      <c r="EW242" s="528">
        <f t="shared" si="713"/>
        <v>2.0253257853292583E-3</v>
      </c>
      <c r="EX242" s="528">
        <f t="shared" si="714"/>
        <v>1.827943611943264E-2</v>
      </c>
      <c r="EY242" s="528">
        <f t="shared" si="715"/>
        <v>0.27773939926819158</v>
      </c>
      <c r="EZ242" s="528"/>
      <c r="FA242" s="528">
        <f t="shared" si="716"/>
        <v>3.5533333333333337E-3</v>
      </c>
      <c r="FB242" s="460">
        <f t="shared" si="717"/>
        <v>301.59749450628681</v>
      </c>
      <c r="FC242" s="173">
        <f t="shared" si="718"/>
        <v>2.2823026634327048</v>
      </c>
      <c r="FD242" s="5">
        <f t="shared" si="719"/>
        <v>4.16</v>
      </c>
      <c r="FE242" s="173">
        <f t="shared" si="720"/>
        <v>0.64573184734282463</v>
      </c>
      <c r="FF242" s="5">
        <f t="shared" si="721"/>
        <v>64.573184734282464</v>
      </c>
      <c r="FI242" s="562">
        <f t="shared" si="676"/>
        <v>-50</v>
      </c>
      <c r="FJ242">
        <f t="shared" si="677"/>
        <v>-50</v>
      </c>
      <c r="FL242">
        <f t="shared" si="678"/>
        <v>0.36492565230100926</v>
      </c>
    </row>
    <row r="243" spans="5:168">
      <c r="E243" s="170">
        <v>27</v>
      </c>
      <c r="F243" s="217">
        <f t="shared" si="679"/>
        <v>0.27</v>
      </c>
      <c r="G243" s="217"/>
      <c r="H243" s="217">
        <f t="shared" si="603"/>
        <v>4.32</v>
      </c>
      <c r="I243" s="541">
        <f t="shared" si="604"/>
        <v>59.964143141719966</v>
      </c>
      <c r="J243" s="172">
        <f t="shared" si="605"/>
        <v>16.421514114968019</v>
      </c>
      <c r="K243" s="172">
        <f t="shared" si="606"/>
        <v>76.385657256687978</v>
      </c>
      <c r="L243" s="443"/>
      <c r="M243" s="217">
        <f t="shared" si="607"/>
        <v>0.2149843899101167</v>
      </c>
      <c r="N243" s="172">
        <f t="shared" si="608"/>
        <v>33.195238429249358</v>
      </c>
      <c r="O243" s="172">
        <f t="shared" si="599"/>
        <v>4.32</v>
      </c>
      <c r="P243" s="217">
        <f t="shared" si="609"/>
        <v>2.0747024018280849</v>
      </c>
      <c r="Q243" s="217">
        <f t="shared" si="610"/>
        <v>16</v>
      </c>
      <c r="R243" s="217"/>
      <c r="S243" s="172">
        <f t="shared" si="611"/>
        <v>495.30779115283536</v>
      </c>
      <c r="T243" s="172">
        <f t="shared" si="612"/>
        <v>16</v>
      </c>
      <c r="U243" s="217">
        <f t="shared" si="613"/>
        <v>0.67021660493321222</v>
      </c>
      <c r="V243" s="217">
        <f t="shared" si="614"/>
        <v>0.13412347509395026</v>
      </c>
      <c r="W243" s="217">
        <f t="shared" si="615"/>
        <v>0.48975990903712163</v>
      </c>
      <c r="X243" s="197">
        <f t="shared" si="616"/>
        <v>350</v>
      </c>
      <c r="Y243" s="443">
        <f t="shared" si="680"/>
        <v>350</v>
      </c>
      <c r="AA243" s="217">
        <f t="shared" si="617"/>
        <v>3.0693309586862796</v>
      </c>
      <c r="AB243" s="173">
        <f t="shared" si="618"/>
        <v>2.2429095908192438</v>
      </c>
      <c r="AC243" s="173">
        <f t="shared" si="619"/>
        <v>1.2047405728112792</v>
      </c>
      <c r="AD243" s="173"/>
      <c r="AE243" s="173">
        <f t="shared" si="620"/>
        <v>0.73074869442532953</v>
      </c>
      <c r="AF243" s="545">
        <f t="shared" si="621"/>
        <v>738.96813517356077</v>
      </c>
      <c r="AG243" s="528">
        <f t="shared" si="622"/>
        <v>0.12788102152443268</v>
      </c>
      <c r="AI243" s="173">
        <f t="shared" si="623"/>
        <v>1.453044228186918</v>
      </c>
      <c r="AJ243" s="173">
        <f t="shared" si="624"/>
        <v>1.453044228186918</v>
      </c>
      <c r="AK243" s="173">
        <f t="shared" si="625"/>
        <v>1.5355883171754947</v>
      </c>
      <c r="AM243" s="545">
        <f t="shared" si="626"/>
        <v>270</v>
      </c>
      <c r="AN243" s="460">
        <f t="shared" si="627"/>
        <v>350</v>
      </c>
      <c r="AP243">
        <f t="shared" si="628"/>
        <v>270</v>
      </c>
      <c r="AQ243">
        <f t="shared" si="629"/>
        <v>350</v>
      </c>
      <c r="AS243" s="5">
        <f t="shared" si="600"/>
        <v>2.8571428571428572</v>
      </c>
      <c r="AT243" s="5">
        <f t="shared" si="630"/>
        <v>0.29078262149153561</v>
      </c>
      <c r="AU243" s="5">
        <f t="shared" si="722"/>
        <v>2.5663602356513215</v>
      </c>
      <c r="AV243" s="5"/>
      <c r="AW243" s="173">
        <f t="shared" si="723"/>
        <v>0.10177391752203746</v>
      </c>
      <c r="AX243" s="173">
        <f t="shared" si="631"/>
        <v>4.4338088110413647</v>
      </c>
      <c r="AY243" s="173">
        <f t="shared" si="632"/>
        <v>0.65258111237577499</v>
      </c>
      <c r="AZ243" s="173">
        <f t="shared" si="633"/>
        <v>6.7942646928589774</v>
      </c>
      <c r="BA243" s="460">
        <f t="shared" si="594"/>
        <v>0.49069567376696632</v>
      </c>
      <c r="BB243" s="5">
        <f t="shared" si="595"/>
        <v>0.15407369078066269</v>
      </c>
      <c r="BD243" s="173">
        <f t="shared" si="681"/>
        <v>0.26763102183446486</v>
      </c>
      <c r="BE243" s="173">
        <f t="shared" si="682"/>
        <v>0.79508038116130897</v>
      </c>
      <c r="BG243" s="528">
        <f t="shared" si="683"/>
        <v>1.4325272769631961E-3</v>
      </c>
      <c r="BH243" s="528">
        <f t="shared" si="634"/>
        <v>0.70895972898589199</v>
      </c>
      <c r="BI243" s="528">
        <f t="shared" si="635"/>
        <v>0.48271135229084572</v>
      </c>
      <c r="BJ243" s="528">
        <f t="shared" si="684"/>
        <v>1.0057682433781792</v>
      </c>
      <c r="BK243">
        <f t="shared" si="685"/>
        <v>2.6983864413773984E-2</v>
      </c>
      <c r="BL243" s="460">
        <f t="shared" si="686"/>
        <v>509.69521670461972</v>
      </c>
      <c r="BM243" s="528">
        <f t="shared" si="636"/>
        <v>1.7171317395276853</v>
      </c>
      <c r="BN243" s="460">
        <f t="shared" si="687"/>
        <v>1717.1317395276853</v>
      </c>
      <c r="BO243" s="528">
        <f t="shared" si="637"/>
        <v>0.189</v>
      </c>
      <c r="BR243" s="460">
        <f t="shared" si="688"/>
        <v>189</v>
      </c>
      <c r="BS243" s="528">
        <f t="shared" si="689"/>
        <v>2.148790915444794E-3</v>
      </c>
      <c r="BT243" s="528">
        <f t="shared" si="690"/>
        <v>1.8964584375228369E-2</v>
      </c>
      <c r="BU243" s="528">
        <f t="shared" si="691"/>
        <v>0.29163335858617362</v>
      </c>
      <c r="BV243" s="528"/>
      <c r="BW243" s="528">
        <f t="shared" si="692"/>
        <v>3.694840675867804E-3</v>
      </c>
      <c r="BX243" s="460">
        <f t="shared" si="693"/>
        <v>316.44157455271454</v>
      </c>
      <c r="BY243" s="173">
        <f t="shared" si="694"/>
        <v>2.7312972908983686</v>
      </c>
      <c r="BZ243" s="5">
        <f t="shared" si="695"/>
        <v>4.32</v>
      </c>
      <c r="CA243" s="173">
        <f t="shared" si="696"/>
        <v>0.61265322135490508</v>
      </c>
      <c r="CB243" s="5">
        <f t="shared" si="697"/>
        <v>61.265322135490507</v>
      </c>
      <c r="CE243" s="562">
        <f t="shared" si="638"/>
        <v>-50</v>
      </c>
      <c r="CF243">
        <f t="shared" si="639"/>
        <v>-50</v>
      </c>
      <c r="CG243" s="173">
        <f t="shared" si="640"/>
        <v>0.37649701194033403</v>
      </c>
      <c r="CI243" s="170">
        <v>27</v>
      </c>
      <c r="CJ243" s="217">
        <f t="shared" si="698"/>
        <v>0.27</v>
      </c>
      <c r="CK243" s="217"/>
      <c r="CL243" s="217">
        <f t="shared" si="641"/>
        <v>4.32</v>
      </c>
      <c r="CM243" s="541">
        <f t="shared" si="642"/>
        <v>60</v>
      </c>
      <c r="CN243" s="443">
        <f t="shared" si="643"/>
        <v>16.399999999999999</v>
      </c>
      <c r="CO243" s="443">
        <f t="shared" si="644"/>
        <v>76.400000000000006</v>
      </c>
      <c r="CP243" s="443"/>
      <c r="CQ243" s="217">
        <f t="shared" si="645"/>
        <v>0.21465968586387432</v>
      </c>
      <c r="CR243" s="172">
        <f t="shared" si="646"/>
        <v>33.164921465968582</v>
      </c>
      <c r="CS243" s="172">
        <f t="shared" si="647"/>
        <v>4.32</v>
      </c>
      <c r="CT243" s="217">
        <f t="shared" si="648"/>
        <v>2.0728075916230364</v>
      </c>
      <c r="CU243" s="217">
        <f t="shared" si="649"/>
        <v>16</v>
      </c>
      <c r="CV243" s="217"/>
      <c r="CW243" s="172">
        <f t="shared" si="650"/>
        <v>495.60394226774628</v>
      </c>
      <c r="CX243" s="172">
        <f t="shared" si="651"/>
        <v>16</v>
      </c>
      <c r="CY243" s="217">
        <f t="shared" si="652"/>
        <v>0.67082926829268308</v>
      </c>
      <c r="CZ243" s="217">
        <f t="shared" si="653"/>
        <v>0.13416585365853662</v>
      </c>
      <c r="DA243" s="217">
        <f t="shared" si="654"/>
        <v>0.49085068411659744</v>
      </c>
      <c r="DB243" s="197">
        <f t="shared" si="655"/>
        <v>350</v>
      </c>
      <c r="DC243" s="443">
        <f t="shared" si="656"/>
        <v>350</v>
      </c>
      <c r="DE243" s="217">
        <f t="shared" si="657"/>
        <v>3.06656694091249</v>
      </c>
      <c r="DF243" s="173">
        <f t="shared" si="658"/>
        <v>2.2438294689603588</v>
      </c>
      <c r="DG243" s="173">
        <f t="shared" si="659"/>
        <v>1.2041493223478366</v>
      </c>
      <c r="DH243" s="173"/>
      <c r="DI243" s="173">
        <f t="shared" si="660"/>
        <v>0.73170731707317083</v>
      </c>
      <c r="DJ243" s="545">
        <f t="shared" si="661"/>
        <v>738</v>
      </c>
      <c r="DK243" s="528">
        <f t="shared" si="662"/>
        <v>0.12804878048780488</v>
      </c>
      <c r="DM243" s="173">
        <f t="shared" si="663"/>
        <v>1.45209208680835</v>
      </c>
      <c r="DN243" s="173">
        <f t="shared" si="664"/>
        <v>1.45209208680835</v>
      </c>
      <c r="DO243" s="173">
        <f t="shared" si="665"/>
        <v>1.5348830272654443</v>
      </c>
      <c r="DQ243" s="545">
        <f t="shared" si="666"/>
        <v>270</v>
      </c>
      <c r="DR243" s="460">
        <f t="shared" si="667"/>
        <v>350</v>
      </c>
      <c r="DT243">
        <f t="shared" si="668"/>
        <v>270</v>
      </c>
      <c r="DU243">
        <f t="shared" si="669"/>
        <v>350</v>
      </c>
      <c r="DW243" s="5">
        <f t="shared" si="670"/>
        <v>2.8571428571428572</v>
      </c>
      <c r="DX243" s="5">
        <f t="shared" si="671"/>
        <v>0.29041841736167007</v>
      </c>
      <c r="DY243" s="5">
        <f t="shared" si="672"/>
        <v>2.5667244397811873</v>
      </c>
      <c r="DZ243" s="5"/>
      <c r="EA243" s="173">
        <f t="shared" si="673"/>
        <v>0.10164644607658452</v>
      </c>
      <c r="EB243" s="173">
        <f t="shared" si="699"/>
        <v>4.4279999999999999</v>
      </c>
      <c r="EC243" s="173">
        <f t="shared" si="700"/>
        <v>0.65224604340417502</v>
      </c>
      <c r="ED243" s="173">
        <f t="shared" si="701"/>
        <v>6.7888491540547635</v>
      </c>
      <c r="EE243" s="460">
        <f t="shared" si="674"/>
        <v>0.49008107929781825</v>
      </c>
      <c r="EF243" s="5">
        <f t="shared" si="675"/>
        <v>0.15400346638687124</v>
      </c>
      <c r="EH243" s="173">
        <f t="shared" si="702"/>
        <v>0.26728810424515875</v>
      </c>
      <c r="EI243" s="173">
        <f t="shared" si="703"/>
        <v>0.79461576386714861</v>
      </c>
      <c r="EK243" s="528">
        <f t="shared" si="704"/>
        <v>1.4288586134194171E-3</v>
      </c>
      <c r="EL243" s="528">
        <f t="shared" si="705"/>
        <v>0.73774990562385057</v>
      </c>
      <c r="EM243" s="528">
        <f t="shared" si="706"/>
        <v>4.0250000000000001E-2</v>
      </c>
      <c r="EN243" s="528">
        <f t="shared" si="707"/>
        <v>1.0061459800000001</v>
      </c>
      <c r="EO243">
        <f t="shared" si="708"/>
        <v>2.7E-2</v>
      </c>
      <c r="EP243" s="460">
        <f t="shared" si="709"/>
        <v>67.25</v>
      </c>
      <c r="EQ243" s="460"/>
      <c r="ER243" s="460">
        <f t="shared" si="710"/>
        <v>1812.5747442372699</v>
      </c>
      <c r="ES243" s="528">
        <f t="shared" si="711"/>
        <v>0.189</v>
      </c>
      <c r="EV243" s="460">
        <f t="shared" si="712"/>
        <v>189</v>
      </c>
      <c r="EW243" s="528">
        <f t="shared" si="713"/>
        <v>2.1432879201291255E-3</v>
      </c>
      <c r="EX243" s="528">
        <f t="shared" si="714"/>
        <v>1.8942426365585161E-2</v>
      </c>
      <c r="EY243" s="528">
        <f t="shared" si="715"/>
        <v>0.2911558443229878</v>
      </c>
      <c r="EZ243" s="528"/>
      <c r="FA243" s="528">
        <f t="shared" si="716"/>
        <v>3.6900000000000001E-3</v>
      </c>
      <c r="FB243" s="460">
        <f t="shared" si="717"/>
        <v>315.93155860870206</v>
      </c>
      <c r="FC243" s="173">
        <f t="shared" si="718"/>
        <v>2.3175063028459721</v>
      </c>
      <c r="FD243" s="5">
        <f t="shared" si="719"/>
        <v>4.32</v>
      </c>
      <c r="FE243" s="173">
        <f t="shared" si="720"/>
        <v>0.65084683959512146</v>
      </c>
      <c r="FF243" s="5">
        <f t="shared" si="721"/>
        <v>65.084683959512148</v>
      </c>
      <c r="FI243" s="562">
        <f t="shared" si="676"/>
        <v>-50</v>
      </c>
      <c r="FJ243">
        <f t="shared" si="677"/>
        <v>-50</v>
      </c>
      <c r="FL243">
        <f t="shared" si="678"/>
        <v>0.37187724174360182</v>
      </c>
    </row>
    <row r="244" spans="5:168">
      <c r="E244" s="170">
        <v>28</v>
      </c>
      <c r="F244" s="217">
        <f t="shared" si="679"/>
        <v>0.28000000000000003</v>
      </c>
      <c r="G244" s="217"/>
      <c r="H244" s="217">
        <f t="shared" si="603"/>
        <v>4.4800000000000004</v>
      </c>
      <c r="I244" s="541">
        <f t="shared" si="604"/>
        <v>59.963485162832988</v>
      </c>
      <c r="J244" s="172">
        <f t="shared" si="605"/>
        <v>16.421908902300206</v>
      </c>
      <c r="K244" s="172">
        <f t="shared" si="606"/>
        <v>76.385394065133198</v>
      </c>
      <c r="L244" s="443"/>
      <c r="M244" s="217">
        <f t="shared" si="607"/>
        <v>0.21499034939759834</v>
      </c>
      <c r="N244" s="172">
        <f t="shared" si="608"/>
        <v>33.19579436260706</v>
      </c>
      <c r="O244" s="172">
        <f t="shared" si="599"/>
        <v>4.4800000000000004</v>
      </c>
      <c r="P244" s="217">
        <f t="shared" si="609"/>
        <v>2.0747371476629413</v>
      </c>
      <c r="Q244" s="217">
        <f t="shared" si="610"/>
        <v>16</v>
      </c>
      <c r="R244" s="217"/>
      <c r="S244" s="172">
        <f t="shared" si="611"/>
        <v>475.47517792009813</v>
      </c>
      <c r="T244" s="172">
        <f t="shared" si="612"/>
        <v>16</v>
      </c>
      <c r="U244" s="217">
        <f t="shared" si="613"/>
        <v>0.695027802256455</v>
      </c>
      <c r="V244" s="217">
        <f t="shared" si="614"/>
        <v>0.13909020805626934</v>
      </c>
      <c r="W244" s="217">
        <f t="shared" si="615"/>
        <v>0.50787844925319459</v>
      </c>
      <c r="X244" s="197">
        <f t="shared" si="616"/>
        <v>350</v>
      </c>
      <c r="Y244" s="443">
        <f t="shared" si="680"/>
        <v>350</v>
      </c>
      <c r="AA244" s="217">
        <f t="shared" si="617"/>
        <v>3.0693816436038968</v>
      </c>
      <c r="AB244" s="173">
        <f t="shared" si="618"/>
        <v>2.2428927076856238</v>
      </c>
      <c r="AC244" s="173">
        <f t="shared" si="619"/>
        <v>1.2047513984700766</v>
      </c>
      <c r="AD244" s="173"/>
      <c r="AE244" s="173">
        <f t="shared" si="620"/>
        <v>0.73073112702014609</v>
      </c>
      <c r="AF244" s="545">
        <f t="shared" si="621"/>
        <v>766.35574877400973</v>
      </c>
      <c r="AG244" s="528">
        <f t="shared" si="622"/>
        <v>0.12787794722852555</v>
      </c>
      <c r="AI244" s="173">
        <f t="shared" si="623"/>
        <v>1.4797256007922643</v>
      </c>
      <c r="AJ244" s="173">
        <f t="shared" si="624"/>
        <v>1.4797256007922643</v>
      </c>
      <c r="AK244" s="173">
        <f t="shared" si="625"/>
        <v>1.5553522968831588</v>
      </c>
      <c r="AM244" s="545">
        <f t="shared" si="626"/>
        <v>280</v>
      </c>
      <c r="AN244" s="460">
        <f t="shared" si="627"/>
        <v>350</v>
      </c>
      <c r="AP244">
        <f t="shared" si="628"/>
        <v>280</v>
      </c>
      <c r="AQ244">
        <f t="shared" si="629"/>
        <v>350</v>
      </c>
      <c r="AS244" s="5">
        <f t="shared" si="600"/>
        <v>2.8571428571428572</v>
      </c>
      <c r="AT244" s="5">
        <f t="shared" si="630"/>
        <v>0.29612533629905269</v>
      </c>
      <c r="AU244" s="5">
        <f t="shared" si="722"/>
        <v>2.5610175208438046</v>
      </c>
      <c r="AV244" s="5"/>
      <c r="AW244" s="173">
        <f t="shared" si="723"/>
        <v>0.10364386770466844</v>
      </c>
      <c r="AX244" s="173">
        <f t="shared" si="631"/>
        <v>4.5981344926440579</v>
      </c>
      <c r="AY244" s="173">
        <f t="shared" si="632"/>
        <v>0.66318055819226984</v>
      </c>
      <c r="AZ244" s="173">
        <f t="shared" si="633"/>
        <v>6.9334579185763205</v>
      </c>
      <c r="BA244" s="460">
        <f t="shared" si="594"/>
        <v>0.51821933852334223</v>
      </c>
      <c r="BB244" s="5">
        <f t="shared" si="595"/>
        <v>0.15944923901359756</v>
      </c>
      <c r="BD244" s="173">
        <f t="shared" si="681"/>
        <v>0.27503778760406478</v>
      </c>
      <c r="BE244" s="173">
        <f t="shared" si="682"/>
        <v>0.80883671607430785</v>
      </c>
      <c r="BG244" s="528">
        <f t="shared" si="683"/>
        <v>1.5129156922027728E-3</v>
      </c>
      <c r="BH244" s="528">
        <f t="shared" si="634"/>
        <v>0.72197544020955196</v>
      </c>
      <c r="BI244" s="528">
        <f t="shared" si="635"/>
        <v>0.48270605556080559</v>
      </c>
      <c r="BJ244" s="528">
        <f t="shared" si="684"/>
        <v>1.0057613125154701</v>
      </c>
      <c r="BK244">
        <f t="shared" si="685"/>
        <v>2.6983568323274844E-2</v>
      </c>
      <c r="BL244" s="460">
        <f t="shared" si="686"/>
        <v>509.68962388408045</v>
      </c>
      <c r="BM244" s="528">
        <f t="shared" si="636"/>
        <v>1.730280137324187</v>
      </c>
      <c r="BN244" s="460">
        <f t="shared" si="687"/>
        <v>1730.2801373241869</v>
      </c>
      <c r="BO244" s="528">
        <f t="shared" si="637"/>
        <v>0.19600000000000001</v>
      </c>
      <c r="BR244" s="460">
        <f t="shared" si="688"/>
        <v>196</v>
      </c>
      <c r="BS244" s="528">
        <f t="shared" si="689"/>
        <v>2.2693735383041594E-3</v>
      </c>
      <c r="BT244" s="528">
        <f t="shared" si="690"/>
        <v>1.9626504998096112E-2</v>
      </c>
      <c r="BU244" s="528">
        <f t="shared" si="691"/>
        <v>0.30520601205759834</v>
      </c>
      <c r="BV244" s="528"/>
      <c r="BW244" s="528">
        <f t="shared" si="692"/>
        <v>3.8317787438700486E-3</v>
      </c>
      <c r="BX244" s="460">
        <f t="shared" si="693"/>
        <v>330.93366933786865</v>
      </c>
      <c r="BY244" s="173">
        <f t="shared" si="694"/>
        <v>2.7658729616391744</v>
      </c>
      <c r="BZ244" s="5">
        <f t="shared" si="695"/>
        <v>4.4800000000000004</v>
      </c>
      <c r="CA244" s="173">
        <f t="shared" si="696"/>
        <v>0.61828299001622666</v>
      </c>
      <c r="CB244" s="5">
        <f t="shared" si="697"/>
        <v>61.828299001622668</v>
      </c>
      <c r="CE244" s="562">
        <f t="shared" si="638"/>
        <v>-50</v>
      </c>
      <c r="CF244">
        <f t="shared" si="639"/>
        <v>-50</v>
      </c>
      <c r="CG244" s="173">
        <f t="shared" si="640"/>
        <v>0.38340579025361632</v>
      </c>
      <c r="CI244" s="170">
        <v>28</v>
      </c>
      <c r="CJ244" s="217">
        <f t="shared" si="698"/>
        <v>0.28000000000000003</v>
      </c>
      <c r="CK244" s="217"/>
      <c r="CL244" s="217">
        <f t="shared" si="641"/>
        <v>4.4800000000000004</v>
      </c>
      <c r="CM244" s="541">
        <f t="shared" si="642"/>
        <v>60</v>
      </c>
      <c r="CN244" s="443">
        <f t="shared" si="643"/>
        <v>16.399999999999999</v>
      </c>
      <c r="CO244" s="443">
        <f t="shared" si="644"/>
        <v>76.400000000000006</v>
      </c>
      <c r="CP244" s="443"/>
      <c r="CQ244" s="217">
        <f t="shared" si="645"/>
        <v>0.21465968586387432</v>
      </c>
      <c r="CR244" s="172">
        <f t="shared" si="646"/>
        <v>33.164921465968582</v>
      </c>
      <c r="CS244" s="172">
        <f t="shared" si="647"/>
        <v>4.4800000000000004</v>
      </c>
      <c r="CT244" s="217">
        <f t="shared" si="648"/>
        <v>2.0728075916230364</v>
      </c>
      <c r="CU244" s="217">
        <f t="shared" si="649"/>
        <v>16</v>
      </c>
      <c r="CV244" s="217"/>
      <c r="CW244" s="172">
        <f t="shared" si="650"/>
        <v>475.76468844380861</v>
      </c>
      <c r="CX244" s="172">
        <f t="shared" si="651"/>
        <v>16</v>
      </c>
      <c r="CY244" s="217">
        <f t="shared" si="652"/>
        <v>0.69567479674796762</v>
      </c>
      <c r="CZ244" s="217">
        <f t="shared" si="653"/>
        <v>0.13913495934959355</v>
      </c>
      <c r="DA244" s="217">
        <f t="shared" si="654"/>
        <v>0.50903033908387874</v>
      </c>
      <c r="DB244" s="197">
        <f t="shared" si="655"/>
        <v>350</v>
      </c>
      <c r="DC244" s="443">
        <f t="shared" si="656"/>
        <v>350</v>
      </c>
      <c r="DE244" s="217">
        <f t="shared" si="657"/>
        <v>3.06656694091249</v>
      </c>
      <c r="DF244" s="173">
        <f t="shared" si="658"/>
        <v>2.2438294689603588</v>
      </c>
      <c r="DG244" s="173">
        <f t="shared" si="659"/>
        <v>1.2041493223478366</v>
      </c>
      <c r="DH244" s="173"/>
      <c r="DI244" s="173">
        <f t="shared" si="660"/>
        <v>0.73170731707317083</v>
      </c>
      <c r="DJ244" s="545">
        <f t="shared" si="661"/>
        <v>765.33333333333326</v>
      </c>
      <c r="DK244" s="528">
        <f t="shared" si="662"/>
        <v>0.12804878048780488</v>
      </c>
      <c r="DM244" s="173">
        <f t="shared" si="663"/>
        <v>1.4787382008545891</v>
      </c>
      <c r="DN244" s="173">
        <f t="shared" si="664"/>
        <v>1.4787382008545891</v>
      </c>
      <c r="DO244" s="173">
        <f t="shared" si="665"/>
        <v>1.5546208895219178</v>
      </c>
      <c r="DQ244" s="545">
        <f t="shared" si="666"/>
        <v>280</v>
      </c>
      <c r="DR244" s="460">
        <f t="shared" si="667"/>
        <v>350</v>
      </c>
      <c r="DT244">
        <f t="shared" si="668"/>
        <v>280</v>
      </c>
      <c r="DU244">
        <f t="shared" si="669"/>
        <v>350</v>
      </c>
      <c r="DW244" s="5">
        <f t="shared" si="670"/>
        <v>2.8571428571428572</v>
      </c>
      <c r="DX244" s="5">
        <f t="shared" si="671"/>
        <v>0.29574764017091787</v>
      </c>
      <c r="DY244" s="5">
        <f t="shared" si="672"/>
        <v>2.5613952169719392</v>
      </c>
      <c r="DZ244" s="5"/>
      <c r="EA244" s="173">
        <f t="shared" si="673"/>
        <v>0.10351167405982126</v>
      </c>
      <c r="EB244" s="173">
        <f t="shared" si="699"/>
        <v>4.5920000000000005</v>
      </c>
      <c r="EC244" s="173">
        <f t="shared" si="700"/>
        <v>0.66283576709396119</v>
      </c>
      <c r="ED244" s="173">
        <f t="shared" si="701"/>
        <v>6.9278096143370238</v>
      </c>
      <c r="EE244" s="460">
        <f t="shared" si="674"/>
        <v>0.51755837029910623</v>
      </c>
      <c r="EF244" s="5">
        <f t="shared" si="675"/>
        <v>0.1593757023893651</v>
      </c>
      <c r="EH244" s="173">
        <f t="shared" si="702"/>
        <v>0.27467892000022853</v>
      </c>
      <c r="EI244" s="173">
        <f t="shared" si="703"/>
        <v>0.80835659197930532</v>
      </c>
      <c r="EK244" s="528">
        <f t="shared" si="704"/>
        <v>1.5089701818498389E-3</v>
      </c>
      <c r="EL244" s="528">
        <f t="shared" si="705"/>
        <v>0.75128773032618246</v>
      </c>
      <c r="EM244" s="528">
        <f t="shared" si="706"/>
        <v>4.0250000000000001E-2</v>
      </c>
      <c r="EN244" s="528">
        <f t="shared" si="707"/>
        <v>1.0061459800000001</v>
      </c>
      <c r="EO244">
        <f t="shared" si="708"/>
        <v>2.7E-2</v>
      </c>
      <c r="EP244" s="460">
        <f t="shared" si="709"/>
        <v>67.25</v>
      </c>
      <c r="EQ244" s="460"/>
      <c r="ER244" s="460">
        <f t="shared" si="710"/>
        <v>1826.1926805080323</v>
      </c>
      <c r="ES244" s="528">
        <f t="shared" si="711"/>
        <v>0.19600000000000001</v>
      </c>
      <c r="EV244" s="460">
        <f t="shared" si="712"/>
        <v>196</v>
      </c>
      <c r="EW244" s="528">
        <f t="shared" si="713"/>
        <v>2.2634552727747582E-3</v>
      </c>
      <c r="EX244" s="528">
        <f t="shared" si="714"/>
        <v>1.9603211393891914E-2</v>
      </c>
      <c r="EY244" s="528">
        <f t="shared" si="715"/>
        <v>0.30469711771638852</v>
      </c>
      <c r="EZ244" s="528"/>
      <c r="FA244" s="528">
        <f t="shared" si="716"/>
        <v>3.8266666666666675E-3</v>
      </c>
      <c r="FB244" s="460">
        <f t="shared" si="717"/>
        <v>330.39045104972189</v>
      </c>
      <c r="FC244" s="173">
        <f t="shared" si="718"/>
        <v>2.3525831315577541</v>
      </c>
      <c r="FD244" s="5">
        <f t="shared" si="719"/>
        <v>4.4800000000000004</v>
      </c>
      <c r="FE244" s="173">
        <f t="shared" si="720"/>
        <v>0.65568174052770134</v>
      </c>
      <c r="FF244" s="5">
        <f t="shared" si="721"/>
        <v>65.568174052770132</v>
      </c>
      <c r="FI244" s="562">
        <f t="shared" si="676"/>
        <v>-50</v>
      </c>
      <c r="FJ244">
        <f t="shared" si="677"/>
        <v>-50</v>
      </c>
      <c r="FL244">
        <f t="shared" si="678"/>
        <v>0.37870124656032161</v>
      </c>
    </row>
    <row r="245" spans="5:168">
      <c r="E245" s="170">
        <v>29</v>
      </c>
      <c r="F245" s="217">
        <f t="shared" si="679"/>
        <v>0.28999999999999998</v>
      </c>
      <c r="G245" s="217"/>
      <c r="H245" s="217">
        <f t="shared" si="603"/>
        <v>4.6399999999999997</v>
      </c>
      <c r="I245" s="541">
        <f t="shared" si="604"/>
        <v>59.962838832352141</v>
      </c>
      <c r="J245" s="172">
        <f t="shared" si="605"/>
        <v>16.422296700588713</v>
      </c>
      <c r="K245" s="172">
        <f t="shared" si="606"/>
        <v>76.385135532940851</v>
      </c>
      <c r="L245" s="443"/>
      <c r="M245" s="217">
        <f t="shared" si="607"/>
        <v>0.21499620342164677</v>
      </c>
      <c r="N245" s="172">
        <f t="shared" si="608"/>
        <v>33.196340440499988</v>
      </c>
      <c r="O245" s="172">
        <f t="shared" si="599"/>
        <v>4.6399999999999997</v>
      </c>
      <c r="P245" s="217">
        <f t="shared" si="609"/>
        <v>2.0747712775312492</v>
      </c>
      <c r="Q245" s="217">
        <f t="shared" si="610"/>
        <v>16</v>
      </c>
      <c r="R245" s="217"/>
      <c r="S245" s="172">
        <f t="shared" si="611"/>
        <v>457.01062235433028</v>
      </c>
      <c r="T245" s="172">
        <f t="shared" si="612"/>
        <v>16</v>
      </c>
      <c r="U245" s="217">
        <f t="shared" si="613"/>
        <v>0.71983838227079255</v>
      </c>
      <c r="V245" s="217">
        <f t="shared" si="614"/>
        <v>0.14405689849675632</v>
      </c>
      <c r="W245" s="217">
        <f t="shared" si="615"/>
        <v>0.52599589111916667</v>
      </c>
      <c r="X245" s="197">
        <f t="shared" si="616"/>
        <v>350</v>
      </c>
      <c r="Y245" s="443">
        <f t="shared" si="680"/>
        <v>350</v>
      </c>
      <c r="AA245" s="217">
        <f t="shared" si="617"/>
        <v>3.06943142999399</v>
      </c>
      <c r="AB245" s="173">
        <f t="shared" si="618"/>
        <v>2.2428761233261278</v>
      </c>
      <c r="AC245" s="173">
        <f t="shared" si="619"/>
        <v>1.2047620316410514</v>
      </c>
      <c r="AD245" s="173"/>
      <c r="AE245" s="173">
        <f t="shared" si="620"/>
        <v>0.73071387143856803</v>
      </c>
      <c r="AF245" s="545">
        <f t="shared" si="621"/>
        <v>793.74434052845436</v>
      </c>
      <c r="AG245" s="528">
        <f t="shared" si="622"/>
        <v>0.12787492750174942</v>
      </c>
      <c r="AI245" s="173">
        <f t="shared" si="623"/>
        <v>1.5059352485875486</v>
      </c>
      <c r="AJ245" s="173">
        <f t="shared" si="624"/>
        <v>1.5059352485875486</v>
      </c>
      <c r="AK245" s="173">
        <f t="shared" si="625"/>
        <v>1.5747668508055914</v>
      </c>
      <c r="AM245" s="545">
        <f t="shared" si="626"/>
        <v>290</v>
      </c>
      <c r="AN245" s="460">
        <f t="shared" si="627"/>
        <v>350</v>
      </c>
      <c r="AP245">
        <f t="shared" si="628"/>
        <v>290</v>
      </c>
      <c r="AQ245">
        <f t="shared" si="629"/>
        <v>350</v>
      </c>
      <c r="AS245" s="5">
        <f t="shared" si="600"/>
        <v>2.8571428571428572</v>
      </c>
      <c r="AT245" s="5">
        <f t="shared" si="630"/>
        <v>0.30137370636462429</v>
      </c>
      <c r="AU245" s="5">
        <f t="shared" si="722"/>
        <v>2.5557691507782327</v>
      </c>
      <c r="AV245" s="5"/>
      <c r="AW245" s="173">
        <f t="shared" si="723"/>
        <v>0.10548079722761849</v>
      </c>
      <c r="AX245" s="173">
        <f t="shared" si="631"/>
        <v>4.7624660431707282</v>
      </c>
      <c r="AY245" s="173">
        <f t="shared" si="632"/>
        <v>0.67354399899668105</v>
      </c>
      <c r="AZ245" s="173">
        <f t="shared" si="633"/>
        <v>7.0707571446927782</v>
      </c>
      <c r="BA245" s="460">
        <f t="shared" ref="BA245:BA308" si="724">F245*AT245/Vout_ripple*1000</f>
        <v>0.54623984278588145</v>
      </c>
      <c r="BB245" s="5">
        <f t="shared" ref="BB245:BB308" si="725">H245/Efficiency/I245*AU245/Vinripple1</f>
        <v>0.16480719684801345</v>
      </c>
      <c r="BD245" s="173">
        <f t="shared" si="681"/>
        <v>0.28237898517831483</v>
      </c>
      <c r="BE245" s="173">
        <f t="shared" si="682"/>
        <v>0.82231934168493548</v>
      </c>
      <c r="BG245" s="528">
        <f t="shared" si="683"/>
        <v>1.5947578254066992E-3</v>
      </c>
      <c r="BH245" s="528">
        <f t="shared" si="634"/>
        <v>0.7347609472791945</v>
      </c>
      <c r="BI245" s="528">
        <f t="shared" si="635"/>
        <v>0.48270085260043477</v>
      </c>
      <c r="BJ245" s="528">
        <f t="shared" si="684"/>
        <v>1.0057545043752425</v>
      </c>
      <c r="BK245">
        <f t="shared" si="685"/>
        <v>2.6983277474558462E-2</v>
      </c>
      <c r="BL245" s="460">
        <f t="shared" si="686"/>
        <v>509.68413007499322</v>
      </c>
      <c r="BM245" s="528">
        <f t="shared" si="636"/>
        <v>1.7432013182776986</v>
      </c>
      <c r="BN245" s="460">
        <f t="shared" si="687"/>
        <v>1743.2013182776986</v>
      </c>
      <c r="BO245" s="528">
        <f t="shared" si="637"/>
        <v>0.20299999999999999</v>
      </c>
      <c r="BR245" s="460">
        <f t="shared" si="688"/>
        <v>203</v>
      </c>
      <c r="BS245" s="528">
        <f t="shared" si="689"/>
        <v>2.3921367381100483E-3</v>
      </c>
      <c r="BT245" s="528">
        <f t="shared" si="690"/>
        <v>2.0286272991274369E-2</v>
      </c>
      <c r="BU245" s="528">
        <f t="shared" si="691"/>
        <v>0.3189009859527609</v>
      </c>
      <c r="BV245" s="528"/>
      <c r="BW245" s="528">
        <f t="shared" si="692"/>
        <v>3.9687217026422739E-3</v>
      </c>
      <c r="BX245" s="460">
        <f t="shared" si="693"/>
        <v>345.54811738478759</v>
      </c>
      <c r="BY245" s="173">
        <f t="shared" si="694"/>
        <v>2.8003424569396245</v>
      </c>
      <c r="BZ245" s="5">
        <f t="shared" si="695"/>
        <v>4.6399999999999997</v>
      </c>
      <c r="CA245" s="173">
        <f t="shared" si="696"/>
        <v>0.62362720894281709</v>
      </c>
      <c r="CB245" s="5">
        <f t="shared" si="697"/>
        <v>62.362720894281708</v>
      </c>
      <c r="CE245" s="562">
        <f t="shared" si="638"/>
        <v>-50</v>
      </c>
      <c r="CF245">
        <f t="shared" si="639"/>
        <v>-50</v>
      </c>
      <c r="CG245" s="173">
        <f t="shared" si="640"/>
        <v>0.3901922603025334</v>
      </c>
      <c r="CI245" s="170">
        <v>29</v>
      </c>
      <c r="CJ245" s="217">
        <f t="shared" si="698"/>
        <v>0.28999999999999998</v>
      </c>
      <c r="CK245" s="217"/>
      <c r="CL245" s="217">
        <f t="shared" si="641"/>
        <v>4.6399999999999997</v>
      </c>
      <c r="CM245" s="541">
        <f t="shared" si="642"/>
        <v>60</v>
      </c>
      <c r="CN245" s="443">
        <f t="shared" si="643"/>
        <v>16.399999999999999</v>
      </c>
      <c r="CO245" s="443">
        <f t="shared" si="644"/>
        <v>76.400000000000006</v>
      </c>
      <c r="CP245" s="443"/>
      <c r="CQ245" s="217">
        <f t="shared" si="645"/>
        <v>0.21465968586387432</v>
      </c>
      <c r="CR245" s="172">
        <f t="shared" si="646"/>
        <v>33.164921465968582</v>
      </c>
      <c r="CS245" s="172">
        <f t="shared" si="647"/>
        <v>4.6399999999999997</v>
      </c>
      <c r="CT245" s="217">
        <f t="shared" si="648"/>
        <v>2.0728075916230364</v>
      </c>
      <c r="CU245" s="217">
        <f t="shared" si="649"/>
        <v>16</v>
      </c>
      <c r="CV245" s="217"/>
      <c r="CW245" s="172">
        <f t="shared" si="650"/>
        <v>457.29381611231838</v>
      </c>
      <c r="CX245" s="172">
        <f t="shared" si="651"/>
        <v>16</v>
      </c>
      <c r="CY245" s="217">
        <f t="shared" si="652"/>
        <v>0.72052032520325204</v>
      </c>
      <c r="CZ245" s="217">
        <f t="shared" si="653"/>
        <v>0.1441040650406504</v>
      </c>
      <c r="DA245" s="217">
        <f t="shared" si="654"/>
        <v>0.52720999405116009</v>
      </c>
      <c r="DB245" s="197">
        <f t="shared" si="655"/>
        <v>350</v>
      </c>
      <c r="DC245" s="443">
        <f t="shared" si="656"/>
        <v>350</v>
      </c>
      <c r="DE245" s="217">
        <f t="shared" si="657"/>
        <v>3.06656694091249</v>
      </c>
      <c r="DF245" s="173">
        <f t="shared" si="658"/>
        <v>2.2438294689603588</v>
      </c>
      <c r="DG245" s="173">
        <f t="shared" si="659"/>
        <v>1.2041493223478366</v>
      </c>
      <c r="DH245" s="173"/>
      <c r="DI245" s="173">
        <f t="shared" si="660"/>
        <v>0.73170731707317083</v>
      </c>
      <c r="DJ245" s="545">
        <f t="shared" si="661"/>
        <v>792.66666666666652</v>
      </c>
      <c r="DK245" s="528">
        <f t="shared" si="662"/>
        <v>0.12804878048780488</v>
      </c>
      <c r="DM245" s="173">
        <f t="shared" si="663"/>
        <v>1.5049125904058032</v>
      </c>
      <c r="DN245" s="173">
        <f t="shared" si="664"/>
        <v>1.5049125904058032</v>
      </c>
      <c r="DO245" s="173">
        <f t="shared" si="665"/>
        <v>1.5740093262265209</v>
      </c>
      <c r="DQ245" s="545">
        <f t="shared" si="666"/>
        <v>290</v>
      </c>
      <c r="DR245" s="460">
        <f t="shared" si="667"/>
        <v>350</v>
      </c>
      <c r="DT245">
        <f t="shared" si="668"/>
        <v>290</v>
      </c>
      <c r="DU245">
        <f t="shared" si="669"/>
        <v>350</v>
      </c>
      <c r="DW245" s="5">
        <f t="shared" si="670"/>
        <v>2.8571428571428572</v>
      </c>
      <c r="DX245" s="5">
        <f t="shared" si="671"/>
        <v>0.30098251808116067</v>
      </c>
      <c r="DY245" s="5">
        <f t="shared" si="672"/>
        <v>2.5561603390616967</v>
      </c>
      <c r="DZ245" s="5"/>
      <c r="EA245" s="173">
        <f t="shared" si="673"/>
        <v>0.10534388132840623</v>
      </c>
      <c r="EB245" s="173">
        <f t="shared" si="699"/>
        <v>4.7560000000000002</v>
      </c>
      <c r="EC245" s="173">
        <f t="shared" si="700"/>
        <v>0.67318962853623487</v>
      </c>
      <c r="ED245" s="173">
        <f t="shared" si="701"/>
        <v>7.0648741430275992</v>
      </c>
      <c r="EE245" s="460">
        <f t="shared" si="674"/>
        <v>0.54553081402210368</v>
      </c>
      <c r="EF245" s="5">
        <f t="shared" si="675"/>
        <v>0.16473033296175374</v>
      </c>
      <c r="EH245" s="173">
        <f t="shared" si="702"/>
        <v>0.28200402439937705</v>
      </c>
      <c r="EI245" s="173">
        <f t="shared" si="703"/>
        <v>0.82182380419600309</v>
      </c>
      <c r="EK245" s="528">
        <f t="shared" si="704"/>
        <v>1.5905253955488892E-3</v>
      </c>
      <c r="EL245" s="528">
        <f t="shared" si="705"/>
        <v>0.76458589068157246</v>
      </c>
      <c r="EM245" s="528">
        <f t="shared" si="706"/>
        <v>4.0250000000000001E-2</v>
      </c>
      <c r="EN245" s="528">
        <f t="shared" si="707"/>
        <v>1.0061459800000001</v>
      </c>
      <c r="EO245">
        <f t="shared" si="708"/>
        <v>2.7E-2</v>
      </c>
      <c r="EP245" s="460">
        <f t="shared" si="709"/>
        <v>67.25</v>
      </c>
      <c r="EQ245" s="460"/>
      <c r="ER245" s="460">
        <f t="shared" si="710"/>
        <v>1839.5723960771215</v>
      </c>
      <c r="ES245" s="528">
        <f t="shared" si="711"/>
        <v>0.20299999999999999</v>
      </c>
      <c r="EV245" s="460">
        <f t="shared" si="712"/>
        <v>203</v>
      </c>
      <c r="EW245" s="528">
        <f t="shared" si="713"/>
        <v>2.3857880933233337E-3</v>
      </c>
      <c r="EX245" s="528">
        <f t="shared" si="714"/>
        <v>2.026183095429571E-2</v>
      </c>
      <c r="EY245" s="528">
        <f t="shared" si="715"/>
        <v>0.3183598593991443</v>
      </c>
      <c r="EZ245" s="528"/>
      <c r="FA245" s="528">
        <f t="shared" si="716"/>
        <v>3.9633333333333335E-3</v>
      </c>
      <c r="FB245" s="460">
        <f t="shared" si="717"/>
        <v>344.97081178009665</v>
      </c>
      <c r="FC245" s="173">
        <f t="shared" si="718"/>
        <v>2.3875432078572185</v>
      </c>
      <c r="FD245" s="5">
        <f t="shared" si="719"/>
        <v>4.6399999999999997</v>
      </c>
      <c r="FE245" s="173">
        <f t="shared" si="720"/>
        <v>0.66025919197653582</v>
      </c>
      <c r="FF245" s="5">
        <f t="shared" si="721"/>
        <v>66.025919197653579</v>
      </c>
      <c r="FI245" s="562">
        <f t="shared" si="676"/>
        <v>-50</v>
      </c>
      <c r="FJ245">
        <f t="shared" si="677"/>
        <v>-50</v>
      </c>
      <c r="FL245">
        <f t="shared" si="678"/>
        <v>0.38540444388441303</v>
      </c>
    </row>
    <row r="246" spans="5:168">
      <c r="E246" s="170">
        <v>30</v>
      </c>
      <c r="F246" s="217">
        <f t="shared" si="679"/>
        <v>0.3</v>
      </c>
      <c r="G246" s="217"/>
      <c r="H246" s="217">
        <f t="shared" si="603"/>
        <v>4.8</v>
      </c>
      <c r="I246" s="541">
        <f t="shared" si="604"/>
        <v>59.96220355269908</v>
      </c>
      <c r="J246" s="172">
        <f t="shared" si="605"/>
        <v>16.422677868380553</v>
      </c>
      <c r="K246" s="172">
        <f t="shared" si="606"/>
        <v>76.384881421079626</v>
      </c>
      <c r="L246" s="443"/>
      <c r="M246" s="217">
        <f t="shared" si="607"/>
        <v>0.21500195739267328</v>
      </c>
      <c r="N246" s="172">
        <f t="shared" si="608"/>
        <v>33.196877168526143</v>
      </c>
      <c r="O246" s="172">
        <f t="shared" si="599"/>
        <v>4.8</v>
      </c>
      <c r="P246" s="217">
        <f t="shared" si="609"/>
        <v>2.0748048230328839</v>
      </c>
      <c r="Q246" s="217">
        <f t="shared" si="610"/>
        <v>16</v>
      </c>
      <c r="R246" s="217"/>
      <c r="S246" s="172">
        <f t="shared" si="611"/>
        <v>439.77731518873952</v>
      </c>
      <c r="T246" s="172">
        <f t="shared" si="612"/>
        <v>16</v>
      </c>
      <c r="U246" s="217">
        <f t="shared" si="613"/>
        <v>0.74464835576272081</v>
      </c>
      <c r="V246" s="217">
        <f t="shared" si="614"/>
        <v>0.14902354716332675</v>
      </c>
      <c r="W246" s="217">
        <f t="shared" si="615"/>
        <v>0.54411225384607809</v>
      </c>
      <c r="X246" s="197">
        <f t="shared" si="616"/>
        <v>350</v>
      </c>
      <c r="Y246" s="443">
        <f t="shared" si="680"/>
        <v>350</v>
      </c>
      <c r="AA246" s="217">
        <f t="shared" si="617"/>
        <v>3.0694803639521755</v>
      </c>
      <c r="AB246" s="173">
        <f t="shared" si="618"/>
        <v>2.2428598224132554</v>
      </c>
      <c r="AC246" s="173">
        <f t="shared" si="619"/>
        <v>1.2047724821990815</v>
      </c>
      <c r="AD246" s="173"/>
      <c r="AE246" s="173">
        <f t="shared" si="620"/>
        <v>0.73069691168358308</v>
      </c>
      <c r="AF246" s="545">
        <f t="shared" si="621"/>
        <v>821.13389341902769</v>
      </c>
      <c r="AG246" s="528">
        <f t="shared" si="622"/>
        <v>0.12787195954462705</v>
      </c>
      <c r="AI246" s="173">
        <f t="shared" si="623"/>
        <v>1.5316973716567117</v>
      </c>
      <c r="AJ246" s="173">
        <f t="shared" si="624"/>
        <v>1.5316973716567117</v>
      </c>
      <c r="AK246" s="173">
        <f t="shared" si="625"/>
        <v>1.5938499049308974</v>
      </c>
      <c r="AM246" s="545">
        <f t="shared" si="626"/>
        <v>300</v>
      </c>
      <c r="AN246" s="460">
        <f t="shared" si="627"/>
        <v>350</v>
      </c>
      <c r="AP246">
        <f t="shared" si="628"/>
        <v>300</v>
      </c>
      <c r="AQ246">
        <f t="shared" si="629"/>
        <v>350</v>
      </c>
      <c r="AS246" s="5">
        <f t="shared" si="600"/>
        <v>2.8571428571428572</v>
      </c>
      <c r="AT246" s="5">
        <f t="shared" si="630"/>
        <v>0.30653257170121434</v>
      </c>
      <c r="AU246" s="5">
        <f t="shared" si="722"/>
        <v>2.550610285441643</v>
      </c>
      <c r="AV246" s="5"/>
      <c r="AW246" s="173">
        <f t="shared" si="723"/>
        <v>0.10728640009542502</v>
      </c>
      <c r="AX246" s="173">
        <f t="shared" si="631"/>
        <v>4.9268033605141657</v>
      </c>
      <c r="AY246" s="173">
        <f t="shared" si="632"/>
        <v>0.68368353730801945</v>
      </c>
      <c r="AZ246" s="173">
        <f t="shared" si="633"/>
        <v>7.2062629735290766</v>
      </c>
      <c r="BA246" s="460">
        <f t="shared" si="724"/>
        <v>0.57474857193977691</v>
      </c>
      <c r="BB246" s="5">
        <f t="shared" si="725"/>
        <v>0.1701478687787038</v>
      </c>
      <c r="BD246" s="173">
        <f t="shared" si="681"/>
        <v>0.28965743218542678</v>
      </c>
      <c r="BE246" s="173">
        <f t="shared" si="682"/>
        <v>0.83554224993499748</v>
      </c>
      <c r="BG246" s="528">
        <f t="shared" si="683"/>
        <v>1.6780285604051023E-3</v>
      </c>
      <c r="BH246" s="528">
        <f t="shared" si="634"/>
        <v>0.74732805995831708</v>
      </c>
      <c r="BI246" s="528">
        <f t="shared" si="635"/>
        <v>0.4826957385992276</v>
      </c>
      <c r="BJ246" s="528">
        <f t="shared" si="684"/>
        <v>1.0057478126616743</v>
      </c>
      <c r="BK246">
        <f t="shared" si="685"/>
        <v>2.6982991598714586E-2</v>
      </c>
      <c r="BL246" s="460">
        <f t="shared" si="686"/>
        <v>509.67873019794217</v>
      </c>
      <c r="BM246" s="528">
        <f t="shared" si="636"/>
        <v>1.7559070483048356</v>
      </c>
      <c r="BN246" s="460">
        <f t="shared" si="687"/>
        <v>1755.9070483048356</v>
      </c>
      <c r="BO246" s="528">
        <f t="shared" si="637"/>
        <v>0.21</v>
      </c>
      <c r="BR246" s="460">
        <f t="shared" si="688"/>
        <v>210</v>
      </c>
      <c r="BS246" s="528">
        <f t="shared" si="689"/>
        <v>2.5170428406076535E-3</v>
      </c>
      <c r="BT246" s="528">
        <f t="shared" si="690"/>
        <v>2.0943925542793135E-2</v>
      </c>
      <c r="BU246" s="528">
        <f t="shared" si="691"/>
        <v>0.33271511655237973</v>
      </c>
      <c r="BV246" s="528"/>
      <c r="BW246" s="528">
        <f t="shared" si="692"/>
        <v>4.1056694670951379E-3</v>
      </c>
      <c r="BX246" s="460">
        <f t="shared" si="693"/>
        <v>360.28175440287561</v>
      </c>
      <c r="BY246" s="173">
        <f t="shared" si="694"/>
        <v>2.834714385781214</v>
      </c>
      <c r="BZ246" s="5">
        <f t="shared" si="695"/>
        <v>4.8</v>
      </c>
      <c r="CA246" s="173">
        <f t="shared" si="696"/>
        <v>0.62870721253691597</v>
      </c>
      <c r="CB246" s="5">
        <f t="shared" si="697"/>
        <v>62.870721253691599</v>
      </c>
      <c r="CE246" s="562">
        <f t="shared" si="638"/>
        <v>-50</v>
      </c>
      <c r="CF246">
        <f t="shared" si="639"/>
        <v>-50</v>
      </c>
      <c r="CG246" s="173">
        <f t="shared" si="640"/>
        <v>0.3968626966596886</v>
      </c>
      <c r="CI246" s="170">
        <v>30</v>
      </c>
      <c r="CJ246" s="217">
        <f t="shared" si="698"/>
        <v>0.3</v>
      </c>
      <c r="CK246" s="217"/>
      <c r="CL246" s="217">
        <f t="shared" si="641"/>
        <v>4.8</v>
      </c>
      <c r="CM246" s="541">
        <f t="shared" si="642"/>
        <v>60</v>
      </c>
      <c r="CN246" s="443">
        <f t="shared" si="643"/>
        <v>16.399999999999999</v>
      </c>
      <c r="CO246" s="443">
        <f t="shared" si="644"/>
        <v>76.400000000000006</v>
      </c>
      <c r="CP246" s="443"/>
      <c r="CQ246" s="217">
        <f t="shared" si="645"/>
        <v>0.21465968586387432</v>
      </c>
      <c r="CR246" s="172">
        <f t="shared" si="646"/>
        <v>33.164921465968582</v>
      </c>
      <c r="CS246" s="172">
        <f t="shared" si="647"/>
        <v>4.8</v>
      </c>
      <c r="CT246" s="217">
        <f t="shared" si="648"/>
        <v>2.0728075916230364</v>
      </c>
      <c r="CU246" s="217">
        <f t="shared" si="649"/>
        <v>16</v>
      </c>
      <c r="CV246" s="217"/>
      <c r="CW246" s="172">
        <f t="shared" si="650"/>
        <v>440.05448917104957</v>
      </c>
      <c r="CX246" s="172">
        <f t="shared" si="651"/>
        <v>16</v>
      </c>
      <c r="CY246" s="217">
        <f t="shared" si="652"/>
        <v>0.74536585365853658</v>
      </c>
      <c r="CZ246" s="217">
        <f t="shared" si="653"/>
        <v>0.14907317073170731</v>
      </c>
      <c r="DA246" s="217">
        <f t="shared" si="654"/>
        <v>0.54538964901844145</v>
      </c>
      <c r="DB246" s="197">
        <f t="shared" si="655"/>
        <v>350</v>
      </c>
      <c r="DC246" s="443">
        <f t="shared" si="656"/>
        <v>350</v>
      </c>
      <c r="DE246" s="217">
        <f t="shared" si="657"/>
        <v>3.06656694091249</v>
      </c>
      <c r="DF246" s="173">
        <f t="shared" si="658"/>
        <v>2.2438294689603588</v>
      </c>
      <c r="DG246" s="173">
        <f t="shared" si="659"/>
        <v>1.2041493223478366</v>
      </c>
      <c r="DH246" s="173"/>
      <c r="DI246" s="173">
        <f t="shared" si="660"/>
        <v>0.73170731707317083</v>
      </c>
      <c r="DJ246" s="545">
        <f t="shared" si="661"/>
        <v>819.99999999999989</v>
      </c>
      <c r="DK246" s="528">
        <f t="shared" si="662"/>
        <v>0.12804878048780488</v>
      </c>
      <c r="DM246" s="173">
        <f t="shared" si="663"/>
        <v>1.5306394555404426</v>
      </c>
      <c r="DN246" s="173">
        <f t="shared" si="664"/>
        <v>1.5306394555404426</v>
      </c>
      <c r="DO246" s="173">
        <f t="shared" si="665"/>
        <v>1.5930662633632908</v>
      </c>
      <c r="DQ246" s="545">
        <f t="shared" si="666"/>
        <v>300</v>
      </c>
      <c r="DR246" s="460">
        <f t="shared" si="667"/>
        <v>350</v>
      </c>
      <c r="DT246">
        <f t="shared" si="668"/>
        <v>300</v>
      </c>
      <c r="DU246">
        <f t="shared" si="669"/>
        <v>350</v>
      </c>
      <c r="DW246" s="5">
        <f t="shared" si="670"/>
        <v>2.8571428571428572</v>
      </c>
      <c r="DX246" s="5">
        <f t="shared" si="671"/>
        <v>0.30612789110808847</v>
      </c>
      <c r="DY246" s="5">
        <f t="shared" si="672"/>
        <v>2.551014966034769</v>
      </c>
      <c r="DZ246" s="5"/>
      <c r="EA246" s="173">
        <f t="shared" si="673"/>
        <v>0.10714476188783097</v>
      </c>
      <c r="EB246" s="173">
        <f t="shared" si="699"/>
        <v>4.92</v>
      </c>
      <c r="EC246" s="173">
        <f t="shared" si="700"/>
        <v>0.68331972777022132</v>
      </c>
      <c r="ED246" s="173">
        <f t="shared" si="701"/>
        <v>7.200143359031542</v>
      </c>
      <c r="EE246" s="460">
        <f t="shared" si="674"/>
        <v>0.57398979582766585</v>
      </c>
      <c r="EF246" s="5">
        <f t="shared" si="675"/>
        <v>0.17006766440231791</v>
      </c>
      <c r="EH246" s="173">
        <f t="shared" si="702"/>
        <v>0.28926623878855534</v>
      </c>
      <c r="EI246" s="173">
        <f t="shared" si="703"/>
        <v>0.83503139105635016</v>
      </c>
      <c r="EK246" s="528">
        <f t="shared" si="704"/>
        <v>1.6734991380575504E-3</v>
      </c>
      <c r="EL246" s="528">
        <f t="shared" si="705"/>
        <v>0.77765668178187741</v>
      </c>
      <c r="EM246" s="528">
        <f t="shared" si="706"/>
        <v>4.0250000000000001E-2</v>
      </c>
      <c r="EN246" s="528">
        <f t="shared" si="707"/>
        <v>1.0061459800000001</v>
      </c>
      <c r="EO246">
        <f t="shared" si="708"/>
        <v>2.7E-2</v>
      </c>
      <c r="EP246" s="460">
        <f t="shared" si="709"/>
        <v>67.25</v>
      </c>
      <c r="EQ246" s="460"/>
      <c r="ER246" s="460">
        <f t="shared" si="710"/>
        <v>1852.726160919935</v>
      </c>
      <c r="ES246" s="528">
        <f t="shared" si="711"/>
        <v>0.21</v>
      </c>
      <c r="EV246" s="460">
        <f t="shared" si="712"/>
        <v>210</v>
      </c>
      <c r="EW246" s="528">
        <f t="shared" si="713"/>
        <v>2.5102487070863253E-3</v>
      </c>
      <c r="EX246" s="528">
        <f t="shared" si="714"/>
        <v>2.0918322721485097E-2</v>
      </c>
      <c r="EY246" s="528">
        <f t="shared" si="715"/>
        <v>0.33214091309146782</v>
      </c>
      <c r="EZ246" s="528"/>
      <c r="FA246" s="528">
        <f t="shared" si="716"/>
        <v>4.0999999999999995E-3</v>
      </c>
      <c r="FB246" s="460">
        <f t="shared" si="717"/>
        <v>359.66948452003919</v>
      </c>
      <c r="FC246" s="173">
        <f t="shared" si="718"/>
        <v>2.4223956454399747</v>
      </c>
      <c r="FD246" s="5">
        <f t="shared" si="719"/>
        <v>4.8</v>
      </c>
      <c r="FE246" s="173">
        <f t="shared" si="720"/>
        <v>0.66459942595786625</v>
      </c>
      <c r="FF246" s="5">
        <f t="shared" si="721"/>
        <v>66.459942595786629</v>
      </c>
      <c r="FI246" s="562">
        <f t="shared" si="676"/>
        <v>-50</v>
      </c>
      <c r="FJ246">
        <f t="shared" si="677"/>
        <v>-50</v>
      </c>
      <c r="FL246">
        <f t="shared" si="678"/>
        <v>0.39199303129694263</v>
      </c>
    </row>
    <row r="247" spans="5:168">
      <c r="E247" s="170">
        <v>31</v>
      </c>
      <c r="F247" s="217">
        <f t="shared" si="679"/>
        <v>0.31</v>
      </c>
      <c r="G247" s="217"/>
      <c r="H247" s="217">
        <f t="shared" si="603"/>
        <v>4.96</v>
      </c>
      <c r="I247" s="541">
        <f t="shared" si="604"/>
        <v>59.961578775706769</v>
      </c>
      <c r="J247" s="172">
        <f t="shared" si="605"/>
        <v>16.423052734575936</v>
      </c>
      <c r="K247" s="172">
        <f t="shared" si="606"/>
        <v>76.384631510282702</v>
      </c>
      <c r="L247" s="443"/>
      <c r="M247" s="217">
        <f t="shared" si="607"/>
        <v>0.21500761627372439</v>
      </c>
      <c r="N247" s="172">
        <f t="shared" si="608"/>
        <v>33.197405010477681</v>
      </c>
      <c r="O247" s="172">
        <f t="shared" si="599"/>
        <v>4.96</v>
      </c>
      <c r="P247" s="217">
        <f t="shared" si="609"/>
        <v>2.074837813154855</v>
      </c>
      <c r="Q247" s="217">
        <f t="shared" si="610"/>
        <v>16</v>
      </c>
      <c r="R247" s="217"/>
      <c r="S247" s="172">
        <f t="shared" si="611"/>
        <v>423.65610042677474</v>
      </c>
      <c r="T247" s="172">
        <f t="shared" si="612"/>
        <v>16</v>
      </c>
      <c r="U247" s="217">
        <f t="shared" si="613"/>
        <v>0.76945773297454623</v>
      </c>
      <c r="V247" s="217">
        <f t="shared" si="614"/>
        <v>0.15399015476616293</v>
      </c>
      <c r="W247" s="217">
        <f t="shared" si="615"/>
        <v>0.56222755567574911</v>
      </c>
      <c r="X247" s="197">
        <f t="shared" si="616"/>
        <v>350</v>
      </c>
      <c r="Y247" s="443">
        <f t="shared" si="680"/>
        <v>350</v>
      </c>
      <c r="AA247" s="217">
        <f t="shared" si="617"/>
        <v>3.0695284877626099</v>
      </c>
      <c r="AB247" s="173">
        <f t="shared" si="618"/>
        <v>2.242843790886873</v>
      </c>
      <c r="AC247" s="173">
        <f t="shared" si="619"/>
        <v>1.2047827592025302</v>
      </c>
      <c r="AD247" s="173"/>
      <c r="AE247" s="173">
        <f t="shared" si="620"/>
        <v>0.73068023308090868</v>
      </c>
      <c r="AF247" s="545">
        <f t="shared" si="621"/>
        <v>848.52439128642334</v>
      </c>
      <c r="AG247" s="528">
        <f t="shared" si="622"/>
        <v>0.12786904078915901</v>
      </c>
      <c r="AI247" s="173">
        <f t="shared" si="623"/>
        <v>1.5570341690777036</v>
      </c>
      <c r="AJ247" s="173">
        <f t="shared" si="624"/>
        <v>1.5570341690777036</v>
      </c>
      <c r="AK247" s="173">
        <f t="shared" si="625"/>
        <v>1.6126179030205212</v>
      </c>
      <c r="AM247" s="545">
        <f t="shared" si="626"/>
        <v>310</v>
      </c>
      <c r="AN247" s="460">
        <f t="shared" si="627"/>
        <v>350</v>
      </c>
      <c r="AP247">
        <f t="shared" si="628"/>
        <v>310</v>
      </c>
      <c r="AQ247">
        <f t="shared" si="629"/>
        <v>350</v>
      </c>
      <c r="AS247" s="5">
        <f t="shared" si="600"/>
        <v>2.8571428571428572</v>
      </c>
      <c r="AT247" s="5">
        <f t="shared" si="630"/>
        <v>0.31160637212078157</v>
      </c>
      <c r="AU247" s="5">
        <f t="shared" si="722"/>
        <v>2.5455364850220756</v>
      </c>
      <c r="AV247" s="5"/>
      <c r="AW247" s="173">
        <f t="shared" si="723"/>
        <v>0.10906223024227354</v>
      </c>
      <c r="AX247" s="173">
        <f t="shared" si="631"/>
        <v>5.0911463477185395</v>
      </c>
      <c r="AY247" s="173">
        <f t="shared" si="632"/>
        <v>0.69361027501733197</v>
      </c>
      <c r="AZ247" s="173">
        <f t="shared" si="633"/>
        <v>7.340067659163962</v>
      </c>
      <c r="BA247" s="460">
        <f t="shared" si="724"/>
        <v>0.6037373459840143</v>
      </c>
      <c r="BB247" s="5">
        <f t="shared" si="725"/>
        <v>0.1754715439384108</v>
      </c>
      <c r="BD247" s="173">
        <f t="shared" si="681"/>
        <v>0.29687573563403979</v>
      </c>
      <c r="BE247" s="173">
        <f t="shared" si="682"/>
        <v>0.84851827645819111</v>
      </c>
      <c r="BG247" s="528">
        <f t="shared" si="683"/>
        <v>1.7627040481650459E-3</v>
      </c>
      <c r="BH247" s="528">
        <f t="shared" si="634"/>
        <v>0.75968761150941155</v>
      </c>
      <c r="BI247" s="528">
        <f t="shared" si="635"/>
        <v>0.48269070914443957</v>
      </c>
      <c r="BJ247" s="528">
        <f t="shared" si="684"/>
        <v>1.0057412315995184</v>
      </c>
      <c r="BK247">
        <f t="shared" si="685"/>
        <v>2.6982710449068047E-2</v>
      </c>
      <c r="BL247" s="460">
        <f t="shared" si="686"/>
        <v>509.67341959350767</v>
      </c>
      <c r="BM247" s="528">
        <f t="shared" si="636"/>
        <v>1.7684081192538861</v>
      </c>
      <c r="BN247" s="460">
        <f t="shared" si="687"/>
        <v>1768.4081192538861</v>
      </c>
      <c r="BO247" s="528">
        <f t="shared" si="637"/>
        <v>0.217</v>
      </c>
      <c r="BR247" s="460">
        <f t="shared" si="688"/>
        <v>217</v>
      </c>
      <c r="BS247" s="528">
        <f t="shared" si="689"/>
        <v>2.6440560722475687E-3</v>
      </c>
      <c r="BT247" s="528">
        <f t="shared" si="690"/>
        <v>2.1599497964507379E-2</v>
      </c>
      <c r="BU247" s="528">
        <f t="shared" si="691"/>
        <v>0.34664542544821747</v>
      </c>
      <c r="BV247" s="528"/>
      <c r="BW247" s="528">
        <f t="shared" si="692"/>
        <v>4.2426219564321169E-3</v>
      </c>
      <c r="BX247" s="460">
        <f t="shared" si="693"/>
        <v>375.13160144140448</v>
      </c>
      <c r="BY247" s="173">
        <f t="shared" si="694"/>
        <v>2.8689965681920073</v>
      </c>
      <c r="BZ247" s="5">
        <f t="shared" si="695"/>
        <v>4.96</v>
      </c>
      <c r="CA247" s="173">
        <f t="shared" si="696"/>
        <v>0.63354223709226121</v>
      </c>
      <c r="CB247" s="5">
        <f t="shared" si="697"/>
        <v>63.354223709226119</v>
      </c>
      <c r="CE247" s="562">
        <f t="shared" si="638"/>
        <v>-50</v>
      </c>
      <c r="CF247">
        <f t="shared" si="639"/>
        <v>-50</v>
      </c>
      <c r="CG247" s="173">
        <f t="shared" si="640"/>
        <v>0.4034228550788862</v>
      </c>
      <c r="CI247" s="170">
        <v>31</v>
      </c>
      <c r="CJ247" s="217">
        <f t="shared" si="698"/>
        <v>0.31</v>
      </c>
      <c r="CK247" s="217"/>
      <c r="CL247" s="217">
        <f t="shared" si="641"/>
        <v>4.96</v>
      </c>
      <c r="CM247" s="541">
        <f t="shared" si="642"/>
        <v>60</v>
      </c>
      <c r="CN247" s="443">
        <f t="shared" si="643"/>
        <v>16.399999999999999</v>
      </c>
      <c r="CO247" s="443">
        <f t="shared" si="644"/>
        <v>76.400000000000006</v>
      </c>
      <c r="CP247" s="443"/>
      <c r="CQ247" s="217">
        <f t="shared" si="645"/>
        <v>0.21465968586387432</v>
      </c>
      <c r="CR247" s="172">
        <f t="shared" si="646"/>
        <v>33.164921465968582</v>
      </c>
      <c r="CS247" s="172">
        <f t="shared" si="647"/>
        <v>4.96</v>
      </c>
      <c r="CT247" s="217">
        <f t="shared" si="648"/>
        <v>2.0728075916230364</v>
      </c>
      <c r="CU247" s="217">
        <f t="shared" si="649"/>
        <v>16</v>
      </c>
      <c r="CV247" s="217"/>
      <c r="CW247" s="172">
        <f t="shared" si="650"/>
        <v>423.92752782448082</v>
      </c>
      <c r="CX247" s="172">
        <f t="shared" si="651"/>
        <v>16</v>
      </c>
      <c r="CY247" s="217">
        <f t="shared" si="652"/>
        <v>0.77021138211382123</v>
      </c>
      <c r="CZ247" s="217">
        <f t="shared" si="653"/>
        <v>0.15404227642276425</v>
      </c>
      <c r="DA247" s="217">
        <f t="shared" si="654"/>
        <v>0.56356930398572291</v>
      </c>
      <c r="DB247" s="197">
        <f t="shared" si="655"/>
        <v>350</v>
      </c>
      <c r="DC247" s="443">
        <f t="shared" si="656"/>
        <v>350</v>
      </c>
      <c r="DE247" s="217">
        <f t="shared" si="657"/>
        <v>3.06656694091249</v>
      </c>
      <c r="DF247" s="173">
        <f t="shared" si="658"/>
        <v>2.2438294689603588</v>
      </c>
      <c r="DG247" s="173">
        <f t="shared" si="659"/>
        <v>1.2041493223478366</v>
      </c>
      <c r="DH247" s="173"/>
      <c r="DI247" s="173">
        <f t="shared" si="660"/>
        <v>0.73170731707317083</v>
      </c>
      <c r="DJ247" s="545">
        <f t="shared" si="661"/>
        <v>847.33333333333326</v>
      </c>
      <c r="DK247" s="528">
        <f t="shared" si="662"/>
        <v>0.12804878048780488</v>
      </c>
      <c r="DM247" s="173">
        <f t="shared" si="663"/>
        <v>1.5559409953312435</v>
      </c>
      <c r="DN247" s="173">
        <f t="shared" si="664"/>
        <v>1.5559409953312435</v>
      </c>
      <c r="DO247" s="173">
        <f t="shared" si="665"/>
        <v>1.61180814468981</v>
      </c>
      <c r="DQ247" s="545">
        <f t="shared" si="666"/>
        <v>310</v>
      </c>
      <c r="DR247" s="460">
        <f t="shared" si="667"/>
        <v>350</v>
      </c>
      <c r="DT247">
        <f t="shared" si="668"/>
        <v>310</v>
      </c>
      <c r="DU247">
        <f t="shared" si="669"/>
        <v>350</v>
      </c>
      <c r="DW247" s="5">
        <f t="shared" si="670"/>
        <v>2.8571428571428572</v>
      </c>
      <c r="DX247" s="5">
        <f t="shared" si="671"/>
        <v>0.31118819906624873</v>
      </c>
      <c r="DY247" s="5">
        <f t="shared" si="672"/>
        <v>2.5459546580766084</v>
      </c>
      <c r="DZ247" s="5"/>
      <c r="EA247" s="173">
        <f t="shared" si="673"/>
        <v>0.10891586967318705</v>
      </c>
      <c r="EB247" s="173">
        <f t="shared" si="699"/>
        <v>5.0839999999999996</v>
      </c>
      <c r="EC247" s="173">
        <f t="shared" si="700"/>
        <v>0.69323716433228844</v>
      </c>
      <c r="ED247" s="173">
        <f t="shared" si="701"/>
        <v>7.3337095319994887</v>
      </c>
      <c r="EE247" s="460">
        <f t="shared" si="674"/>
        <v>0.60292713569085687</v>
      </c>
      <c r="EF247" s="5">
        <f t="shared" si="675"/>
        <v>0.17538798755638857</v>
      </c>
      <c r="EH247" s="173">
        <f t="shared" si="702"/>
        <v>0.29646817367625444</v>
      </c>
      <c r="EI247" s="173">
        <f t="shared" si="703"/>
        <v>0.84799218686329481</v>
      </c>
      <c r="EK247" s="528">
        <f t="shared" si="704"/>
        <v>1.7578675600586754E-3</v>
      </c>
      <c r="EL247" s="528">
        <f t="shared" si="705"/>
        <v>0.79051138208799154</v>
      </c>
      <c r="EM247" s="528">
        <f t="shared" si="706"/>
        <v>4.0250000000000001E-2</v>
      </c>
      <c r="EN247" s="528">
        <f t="shared" si="707"/>
        <v>1.0061459800000001</v>
      </c>
      <c r="EO247">
        <f t="shared" si="708"/>
        <v>2.7E-2</v>
      </c>
      <c r="EP247" s="460">
        <f t="shared" si="709"/>
        <v>67.25</v>
      </c>
      <c r="EQ247" s="460"/>
      <c r="ER247" s="460">
        <f t="shared" si="710"/>
        <v>1865.6652296480502</v>
      </c>
      <c r="ES247" s="528">
        <f t="shared" si="711"/>
        <v>0.217</v>
      </c>
      <c r="EV247" s="460">
        <f t="shared" si="712"/>
        <v>217</v>
      </c>
      <c r="EW247" s="528">
        <f t="shared" si="713"/>
        <v>2.6368013400880131E-3</v>
      </c>
      <c r="EX247" s="528">
        <f t="shared" si="714"/>
        <v>2.1572722469435791E-2</v>
      </c>
      <c r="EY247" s="528">
        <f t="shared" si="715"/>
        <v>0.34603730751048034</v>
      </c>
      <c r="EZ247" s="528"/>
      <c r="FA247" s="528">
        <f t="shared" si="716"/>
        <v>4.2366666666666672E-3</v>
      </c>
      <c r="FB247" s="460">
        <f t="shared" si="717"/>
        <v>374.48349798667078</v>
      </c>
      <c r="FC247" s="173">
        <f t="shared" si="718"/>
        <v>2.457148727634721</v>
      </c>
      <c r="FD247" s="5">
        <f t="shared" si="719"/>
        <v>4.96</v>
      </c>
      <c r="FE247" s="173">
        <f t="shared" si="720"/>
        <v>0.668720580122668</v>
      </c>
      <c r="FF247" s="5">
        <f t="shared" si="721"/>
        <v>66.872058012266805</v>
      </c>
      <c r="FI247" s="562">
        <f t="shared" si="676"/>
        <v>-50</v>
      </c>
      <c r="FJ247">
        <f t="shared" si="677"/>
        <v>-50</v>
      </c>
      <c r="FL247">
        <f t="shared" si="678"/>
        <v>0.39847269392629409</v>
      </c>
    </row>
    <row r="248" spans="5:168">
      <c r="E248" s="170">
        <v>32</v>
      </c>
      <c r="F248" s="217">
        <f t="shared" si="679"/>
        <v>0.32</v>
      </c>
      <c r="G248" s="217"/>
      <c r="H248" s="217">
        <f t="shared" ref="H248:H279" si="726">F248*Vout</f>
        <v>5.12</v>
      </c>
      <c r="I248" s="541">
        <f t="shared" ref="I248:I279" si="727">VIN_max-F248*(Rdcr_pri+RON/1000)/CG248/Nps</f>
        <v>59.960963997082061</v>
      </c>
      <c r="J248" s="172">
        <f t="shared" ref="J248:J279" si="728">(T248+Vfwd1+F248/CG248*Rdcr_sec)*Nps</f>
        <v>16.423421601750764</v>
      </c>
      <c r="K248" s="172">
        <f t="shared" ref="K248:K279" si="729">(Vout+Vfwd1+F248/CG248*Rdcr_sec)*Nps+I248</f>
        <v>76.384385598832822</v>
      </c>
      <c r="L248" s="443"/>
      <c r="M248" s="217">
        <f t="shared" ref="M248:M279" si="730">(Vout+Vfwd1+F248/FL248*Rdcr_sec)*Nps/((Vout+Vfwd1+F248/FL248*Rdcr_sec)*Nps+I248)</f>
        <v>0.21501318463061717</v>
      </c>
      <c r="N248" s="172">
        <f t="shared" ref="N248:N279" si="731">M248*I248*(Isw_max+VIN_max/Lmag*ILIM_delay)*0.5*Efficiency</f>
        <v>33.197924393026064</v>
      </c>
      <c r="O248" s="172">
        <f t="shared" si="599"/>
        <v>5.12</v>
      </c>
      <c r="P248" s="217">
        <f t="shared" ref="P248:P279" si="732">N248/Vout</f>
        <v>2.074870274564129</v>
      </c>
      <c r="Q248" s="217">
        <f t="shared" ref="Q248:Q279" si="733">MIN(Vout,N248/F248)</f>
        <v>16</v>
      </c>
      <c r="R248" s="217"/>
      <c r="S248" s="172">
        <f t="shared" ref="S248:S279" si="734">(SQRT(Isw_max^2*Nps^2*I248^2+4*Isw_max*F248/Efficiency*(Nps^2*Vfwd1*I248-Nps*I248^2)+4*(F248/Efficiency)^2*Nps^2*Vfwd1^2+8*(F248/Efficiency)^2*Nps*Vfwd1*I248+4*(F248/Efficiency)^2*I248^2)-2*F248/Efficiency*I248-2*F248/Efficiency*Nps*Vfwd1+Isw_max*Nps*I248)/(4*F248/Efficiency*Nps)</f>
        <v>408.54271697396911</v>
      </c>
      <c r="T248" s="172">
        <f t="shared" ref="T248:T279" si="735">MIN(Vout, S248)</f>
        <v>16</v>
      </c>
      <c r="U248" s="217">
        <f t="shared" ref="U248:U279" si="736">MIN(2*Vout*F248/(Efficiency*I248*M248), Isw_max)</f>
        <v>0.79426652364866412</v>
      </c>
      <c r="V248" s="217">
        <f t="shared" ref="V248:V279" si="737">L*U248/I248*1000000</f>
        <v>0.15895672198078395</v>
      </c>
      <c r="W248" s="217">
        <f t="shared" ref="W248:W279" si="738">L*U248/J248*1000000</f>
        <v>0.58034181395963969</v>
      </c>
      <c r="X248" s="197">
        <f t="shared" ref="X248:X279" si="739">IF(1/((350000*L)*(1/I248+1/J248))&gt;Isw_min, 350, 0.001/((Isw_min*L)*(1/I248+1/J248)))</f>
        <v>350</v>
      </c>
      <c r="Y248" s="443">
        <f t="shared" si="680"/>
        <v>350</v>
      </c>
      <c r="AA248" s="217">
        <f t="shared" ref="AA248:AA279" si="740">1/((X248*1000*L)*(1/I248+1/J248))</f>
        <v>3.0695758403251365</v>
      </c>
      <c r="AB248" s="173">
        <f t="shared" ref="AB248:AB279" si="741">L*AA248/J248*1000000</f>
        <v>2.2428280158121847</v>
      </c>
      <c r="AC248" s="173">
        <f t="shared" ref="AC248:AC279" si="742">0.5*AB248*AA248*Nps*X248/1000</f>
        <v>1.2047928709847529</v>
      </c>
      <c r="AD248" s="173"/>
      <c r="AE248" s="173">
        <f t="shared" ref="AE248:AE279" si="743">L*Isw_min/J248*1000000</f>
        <v>0.73066382213075387</v>
      </c>
      <c r="AF248" s="545">
        <f t="shared" ref="AF248:AF279" si="744">MAX(12000,F248/(0.5*AE248/1000000*Isw_min*Nps))/1000</f>
        <v>875.91581876004068</v>
      </c>
      <c r="AG248" s="528">
        <f t="shared" ref="AG248:AG279" si="745">0.5*AE248/1000000*Isw_min*Nps*X248*1000</f>
        <v>0.12786616887288194</v>
      </c>
      <c r="AI248" s="173">
        <f t="shared" ref="AI248:AI279" si="746">SQRT(F248/(0.5*L/J248*Fsw_DCM*Nps))</f>
        <v>1.5819660631722439</v>
      </c>
      <c r="AJ248" s="173">
        <f t="shared" ref="AJ248:AJ279" si="747">MAX(IF(F248&gt;AC248,U248,AI248),Isw_min)</f>
        <v>1.5819660631722439</v>
      </c>
      <c r="AK248" s="173">
        <f t="shared" ref="AK248:AK279" si="748">IF(F248&gt;AG248, (AJ248-Isw_min)/1.08*0.8+1.2, AF248*0.2/350+1)</f>
        <v>1.6310859727201805</v>
      </c>
      <c r="AM248" s="545">
        <f t="shared" ref="AM248:AM279" si="749">F248*1000</f>
        <v>320</v>
      </c>
      <c r="AN248" s="460">
        <f t="shared" ref="AN248:AN279" si="750">IF(F248&gt;AG248, Y248, AF248)</f>
        <v>350</v>
      </c>
      <c r="AP248">
        <f t="shared" ref="AP248:AP279" si="751">IF(H248&gt;N248, "",AM248)</f>
        <v>320</v>
      </c>
      <c r="AQ248">
        <f t="shared" ref="AQ248:AQ279" si="752">IF(H248&gt;N248, "",AN248)</f>
        <v>350</v>
      </c>
      <c r="AS248" s="5">
        <f t="shared" si="600"/>
        <v>2.8571428571428572</v>
      </c>
      <c r="AT248" s="5">
        <f t="shared" ref="AT248:AT279" si="753">L*AJ248/I248*1000000</f>
        <v>0.31659919208421572</v>
      </c>
      <c r="AU248" s="5">
        <f t="shared" si="722"/>
        <v>2.5405436650586415</v>
      </c>
      <c r="AV248" s="5"/>
      <c r="AW248" s="173">
        <f t="shared" si="723"/>
        <v>0.1108097172294755</v>
      </c>
      <c r="AX248" s="173">
        <f t="shared" si="631"/>
        <v>5.2554949125602439</v>
      </c>
      <c r="AY248" s="173">
        <f t="shared" si="632"/>
        <v>0.70333442552275049</v>
      </c>
      <c r="AZ248" s="173">
        <f t="shared" si="633"/>
        <v>7.4722560447032267</v>
      </c>
      <c r="BA248" s="460">
        <f t="shared" si="724"/>
        <v>0.63319838416843144</v>
      </c>
      <c r="BB248" s="5">
        <f t="shared" si="725"/>
        <v>0.18077849734778062</v>
      </c>
      <c r="BD248" s="173">
        <f t="shared" si="681"/>
        <v>0.30403631392385422</v>
      </c>
      <c r="BE248" s="173">
        <f t="shared" si="682"/>
        <v>0.86125923013447292</v>
      </c>
      <c r="BG248" s="528">
        <f t="shared" si="683"/>
        <v>1.8487616036880886E-3</v>
      </c>
      <c r="BH248" s="528">
        <f t="shared" ref="BH248:BH279" si="754">0.5*K248*AJ248*AN248*1000*Tfall</f>
        <v>0.77184956812897354</v>
      </c>
      <c r="BI248" s="528">
        <f t="shared" ref="BI248:BI279" si="755">Qg*Vdd*AN248*1000*0+Qg*I248*AN248*1000</f>
        <v>0.48268576017651055</v>
      </c>
      <c r="BJ248" s="528">
        <f t="shared" si="684"/>
        <v>1.0057347558757643</v>
      </c>
      <c r="BK248">
        <f t="shared" si="685"/>
        <v>2.6982433798686926E-2</v>
      </c>
      <c r="BL248" s="460">
        <f t="shared" si="686"/>
        <v>509.66819397519748</v>
      </c>
      <c r="BM248" s="528">
        <f t="shared" ref="BM248:BM279" si="756">(BH248+BI248*0+BJ248+BK248*0+BG248*(1+RdsonTC*(Ta-25)))/(1-BG248*RdsonTC*ThetaJA)</f>
        <v>1.780714458125936</v>
      </c>
      <c r="BN248" s="460">
        <f t="shared" si="687"/>
        <v>1780.7144581259361</v>
      </c>
      <c r="BO248" s="528">
        <f t="shared" si="637"/>
        <v>0.22399999999999998</v>
      </c>
      <c r="BR248" s="460">
        <f t="shared" si="688"/>
        <v>223.99999999999997</v>
      </c>
      <c r="BS248" s="528">
        <f t="shared" si="689"/>
        <v>2.7731424055321328E-3</v>
      </c>
      <c r="BT248" s="528">
        <f t="shared" si="690"/>
        <v>2.2253023844754746E-2</v>
      </c>
      <c r="BU248" s="528">
        <f t="shared" si="691"/>
        <v>0.3606891030297722</v>
      </c>
      <c r="BV248" s="528"/>
      <c r="BW248" s="528">
        <f t="shared" si="692"/>
        <v>4.3795790938002026E-3</v>
      </c>
      <c r="BX248" s="460">
        <f t="shared" si="693"/>
        <v>390.09484837385929</v>
      </c>
      <c r="BY248" s="173">
        <f t="shared" si="694"/>
        <v>2.9031961279574827</v>
      </c>
      <c r="BZ248" s="5">
        <f t="shared" si="695"/>
        <v>5.12</v>
      </c>
      <c r="CA248" s="173">
        <f t="shared" si="696"/>
        <v>0.63814967481088258</v>
      </c>
      <c r="CB248" s="5">
        <f t="shared" si="697"/>
        <v>63.81496748108826</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0.40987803063838396</v>
      </c>
      <c r="CI248" s="170">
        <v>32</v>
      </c>
      <c r="CJ248" s="217">
        <f t="shared" si="698"/>
        <v>0.32</v>
      </c>
      <c r="CK248" s="217"/>
      <c r="CL248" s="217">
        <f t="shared" si="641"/>
        <v>5.12</v>
      </c>
      <c r="CM248" s="541">
        <f t="shared" si="642"/>
        <v>60</v>
      </c>
      <c r="CN248" s="443">
        <f t="shared" si="643"/>
        <v>16.399999999999999</v>
      </c>
      <c r="CO248" s="443">
        <f t="shared" si="644"/>
        <v>76.400000000000006</v>
      </c>
      <c r="CP248" s="443"/>
      <c r="CQ248" s="217">
        <f t="shared" si="645"/>
        <v>0.21465968586387432</v>
      </c>
      <c r="CR248" s="172">
        <f t="shared" si="646"/>
        <v>33.164921465968582</v>
      </c>
      <c r="CS248" s="172">
        <f t="shared" si="647"/>
        <v>5.12</v>
      </c>
      <c r="CT248" s="217">
        <f t="shared" si="648"/>
        <v>2.0728075916230364</v>
      </c>
      <c r="CU248" s="217">
        <f t="shared" si="649"/>
        <v>16</v>
      </c>
      <c r="CV248" s="217"/>
      <c r="CW248" s="172">
        <f t="shared" si="650"/>
        <v>408.80864978663698</v>
      </c>
      <c r="CX248" s="172">
        <f t="shared" si="651"/>
        <v>16</v>
      </c>
      <c r="CY248" s="217">
        <f t="shared" si="652"/>
        <v>0.79505691056910577</v>
      </c>
      <c r="CZ248" s="217">
        <f t="shared" si="653"/>
        <v>0.15901138211382115</v>
      </c>
      <c r="DA248" s="217">
        <f t="shared" si="654"/>
        <v>0.58174895895300427</v>
      </c>
      <c r="DB248" s="197">
        <f t="shared" si="655"/>
        <v>350</v>
      </c>
      <c r="DC248" s="443">
        <f t="shared" si="656"/>
        <v>350</v>
      </c>
      <c r="DE248" s="217">
        <f t="shared" si="657"/>
        <v>3.06656694091249</v>
      </c>
      <c r="DF248" s="173">
        <f t="shared" si="658"/>
        <v>2.2438294689603588</v>
      </c>
      <c r="DG248" s="173">
        <f t="shared" si="659"/>
        <v>1.2041493223478366</v>
      </c>
      <c r="DH248" s="173"/>
      <c r="DI248" s="173">
        <f t="shared" si="660"/>
        <v>0.73170731707317083</v>
      </c>
      <c r="DJ248" s="545">
        <f t="shared" si="661"/>
        <v>874.66666666666663</v>
      </c>
      <c r="DK248" s="528">
        <f t="shared" si="662"/>
        <v>0.12804878048780488</v>
      </c>
      <c r="DM248" s="173">
        <f t="shared" si="663"/>
        <v>1.580837632094966</v>
      </c>
      <c r="DN248" s="173">
        <f t="shared" si="664"/>
        <v>1.580837632094966</v>
      </c>
      <c r="DO248" s="173">
        <f t="shared" si="665"/>
        <v>1.6302500978481229</v>
      </c>
      <c r="DQ248" s="545">
        <f t="shared" si="666"/>
        <v>320</v>
      </c>
      <c r="DR248" s="460">
        <f t="shared" si="667"/>
        <v>350</v>
      </c>
      <c r="DT248">
        <f t="shared" si="668"/>
        <v>320</v>
      </c>
      <c r="DU248">
        <f t="shared" si="669"/>
        <v>350</v>
      </c>
      <c r="DW248" s="5">
        <f t="shared" si="670"/>
        <v>2.8571428571428572</v>
      </c>
      <c r="DX248" s="5">
        <f t="shared" si="671"/>
        <v>0.31616752641899321</v>
      </c>
      <c r="DY248" s="5">
        <f t="shared" si="672"/>
        <v>2.5409753307238638</v>
      </c>
      <c r="DZ248" s="5"/>
      <c r="EA248" s="173">
        <f t="shared" si="673"/>
        <v>0.11065863424664762</v>
      </c>
      <c r="EB248" s="173">
        <f t="shared" si="699"/>
        <v>5.2480000000000002</v>
      </c>
      <c r="EC248" s="173">
        <f t="shared" si="700"/>
        <v>0.7029521493808164</v>
      </c>
      <c r="ED248" s="173">
        <f t="shared" si="701"/>
        <v>7.4656575196798425</v>
      </c>
      <c r="EE248" s="460">
        <f t="shared" si="674"/>
        <v>0.63233505283798641</v>
      </c>
      <c r="EF248" s="5">
        <f t="shared" si="675"/>
        <v>0.18069157907369696</v>
      </c>
      <c r="EH248" s="173">
        <f t="shared" si="702"/>
        <v>0.30361225076356085</v>
      </c>
      <c r="EI248" s="173">
        <f t="shared" si="703"/>
        <v>0.86071799923212811</v>
      </c>
      <c r="EK248" s="528">
        <f t="shared" si="704"/>
        <v>1.8436079762743072E-3</v>
      </c>
      <c r="EL248" s="528">
        <f t="shared" si="705"/>
        <v>0.80316036736216845</v>
      </c>
      <c r="EM248" s="528">
        <f t="shared" si="706"/>
        <v>4.0250000000000001E-2</v>
      </c>
      <c r="EN248" s="528">
        <f t="shared" si="707"/>
        <v>1.0061459800000001</v>
      </c>
      <c r="EO248">
        <f t="shared" si="708"/>
        <v>2.7E-2</v>
      </c>
      <c r="EP248" s="460">
        <f t="shared" si="709"/>
        <v>67.25</v>
      </c>
      <c r="EQ248" s="460"/>
      <c r="ER248" s="460">
        <f t="shared" si="710"/>
        <v>1878.3999553384426</v>
      </c>
      <c r="ES248" s="528">
        <f t="shared" si="711"/>
        <v>0.22399999999999998</v>
      </c>
      <c r="EV248" s="460">
        <f t="shared" si="712"/>
        <v>223.99999999999997</v>
      </c>
      <c r="EW248" s="528">
        <f t="shared" si="713"/>
        <v>2.7654119644114606E-3</v>
      </c>
      <c r="EX248" s="528">
        <f t="shared" si="714"/>
        <v>2.2225064226064729E-2</v>
      </c>
      <c r="EY248" s="528">
        <f t="shared" si="715"/>
        <v>0.3600462398800014</v>
      </c>
      <c r="EZ248" s="528"/>
      <c r="FA248" s="528">
        <f t="shared" si="716"/>
        <v>4.3733333333333332E-3</v>
      </c>
      <c r="FB248" s="460">
        <f t="shared" si="717"/>
        <v>389.41004940381089</v>
      </c>
      <c r="FC248" s="173">
        <f t="shared" si="718"/>
        <v>2.4918100047422533</v>
      </c>
      <c r="FD248" s="5">
        <f t="shared" si="719"/>
        <v>5.12</v>
      </c>
      <c r="FE248" s="173">
        <f t="shared" si="720"/>
        <v>0.6726389645577302</v>
      </c>
      <c r="FF248" s="5">
        <f t="shared" si="721"/>
        <v>67.263896455773022</v>
      </c>
      <c r="FI248" s="562">
        <f t="shared" si="676"/>
        <v>-50</v>
      </c>
      <c r="FJ248">
        <f t="shared" si="677"/>
        <v>-50</v>
      </c>
      <c r="FL248">
        <f t="shared" ref="FL248:FL279" si="760">MIN(SQRT(2*L*DR248*1000*CJ248*(CX248+Vfwd1))/(Nps*(CX248+Vfwd1)), 1-EA248)</f>
        <v>0.40484866187797913</v>
      </c>
    </row>
    <row r="249" spans="5:168">
      <c r="E249" s="170">
        <v>33</v>
      </c>
      <c r="F249" s="217">
        <f t="shared" ref="F249:F280" si="761">IF(PLOT_TYPE=1, E249/100*Iout_max, min_I*EXP(N249*rr/100))</f>
        <v>0.33</v>
      </c>
      <c r="G249" s="217"/>
      <c r="H249" s="217">
        <f t="shared" si="726"/>
        <v>5.28</v>
      </c>
      <c r="I249" s="541">
        <f t="shared" si="727"/>
        <v>59.960358751641394</v>
      </c>
      <c r="J249" s="172">
        <f t="shared" si="728"/>
        <v>16.423784749015162</v>
      </c>
      <c r="K249" s="172">
        <f t="shared" si="729"/>
        <v>76.384143500656563</v>
      </c>
      <c r="L249" s="443"/>
      <c r="M249" s="217">
        <f t="shared" si="730"/>
        <v>0.21501866667507435</v>
      </c>
      <c r="N249" s="172">
        <f t="shared" si="731"/>
        <v>33.198435709752928</v>
      </c>
      <c r="O249" s="172">
        <f t="shared" si="599"/>
        <v>5.28</v>
      </c>
      <c r="P249" s="217">
        <f t="shared" si="732"/>
        <v>2.074902231859558</v>
      </c>
      <c r="Q249" s="217">
        <f t="shared" si="733"/>
        <v>16</v>
      </c>
      <c r="R249" s="217"/>
      <c r="S249" s="172">
        <f t="shared" si="734"/>
        <v>394.34554179737978</v>
      </c>
      <c r="T249" s="172">
        <f t="shared" si="735"/>
        <v>16</v>
      </c>
      <c r="U249" s="217">
        <f t="shared" si="736"/>
        <v>0.81907473706695244</v>
      </c>
      <c r="V249" s="217">
        <f t="shared" si="737"/>
        <v>0.16392324945077763</v>
      </c>
      <c r="W249" s="217">
        <f t="shared" si="738"/>
        <v>0.59845504522901227</v>
      </c>
      <c r="X249" s="197">
        <f t="shared" si="739"/>
        <v>350</v>
      </c>
      <c r="Y249" s="443">
        <f t="shared" si="680"/>
        <v>350</v>
      </c>
      <c r="AA249" s="217">
        <f t="shared" si="740"/>
        <v>3.0696224575227857</v>
      </c>
      <c r="AB249" s="173">
        <f t="shared" si="741"/>
        <v>2.2428124852575309</v>
      </c>
      <c r="AC249" s="173">
        <f t="shared" si="742"/>
        <v>1.2048028252328264</v>
      </c>
      <c r="AD249" s="173"/>
      <c r="AE249" s="173">
        <f t="shared" si="743"/>
        <v>0.73064766638028233</v>
      </c>
      <c r="AF249" s="545">
        <f t="shared" si="744"/>
        <v>903.30816119583392</v>
      </c>
      <c r="AG249" s="528">
        <f t="shared" si="745"/>
        <v>0.12786334161654941</v>
      </c>
      <c r="AI249" s="173">
        <f t="shared" si="746"/>
        <v>1.6065118924426067</v>
      </c>
      <c r="AJ249" s="173">
        <f t="shared" si="747"/>
        <v>1.6065118924426067</v>
      </c>
      <c r="AK249" s="173">
        <f t="shared" si="748"/>
        <v>1.649268068476005</v>
      </c>
      <c r="AM249" s="545">
        <f t="shared" si="749"/>
        <v>330</v>
      </c>
      <c r="AN249" s="460">
        <f t="shared" si="750"/>
        <v>350</v>
      </c>
      <c r="AP249">
        <f t="shared" si="751"/>
        <v>330</v>
      </c>
      <c r="AQ249">
        <f t="shared" si="752"/>
        <v>350</v>
      </c>
      <c r="AS249" s="5">
        <f t="shared" si="600"/>
        <v>2.8571428571428572</v>
      </c>
      <c r="AT249" s="5">
        <f t="shared" si="753"/>
        <v>0.32151479928868087</v>
      </c>
      <c r="AU249" s="5">
        <f t="shared" si="722"/>
        <v>2.5356280578541766</v>
      </c>
      <c r="AV249" s="5"/>
      <c r="AW249" s="173">
        <f t="shared" si="723"/>
        <v>0.11253017975103831</v>
      </c>
      <c r="AX249" s="173">
        <f t="shared" si="631"/>
        <v>5.4198489671750041</v>
      </c>
      <c r="AY249" s="173">
        <f t="shared" si="632"/>
        <v>0.71286541020692973</v>
      </c>
      <c r="AZ249" s="173">
        <f t="shared" si="633"/>
        <v>7.6029063685412046</v>
      </c>
      <c r="BA249" s="460">
        <f t="shared" si="724"/>
        <v>0.66312427353290426</v>
      </c>
      <c r="BB249" s="5">
        <f t="shared" si="725"/>
        <v>0.18606899102739213</v>
      </c>
      <c r="BD249" s="173">
        <f t="shared" si="681"/>
        <v>0.31114141594174716</v>
      </c>
      <c r="BE249" s="173">
        <f t="shared" si="682"/>
        <v>0.87377600455662552</v>
      </c>
      <c r="BG249" s="528">
        <f t="shared" si="683"/>
        <v>1.9361796142847063E-3</v>
      </c>
      <c r="BH249" s="528">
        <f t="shared" si="754"/>
        <v>0.78382312310162539</v>
      </c>
      <c r="BI249" s="528">
        <f t="shared" si="755"/>
        <v>0.48268088795071323</v>
      </c>
      <c r="BJ249" s="528">
        <f t="shared" si="684"/>
        <v>1.0057283805894432</v>
      </c>
      <c r="BK249">
        <f t="shared" si="685"/>
        <v>2.6982161438238627E-2</v>
      </c>
      <c r="BL249" s="460">
        <f t="shared" si="686"/>
        <v>509.66304938895189</v>
      </c>
      <c r="BM249" s="528">
        <f t="shared" si="756"/>
        <v>1.7928352210404142</v>
      </c>
      <c r="BN249" s="460">
        <f t="shared" si="687"/>
        <v>1792.8352210404141</v>
      </c>
      <c r="BO249" s="528">
        <f t="shared" si="637"/>
        <v>0.23099999999999998</v>
      </c>
      <c r="BR249" s="460">
        <f t="shared" si="688"/>
        <v>230.99999999999997</v>
      </c>
      <c r="BS249" s="528">
        <f t="shared" si="689"/>
        <v>2.9042694214270592E-3</v>
      </c>
      <c r="BT249" s="528">
        <f t="shared" si="690"/>
        <v>2.2904535184168202E-2</v>
      </c>
      <c r="BU249" s="528">
        <f t="shared" si="691"/>
        <v>0.37484349391518157</v>
      </c>
      <c r="BV249" s="528"/>
      <c r="BW249" s="528">
        <f t="shared" si="692"/>
        <v>4.5165408059791709E-3</v>
      </c>
      <c r="BX249" s="460">
        <f t="shared" si="693"/>
        <v>405.16883932675603</v>
      </c>
      <c r="BY249" s="173">
        <f t="shared" si="694"/>
        <v>2.9373195720210612</v>
      </c>
      <c r="BZ249" s="5">
        <f t="shared" si="695"/>
        <v>5.28</v>
      </c>
      <c r="CA249" s="173">
        <f t="shared" si="696"/>
        <v>0.64254529153006723</v>
      </c>
      <c r="CB249" s="5">
        <f t="shared" si="697"/>
        <v>64.254529153006729</v>
      </c>
      <c r="CE249" s="562">
        <f t="shared" si="757"/>
        <v>-50</v>
      </c>
      <c r="CF249">
        <f t="shared" si="758"/>
        <v>-50</v>
      </c>
      <c r="CG249" s="173">
        <f t="shared" si="759"/>
        <v>0.41623310776534828</v>
      </c>
      <c r="CI249" s="170">
        <v>33</v>
      </c>
      <c r="CJ249" s="217">
        <f t="shared" si="698"/>
        <v>0.33</v>
      </c>
      <c r="CK249" s="217"/>
      <c r="CL249" s="217">
        <f t="shared" si="641"/>
        <v>5.28</v>
      </c>
      <c r="CM249" s="541">
        <f t="shared" si="642"/>
        <v>60</v>
      </c>
      <c r="CN249" s="443">
        <f t="shared" si="643"/>
        <v>16.399999999999999</v>
      </c>
      <c r="CO249" s="443">
        <f t="shared" si="644"/>
        <v>76.400000000000006</v>
      </c>
      <c r="CP249" s="443"/>
      <c r="CQ249" s="217">
        <f t="shared" si="645"/>
        <v>0.21465968586387432</v>
      </c>
      <c r="CR249" s="172">
        <f t="shared" si="646"/>
        <v>33.164921465968582</v>
      </c>
      <c r="CS249" s="172">
        <f t="shared" si="647"/>
        <v>5.28</v>
      </c>
      <c r="CT249" s="217">
        <f t="shared" si="648"/>
        <v>2.0728075916230364</v>
      </c>
      <c r="CU249" s="217">
        <f t="shared" si="649"/>
        <v>16</v>
      </c>
      <c r="CV249" s="217"/>
      <c r="CW249" s="172">
        <f t="shared" si="650"/>
        <v>394.60621308343462</v>
      </c>
      <c r="CX249" s="172">
        <f t="shared" si="651"/>
        <v>16</v>
      </c>
      <c r="CY249" s="217">
        <f t="shared" si="652"/>
        <v>0.81990243902439042</v>
      </c>
      <c r="CZ249" s="217">
        <f t="shared" si="653"/>
        <v>0.16398048780487809</v>
      </c>
      <c r="DA249" s="217">
        <f t="shared" si="654"/>
        <v>0.59992861392028574</v>
      </c>
      <c r="DB249" s="197">
        <f t="shared" si="655"/>
        <v>350</v>
      </c>
      <c r="DC249" s="443">
        <f t="shared" si="656"/>
        <v>350</v>
      </c>
      <c r="DE249" s="217">
        <f t="shared" si="657"/>
        <v>3.06656694091249</v>
      </c>
      <c r="DF249" s="173">
        <f t="shared" si="658"/>
        <v>2.2438294689603588</v>
      </c>
      <c r="DG249" s="173">
        <f t="shared" si="659"/>
        <v>1.2041493223478366</v>
      </c>
      <c r="DH249" s="173"/>
      <c r="DI249" s="173">
        <f t="shared" si="660"/>
        <v>0.73170731707317083</v>
      </c>
      <c r="DJ249" s="545">
        <f t="shared" si="661"/>
        <v>901.99999999999989</v>
      </c>
      <c r="DK249" s="528">
        <f t="shared" si="662"/>
        <v>0.12804878048780488</v>
      </c>
      <c r="DM249" s="173">
        <f t="shared" si="663"/>
        <v>1.6053482043291596</v>
      </c>
      <c r="DN249" s="173">
        <f t="shared" si="664"/>
        <v>1.6053482043291596</v>
      </c>
      <c r="DO249" s="173">
        <f t="shared" si="665"/>
        <v>1.6484060772808589</v>
      </c>
      <c r="DQ249" s="545">
        <f t="shared" si="666"/>
        <v>330</v>
      </c>
      <c r="DR249" s="460">
        <f t="shared" si="667"/>
        <v>350</v>
      </c>
      <c r="DT249">
        <f t="shared" si="668"/>
        <v>330</v>
      </c>
      <c r="DU249">
        <f t="shared" si="669"/>
        <v>350</v>
      </c>
      <c r="DW249" s="5">
        <f t="shared" si="670"/>
        <v>2.8571428571428572</v>
      </c>
      <c r="DX249" s="5">
        <f t="shared" si="671"/>
        <v>0.32106964086583195</v>
      </c>
      <c r="DY249" s="5">
        <f t="shared" si="672"/>
        <v>2.5360732162770252</v>
      </c>
      <c r="DZ249" s="5"/>
      <c r="EA249" s="173">
        <f t="shared" si="673"/>
        <v>0.11237437430304117</v>
      </c>
      <c r="EB249" s="173">
        <f t="shared" si="699"/>
        <v>5.411999999999999</v>
      </c>
      <c r="EC249" s="173">
        <f t="shared" si="700"/>
        <v>0.71247410216457974</v>
      </c>
      <c r="ED249" s="173">
        <f t="shared" si="701"/>
        <v>7.5960655742541512</v>
      </c>
      <c r="EE249" s="460">
        <f t="shared" si="674"/>
        <v>0.66220613428577835</v>
      </c>
      <c r="EF249" s="5">
        <f t="shared" si="675"/>
        <v>0.18597870252698184</v>
      </c>
      <c r="EH249" s="173">
        <f t="shared" si="702"/>
        <v>0.31070072205740601</v>
      </c>
      <c r="EI249" s="173">
        <f t="shared" si="703"/>
        <v>0.87321972055183539</v>
      </c>
      <c r="EK249" s="528">
        <f t="shared" si="704"/>
        <v>1.9306987737398693E-3</v>
      </c>
      <c r="EL249" s="528">
        <f t="shared" si="705"/>
        <v>0.81561320869147302</v>
      </c>
      <c r="EM249" s="528">
        <f t="shared" si="706"/>
        <v>4.0250000000000001E-2</v>
      </c>
      <c r="EN249" s="528">
        <f t="shared" si="707"/>
        <v>1.0061459800000001</v>
      </c>
      <c r="EO249">
        <f t="shared" si="708"/>
        <v>2.7E-2</v>
      </c>
      <c r="EP249" s="460">
        <f t="shared" si="709"/>
        <v>67.25</v>
      </c>
      <c r="EQ249" s="460"/>
      <c r="ER249" s="460">
        <f t="shared" si="710"/>
        <v>1890.9398874652131</v>
      </c>
      <c r="ES249" s="528">
        <f t="shared" si="711"/>
        <v>0.23099999999999998</v>
      </c>
      <c r="EV249" s="460">
        <f t="shared" si="712"/>
        <v>230.99999999999997</v>
      </c>
      <c r="EW249" s="528">
        <f t="shared" si="713"/>
        <v>2.8960481606098037E-3</v>
      </c>
      <c r="EX249" s="528">
        <f t="shared" si="714"/>
        <v>2.2875380410818762E-2</v>
      </c>
      <c r="EY249" s="528">
        <f t="shared" si="715"/>
        <v>0.3741650613821772</v>
      </c>
      <c r="EZ249" s="528"/>
      <c r="FA249" s="528">
        <f t="shared" si="716"/>
        <v>4.5100000000000001E-3</v>
      </c>
      <c r="FB249" s="460">
        <f t="shared" si="717"/>
        <v>404.44648995360575</v>
      </c>
      <c r="FC249" s="173">
        <f t="shared" si="718"/>
        <v>2.5263863774188189</v>
      </c>
      <c r="FD249" s="5">
        <f t="shared" si="719"/>
        <v>5.28</v>
      </c>
      <c r="FE249" s="173">
        <f t="shared" si="720"/>
        <v>0.67636928851910494</v>
      </c>
      <c r="FF249" s="5">
        <f t="shared" si="721"/>
        <v>67.636928851910497</v>
      </c>
      <c r="FI249" s="562">
        <f t="shared" si="676"/>
        <v>-50</v>
      </c>
      <c r="FJ249">
        <f t="shared" si="677"/>
        <v>-50</v>
      </c>
      <c r="FL249">
        <f t="shared" si="760"/>
        <v>0.41112575964527259</v>
      </c>
    </row>
    <row r="250" spans="5:168">
      <c r="E250" s="170">
        <v>34</v>
      </c>
      <c r="F250" s="217">
        <f t="shared" si="761"/>
        <v>0.34</v>
      </c>
      <c r="G250" s="217"/>
      <c r="H250" s="217">
        <f t="shared" si="726"/>
        <v>5.44</v>
      </c>
      <c r="I250" s="541">
        <f t="shared" si="727"/>
        <v>59.959762609191856</v>
      </c>
      <c r="J250" s="172">
        <f t="shared" si="728"/>
        <v>16.424142434484889</v>
      </c>
      <c r="K250" s="172">
        <f t="shared" si="729"/>
        <v>76.383905043676748</v>
      </c>
      <c r="L250" s="443"/>
      <c r="M250" s="217">
        <f t="shared" si="730"/>
        <v>0.21502406630201726</v>
      </c>
      <c r="N250" s="172">
        <f t="shared" si="731"/>
        <v>33.19893932463512</v>
      </c>
      <c r="O250" s="172">
        <f t="shared" si="599"/>
        <v>5.44</v>
      </c>
      <c r="P250" s="217">
        <f t="shared" si="732"/>
        <v>2.074933707789695</v>
      </c>
      <c r="Q250" s="217">
        <f t="shared" si="733"/>
        <v>16</v>
      </c>
      <c r="R250" s="217"/>
      <c r="S250" s="172">
        <f t="shared" si="734"/>
        <v>380.98373135596802</v>
      </c>
      <c r="T250" s="172">
        <f t="shared" si="735"/>
        <v>16</v>
      </c>
      <c r="U250" s="217">
        <f t="shared" si="736"/>
        <v>0.8438823820859499</v>
      </c>
      <c r="V250" s="217">
        <f t="shared" si="737"/>
        <v>0.16888973779023916</v>
      </c>
      <c r="W250" s="217">
        <f t="shared" si="738"/>
        <v>0.61656726525758487</v>
      </c>
      <c r="X250" s="197">
        <f t="shared" si="739"/>
        <v>350</v>
      </c>
      <c r="Y250" s="443">
        <f t="shared" si="680"/>
        <v>350</v>
      </c>
      <c r="AA250" s="217">
        <f t="shared" si="740"/>
        <v>3.069668372539506</v>
      </c>
      <c r="AB250" s="173">
        <f t="shared" si="741"/>
        <v>2.2427971881887401</v>
      </c>
      <c r="AC250" s="173">
        <f t="shared" si="742"/>
        <v>1.2048126290556143</v>
      </c>
      <c r="AD250" s="173"/>
      <c r="AE250" s="173">
        <f t="shared" si="743"/>
        <v>0.73063175431334826</v>
      </c>
      <c r="AF250" s="545">
        <f t="shared" si="744"/>
        <v>930.70140462081042</v>
      </c>
      <c r="AG250" s="528">
        <f t="shared" si="745"/>
        <v>0.12786055700483592</v>
      </c>
      <c r="AI250" s="173">
        <f t="shared" si="746"/>
        <v>1.6306890783791901</v>
      </c>
      <c r="AJ250" s="173">
        <f t="shared" si="747"/>
        <v>1.6306890783791901</v>
      </c>
      <c r="AK250" s="173">
        <f t="shared" si="748"/>
        <v>1.6671770950956963</v>
      </c>
      <c r="AM250" s="545">
        <f t="shared" si="749"/>
        <v>340</v>
      </c>
      <c r="AN250" s="460">
        <f t="shared" si="750"/>
        <v>350</v>
      </c>
      <c r="AP250">
        <f t="shared" si="751"/>
        <v>340</v>
      </c>
      <c r="AQ250">
        <f t="shared" si="752"/>
        <v>350</v>
      </c>
      <c r="AS250" s="5">
        <f t="shared" si="600"/>
        <v>2.8571428571428572</v>
      </c>
      <c r="AT250" s="5">
        <f t="shared" si="753"/>
        <v>0.32635667802911644</v>
      </c>
      <c r="AU250" s="5">
        <f t="shared" si="722"/>
        <v>2.5307861791137407</v>
      </c>
      <c r="AV250" s="5"/>
      <c r="AW250" s="173">
        <f t="shared" si="723"/>
        <v>0.11422483731019076</v>
      </c>
      <c r="AX250" s="173">
        <f t="shared" si="631"/>
        <v>5.5842084277248611</v>
      </c>
      <c r="AY250" s="173">
        <f t="shared" si="632"/>
        <v>0.72221194184891113</v>
      </c>
      <c r="AZ250" s="173">
        <f t="shared" si="633"/>
        <v>7.7320909613165796</v>
      </c>
      <c r="BA250" s="460">
        <f t="shared" si="724"/>
        <v>0.6935079408118725</v>
      </c>
      <c r="BB250" s="5">
        <f t="shared" si="725"/>
        <v>0.19134327499083231</v>
      </c>
      <c r="BD250" s="173">
        <f t="shared" si="681"/>
        <v>0.31819313770574431</v>
      </c>
      <c r="BE250" s="173">
        <f t="shared" si="682"/>
        <v>0.88607867440314281</v>
      </c>
      <c r="BG250" s="528">
        <f t="shared" si="683"/>
        <v>2.0249374576605354E-3</v>
      </c>
      <c r="BH250" s="528">
        <f t="shared" si="754"/>
        <v>0.7956167782030481</v>
      </c>
      <c r="BI250" s="528">
        <f t="shared" si="755"/>
        <v>0.48267608900399445</v>
      </c>
      <c r="BJ250" s="528">
        <f t="shared" si="684"/>
        <v>1.0057221012082307</v>
      </c>
      <c r="BK250">
        <f t="shared" si="685"/>
        <v>2.6981893174136334E-2</v>
      </c>
      <c r="BL250" s="460">
        <f t="shared" si="686"/>
        <v>509.65798217813074</v>
      </c>
      <c r="BM250" s="528">
        <f t="shared" si="756"/>
        <v>1.8047788744710485</v>
      </c>
      <c r="BN250" s="460">
        <f t="shared" si="687"/>
        <v>1804.7788744710485</v>
      </c>
      <c r="BO250" s="528">
        <f t="shared" si="637"/>
        <v>0.23799999999999999</v>
      </c>
      <c r="BR250" s="460">
        <f t="shared" si="688"/>
        <v>238</v>
      </c>
      <c r="BS250" s="528">
        <f t="shared" si="689"/>
        <v>3.0374061864908027E-3</v>
      </c>
      <c r="BT250" s="528">
        <f t="shared" si="690"/>
        <v>2.3554062516960923E-2</v>
      </c>
      <c r="BU250" s="528">
        <f t="shared" si="691"/>
        <v>0.38910608404515939</v>
      </c>
      <c r="BV250" s="528"/>
      <c r="BW250" s="528">
        <f t="shared" si="692"/>
        <v>4.6535070231040511E-3</v>
      </c>
      <c r="BX250" s="460">
        <f t="shared" si="693"/>
        <v>420.3510597717152</v>
      </c>
      <c r="BY250" s="173">
        <f t="shared" si="694"/>
        <v>2.9713728588187847</v>
      </c>
      <c r="BZ250" s="5">
        <f t="shared" si="695"/>
        <v>5.44</v>
      </c>
      <c r="CA250" s="173">
        <f t="shared" si="696"/>
        <v>0.64674341410231373</v>
      </c>
      <c r="CB250" s="5">
        <f t="shared" si="697"/>
        <v>64.674341410231378</v>
      </c>
      <c r="CE250" s="562">
        <f t="shared" si="757"/>
        <v>-50</v>
      </c>
      <c r="CF250">
        <f t="shared" si="758"/>
        <v>-50</v>
      </c>
      <c r="CG250" s="173">
        <f t="shared" si="759"/>
        <v>0.42249260348555218</v>
      </c>
      <c r="CI250" s="170">
        <v>34</v>
      </c>
      <c r="CJ250" s="217">
        <f t="shared" si="698"/>
        <v>0.34</v>
      </c>
      <c r="CK250" s="217"/>
      <c r="CL250" s="217">
        <f t="shared" si="641"/>
        <v>5.44</v>
      </c>
      <c r="CM250" s="541">
        <f t="shared" si="642"/>
        <v>60</v>
      </c>
      <c r="CN250" s="443">
        <f t="shared" si="643"/>
        <v>16.399999999999999</v>
      </c>
      <c r="CO250" s="443">
        <f t="shared" si="644"/>
        <v>76.400000000000006</v>
      </c>
      <c r="CP250" s="443"/>
      <c r="CQ250" s="217">
        <f t="shared" si="645"/>
        <v>0.21465968586387432</v>
      </c>
      <c r="CR250" s="172">
        <f t="shared" si="646"/>
        <v>33.164921465968582</v>
      </c>
      <c r="CS250" s="172">
        <f t="shared" si="647"/>
        <v>5.44</v>
      </c>
      <c r="CT250" s="217">
        <f t="shared" si="648"/>
        <v>2.0728075916230364</v>
      </c>
      <c r="CU250" s="217">
        <f t="shared" si="649"/>
        <v>16</v>
      </c>
      <c r="CV250" s="217"/>
      <c r="CW250" s="172">
        <f t="shared" si="650"/>
        <v>381.2393571840442</v>
      </c>
      <c r="CX250" s="172">
        <f t="shared" si="651"/>
        <v>16</v>
      </c>
      <c r="CY250" s="217">
        <f t="shared" si="652"/>
        <v>0.84474796747967495</v>
      </c>
      <c r="CZ250" s="217">
        <f t="shared" si="653"/>
        <v>0.16894959349593497</v>
      </c>
      <c r="DA250" s="217">
        <f t="shared" si="654"/>
        <v>0.61810826888756709</v>
      </c>
      <c r="DB250" s="197">
        <f t="shared" si="655"/>
        <v>350</v>
      </c>
      <c r="DC250" s="443">
        <f t="shared" si="656"/>
        <v>350</v>
      </c>
      <c r="DE250" s="217">
        <f t="shared" si="657"/>
        <v>3.06656694091249</v>
      </c>
      <c r="DF250" s="173">
        <f t="shared" si="658"/>
        <v>2.2438294689603588</v>
      </c>
      <c r="DG250" s="173">
        <f t="shared" si="659"/>
        <v>1.2041493223478366</v>
      </c>
      <c r="DH250" s="173"/>
      <c r="DI250" s="173">
        <f t="shared" si="660"/>
        <v>0.73170731707317083</v>
      </c>
      <c r="DJ250" s="545">
        <f t="shared" si="661"/>
        <v>929.33333333333326</v>
      </c>
      <c r="DK250" s="528">
        <f t="shared" si="662"/>
        <v>0.12804878048780488</v>
      </c>
      <c r="DM250" s="173">
        <f t="shared" si="663"/>
        <v>1.6294901335197141</v>
      </c>
      <c r="DN250" s="173">
        <f t="shared" si="664"/>
        <v>1.6294901335197141</v>
      </c>
      <c r="DO250" s="173">
        <f t="shared" si="665"/>
        <v>1.6662889877923808</v>
      </c>
      <c r="DQ250" s="545">
        <f t="shared" si="666"/>
        <v>340</v>
      </c>
      <c r="DR250" s="460">
        <f t="shared" si="667"/>
        <v>350</v>
      </c>
      <c r="DT250">
        <f t="shared" si="668"/>
        <v>340</v>
      </c>
      <c r="DU250">
        <f t="shared" si="669"/>
        <v>350</v>
      </c>
      <c r="DW250" s="5">
        <f t="shared" si="670"/>
        <v>2.8571428571428572</v>
      </c>
      <c r="DX250" s="5">
        <f t="shared" si="671"/>
        <v>0.32589802670394286</v>
      </c>
      <c r="DY250" s="5">
        <f t="shared" si="672"/>
        <v>2.5312448304389141</v>
      </c>
      <c r="DZ250" s="5"/>
      <c r="EA250" s="173">
        <f t="shared" si="673"/>
        <v>0.11406430934638</v>
      </c>
      <c r="EB250" s="173">
        <f t="shared" si="699"/>
        <v>5.5760000000000005</v>
      </c>
      <c r="EC250" s="173">
        <f t="shared" si="700"/>
        <v>0.72181173342652372</v>
      </c>
      <c r="ED250" s="173">
        <f t="shared" si="701"/>
        <v>7.7250060393588837</v>
      </c>
      <c r="EE250" s="460">
        <f t="shared" si="674"/>
        <v>0.69253330674587865</v>
      </c>
      <c r="EF250" s="5">
        <f t="shared" si="675"/>
        <v>0.19124960941094016</v>
      </c>
      <c r="EH250" s="173">
        <f t="shared" si="702"/>
        <v>0.31773568652971657</v>
      </c>
      <c r="EI250" s="173">
        <f t="shared" si="703"/>
        <v>0.8855074243533223</v>
      </c>
      <c r="EK250" s="528">
        <f t="shared" si="704"/>
        <v>2.0191193298902065E-3</v>
      </c>
      <c r="EL250" s="528">
        <f t="shared" si="705"/>
        <v>0.82787875723602611</v>
      </c>
      <c r="EM250" s="528">
        <f t="shared" si="706"/>
        <v>4.0250000000000001E-2</v>
      </c>
      <c r="EN250" s="528">
        <f t="shared" si="707"/>
        <v>1.0061459800000001</v>
      </c>
      <c r="EO250">
        <f t="shared" si="708"/>
        <v>2.7E-2</v>
      </c>
      <c r="EP250" s="460">
        <f t="shared" si="709"/>
        <v>67.25</v>
      </c>
      <c r="EQ250" s="460"/>
      <c r="ER250" s="460">
        <f t="shared" si="710"/>
        <v>1903.2938565659163</v>
      </c>
      <c r="ES250" s="528">
        <f t="shared" si="711"/>
        <v>0.23799999999999999</v>
      </c>
      <c r="EV250" s="460">
        <f t="shared" si="712"/>
        <v>238</v>
      </c>
      <c r="EW250" s="528">
        <f t="shared" si="713"/>
        <v>3.0286789948353095E-3</v>
      </c>
      <c r="EX250" s="528">
        <f t="shared" si="714"/>
        <v>2.3523701957545644E-2</v>
      </c>
      <c r="EY250" s="528">
        <f t="shared" si="715"/>
        <v>0.3883912642700737</v>
      </c>
      <c r="EZ250" s="528"/>
      <c r="FA250" s="528">
        <f t="shared" si="716"/>
        <v>4.6466666666666661E-3</v>
      </c>
      <c r="FB250" s="460">
        <f t="shared" si="717"/>
        <v>419.59031188912132</v>
      </c>
      <c r="FC250" s="173">
        <f t="shared" si="718"/>
        <v>2.5608841684550376</v>
      </c>
      <c r="FD250" s="5">
        <f t="shared" si="719"/>
        <v>5.44</v>
      </c>
      <c r="FE250" s="173">
        <f t="shared" si="720"/>
        <v>0.67992485398653868</v>
      </c>
      <c r="FF250" s="5">
        <f t="shared" si="721"/>
        <v>67.992485398653869</v>
      </c>
      <c r="FI250" s="562">
        <f t="shared" si="676"/>
        <v>-50</v>
      </c>
      <c r="FJ250">
        <f t="shared" si="677"/>
        <v>-50</v>
      </c>
      <c r="FL250">
        <f t="shared" si="760"/>
        <v>0.41730844882821949</v>
      </c>
    </row>
    <row r="251" spans="5:168">
      <c r="E251" s="170">
        <v>35</v>
      </c>
      <c r="F251" s="217">
        <f t="shared" si="761"/>
        <v>0.35</v>
      </c>
      <c r="G251" s="217"/>
      <c r="H251" s="217">
        <f t="shared" si="726"/>
        <v>5.6</v>
      </c>
      <c r="I251" s="541">
        <f t="shared" si="727"/>
        <v>59.959175170953614</v>
      </c>
      <c r="J251" s="172">
        <f t="shared" si="728"/>
        <v>16.424494897427831</v>
      </c>
      <c r="K251" s="172">
        <f t="shared" si="729"/>
        <v>76.383670068381448</v>
      </c>
      <c r="L251" s="443"/>
      <c r="M251" s="217">
        <f t="shared" si="730"/>
        <v>0.21502938712195635</v>
      </c>
      <c r="N251" s="172">
        <f t="shared" si="731"/>
        <v>33.199435575071561</v>
      </c>
      <c r="O251" s="172">
        <f t="shared" si="599"/>
        <v>5.6</v>
      </c>
      <c r="P251" s="217">
        <f t="shared" si="732"/>
        <v>2.0749647234419726</v>
      </c>
      <c r="Q251" s="217">
        <f t="shared" si="733"/>
        <v>16</v>
      </c>
      <c r="R251" s="217"/>
      <c r="S251" s="172">
        <f t="shared" si="734"/>
        <v>368.38568164696494</v>
      </c>
      <c r="T251" s="172">
        <f t="shared" si="735"/>
        <v>16</v>
      </c>
      <c r="U251" s="217">
        <f t="shared" si="736"/>
        <v>0.8686894671683838</v>
      </c>
      <c r="V251" s="217">
        <f t="shared" si="737"/>
        <v>0.17385618758595767</v>
      </c>
      <c r="W251" s="217">
        <f t="shared" si="738"/>
        <v>0.63467848911768399</v>
      </c>
      <c r="X251" s="197">
        <f t="shared" si="739"/>
        <v>350</v>
      </c>
      <c r="Y251" s="443">
        <f t="shared" si="680"/>
        <v>350</v>
      </c>
      <c r="AA251" s="217">
        <f t="shared" si="740"/>
        <v>3.0697136161361169</v>
      </c>
      <c r="AB251" s="173">
        <f t="shared" si="741"/>
        <v>2.2427821143773632</v>
      </c>
      <c r="AC251" s="173">
        <f t="shared" si="742"/>
        <v>1.2048222890428799</v>
      </c>
      <c r="AD251" s="173"/>
      <c r="AE251" s="173">
        <f t="shared" si="743"/>
        <v>0.73061607525472638</v>
      </c>
      <c r="AF251" s="545">
        <f t="shared" si="744"/>
        <v>958.09553568328988</v>
      </c>
      <c r="AG251" s="528">
        <f t="shared" si="745"/>
        <v>0.12785781316957712</v>
      </c>
      <c r="AI251" s="173">
        <f t="shared" si="746"/>
        <v>1.654513770337972</v>
      </c>
      <c r="AJ251" s="173">
        <f t="shared" si="747"/>
        <v>1.654513770337972</v>
      </c>
      <c r="AK251" s="173">
        <f t="shared" si="748"/>
        <v>1.6848250150651645</v>
      </c>
      <c r="AM251" s="545">
        <f t="shared" si="749"/>
        <v>350</v>
      </c>
      <c r="AN251" s="460">
        <f t="shared" si="750"/>
        <v>350</v>
      </c>
      <c r="AP251">
        <f t="shared" si="751"/>
        <v>350</v>
      </c>
      <c r="AQ251">
        <f t="shared" si="752"/>
        <v>350</v>
      </c>
      <c r="AS251" s="5">
        <f t="shared" si="600"/>
        <v>2.8571428571428572</v>
      </c>
      <c r="AT251" s="5">
        <f t="shared" si="753"/>
        <v>0.33112805817371782</v>
      </c>
      <c r="AU251" s="5">
        <f t="shared" si="722"/>
        <v>2.5260147989691393</v>
      </c>
      <c r="AV251" s="5"/>
      <c r="AW251" s="173">
        <f t="shared" si="723"/>
        <v>0.11589482036080123</v>
      </c>
      <c r="AX251" s="173">
        <f t="shared" si="631"/>
        <v>5.7485732140997392</v>
      </c>
      <c r="AY251" s="173">
        <f t="shared" si="632"/>
        <v>0.73138209707009039</v>
      </c>
      <c r="AZ251" s="173">
        <f t="shared" si="633"/>
        <v>7.8598768511404202</v>
      </c>
      <c r="BA251" s="460">
        <f t="shared" si="724"/>
        <v>0.72434262725500775</v>
      </c>
      <c r="BB251" s="5">
        <f t="shared" si="725"/>
        <v>0.19660158813469711</v>
      </c>
      <c r="BD251" s="173">
        <f t="shared" si="681"/>
        <v>0.32519343693444769</v>
      </c>
      <c r="BE251" s="173">
        <f t="shared" si="682"/>
        <v>0.89817657914284976</v>
      </c>
      <c r="BG251" s="528">
        <f t="shared" si="683"/>
        <v>2.1150154285047721E-3</v>
      </c>
      <c r="BH251" s="528">
        <f t="shared" si="754"/>
        <v>0.80723841440090927</v>
      </c>
      <c r="BI251" s="528">
        <f t="shared" si="755"/>
        <v>0.48267136012617662</v>
      </c>
      <c r="BJ251" s="528">
        <f t="shared" si="684"/>
        <v>1.0057159135307587</v>
      </c>
      <c r="BK251">
        <f t="shared" si="685"/>
        <v>2.6981628826929126E-2</v>
      </c>
      <c r="BL251" s="460">
        <f t="shared" si="686"/>
        <v>509.65298895310576</v>
      </c>
      <c r="BM251" s="528">
        <f t="shared" si="756"/>
        <v>1.8165532657983552</v>
      </c>
      <c r="BN251" s="460">
        <f t="shared" si="687"/>
        <v>1816.5532657983551</v>
      </c>
      <c r="BO251" s="528">
        <f t="shared" si="637"/>
        <v>0.24499999999999997</v>
      </c>
      <c r="BR251" s="460">
        <f t="shared" si="688"/>
        <v>244.99999999999997</v>
      </c>
      <c r="BS251" s="528">
        <f t="shared" si="689"/>
        <v>3.1725231427571581E-3</v>
      </c>
      <c r="BT251" s="528">
        <f t="shared" si="690"/>
        <v>2.4201635019622553E-2</v>
      </c>
      <c r="BU251" s="528">
        <f t="shared" si="691"/>
        <v>0.40347448920656276</v>
      </c>
      <c r="BV251" s="528"/>
      <c r="BW251" s="528">
        <f t="shared" si="692"/>
        <v>4.7904776784164502E-3</v>
      </c>
      <c r="BX251" s="460">
        <f t="shared" si="693"/>
        <v>435.6391250473589</v>
      </c>
      <c r="BY251" s="173">
        <f t="shared" si="694"/>
        <v>3.005361457360638</v>
      </c>
      <c r="BZ251" s="5">
        <f t="shared" si="695"/>
        <v>5.6</v>
      </c>
      <c r="CA251" s="173">
        <f t="shared" si="696"/>
        <v>0.65075709227879242</v>
      </c>
      <c r="CB251" s="5">
        <f t="shared" si="697"/>
        <v>65.075709227879244</v>
      </c>
      <c r="CE251" s="562">
        <f t="shared" si="757"/>
        <v>-50</v>
      </c>
      <c r="CF251">
        <f t="shared" si="758"/>
        <v>-50</v>
      </c>
      <c r="CG251" s="173">
        <f t="shared" si="759"/>
        <v>0.42866070498705616</v>
      </c>
      <c r="CI251" s="170">
        <v>35</v>
      </c>
      <c r="CJ251" s="217">
        <f t="shared" si="698"/>
        <v>0.35</v>
      </c>
      <c r="CK251" s="217"/>
      <c r="CL251" s="217">
        <f t="shared" si="641"/>
        <v>5.6</v>
      </c>
      <c r="CM251" s="541">
        <f t="shared" si="642"/>
        <v>60</v>
      </c>
      <c r="CN251" s="443">
        <f t="shared" si="643"/>
        <v>16.399999999999999</v>
      </c>
      <c r="CO251" s="443">
        <f t="shared" si="644"/>
        <v>76.400000000000006</v>
      </c>
      <c r="CP251" s="443"/>
      <c r="CQ251" s="217">
        <f t="shared" si="645"/>
        <v>0.21465968586387432</v>
      </c>
      <c r="CR251" s="172">
        <f t="shared" si="646"/>
        <v>33.164921465968582</v>
      </c>
      <c r="CS251" s="172">
        <f t="shared" si="647"/>
        <v>5.6</v>
      </c>
      <c r="CT251" s="217">
        <f t="shared" si="648"/>
        <v>2.0728075916230364</v>
      </c>
      <c r="CU251" s="217">
        <f t="shared" si="649"/>
        <v>16</v>
      </c>
      <c r="CV251" s="217"/>
      <c r="CW251" s="172">
        <f t="shared" si="650"/>
        <v>368.63646279546759</v>
      </c>
      <c r="CX251" s="172">
        <f t="shared" si="651"/>
        <v>16</v>
      </c>
      <c r="CY251" s="217">
        <f t="shared" si="652"/>
        <v>0.86959349593495938</v>
      </c>
      <c r="CZ251" s="217">
        <f t="shared" si="653"/>
        <v>0.17391869918699188</v>
      </c>
      <c r="DA251" s="217">
        <f t="shared" si="654"/>
        <v>0.63628792385484834</v>
      </c>
      <c r="DB251" s="197">
        <f t="shared" si="655"/>
        <v>350</v>
      </c>
      <c r="DC251" s="443">
        <f t="shared" si="656"/>
        <v>350</v>
      </c>
      <c r="DE251" s="217">
        <f t="shared" si="657"/>
        <v>3.06656694091249</v>
      </c>
      <c r="DF251" s="173">
        <f t="shared" si="658"/>
        <v>2.2438294689603588</v>
      </c>
      <c r="DG251" s="173">
        <f t="shared" si="659"/>
        <v>1.2041493223478366</v>
      </c>
      <c r="DH251" s="173"/>
      <c r="DI251" s="173">
        <f t="shared" si="660"/>
        <v>0.73170731707317083</v>
      </c>
      <c r="DJ251" s="545">
        <f t="shared" si="661"/>
        <v>956.66666666666652</v>
      </c>
      <c r="DK251" s="528">
        <f t="shared" si="662"/>
        <v>0.12804878048780488</v>
      </c>
      <c r="DM251" s="173">
        <f t="shared" si="663"/>
        <v>1.6532795690182991</v>
      </c>
      <c r="DN251" s="173">
        <f t="shared" si="664"/>
        <v>1.6532795690182991</v>
      </c>
      <c r="DO251" s="173">
        <f t="shared" si="665"/>
        <v>1.6839107918654066</v>
      </c>
      <c r="DQ251" s="545">
        <f t="shared" si="666"/>
        <v>350</v>
      </c>
      <c r="DR251" s="460">
        <f t="shared" si="667"/>
        <v>350</v>
      </c>
      <c r="DT251">
        <f t="shared" si="668"/>
        <v>350</v>
      </c>
      <c r="DU251">
        <f t="shared" si="669"/>
        <v>350</v>
      </c>
      <c r="DW251" s="5">
        <f t="shared" si="670"/>
        <v>2.8571428571428572</v>
      </c>
      <c r="DX251" s="5">
        <f t="shared" si="671"/>
        <v>0.33065591380365977</v>
      </c>
      <c r="DY251" s="5">
        <f t="shared" si="672"/>
        <v>2.5264869433391972</v>
      </c>
      <c r="DZ251" s="5"/>
      <c r="EA251" s="173">
        <f t="shared" si="673"/>
        <v>0.11572956983128092</v>
      </c>
      <c r="EB251" s="173">
        <f t="shared" si="699"/>
        <v>5.7399999999999993</v>
      </c>
      <c r="EC251" s="173">
        <f t="shared" si="700"/>
        <v>0.73097311784248287</v>
      </c>
      <c r="ED251" s="173">
        <f t="shared" si="701"/>
        <v>7.852545955372479</v>
      </c>
      <c r="EE251" s="460">
        <f t="shared" si="674"/>
        <v>0.72330981144550577</v>
      </c>
      <c r="EF251" s="5">
        <f t="shared" si="675"/>
        <v>0.19650454003749307</v>
      </c>
      <c r="EH251" s="173">
        <f t="shared" si="702"/>
        <v>0.32471910470033827</v>
      </c>
      <c r="EI251" s="173">
        <f t="shared" si="703"/>
        <v>0.89759044900985985</v>
      </c>
      <c r="EK251" s="528">
        <f t="shared" si="704"/>
        <v>2.108849939147785E-3</v>
      </c>
      <c r="EL251" s="528">
        <f t="shared" si="705"/>
        <v>0.83996521783543721</v>
      </c>
      <c r="EM251" s="528">
        <f t="shared" si="706"/>
        <v>4.0250000000000001E-2</v>
      </c>
      <c r="EN251" s="528">
        <f t="shared" si="707"/>
        <v>1.0061459800000001</v>
      </c>
      <c r="EO251">
        <f t="shared" si="708"/>
        <v>2.7E-2</v>
      </c>
      <c r="EP251" s="460">
        <f t="shared" si="709"/>
        <v>67.25</v>
      </c>
      <c r="EQ251" s="460"/>
      <c r="ER251" s="460">
        <f t="shared" si="710"/>
        <v>1915.4700477745851</v>
      </c>
      <c r="ES251" s="528">
        <f t="shared" si="711"/>
        <v>0.24499999999999997</v>
      </c>
      <c r="EV251" s="460">
        <f t="shared" si="712"/>
        <v>244.99999999999997</v>
      </c>
      <c r="EW251" s="528">
        <f t="shared" si="713"/>
        <v>3.1632749087216771E-3</v>
      </c>
      <c r="EX251" s="528">
        <f t="shared" si="714"/>
        <v>2.4170058424611653E-2</v>
      </c>
      <c r="EY251" s="528">
        <f t="shared" si="715"/>
        <v>0.40272247040809472</v>
      </c>
      <c r="EZ251" s="528"/>
      <c r="FA251" s="528">
        <f t="shared" si="716"/>
        <v>4.783333333333333E-3</v>
      </c>
      <c r="FB251" s="460">
        <f t="shared" si="717"/>
        <v>434.83913707476137</v>
      </c>
      <c r="FC251" s="173">
        <f t="shared" si="718"/>
        <v>2.5953091848493459</v>
      </c>
      <c r="FD251" s="5">
        <f t="shared" si="719"/>
        <v>5.6</v>
      </c>
      <c r="FE251" s="173">
        <f t="shared" si="720"/>
        <v>0.68331772160014537</v>
      </c>
      <c r="FF251" s="5">
        <f t="shared" si="721"/>
        <v>68.331772160014538</v>
      </c>
      <c r="FI251" s="562">
        <f t="shared" si="676"/>
        <v>-50</v>
      </c>
      <c r="FJ251">
        <f t="shared" si="677"/>
        <v>-50</v>
      </c>
      <c r="FL251">
        <f t="shared" si="760"/>
        <v>0.42340086523639375</v>
      </c>
    </row>
    <row r="252" spans="5:168">
      <c r="E252" s="170">
        <v>36</v>
      </c>
      <c r="F252" s="217">
        <f t="shared" si="761"/>
        <v>0.36</v>
      </c>
      <c r="G252" s="217"/>
      <c r="H252" s="217">
        <f t="shared" si="726"/>
        <v>5.76</v>
      </c>
      <c r="I252" s="541">
        <f t="shared" si="727"/>
        <v>59.958596066439462</v>
      </c>
      <c r="J252" s="172">
        <f t="shared" si="728"/>
        <v>16.424842360136324</v>
      </c>
      <c r="K252" s="172">
        <f t="shared" si="729"/>
        <v>76.383438426575793</v>
      </c>
      <c r="L252" s="443"/>
      <c r="M252" s="217">
        <f t="shared" si="730"/>
        <v>0.21503463248924384</v>
      </c>
      <c r="N252" s="172">
        <f t="shared" si="731"/>
        <v>33.199924774523417</v>
      </c>
      <c r="O252" s="172">
        <f t="shared" si="599"/>
        <v>5.76</v>
      </c>
      <c r="P252" s="217">
        <f t="shared" si="732"/>
        <v>2.0749952984077136</v>
      </c>
      <c r="Q252" s="217">
        <f t="shared" si="733"/>
        <v>16</v>
      </c>
      <c r="R252" s="217"/>
      <c r="S252" s="172">
        <f t="shared" si="734"/>
        <v>356.4877449145107</v>
      </c>
      <c r="T252" s="172">
        <f t="shared" si="735"/>
        <v>16</v>
      </c>
      <c r="U252" s="217">
        <f t="shared" si="736"/>
        <v>0.89349600041151978</v>
      </c>
      <c r="V252" s="217">
        <f t="shared" si="737"/>
        <v>0.17882259939938155</v>
      </c>
      <c r="W252" s="217">
        <f t="shared" si="738"/>
        <v>0.65278873123073589</v>
      </c>
      <c r="X252" s="197">
        <f t="shared" si="739"/>
        <v>350</v>
      </c>
      <c r="Y252" s="443">
        <f t="shared" si="680"/>
        <v>350</v>
      </c>
      <c r="AA252" s="217">
        <f t="shared" si="740"/>
        <v>3.0697582168910289</v>
      </c>
      <c r="AB252" s="173">
        <f t="shared" si="741"/>
        <v>2.2427672543206438</v>
      </c>
      <c r="AC252" s="173">
        <f t="shared" si="742"/>
        <v>1.2048318113168626</v>
      </c>
      <c r="AD252" s="173"/>
      <c r="AE252" s="173">
        <f t="shared" si="743"/>
        <v>0.73060061928657694</v>
      </c>
      <c r="AF252" s="545">
        <f t="shared" si="744"/>
        <v>985.49054160817934</v>
      </c>
      <c r="AG252" s="528">
        <f t="shared" si="745"/>
        <v>0.12785510837515096</v>
      </c>
      <c r="AI252" s="173">
        <f t="shared" si="746"/>
        <v>1.6780009719120117</v>
      </c>
      <c r="AJ252" s="173">
        <f t="shared" si="747"/>
        <v>1.6780009719120117</v>
      </c>
      <c r="AK252" s="173">
        <f t="shared" si="748"/>
        <v>1.7022229421570456</v>
      </c>
      <c r="AM252" s="545">
        <f t="shared" si="749"/>
        <v>360</v>
      </c>
      <c r="AN252" s="460">
        <f t="shared" si="750"/>
        <v>350</v>
      </c>
      <c r="AP252">
        <f t="shared" si="751"/>
        <v>360</v>
      </c>
      <c r="AQ252">
        <f t="shared" si="752"/>
        <v>350</v>
      </c>
      <c r="AS252" s="5">
        <f t="shared" si="600"/>
        <v>2.8571428571428572</v>
      </c>
      <c r="AT252" s="5">
        <f t="shared" si="753"/>
        <v>0.33583194043822584</v>
      </c>
      <c r="AU252" s="5">
        <f t="shared" si="722"/>
        <v>2.5213109167046315</v>
      </c>
      <c r="AV252" s="5"/>
      <c r="AW252" s="173">
        <f t="shared" si="723"/>
        <v>0.11754117915337904</v>
      </c>
      <c r="AX252" s="173">
        <f t="shared" si="631"/>
        <v>5.9129432496490777</v>
      </c>
      <c r="AY252" s="173">
        <f t="shared" si="632"/>
        <v>0.74038337952647892</v>
      </c>
      <c r="AZ252" s="173">
        <f t="shared" si="633"/>
        <v>7.9863262914285995</v>
      </c>
      <c r="BA252" s="460">
        <f t="shared" si="724"/>
        <v>0.75562186598600811</v>
      </c>
      <c r="BB252" s="5">
        <f t="shared" si="725"/>
        <v>0.20184415903887762</v>
      </c>
      <c r="BD252" s="173">
        <f t="shared" si="681"/>
        <v>0.33214414585226554</v>
      </c>
      <c r="BE252" s="173">
        <f t="shared" si="682"/>
        <v>0.9100783960490918</v>
      </c>
      <c r="BG252" s="528">
        <f t="shared" si="683"/>
        <v>2.2063946724786209E-3</v>
      </c>
      <c r="BH252" s="528">
        <f t="shared" si="754"/>
        <v>0.81869535352479095</v>
      </c>
      <c r="BI252" s="528">
        <f t="shared" si="755"/>
        <v>0.48266669833483766</v>
      </c>
      <c r="BJ252" s="528">
        <f t="shared" si="684"/>
        <v>1.005709813653737</v>
      </c>
      <c r="BK252">
        <f t="shared" si="685"/>
        <v>2.6981368229897756E-2</v>
      </c>
      <c r="BL252" s="460">
        <f t="shared" si="686"/>
        <v>509.64806656473536</v>
      </c>
      <c r="BM252" s="528">
        <f t="shared" si="756"/>
        <v>1.8281656848470991</v>
      </c>
      <c r="BN252" s="460">
        <f t="shared" si="687"/>
        <v>1828.1656848470991</v>
      </c>
      <c r="BO252" s="528">
        <f t="shared" si="637"/>
        <v>0.252</v>
      </c>
      <c r="BR252" s="460">
        <f t="shared" si="688"/>
        <v>252</v>
      </c>
      <c r="BS252" s="528">
        <f t="shared" si="689"/>
        <v>3.3095920087179314E-3</v>
      </c>
      <c r="BT252" s="528">
        <f t="shared" si="690"/>
        <v>2.4847280608658626E-2</v>
      </c>
      <c r="BU252" s="528">
        <f t="shared" si="691"/>
        <v>0.41794644479071158</v>
      </c>
      <c r="BV252" s="528"/>
      <c r="BW252" s="528">
        <f t="shared" si="692"/>
        <v>4.9274527080408982E-3</v>
      </c>
      <c r="BX252" s="460">
        <f t="shared" si="693"/>
        <v>451.03077011612902</v>
      </c>
      <c r="BY252" s="173">
        <f t="shared" si="694"/>
        <v>3.0392903985318713</v>
      </c>
      <c r="BZ252" s="5">
        <f t="shared" si="695"/>
        <v>5.76</v>
      </c>
      <c r="CA252" s="173">
        <f t="shared" si="696"/>
        <v>0.65459823907630488</v>
      </c>
      <c r="CB252" s="5">
        <f t="shared" si="697"/>
        <v>65.459823907630494</v>
      </c>
      <c r="CE252" s="562">
        <f t="shared" si="757"/>
        <v>-50</v>
      </c>
      <c r="CF252">
        <f t="shared" si="758"/>
        <v>-50</v>
      </c>
      <c r="CG252" s="173">
        <f t="shared" si="759"/>
        <v>0.43474130238568315</v>
      </c>
      <c r="CI252" s="170">
        <v>36</v>
      </c>
      <c r="CJ252" s="217">
        <f t="shared" si="698"/>
        <v>0.36</v>
      </c>
      <c r="CK252" s="217"/>
      <c r="CL252" s="217">
        <f t="shared" si="641"/>
        <v>5.76</v>
      </c>
      <c r="CM252" s="541">
        <f t="shared" si="642"/>
        <v>60</v>
      </c>
      <c r="CN252" s="443">
        <f t="shared" si="643"/>
        <v>16.399999999999999</v>
      </c>
      <c r="CO252" s="443">
        <f t="shared" si="644"/>
        <v>76.400000000000006</v>
      </c>
      <c r="CP252" s="443"/>
      <c r="CQ252" s="217">
        <f t="shared" si="645"/>
        <v>0.21465968586387432</v>
      </c>
      <c r="CR252" s="172">
        <f t="shared" si="646"/>
        <v>33.164921465968582</v>
      </c>
      <c r="CS252" s="172">
        <f t="shared" si="647"/>
        <v>5.76</v>
      </c>
      <c r="CT252" s="217">
        <f t="shared" si="648"/>
        <v>2.0728075916230364</v>
      </c>
      <c r="CU252" s="217">
        <f t="shared" si="649"/>
        <v>16</v>
      </c>
      <c r="CV252" s="217"/>
      <c r="CW252" s="172">
        <f t="shared" si="650"/>
        <v>356.73386835803899</v>
      </c>
      <c r="CX252" s="172">
        <f t="shared" si="651"/>
        <v>16</v>
      </c>
      <c r="CY252" s="217">
        <f t="shared" si="652"/>
        <v>0.89443902439024392</v>
      </c>
      <c r="CZ252" s="217">
        <f t="shared" si="653"/>
        <v>0.17888780487804878</v>
      </c>
      <c r="DA252" s="217">
        <f t="shared" si="654"/>
        <v>0.6544675788221298</v>
      </c>
      <c r="DB252" s="197">
        <f t="shared" si="655"/>
        <v>350</v>
      </c>
      <c r="DC252" s="443">
        <f t="shared" si="656"/>
        <v>350</v>
      </c>
      <c r="DE252" s="217">
        <f t="shared" si="657"/>
        <v>3.06656694091249</v>
      </c>
      <c r="DF252" s="173">
        <f t="shared" si="658"/>
        <v>2.2438294689603588</v>
      </c>
      <c r="DG252" s="173">
        <f t="shared" si="659"/>
        <v>1.2041493223478366</v>
      </c>
      <c r="DH252" s="173"/>
      <c r="DI252" s="173">
        <f t="shared" si="660"/>
        <v>0.73170731707317083</v>
      </c>
      <c r="DJ252" s="545">
        <f t="shared" si="661"/>
        <v>983.99999999999989</v>
      </c>
      <c r="DK252" s="528">
        <f t="shared" si="662"/>
        <v>0.12804878048780488</v>
      </c>
      <c r="DM252" s="173">
        <f t="shared" si="663"/>
        <v>1.6767315144138526</v>
      </c>
      <c r="DN252" s="173">
        <f t="shared" si="664"/>
        <v>1.6767315144138526</v>
      </c>
      <c r="DO252" s="173">
        <f t="shared" si="665"/>
        <v>1.7012826032695205</v>
      </c>
      <c r="DQ252" s="545">
        <f t="shared" si="666"/>
        <v>360</v>
      </c>
      <c r="DR252" s="460">
        <f t="shared" si="667"/>
        <v>350</v>
      </c>
      <c r="DT252">
        <f t="shared" si="668"/>
        <v>360</v>
      </c>
      <c r="DU252">
        <f t="shared" si="669"/>
        <v>350</v>
      </c>
      <c r="DW252" s="5">
        <f t="shared" si="670"/>
        <v>2.8571428571428572</v>
      </c>
      <c r="DX252" s="5">
        <f t="shared" si="671"/>
        <v>0.33534630288277051</v>
      </c>
      <c r="DY252" s="5">
        <f t="shared" si="672"/>
        <v>2.5217965542600869</v>
      </c>
      <c r="DZ252" s="5"/>
      <c r="EA252" s="173">
        <f t="shared" si="673"/>
        <v>0.11737120600896968</v>
      </c>
      <c r="EB252" s="173">
        <f t="shared" si="699"/>
        <v>5.9039999999999999</v>
      </c>
      <c r="EC252" s="173">
        <f t="shared" si="700"/>
        <v>0.73996575720692626</v>
      </c>
      <c r="ED252" s="173">
        <f t="shared" si="701"/>
        <v>7.9787475873008376</v>
      </c>
      <c r="EE252" s="460">
        <f t="shared" si="674"/>
        <v>0.75452918148623371</v>
      </c>
      <c r="EF252" s="5">
        <f t="shared" si="675"/>
        <v>0.20174372434080692</v>
      </c>
      <c r="EH252" s="173">
        <f t="shared" si="702"/>
        <v>0.33165281145431097</v>
      </c>
      <c r="EI252" s="173">
        <f t="shared" si="703"/>
        <v>0.90947747074752128</v>
      </c>
      <c r="EK252" s="528">
        <f t="shared" si="704"/>
        <v>2.1998717469109749E-3</v>
      </c>
      <c r="EL252" s="528">
        <f t="shared" si="705"/>
        <v>0.85188021321310214</v>
      </c>
      <c r="EM252" s="528">
        <f t="shared" si="706"/>
        <v>4.0250000000000001E-2</v>
      </c>
      <c r="EN252" s="528">
        <f t="shared" si="707"/>
        <v>1.0061459800000001</v>
      </c>
      <c r="EO252">
        <f t="shared" si="708"/>
        <v>2.7E-2</v>
      </c>
      <c r="EP252" s="460">
        <f t="shared" si="709"/>
        <v>67.25</v>
      </c>
      <c r="EQ252" s="460"/>
      <c r="ER252" s="460">
        <f t="shared" si="710"/>
        <v>1927.4760649600132</v>
      </c>
      <c r="ES252" s="528">
        <f t="shared" si="711"/>
        <v>0.252</v>
      </c>
      <c r="EV252" s="460">
        <f t="shared" si="712"/>
        <v>252</v>
      </c>
      <c r="EW252" s="528">
        <f t="shared" si="713"/>
        <v>3.2998076203664623E-3</v>
      </c>
      <c r="EX252" s="528">
        <f t="shared" si="714"/>
        <v>2.4814478093919252E-2</v>
      </c>
      <c r="EY252" s="528">
        <f t="shared" si="715"/>
        <v>0.41715642104557171</v>
      </c>
      <c r="EZ252" s="528"/>
      <c r="FA252" s="528">
        <f t="shared" si="716"/>
        <v>4.9199999999999999E-3</v>
      </c>
      <c r="FB252" s="460">
        <f t="shared" si="717"/>
        <v>450.19070675985739</v>
      </c>
      <c r="FC252" s="173">
        <f t="shared" si="718"/>
        <v>2.6296667717198701</v>
      </c>
      <c r="FD252" s="5">
        <f t="shared" si="719"/>
        <v>5.76</v>
      </c>
      <c r="FE252" s="173">
        <f t="shared" si="720"/>
        <v>0.68655885349534662</v>
      </c>
      <c r="FF252" s="5">
        <f t="shared" si="721"/>
        <v>68.655885349534657</v>
      </c>
      <c r="FI252" s="562">
        <f t="shared" si="676"/>
        <v>-50</v>
      </c>
      <c r="FJ252">
        <f t="shared" si="677"/>
        <v>-50</v>
      </c>
      <c r="FL252">
        <f t="shared" si="760"/>
        <v>0.42940685125232808</v>
      </c>
    </row>
    <row r="253" spans="5:168">
      <c r="E253" s="170">
        <v>37</v>
      </c>
      <c r="F253" s="217">
        <f t="shared" si="761"/>
        <v>0.37</v>
      </c>
      <c r="G253" s="217"/>
      <c r="H253" s="217">
        <f t="shared" si="726"/>
        <v>5.92</v>
      </c>
      <c r="I253" s="541">
        <f t="shared" si="727"/>
        <v>59.958024950721828</v>
      </c>
      <c r="J253" s="172">
        <f t="shared" si="728"/>
        <v>16.425185029566901</v>
      </c>
      <c r="K253" s="172">
        <f t="shared" si="729"/>
        <v>76.383209980288726</v>
      </c>
      <c r="L253" s="443"/>
      <c r="M253" s="217">
        <f t="shared" si="730"/>
        <v>0.21503980552681737</v>
      </c>
      <c r="N253" s="172">
        <f t="shared" si="731"/>
        <v>33.200407214826363</v>
      </c>
      <c r="O253" s="172">
        <f t="shared" si="599"/>
        <v>5.92</v>
      </c>
      <c r="P253" s="217">
        <f t="shared" si="732"/>
        <v>2.0750254509266477</v>
      </c>
      <c r="Q253" s="217">
        <f t="shared" si="733"/>
        <v>16</v>
      </c>
      <c r="R253" s="217"/>
      <c r="S253" s="172">
        <f t="shared" si="734"/>
        <v>345.23315446235137</v>
      </c>
      <c r="T253" s="172">
        <f t="shared" si="735"/>
        <v>16</v>
      </c>
      <c r="U253" s="217">
        <f t="shared" si="736"/>
        <v>0.91830198957273401</v>
      </c>
      <c r="V253" s="217">
        <f t="shared" si="737"/>
        <v>0.18378897376839201</v>
      </c>
      <c r="W253" s="217">
        <f t="shared" si="738"/>
        <v>0.67089800541281164</v>
      </c>
      <c r="X253" s="197">
        <f t="shared" si="739"/>
        <v>350</v>
      </c>
      <c r="Y253" s="443">
        <f t="shared" si="680"/>
        <v>350</v>
      </c>
      <c r="AA253" s="217">
        <f t="shared" si="740"/>
        <v>3.0698022014110404</v>
      </c>
      <c r="AB253" s="173">
        <f t="shared" si="741"/>
        <v>2.2427525991714092</v>
      </c>
      <c r="AC253" s="173">
        <f t="shared" si="742"/>
        <v>1.204841201577427</v>
      </c>
      <c r="AD253" s="173"/>
      <c r="AE253" s="173">
        <f t="shared" si="743"/>
        <v>0.73058537717528627</v>
      </c>
      <c r="AF253" s="545">
        <f t="shared" si="744"/>
        <v>1012.8864101566254</v>
      </c>
      <c r="AG253" s="528">
        <f t="shared" si="745"/>
        <v>0.12785244100567511</v>
      </c>
      <c r="AI253" s="173">
        <f t="shared" si="746"/>
        <v>1.7011646516066787</v>
      </c>
      <c r="AJ253" s="173">
        <f t="shared" si="747"/>
        <v>1.7011646516066787</v>
      </c>
      <c r="AK253" s="173">
        <f t="shared" si="748"/>
        <v>1.7193812234123547</v>
      </c>
      <c r="AM253" s="545">
        <f t="shared" si="749"/>
        <v>370</v>
      </c>
      <c r="AN253" s="460">
        <f t="shared" si="750"/>
        <v>350</v>
      </c>
      <c r="AP253">
        <f t="shared" si="751"/>
        <v>370</v>
      </c>
      <c r="AQ253">
        <f t="shared" si="752"/>
        <v>350</v>
      </c>
      <c r="AS253" s="5">
        <f t="shared" si="600"/>
        <v>2.8571428571428572</v>
      </c>
      <c r="AT253" s="5">
        <f t="shared" si="753"/>
        <v>0.34047111852096429</v>
      </c>
      <c r="AU253" s="5">
        <f t="shared" si="722"/>
        <v>2.5166717386218931</v>
      </c>
      <c r="AV253" s="5"/>
      <c r="AW253" s="173">
        <f t="shared" si="723"/>
        <v>0.1191648914823375</v>
      </c>
      <c r="AX253" s="173">
        <f t="shared" si="631"/>
        <v>6.0773184609397521</v>
      </c>
      <c r="AY253" s="173">
        <f t="shared" si="632"/>
        <v>0.74922277525219017</v>
      </c>
      <c r="AZ253" s="173">
        <f t="shared" si="633"/>
        <v>8.1114972230977802</v>
      </c>
      <c r="BA253" s="460">
        <f t="shared" si="724"/>
        <v>0.78733946157972989</v>
      </c>
      <c r="BB253" s="5">
        <f t="shared" si="725"/>
        <v>0.20707120668843623</v>
      </c>
      <c r="BD253" s="173">
        <f t="shared" si="681"/>
        <v>0.33904698248704435</v>
      </c>
      <c r="BE253" s="173">
        <f t="shared" si="682"/>
        <v>0.92179220414642293</v>
      </c>
      <c r="BG253" s="528">
        <f t="shared" si="683"/>
        <v>2.2990571266714032E-3</v>
      </c>
      <c r="BH253" s="528">
        <f t="shared" si="754"/>
        <v>0.82999441227625925</v>
      </c>
      <c r="BI253" s="528">
        <f t="shared" si="755"/>
        <v>0.48266210085331074</v>
      </c>
      <c r="BJ253" s="528">
        <f t="shared" si="684"/>
        <v>1.00570379794316</v>
      </c>
      <c r="BK253">
        <f t="shared" si="685"/>
        <v>2.6981111227824824E-2</v>
      </c>
      <c r="BL253" s="460">
        <f t="shared" si="686"/>
        <v>509.64321208113563</v>
      </c>
      <c r="BM253" s="528">
        <f t="shared" si="756"/>
        <v>1.8396229177777426</v>
      </c>
      <c r="BN253" s="460">
        <f t="shared" si="687"/>
        <v>1839.6229177777425</v>
      </c>
      <c r="BO253" s="528">
        <f t="shared" si="637"/>
        <v>0.25900000000000001</v>
      </c>
      <c r="BR253" s="460">
        <f t="shared" si="688"/>
        <v>259</v>
      </c>
      <c r="BS253" s="528">
        <f t="shared" si="689"/>
        <v>3.4485856900071045E-3</v>
      </c>
      <c r="BT253" s="528">
        <f t="shared" si="690"/>
        <v>2.5491026028753618E-2</v>
      </c>
      <c r="BU253" s="528">
        <f t="shared" si="691"/>
        <v>0.4325197966228469</v>
      </c>
      <c r="BV253" s="528"/>
      <c r="BW253" s="528">
        <f t="shared" si="692"/>
        <v>5.0644320507831266E-3</v>
      </c>
      <c r="BX253" s="460">
        <f t="shared" si="693"/>
        <v>466.5238403923907</v>
      </c>
      <c r="BY253" s="173">
        <f t="shared" si="694"/>
        <v>3.0731643198196172</v>
      </c>
      <c r="BZ253" s="5">
        <f t="shared" si="695"/>
        <v>5.92</v>
      </c>
      <c r="CA253" s="173">
        <f t="shared" si="696"/>
        <v>0.65827775290986146</v>
      </c>
      <c r="CB253" s="5">
        <f t="shared" si="697"/>
        <v>65.827775290986139</v>
      </c>
      <c r="CE253" s="562">
        <f t="shared" si="757"/>
        <v>-50</v>
      </c>
      <c r="CF253">
        <f t="shared" si="758"/>
        <v>-50</v>
      </c>
      <c r="CG253" s="173">
        <f t="shared" si="759"/>
        <v>0.44073801742078028</v>
      </c>
      <c r="CI253" s="170">
        <v>37</v>
      </c>
      <c r="CJ253" s="217">
        <f t="shared" si="698"/>
        <v>0.37</v>
      </c>
      <c r="CK253" s="217"/>
      <c r="CL253" s="217">
        <f t="shared" si="641"/>
        <v>5.92</v>
      </c>
      <c r="CM253" s="541">
        <f t="shared" si="642"/>
        <v>60</v>
      </c>
      <c r="CN253" s="443">
        <f t="shared" si="643"/>
        <v>16.399999999999999</v>
      </c>
      <c r="CO253" s="443">
        <f t="shared" si="644"/>
        <v>76.400000000000006</v>
      </c>
      <c r="CP253" s="443"/>
      <c r="CQ253" s="217">
        <f t="shared" si="645"/>
        <v>0.21465968586387432</v>
      </c>
      <c r="CR253" s="172">
        <f t="shared" si="646"/>
        <v>33.164921465968582</v>
      </c>
      <c r="CS253" s="172">
        <f t="shared" si="647"/>
        <v>5.92</v>
      </c>
      <c r="CT253" s="217">
        <f t="shared" si="648"/>
        <v>2.0728075916230364</v>
      </c>
      <c r="CU253" s="217">
        <f t="shared" si="649"/>
        <v>16</v>
      </c>
      <c r="CV253" s="217"/>
      <c r="CW253" s="172">
        <f t="shared" si="650"/>
        <v>345.47479467681046</v>
      </c>
      <c r="CX253" s="172">
        <f t="shared" si="651"/>
        <v>16</v>
      </c>
      <c r="CY253" s="217">
        <f t="shared" si="652"/>
        <v>0.91928455284552857</v>
      </c>
      <c r="CZ253" s="217">
        <f t="shared" si="653"/>
        <v>0.18385691056910572</v>
      </c>
      <c r="DA253" s="217">
        <f t="shared" si="654"/>
        <v>0.67264723378941127</v>
      </c>
      <c r="DB253" s="197">
        <f t="shared" si="655"/>
        <v>350</v>
      </c>
      <c r="DC253" s="443">
        <f t="shared" si="656"/>
        <v>350</v>
      </c>
      <c r="DE253" s="217">
        <f t="shared" si="657"/>
        <v>3.06656694091249</v>
      </c>
      <c r="DF253" s="173">
        <f t="shared" si="658"/>
        <v>2.2438294689603588</v>
      </c>
      <c r="DG253" s="173">
        <f t="shared" si="659"/>
        <v>1.2041493223478366</v>
      </c>
      <c r="DH253" s="173"/>
      <c r="DI253" s="173">
        <f t="shared" si="660"/>
        <v>0.73170731707317083</v>
      </c>
      <c r="DJ253" s="545">
        <f t="shared" si="661"/>
        <v>1011.3333333333331</v>
      </c>
      <c r="DK253" s="528">
        <f t="shared" si="662"/>
        <v>0.12804878048780488</v>
      </c>
      <c r="DM253" s="173">
        <f t="shared" si="663"/>
        <v>1.6998599382077952</v>
      </c>
      <c r="DN253" s="173">
        <f t="shared" si="664"/>
        <v>1.6998599382077952</v>
      </c>
      <c r="DO253" s="173">
        <f t="shared" si="665"/>
        <v>1.7184147690428113</v>
      </c>
      <c r="DQ253" s="545">
        <f t="shared" si="666"/>
        <v>370</v>
      </c>
      <c r="DR253" s="460">
        <f t="shared" si="667"/>
        <v>350</v>
      </c>
      <c r="DT253">
        <f t="shared" si="668"/>
        <v>370</v>
      </c>
      <c r="DU253">
        <f t="shared" si="669"/>
        <v>350</v>
      </c>
      <c r="DW253" s="5">
        <f t="shared" si="670"/>
        <v>2.8571428571428572</v>
      </c>
      <c r="DX253" s="5">
        <f t="shared" si="671"/>
        <v>0.33997198764155906</v>
      </c>
      <c r="DY253" s="5">
        <f t="shared" si="672"/>
        <v>2.5171708695012982</v>
      </c>
      <c r="DZ253" s="5"/>
      <c r="EA253" s="173">
        <f t="shared" si="673"/>
        <v>0.11899019567454566</v>
      </c>
      <c r="EB253" s="173">
        <f t="shared" si="699"/>
        <v>6.0679999999999996</v>
      </c>
      <c r="EC253" s="173">
        <f t="shared" si="700"/>
        <v>0.74879663577056432</v>
      </c>
      <c r="ED253" s="173">
        <f t="shared" si="701"/>
        <v>8.103668887021108</v>
      </c>
      <c r="EE253" s="460">
        <f t="shared" si="674"/>
        <v>0.78618522142110525</v>
      </c>
      <c r="EF253" s="5">
        <f t="shared" si="675"/>
        <v>0.20696738260344005</v>
      </c>
      <c r="EH253" s="173">
        <f t="shared" si="702"/>
        <v>0.33853852735028389</v>
      </c>
      <c r="EI253" s="173">
        <f t="shared" si="703"/>
        <v>0.92117656758848598</v>
      </c>
      <c r="EK253" s="528">
        <f t="shared" si="704"/>
        <v>2.2921666900099784E-3</v>
      </c>
      <c r="EL253" s="528">
        <f t="shared" si="705"/>
        <v>0.86363084020585257</v>
      </c>
      <c r="EM253" s="528">
        <f t="shared" si="706"/>
        <v>4.0250000000000001E-2</v>
      </c>
      <c r="EN253" s="528">
        <f t="shared" si="707"/>
        <v>1.0061459800000001</v>
      </c>
      <c r="EO253">
        <f t="shared" si="708"/>
        <v>2.7E-2</v>
      </c>
      <c r="EP253" s="460">
        <f t="shared" si="709"/>
        <v>67.25</v>
      </c>
      <c r="EQ253" s="460"/>
      <c r="ER253" s="460">
        <f t="shared" si="710"/>
        <v>1939.3189868958627</v>
      </c>
      <c r="ES253" s="528">
        <f t="shared" si="711"/>
        <v>0.25900000000000001</v>
      </c>
      <c r="EV253" s="460">
        <f t="shared" si="712"/>
        <v>259</v>
      </c>
      <c r="EW253" s="528">
        <f t="shared" si="713"/>
        <v>3.4382500350149674E-3</v>
      </c>
      <c r="EX253" s="528">
        <f t="shared" si="714"/>
        <v>2.5456988060223132E-2</v>
      </c>
      <c r="EY253" s="528">
        <f t="shared" si="715"/>
        <v>0.43169096766009485</v>
      </c>
      <c r="EZ253" s="528"/>
      <c r="FA253" s="528">
        <f t="shared" si="716"/>
        <v>5.0566666666666659E-3</v>
      </c>
      <c r="FB253" s="460">
        <f t="shared" si="717"/>
        <v>465.64287242199958</v>
      </c>
      <c r="FC253" s="173">
        <f t="shared" si="718"/>
        <v>2.6639618593178622</v>
      </c>
      <c r="FD253" s="5">
        <f t="shared" si="719"/>
        <v>5.92</v>
      </c>
      <c r="FE253" s="173">
        <f t="shared" si="720"/>
        <v>0.68965823672362425</v>
      </c>
      <c r="FF253" s="5">
        <f t="shared" si="721"/>
        <v>68.965823672362419</v>
      </c>
      <c r="FI253" s="562">
        <f t="shared" si="676"/>
        <v>-50</v>
      </c>
      <c r="FJ253">
        <f t="shared" si="677"/>
        <v>-50</v>
      </c>
      <c r="FL253">
        <f t="shared" si="760"/>
        <v>0.43532998417516711</v>
      </c>
    </row>
    <row r="254" spans="5:168">
      <c r="E254" s="170">
        <v>38</v>
      </c>
      <c r="F254" s="217">
        <f t="shared" si="761"/>
        <v>0.38</v>
      </c>
      <c r="G254" s="217"/>
      <c r="H254" s="217">
        <f t="shared" si="726"/>
        <v>6.08</v>
      </c>
      <c r="I254" s="541">
        <f t="shared" si="727"/>
        <v>59.957461502030235</v>
      </c>
      <c r="J254" s="172">
        <f t="shared" si="728"/>
        <v>16.425523098781859</v>
      </c>
      <c r="K254" s="172">
        <f t="shared" si="729"/>
        <v>76.382984600812094</v>
      </c>
      <c r="L254" s="443"/>
      <c r="M254" s="217">
        <f t="shared" si="730"/>
        <v>0.21504490914795302</v>
      </c>
      <c r="N254" s="172">
        <f t="shared" si="731"/>
        <v>33.200883168223406</v>
      </c>
      <c r="O254" s="172">
        <f t="shared" si="599"/>
        <v>6.08</v>
      </c>
      <c r="P254" s="217">
        <f t="shared" si="732"/>
        <v>2.0750551980139629</v>
      </c>
      <c r="Q254" s="217">
        <f t="shared" si="733"/>
        <v>16</v>
      </c>
      <c r="R254" s="217"/>
      <c r="S254" s="172">
        <f t="shared" si="734"/>
        <v>334.57111923524729</v>
      </c>
      <c r="T254" s="172">
        <f t="shared" si="735"/>
        <v>16</v>
      </c>
      <c r="U254" s="217">
        <f t="shared" si="736"/>
        <v>0.9431074420926473</v>
      </c>
      <c r="V254" s="217">
        <f t="shared" si="737"/>
        <v>0.18875531120890685</v>
      </c>
      <c r="W254" s="217">
        <f t="shared" si="738"/>
        <v>0.68900632491583014</v>
      </c>
      <c r="X254" s="197">
        <f t="shared" si="739"/>
        <v>350</v>
      </c>
      <c r="Y254" s="443">
        <f t="shared" si="680"/>
        <v>350</v>
      </c>
      <c r="AA254" s="217">
        <f t="shared" si="740"/>
        <v>3.0698455945166812</v>
      </c>
      <c r="AB254" s="173">
        <f t="shared" si="741"/>
        <v>2.2427381406764542</v>
      </c>
      <c r="AC254" s="173">
        <f t="shared" si="742"/>
        <v>1.2048504651417755</v>
      </c>
      <c r="AD254" s="173"/>
      <c r="AE254" s="173">
        <f t="shared" si="743"/>
        <v>0.73057034030714907</v>
      </c>
      <c r="AF254" s="545">
        <f t="shared" si="744"/>
        <v>1040.2831295895178</v>
      </c>
      <c r="AG254" s="528">
        <f t="shared" si="745"/>
        <v>0.12784980955375111</v>
      </c>
      <c r="AI254" s="173">
        <f t="shared" si="746"/>
        <v>1.7240178401376558</v>
      </c>
      <c r="AJ254" s="173">
        <f t="shared" si="747"/>
        <v>1.7240178401376558</v>
      </c>
      <c r="AK254" s="173">
        <f t="shared" si="748"/>
        <v>1.7363095112130784</v>
      </c>
      <c r="AM254" s="545">
        <f t="shared" si="749"/>
        <v>380</v>
      </c>
      <c r="AN254" s="460">
        <f t="shared" si="750"/>
        <v>350</v>
      </c>
      <c r="AP254">
        <f t="shared" si="751"/>
        <v>380</v>
      </c>
      <c r="AQ254">
        <f t="shared" si="752"/>
        <v>350</v>
      </c>
      <c r="AS254" s="5">
        <f t="shared" si="600"/>
        <v>2.8571428571428572</v>
      </c>
      <c r="AT254" s="5">
        <f t="shared" si="753"/>
        <v>0.34504819856243146</v>
      </c>
      <c r="AU254" s="5">
        <f t="shared" si="722"/>
        <v>2.5120946585804256</v>
      </c>
      <c r="AV254" s="5"/>
      <c r="AW254" s="173">
        <f t="shared" si="723"/>
        <v>0.120766869496851</v>
      </c>
      <c r="AX254" s="173">
        <f t="shared" si="631"/>
        <v>6.2416987775371053</v>
      </c>
      <c r="AY254" s="173">
        <f t="shared" si="632"/>
        <v>0.75790680131375432</v>
      </c>
      <c r="AZ254" s="173">
        <f t="shared" si="633"/>
        <v>8.2354436808295635</v>
      </c>
      <c r="BA254" s="460">
        <f t="shared" si="724"/>
        <v>0.81948947158577468</v>
      </c>
      <c r="BB254" s="5">
        <f t="shared" si="725"/>
        <v>0.21228294112668256</v>
      </c>
      <c r="BD254" s="173">
        <f t="shared" si="681"/>
        <v>0.34590356067346839</v>
      </c>
      <c r="BE254" s="173">
        <f t="shared" si="682"/>
        <v>0.93332554042933946</v>
      </c>
      <c r="BG254" s="528">
        <f t="shared" si="683"/>
        <v>2.3929854657316766E-3</v>
      </c>
      <c r="BH254" s="528">
        <f t="shared" si="754"/>
        <v>0.84114194971077894</v>
      </c>
      <c r="BI254" s="528">
        <f t="shared" si="755"/>
        <v>0.48265756509134339</v>
      </c>
      <c r="BJ254" s="528">
        <f t="shared" si="684"/>
        <v>1.0056978630089963</v>
      </c>
      <c r="BK254">
        <f t="shared" si="685"/>
        <v>2.6980857675913603E-2</v>
      </c>
      <c r="BL254" s="460">
        <f t="shared" si="686"/>
        <v>509.638422767257</v>
      </c>
      <c r="BM254" s="528">
        <f t="shared" si="756"/>
        <v>1.8509312944617804</v>
      </c>
      <c r="BN254" s="460">
        <f t="shared" si="687"/>
        <v>1850.9312944617805</v>
      </c>
      <c r="BO254" s="528">
        <f t="shared" si="637"/>
        <v>0.26599999999999996</v>
      </c>
      <c r="BR254" s="460">
        <f t="shared" si="688"/>
        <v>265.99999999999994</v>
      </c>
      <c r="BS254" s="528">
        <f t="shared" si="689"/>
        <v>3.5894781985975148E-3</v>
      </c>
      <c r="BT254" s="528">
        <f t="shared" si="690"/>
        <v>2.6132896932531555E-2</v>
      </c>
      <c r="BU254" s="528">
        <f t="shared" si="691"/>
        <v>0.44719249272465444</v>
      </c>
      <c r="BV254" s="528"/>
      <c r="BW254" s="528">
        <f t="shared" si="692"/>
        <v>5.201415647947588E-3</v>
      </c>
      <c r="BX254" s="460">
        <f t="shared" si="693"/>
        <v>482.1162835037311</v>
      </c>
      <c r="BY254" s="173">
        <f t="shared" si="694"/>
        <v>3.1069875044564945</v>
      </c>
      <c r="BZ254" s="5">
        <f t="shared" si="695"/>
        <v>6.08</v>
      </c>
      <c r="CA254" s="173">
        <f t="shared" si="696"/>
        <v>0.66180562421040268</v>
      </c>
      <c r="CB254" s="5">
        <f t="shared" si="697"/>
        <v>66.180562421040264</v>
      </c>
      <c r="CE254" s="562">
        <f t="shared" si="757"/>
        <v>-50</v>
      </c>
      <c r="CF254">
        <f t="shared" si="758"/>
        <v>-50</v>
      </c>
      <c r="CG254" s="173">
        <f t="shared" si="759"/>
        <v>0.4466542286825459</v>
      </c>
      <c r="CI254" s="170">
        <v>38</v>
      </c>
      <c r="CJ254" s="217">
        <f t="shared" si="698"/>
        <v>0.38</v>
      </c>
      <c r="CK254" s="217"/>
      <c r="CL254" s="217">
        <f t="shared" si="641"/>
        <v>6.08</v>
      </c>
      <c r="CM254" s="541">
        <f t="shared" si="642"/>
        <v>60</v>
      </c>
      <c r="CN254" s="443">
        <f t="shared" si="643"/>
        <v>16.399999999999999</v>
      </c>
      <c r="CO254" s="443">
        <f t="shared" si="644"/>
        <v>76.400000000000006</v>
      </c>
      <c r="CP254" s="443"/>
      <c r="CQ254" s="217">
        <f t="shared" si="645"/>
        <v>0.21465968586387432</v>
      </c>
      <c r="CR254" s="172">
        <f t="shared" si="646"/>
        <v>33.164921465968582</v>
      </c>
      <c r="CS254" s="172">
        <f t="shared" si="647"/>
        <v>6.08</v>
      </c>
      <c r="CT254" s="217">
        <f t="shared" si="648"/>
        <v>2.0728075916230364</v>
      </c>
      <c r="CU254" s="217">
        <f t="shared" si="649"/>
        <v>16</v>
      </c>
      <c r="CV254" s="217"/>
      <c r="CW254" s="172">
        <f t="shared" si="650"/>
        <v>334.80843934800168</v>
      </c>
      <c r="CX254" s="172">
        <f t="shared" si="651"/>
        <v>16</v>
      </c>
      <c r="CY254" s="217">
        <f t="shared" si="652"/>
        <v>0.94413008130081311</v>
      </c>
      <c r="CZ254" s="217">
        <f t="shared" si="653"/>
        <v>0.18882601626016263</v>
      </c>
      <c r="DA254" s="217">
        <f t="shared" si="654"/>
        <v>0.69082688875669263</v>
      </c>
      <c r="DB254" s="197">
        <f t="shared" si="655"/>
        <v>350</v>
      </c>
      <c r="DC254" s="443">
        <f t="shared" si="656"/>
        <v>350</v>
      </c>
      <c r="DE254" s="217">
        <f t="shared" si="657"/>
        <v>3.06656694091249</v>
      </c>
      <c r="DF254" s="173">
        <f t="shared" si="658"/>
        <v>2.2438294689603588</v>
      </c>
      <c r="DG254" s="173">
        <f t="shared" si="659"/>
        <v>1.2041493223478366</v>
      </c>
      <c r="DH254" s="173"/>
      <c r="DI254" s="173">
        <f t="shared" si="660"/>
        <v>0.73170731707317083</v>
      </c>
      <c r="DJ254" s="545">
        <f t="shared" si="661"/>
        <v>1038.6666666666665</v>
      </c>
      <c r="DK254" s="528">
        <f t="shared" si="662"/>
        <v>0.12804878048780488</v>
      </c>
      <c r="DM254" s="173">
        <f t="shared" si="663"/>
        <v>1.7226778711120216</v>
      </c>
      <c r="DN254" s="173">
        <f t="shared" si="664"/>
        <v>1.7226778711120216</v>
      </c>
      <c r="DO254" s="173">
        <f t="shared" si="665"/>
        <v>1.7353169415644603</v>
      </c>
      <c r="DQ254" s="545">
        <f t="shared" si="666"/>
        <v>380</v>
      </c>
      <c r="DR254" s="460">
        <f t="shared" si="667"/>
        <v>350</v>
      </c>
      <c r="DT254">
        <f t="shared" si="668"/>
        <v>380</v>
      </c>
      <c r="DU254">
        <f t="shared" si="669"/>
        <v>350</v>
      </c>
      <c r="DW254" s="5">
        <f t="shared" si="670"/>
        <v>2.8571428571428572</v>
      </c>
      <c r="DX254" s="5">
        <f t="shared" si="671"/>
        <v>0.34453557422240433</v>
      </c>
      <c r="DY254" s="5">
        <f t="shared" si="672"/>
        <v>2.5126072829204529</v>
      </c>
      <c r="DZ254" s="5"/>
      <c r="EA254" s="173">
        <f t="shared" si="673"/>
        <v>0.12058745097784151</v>
      </c>
      <c r="EB254" s="173">
        <f t="shared" si="699"/>
        <v>6.2319999999999984</v>
      </c>
      <c r="EC254" s="173">
        <f t="shared" si="700"/>
        <v>0.75747226888934416</v>
      </c>
      <c r="ED254" s="173">
        <f t="shared" si="701"/>
        <v>8.2273638995890472</v>
      </c>
      <c r="EE254" s="460">
        <f t="shared" si="674"/>
        <v>0.81827198877821028</v>
      </c>
      <c r="EF254" s="5">
        <f t="shared" si="675"/>
        <v>0.21217572611328267</v>
      </c>
      <c r="EH254" s="173">
        <f t="shared" si="702"/>
        <v>0.34537786863360281</v>
      </c>
      <c r="EI254" s="173">
        <f t="shared" si="703"/>
        <v>0.93269527556670873</v>
      </c>
      <c r="EK254" s="528">
        <f t="shared" si="704"/>
        <v>2.3857174428378041E-3</v>
      </c>
      <c r="EL254" s="528">
        <f t="shared" si="705"/>
        <v>0.87522371919717379</v>
      </c>
      <c r="EM254" s="528">
        <f t="shared" si="706"/>
        <v>4.0250000000000001E-2</v>
      </c>
      <c r="EN254" s="528">
        <f t="shared" si="707"/>
        <v>1.0061459800000001</v>
      </c>
      <c r="EO254">
        <f t="shared" si="708"/>
        <v>2.7E-2</v>
      </c>
      <c r="EP254" s="460">
        <f t="shared" si="709"/>
        <v>67.25</v>
      </c>
      <c r="EQ254" s="460"/>
      <c r="ER254" s="460">
        <f t="shared" si="710"/>
        <v>1951.0054166400114</v>
      </c>
      <c r="ES254" s="528">
        <f t="shared" si="711"/>
        <v>0.26599999999999996</v>
      </c>
      <c r="EV254" s="460">
        <f t="shared" si="712"/>
        <v>265.99999999999994</v>
      </c>
      <c r="EW254" s="528">
        <f t="shared" si="713"/>
        <v>3.5785761642567063E-3</v>
      </c>
      <c r="EX254" s="528">
        <f t="shared" si="714"/>
        <v>2.6097614311933762E-2</v>
      </c>
      <c r="EY254" s="528">
        <f t="shared" si="715"/>
        <v>0.4463240637326798</v>
      </c>
      <c r="EZ254" s="528"/>
      <c r="FA254" s="528">
        <f t="shared" si="716"/>
        <v>5.1933333333333328E-3</v>
      </c>
      <c r="FB254" s="460">
        <f t="shared" si="717"/>
        <v>481.1935875422036</v>
      </c>
      <c r="FC254" s="173">
        <f t="shared" si="718"/>
        <v>2.6981990041822148</v>
      </c>
      <c r="FD254" s="5">
        <f t="shared" si="719"/>
        <v>6.08</v>
      </c>
      <c r="FE254" s="173">
        <f t="shared" si="720"/>
        <v>0.69262499028596802</v>
      </c>
      <c r="FF254" s="5">
        <f t="shared" si="721"/>
        <v>69.262499028596807</v>
      </c>
      <c r="FI254" s="562">
        <f t="shared" si="676"/>
        <v>-50</v>
      </c>
      <c r="FJ254">
        <f t="shared" si="677"/>
        <v>-50</v>
      </c>
      <c r="FL254">
        <f t="shared" si="760"/>
        <v>0.44117360113844467</v>
      </c>
    </row>
    <row r="255" spans="5:168">
      <c r="E255" s="170">
        <v>39</v>
      </c>
      <c r="F255" s="217">
        <f t="shared" si="761"/>
        <v>0.39</v>
      </c>
      <c r="G255" s="217"/>
      <c r="H255" s="217">
        <f t="shared" si="726"/>
        <v>6.24</v>
      </c>
      <c r="I255" s="541">
        <f t="shared" si="727"/>
        <v>59.956905419631433</v>
      </c>
      <c r="J255" s="172">
        <f t="shared" si="728"/>
        <v>16.42585674822114</v>
      </c>
      <c r="K255" s="172">
        <f t="shared" si="729"/>
        <v>76.382762167852576</v>
      </c>
      <c r="L255" s="443"/>
      <c r="M255" s="217">
        <f t="shared" si="730"/>
        <v>0.2150499460754578</v>
      </c>
      <c r="N255" s="172">
        <f t="shared" si="731"/>
        <v>33.201352889158386</v>
      </c>
      <c r="O255" s="172">
        <f t="shared" si="599"/>
        <v>6.24</v>
      </c>
      <c r="P255" s="217">
        <f t="shared" si="732"/>
        <v>2.0750845555723991</v>
      </c>
      <c r="Q255" s="217">
        <f t="shared" si="733"/>
        <v>16</v>
      </c>
      <c r="R255" s="217"/>
      <c r="S255" s="172">
        <f t="shared" si="734"/>
        <v>324.45605769746805</v>
      </c>
      <c r="T255" s="172">
        <f t="shared" si="735"/>
        <v>16</v>
      </c>
      <c r="U255" s="217">
        <f t="shared" si="736"/>
        <v>0.96791236511611345</v>
      </c>
      <c r="V255" s="217">
        <f t="shared" si="737"/>
        <v>0.19372161221633577</v>
      </c>
      <c r="W255" s="217">
        <f t="shared" si="738"/>
        <v>0.70711370246493943</v>
      </c>
      <c r="X255" s="197">
        <f t="shared" si="739"/>
        <v>350</v>
      </c>
      <c r="Y255" s="443">
        <f t="shared" si="680"/>
        <v>350</v>
      </c>
      <c r="AA255" s="217">
        <f t="shared" si="740"/>
        <v>3.0698884194057179</v>
      </c>
      <c r="AB255" s="173">
        <f t="shared" si="741"/>
        <v>2.2427238711221631</v>
      </c>
      <c r="AC255" s="173">
        <f t="shared" si="742"/>
        <v>1.2048596069794708</v>
      </c>
      <c r="AD255" s="173"/>
      <c r="AE255" s="173">
        <f t="shared" si="743"/>
        <v>0.730555500631622</v>
      </c>
      <c r="AF255" s="545">
        <f t="shared" si="744"/>
        <v>1067.6806886343738</v>
      </c>
      <c r="AG255" s="528">
        <f t="shared" si="745"/>
        <v>0.12784721261053383</v>
      </c>
      <c r="AI255" s="173">
        <f t="shared" si="746"/>
        <v>1.7465727162763849</v>
      </c>
      <c r="AJ255" s="173">
        <f t="shared" si="747"/>
        <v>1.7465727162763849</v>
      </c>
      <c r="AK255" s="173">
        <f t="shared" si="748"/>
        <v>1.7530168268713961</v>
      </c>
      <c r="AM255" s="545">
        <f t="shared" si="749"/>
        <v>390</v>
      </c>
      <c r="AN255" s="460">
        <f t="shared" si="750"/>
        <v>350</v>
      </c>
      <c r="AP255">
        <f t="shared" si="751"/>
        <v>390</v>
      </c>
      <c r="AQ255">
        <f t="shared" si="752"/>
        <v>350</v>
      </c>
      <c r="AS255" s="5">
        <f t="shared" si="600"/>
        <v>2.8571428571428572</v>
      </c>
      <c r="AT255" s="5">
        <f t="shared" si="753"/>
        <v>0.34956561631438282</v>
      </c>
      <c r="AU255" s="5">
        <f t="shared" si="722"/>
        <v>2.5075772408284744</v>
      </c>
      <c r="AV255" s="5"/>
      <c r="AW255" s="173">
        <f t="shared" si="723"/>
        <v>0.12234796571003398</v>
      </c>
      <c r="AX255" s="173">
        <f t="shared" si="631"/>
        <v>6.4060841318062458</v>
      </c>
      <c r="AY255" s="173">
        <f t="shared" si="632"/>
        <v>0.76644154873766046</v>
      </c>
      <c r="AZ255" s="173">
        <f t="shared" si="633"/>
        <v>8.3582161514562365</v>
      </c>
      <c r="BA255" s="460">
        <f t="shared" si="724"/>
        <v>0.85206618976630821</v>
      </c>
      <c r="BB255" s="5">
        <f t="shared" si="725"/>
        <v>0.21747956404765731</v>
      </c>
      <c r="BD255" s="173">
        <f t="shared" si="681"/>
        <v>0.35271539894058102</v>
      </c>
      <c r="BE255" s="173">
        <f t="shared" si="682"/>
        <v>0.94468544946481692</v>
      </c>
      <c r="BG255" s="528">
        <f t="shared" si="683"/>
        <v>2.4881630529962648E-3</v>
      </c>
      <c r="BH255" s="528">
        <f t="shared" si="754"/>
        <v>0.85214390913072369</v>
      </c>
      <c r="BI255" s="528">
        <f t="shared" si="755"/>
        <v>0.48265308862803308</v>
      </c>
      <c r="BJ255" s="528">
        <f t="shared" si="684"/>
        <v>1.0056920056828522</v>
      </c>
      <c r="BK255">
        <f t="shared" si="685"/>
        <v>2.6980607438834143E-2</v>
      </c>
      <c r="BL255" s="460">
        <f t="shared" si="686"/>
        <v>509.63369606686729</v>
      </c>
      <c r="BM255" s="528">
        <f t="shared" si="756"/>
        <v>1.8620967302786884</v>
      </c>
      <c r="BN255" s="460">
        <f t="shared" si="687"/>
        <v>1862.0967302786885</v>
      </c>
      <c r="BO255" s="528">
        <f t="shared" si="637"/>
        <v>0.27299999999999996</v>
      </c>
      <c r="BR255" s="460">
        <f t="shared" si="688"/>
        <v>272.99999999999994</v>
      </c>
      <c r="BS255" s="528">
        <f t="shared" si="689"/>
        <v>3.7322445794943965E-3</v>
      </c>
      <c r="BT255" s="528">
        <f t="shared" si="690"/>
        <v>2.6772917952916295E-2</v>
      </c>
      <c r="BU255" s="528">
        <f t="shared" si="691"/>
        <v>0.46196257589275064</v>
      </c>
      <c r="BV255" s="528"/>
      <c r="BW255" s="528">
        <f t="shared" si="692"/>
        <v>5.3384034431718718E-3</v>
      </c>
      <c r="BX255" s="460">
        <f t="shared" si="693"/>
        <v>497.80614186833321</v>
      </c>
      <c r="BY255" s="173">
        <f t="shared" si="694"/>
        <v>3.1407639158017724</v>
      </c>
      <c r="BZ255" s="5">
        <f t="shared" si="695"/>
        <v>6.24</v>
      </c>
      <c r="CA255" s="173">
        <f t="shared" si="696"/>
        <v>0.66519102879124836</v>
      </c>
      <c r="CB255" s="5">
        <f t="shared" si="697"/>
        <v>66.51910287912483</v>
      </c>
      <c r="CE255" s="562">
        <f t="shared" si="757"/>
        <v>-50</v>
      </c>
      <c r="CF255">
        <f t="shared" si="758"/>
        <v>-50</v>
      </c>
      <c r="CG255" s="173">
        <f t="shared" si="759"/>
        <v>0.45249309386995068</v>
      </c>
      <c r="CI255" s="170">
        <v>39</v>
      </c>
      <c r="CJ255" s="217">
        <f t="shared" si="698"/>
        <v>0.39</v>
      </c>
      <c r="CK255" s="217"/>
      <c r="CL255" s="217">
        <f t="shared" si="641"/>
        <v>6.24</v>
      </c>
      <c r="CM255" s="541">
        <f t="shared" si="642"/>
        <v>60</v>
      </c>
      <c r="CN255" s="443">
        <f t="shared" si="643"/>
        <v>16.399999999999999</v>
      </c>
      <c r="CO255" s="443">
        <f t="shared" si="644"/>
        <v>76.400000000000006</v>
      </c>
      <c r="CP255" s="443"/>
      <c r="CQ255" s="217">
        <f t="shared" si="645"/>
        <v>0.21465968586387432</v>
      </c>
      <c r="CR255" s="172">
        <f t="shared" si="646"/>
        <v>33.164921465968582</v>
      </c>
      <c r="CS255" s="172">
        <f t="shared" si="647"/>
        <v>6.24</v>
      </c>
      <c r="CT255" s="217">
        <f t="shared" si="648"/>
        <v>2.0728075916230364</v>
      </c>
      <c r="CU255" s="217">
        <f t="shared" si="649"/>
        <v>16</v>
      </c>
      <c r="CV255" s="217"/>
      <c r="CW255" s="172">
        <f t="shared" si="650"/>
        <v>324.6892105044775</v>
      </c>
      <c r="CX255" s="172">
        <f t="shared" si="651"/>
        <v>16</v>
      </c>
      <c r="CY255" s="217">
        <f t="shared" si="652"/>
        <v>0.96897560975609764</v>
      </c>
      <c r="CZ255" s="217">
        <f t="shared" si="653"/>
        <v>0.19379512195121951</v>
      </c>
      <c r="DA255" s="217">
        <f t="shared" si="654"/>
        <v>0.70900654372397387</v>
      </c>
      <c r="DB255" s="197">
        <f t="shared" si="655"/>
        <v>350</v>
      </c>
      <c r="DC255" s="443">
        <f t="shared" si="656"/>
        <v>350</v>
      </c>
      <c r="DE255" s="217">
        <f t="shared" si="657"/>
        <v>3.06656694091249</v>
      </c>
      <c r="DF255" s="173">
        <f t="shared" si="658"/>
        <v>2.2438294689603588</v>
      </c>
      <c r="DG255" s="173">
        <f t="shared" si="659"/>
        <v>1.2041493223478366</v>
      </c>
      <c r="DH255" s="173"/>
      <c r="DI255" s="173">
        <f t="shared" si="660"/>
        <v>0.73170731707317083</v>
      </c>
      <c r="DJ255" s="545">
        <f t="shared" si="661"/>
        <v>1066</v>
      </c>
      <c r="DK255" s="528">
        <f t="shared" si="662"/>
        <v>0.12804878048780488</v>
      </c>
      <c r="DM255" s="173">
        <f t="shared" si="663"/>
        <v>1.7451974918943374</v>
      </c>
      <c r="DN255" s="173">
        <f t="shared" si="664"/>
        <v>1.7451974918943374</v>
      </c>
      <c r="DO255" s="173">
        <f t="shared" si="665"/>
        <v>1.7519981421439534</v>
      </c>
      <c r="DQ255" s="545">
        <f t="shared" si="666"/>
        <v>390</v>
      </c>
      <c r="DR255" s="460">
        <f t="shared" si="667"/>
        <v>350</v>
      </c>
      <c r="DT255">
        <f t="shared" si="668"/>
        <v>390</v>
      </c>
      <c r="DU255">
        <f t="shared" si="669"/>
        <v>350</v>
      </c>
      <c r="DW255" s="5">
        <f t="shared" si="670"/>
        <v>2.8571428571428572</v>
      </c>
      <c r="DX255" s="5">
        <f t="shared" si="671"/>
        <v>0.34903949837886744</v>
      </c>
      <c r="DY255" s="5">
        <f t="shared" si="672"/>
        <v>2.5081033587639898</v>
      </c>
      <c r="DZ255" s="5"/>
      <c r="EA255" s="173">
        <f t="shared" si="673"/>
        <v>0.1221638244326036</v>
      </c>
      <c r="EB255" s="173">
        <f t="shared" si="699"/>
        <v>6.3959999999999999</v>
      </c>
      <c r="EC255" s="173">
        <f t="shared" si="700"/>
        <v>0.76599874594716877</v>
      </c>
      <c r="ED255" s="173">
        <f t="shared" si="701"/>
        <v>8.3498831216639289</v>
      </c>
      <c r="EE255" s="460">
        <f t="shared" si="674"/>
        <v>0.85078377729848942</v>
      </c>
      <c r="EF255" s="5">
        <f t="shared" si="675"/>
        <v>0.21736895775954576</v>
      </c>
      <c r="EH255" s="173">
        <f t="shared" si="702"/>
        <v>0.35217235613255843</v>
      </c>
      <c r="EI255" s="173">
        <f t="shared" si="703"/>
        <v>0.94404063832768215</v>
      </c>
      <c r="EK255" s="528">
        <f t="shared" si="704"/>
        <v>2.4805073684791511E-3</v>
      </c>
      <c r="EL255" s="528">
        <f t="shared" si="705"/>
        <v>0.88666503773183714</v>
      </c>
      <c r="EM255" s="528">
        <f t="shared" si="706"/>
        <v>4.0250000000000001E-2</v>
      </c>
      <c r="EN255" s="528">
        <f t="shared" si="707"/>
        <v>1.0061459800000001</v>
      </c>
      <c r="EO255">
        <f t="shared" si="708"/>
        <v>2.7E-2</v>
      </c>
      <c r="EP255" s="460">
        <f t="shared" si="709"/>
        <v>67.25</v>
      </c>
      <c r="EQ255" s="460"/>
      <c r="ER255" s="460">
        <f t="shared" si="710"/>
        <v>1962.5415251003162</v>
      </c>
      <c r="ES255" s="528">
        <f t="shared" si="711"/>
        <v>0.27299999999999996</v>
      </c>
      <c r="EV255" s="460">
        <f t="shared" si="712"/>
        <v>272.99999999999994</v>
      </c>
      <c r="EW255" s="528">
        <f t="shared" si="713"/>
        <v>3.7207610527187265E-3</v>
      </c>
      <c r="EX255" s="528">
        <f t="shared" si="714"/>
        <v>2.6736381804424125E-2</v>
      </c>
      <c r="EY255" s="528">
        <f t="shared" si="715"/>
        <v>0.46105375733780452</v>
      </c>
      <c r="EZ255" s="528"/>
      <c r="FA255" s="528">
        <f t="shared" si="716"/>
        <v>5.3300000000000005E-3</v>
      </c>
      <c r="FB255" s="460">
        <f t="shared" si="717"/>
        <v>496.84090019494738</v>
      </c>
      <c r="FC255" s="173">
        <f t="shared" si="718"/>
        <v>2.7323824252952633</v>
      </c>
      <c r="FD255" s="5">
        <f t="shared" si="719"/>
        <v>6.24</v>
      </c>
      <c r="FE255" s="173">
        <f t="shared" si="720"/>
        <v>0.69546745827596113</v>
      </c>
      <c r="FF255" s="5">
        <f t="shared" si="721"/>
        <v>69.546745827596112</v>
      </c>
      <c r="FI255" s="562">
        <f t="shared" si="676"/>
        <v>-50</v>
      </c>
      <c r="FJ255">
        <f t="shared" si="677"/>
        <v>-50</v>
      </c>
      <c r="FL255">
        <f t="shared" si="760"/>
        <v>0.44694082109489131</v>
      </c>
    </row>
    <row r="256" spans="5:168">
      <c r="E256" s="170">
        <v>40</v>
      </c>
      <c r="F256" s="217">
        <f t="shared" si="761"/>
        <v>0.4</v>
      </c>
      <c r="G256" s="217"/>
      <c r="H256" s="217">
        <f t="shared" si="726"/>
        <v>6.4</v>
      </c>
      <c r="I256" s="541">
        <f t="shared" si="727"/>
        <v>59.956356421952805</v>
      </c>
      <c r="J256" s="172">
        <f t="shared" si="728"/>
        <v>16.426186146828318</v>
      </c>
      <c r="K256" s="172">
        <f t="shared" si="729"/>
        <v>76.382542568781119</v>
      </c>
      <c r="L256" s="443"/>
      <c r="M256" s="217">
        <f t="shared" si="730"/>
        <v>0.21505491885866052</v>
      </c>
      <c r="N256" s="172">
        <f t="shared" si="731"/>
        <v>33.201816615863777</v>
      </c>
      <c r="O256" s="172">
        <f t="shared" si="599"/>
        <v>6.4</v>
      </c>
      <c r="P256" s="217">
        <f t="shared" si="732"/>
        <v>2.0751135384914861</v>
      </c>
      <c r="Q256" s="217">
        <f t="shared" si="733"/>
        <v>16</v>
      </c>
      <c r="R256" s="217"/>
      <c r="S256" s="172">
        <f t="shared" si="734"/>
        <v>314.84694663112879</v>
      </c>
      <c r="T256" s="172">
        <f t="shared" si="735"/>
        <v>16</v>
      </c>
      <c r="U256" s="217">
        <f t="shared" si="736"/>
        <v>0.99271676551131138</v>
      </c>
      <c r="V256" s="217">
        <f t="shared" si="737"/>
        <v>0.19868787726690443</v>
      </c>
      <c r="W256" s="217">
        <f t="shared" si="738"/>
        <v>0.72522015029251963</v>
      </c>
      <c r="X256" s="197">
        <f t="shared" si="739"/>
        <v>350</v>
      </c>
      <c r="Y256" s="443">
        <f t="shared" si="680"/>
        <v>350</v>
      </c>
      <c r="AA256" s="217">
        <f t="shared" si="740"/>
        <v>3.0699306977979219</v>
      </c>
      <c r="AB256" s="173">
        <f t="shared" si="741"/>
        <v>2.2427097832863794</v>
      </c>
      <c r="AC256" s="173">
        <f t="shared" si="742"/>
        <v>1.2048686317434518</v>
      </c>
      <c r="AD256" s="173"/>
      <c r="AE256" s="173">
        <f t="shared" si="743"/>
        <v>0.7305408506110862</v>
      </c>
      <c r="AF256" s="545">
        <f t="shared" si="744"/>
        <v>1095.0790764552212</v>
      </c>
      <c r="AG256" s="528">
        <f t="shared" si="745"/>
        <v>0.12784464885694008</v>
      </c>
      <c r="AI256" s="173">
        <f t="shared" si="746"/>
        <v>1.7688406828486936</v>
      </c>
      <c r="AJ256" s="173">
        <f t="shared" si="747"/>
        <v>1.7688406828486936</v>
      </c>
      <c r="AK256" s="173">
        <f t="shared" si="748"/>
        <v>1.7695116169249583</v>
      </c>
      <c r="AM256" s="545">
        <f t="shared" si="749"/>
        <v>400</v>
      </c>
      <c r="AN256" s="460">
        <f t="shared" si="750"/>
        <v>350</v>
      </c>
      <c r="AP256">
        <f t="shared" si="751"/>
        <v>400</v>
      </c>
      <c r="AQ256">
        <f t="shared" si="752"/>
        <v>350</v>
      </c>
      <c r="AS256" s="5">
        <f t="shared" si="600"/>
        <v>2.8571428571428572</v>
      </c>
      <c r="AT256" s="5">
        <f t="shared" si="753"/>
        <v>0.35402565233954858</v>
      </c>
      <c r="AU256" s="5">
        <f t="shared" si="722"/>
        <v>2.5031172048033086</v>
      </c>
      <c r="AV256" s="5"/>
      <c r="AW256" s="173">
        <f t="shared" si="723"/>
        <v>0.123908978318842</v>
      </c>
      <c r="AX256" s="173">
        <f t="shared" si="631"/>
        <v>6.5704744587313284</v>
      </c>
      <c r="AY256" s="173">
        <f t="shared" si="632"/>
        <v>0.77483272051405461</v>
      </c>
      <c r="AZ256" s="173">
        <f t="shared" si="633"/>
        <v>8.4798618911862889</v>
      </c>
      <c r="BA256" s="460">
        <f t="shared" si="724"/>
        <v>0.88506413084887148</v>
      </c>
      <c r="BB256" s="5">
        <f t="shared" si="725"/>
        <v>0.22266126933506594</v>
      </c>
      <c r="BD256" s="173">
        <f t="shared" si="681"/>
        <v>0.35948392843327048</v>
      </c>
      <c r="BE256" s="173">
        <f t="shared" si="682"/>
        <v>0.95587852730619527</v>
      </c>
      <c r="BG256" s="528">
        <f t="shared" si="683"/>
        <v>2.5845738960363347E-3</v>
      </c>
      <c r="BH256" s="528">
        <f t="shared" si="754"/>
        <v>0.8630058551730877</v>
      </c>
      <c r="BI256" s="528">
        <f t="shared" si="755"/>
        <v>0.48264866919672006</v>
      </c>
      <c r="BJ256" s="528">
        <f t="shared" si="684"/>
        <v>1.0056862229982024</v>
      </c>
      <c r="BK256">
        <f t="shared" si="685"/>
        <v>2.6980360389878763E-2</v>
      </c>
      <c r="BL256" s="460">
        <f t="shared" si="686"/>
        <v>509.62902958659885</v>
      </c>
      <c r="BM256" s="528">
        <f t="shared" si="756"/>
        <v>1.8731247631168011</v>
      </c>
      <c r="BN256" s="460">
        <f t="shared" si="687"/>
        <v>1873.1247631168012</v>
      </c>
      <c r="BO256" s="528">
        <f t="shared" si="637"/>
        <v>0.27999999999999997</v>
      </c>
      <c r="BR256" s="460">
        <f t="shared" si="688"/>
        <v>279.99999999999994</v>
      </c>
      <c r="BS256" s="528">
        <f t="shared" si="689"/>
        <v>3.8768608440545018E-3</v>
      </c>
      <c r="BT256" s="528">
        <f t="shared" si="690"/>
        <v>2.741111276895182E-2</v>
      </c>
      <c r="BU256" s="528">
        <f t="shared" si="691"/>
        <v>0.4768281769933756</v>
      </c>
      <c r="BV256" s="528"/>
      <c r="BW256" s="528">
        <f t="shared" si="692"/>
        <v>5.4753953822761067E-3</v>
      </c>
      <c r="BX256" s="460">
        <f t="shared" si="693"/>
        <v>513.59154598865803</v>
      </c>
      <c r="BY256" s="173">
        <f t="shared" si="694"/>
        <v>3.1744972276425836</v>
      </c>
      <c r="BZ256" s="5">
        <f t="shared" si="695"/>
        <v>6.4</v>
      </c>
      <c r="CA256" s="173">
        <f t="shared" si="696"/>
        <v>0.66844240985547776</v>
      </c>
      <c r="CB256" s="5">
        <f t="shared" si="697"/>
        <v>66.844240985547771</v>
      </c>
      <c r="CE256" s="562">
        <f t="shared" si="757"/>
        <v>-50</v>
      </c>
      <c r="CF256">
        <f t="shared" si="758"/>
        <v>-50</v>
      </c>
      <c r="CG256" s="173">
        <f t="shared" si="759"/>
        <v>0.45825756949558405</v>
      </c>
      <c r="CI256" s="170">
        <v>40</v>
      </c>
      <c r="CJ256" s="217">
        <f t="shared" si="698"/>
        <v>0.4</v>
      </c>
      <c r="CK256" s="217"/>
      <c r="CL256" s="217">
        <f t="shared" si="641"/>
        <v>6.4</v>
      </c>
      <c r="CM256" s="541">
        <f t="shared" si="642"/>
        <v>60</v>
      </c>
      <c r="CN256" s="443">
        <f t="shared" si="643"/>
        <v>16.399999999999999</v>
      </c>
      <c r="CO256" s="443">
        <f t="shared" si="644"/>
        <v>76.400000000000006</v>
      </c>
      <c r="CP256" s="443"/>
      <c r="CQ256" s="217">
        <f t="shared" si="645"/>
        <v>0.21465968586387432</v>
      </c>
      <c r="CR256" s="172">
        <f t="shared" si="646"/>
        <v>33.164921465968582</v>
      </c>
      <c r="CS256" s="172">
        <f t="shared" si="647"/>
        <v>6.4</v>
      </c>
      <c r="CT256" s="217">
        <f t="shared" si="648"/>
        <v>2.0728075916230364</v>
      </c>
      <c r="CU256" s="217">
        <f t="shared" si="649"/>
        <v>16</v>
      </c>
      <c r="CV256" s="217"/>
      <c r="CW256" s="172">
        <f t="shared" si="650"/>
        <v>315.07607549942418</v>
      </c>
      <c r="CX256" s="172">
        <f t="shared" si="651"/>
        <v>16</v>
      </c>
      <c r="CY256" s="217">
        <f t="shared" si="652"/>
        <v>0.99382113821138229</v>
      </c>
      <c r="CZ256" s="217">
        <f t="shared" si="653"/>
        <v>0.19876422764227647</v>
      </c>
      <c r="DA256" s="217">
        <f t="shared" si="654"/>
        <v>0.72718619869125545</v>
      </c>
      <c r="DB256" s="197">
        <f t="shared" si="655"/>
        <v>350</v>
      </c>
      <c r="DC256" s="443">
        <f t="shared" si="656"/>
        <v>350</v>
      </c>
      <c r="DE256" s="217">
        <f t="shared" si="657"/>
        <v>3.06656694091249</v>
      </c>
      <c r="DF256" s="173">
        <f t="shared" si="658"/>
        <v>2.2438294689603588</v>
      </c>
      <c r="DG256" s="173">
        <f t="shared" si="659"/>
        <v>1.2041493223478366</v>
      </c>
      <c r="DH256" s="173"/>
      <c r="DI256" s="173">
        <f t="shared" si="660"/>
        <v>0.73170731707317083</v>
      </c>
      <c r="DJ256" s="545">
        <f t="shared" si="661"/>
        <v>1093.3333333333333</v>
      </c>
      <c r="DK256" s="528">
        <f t="shared" si="662"/>
        <v>0.12804878048780488</v>
      </c>
      <c r="DM256" s="173">
        <f t="shared" si="663"/>
        <v>1.7674302033770737</v>
      </c>
      <c r="DN256" s="173">
        <f t="shared" si="664"/>
        <v>1.7674302033770737</v>
      </c>
      <c r="DO256" s="173">
        <f t="shared" si="665"/>
        <v>1.7684668173163507</v>
      </c>
      <c r="DQ256" s="545">
        <f t="shared" si="666"/>
        <v>400</v>
      </c>
      <c r="DR256" s="460">
        <f t="shared" si="667"/>
        <v>350</v>
      </c>
      <c r="DT256">
        <f t="shared" si="668"/>
        <v>400</v>
      </c>
      <c r="DU256">
        <f t="shared" si="669"/>
        <v>350</v>
      </c>
      <c r="DW256" s="5">
        <f t="shared" si="670"/>
        <v>2.8571428571428572</v>
      </c>
      <c r="DX256" s="5">
        <f t="shared" si="671"/>
        <v>0.35348604067541478</v>
      </c>
      <c r="DY256" s="5">
        <f t="shared" si="672"/>
        <v>2.5036568164674424</v>
      </c>
      <c r="DZ256" s="5"/>
      <c r="EA256" s="173">
        <f t="shared" si="673"/>
        <v>0.12372011423639517</v>
      </c>
      <c r="EB256" s="173">
        <f t="shared" si="699"/>
        <v>6.5600000000000014</v>
      </c>
      <c r="EC256" s="173">
        <f t="shared" si="700"/>
        <v>0.77438176835520345</v>
      </c>
      <c r="ED256" s="173">
        <f t="shared" si="701"/>
        <v>8.4712738187696797</v>
      </c>
      <c r="EE256" s="460">
        <f t="shared" si="674"/>
        <v>0.88371510168853695</v>
      </c>
      <c r="EF256" s="5">
        <f t="shared" si="675"/>
        <v>0.22254727257488377</v>
      </c>
      <c r="EH256" s="173">
        <f t="shared" si="702"/>
        <v>0.35892342318775722</v>
      </c>
      <c r="EI256" s="173">
        <f t="shared" si="703"/>
        <v>0.9552192510397931</v>
      </c>
      <c r="EK256" s="528">
        <f t="shared" si="704"/>
        <v>2.576520474256357E-3</v>
      </c>
      <c r="EL256" s="528">
        <f t="shared" si="705"/>
        <v>0.89796058912775611</v>
      </c>
      <c r="EM256" s="528">
        <f t="shared" si="706"/>
        <v>4.0250000000000001E-2</v>
      </c>
      <c r="EN256" s="528">
        <f t="shared" si="707"/>
        <v>1.0061459800000001</v>
      </c>
      <c r="EO256">
        <f t="shared" si="708"/>
        <v>2.7E-2</v>
      </c>
      <c r="EP256" s="460">
        <f t="shared" si="709"/>
        <v>67.25</v>
      </c>
      <c r="EQ256" s="460"/>
      <c r="ER256" s="460">
        <f t="shared" si="710"/>
        <v>1973.9330896020124</v>
      </c>
      <c r="ES256" s="528">
        <f t="shared" si="711"/>
        <v>0.27999999999999997</v>
      </c>
      <c r="EV256" s="460">
        <f t="shared" si="712"/>
        <v>279.99999999999994</v>
      </c>
      <c r="EW256" s="528">
        <f t="shared" si="713"/>
        <v>3.864780711384535E-3</v>
      </c>
      <c r="EX256" s="528">
        <f t="shared" si="714"/>
        <v>2.7373314526710699E-2</v>
      </c>
      <c r="EY256" s="528">
        <f t="shared" si="715"/>
        <v>0.4758781844486768</v>
      </c>
      <c r="EZ256" s="528"/>
      <c r="FA256" s="528">
        <f t="shared" si="716"/>
        <v>5.4666666666666674E-3</v>
      </c>
      <c r="FB256" s="460">
        <f t="shared" si="717"/>
        <v>512.58294635343873</v>
      </c>
      <c r="FC256" s="173">
        <f t="shared" si="718"/>
        <v>2.7665160359554508</v>
      </c>
      <c r="FD256" s="5">
        <f t="shared" si="719"/>
        <v>6.4</v>
      </c>
      <c r="FE256" s="173">
        <f t="shared" si="720"/>
        <v>0.69819329120203855</v>
      </c>
      <c r="FF256" s="5">
        <f t="shared" si="721"/>
        <v>69.819329120203861</v>
      </c>
      <c r="FI256" s="562">
        <f t="shared" si="676"/>
        <v>-50</v>
      </c>
      <c r="FJ256">
        <f t="shared" si="677"/>
        <v>-50</v>
      </c>
      <c r="FL256">
        <f t="shared" si="760"/>
        <v>0.4526345642794945</v>
      </c>
    </row>
    <row r="257" spans="5:168">
      <c r="E257" s="170">
        <v>41</v>
      </c>
      <c r="F257" s="217">
        <f t="shared" si="761"/>
        <v>0.41</v>
      </c>
      <c r="G257" s="217"/>
      <c r="H257" s="217">
        <f t="shared" si="726"/>
        <v>6.56</v>
      </c>
      <c r="I257" s="541">
        <f t="shared" si="727"/>
        <v>59.955814244915572</v>
      </c>
      <c r="J257" s="172">
        <f t="shared" si="728"/>
        <v>16.426511453050654</v>
      </c>
      <c r="K257" s="172">
        <f t="shared" si="729"/>
        <v>76.382325697966223</v>
      </c>
      <c r="L257" s="443"/>
      <c r="M257" s="217">
        <f t="shared" si="730"/>
        <v>0.21505982988850245</v>
      </c>
      <c r="N257" s="172">
        <f t="shared" si="731"/>
        <v>33.20227457177085</v>
      </c>
      <c r="O257" s="172">
        <f t="shared" si="599"/>
        <v>6.56</v>
      </c>
      <c r="P257" s="217">
        <f t="shared" si="732"/>
        <v>2.0751421607356781</v>
      </c>
      <c r="Q257" s="217">
        <f t="shared" si="733"/>
        <v>16</v>
      </c>
      <c r="R257" s="217"/>
      <c r="S257" s="172">
        <f t="shared" si="734"/>
        <v>305.70676523369531</v>
      </c>
      <c r="T257" s="172">
        <f t="shared" si="735"/>
        <v>16</v>
      </c>
      <c r="U257" s="217">
        <f t="shared" si="736"/>
        <v>1.0175206498871538</v>
      </c>
      <c r="V257" s="217">
        <f t="shared" si="737"/>
        <v>0.2036541068188614</v>
      </c>
      <c r="W257" s="217">
        <f t="shared" si="738"/>
        <v>0.74332568016918876</v>
      </c>
      <c r="X257" s="197">
        <f t="shared" si="739"/>
        <v>350</v>
      </c>
      <c r="Y257" s="443">
        <f t="shared" si="680"/>
        <v>350</v>
      </c>
      <c r="AA257" s="217">
        <f t="shared" si="740"/>
        <v>3.0699724500636307</v>
      </c>
      <c r="AB257" s="173">
        <f t="shared" si="741"/>
        <v>2.242695870395651</v>
      </c>
      <c r="AC257" s="173">
        <f t="shared" si="742"/>
        <v>1.2048775437975716</v>
      </c>
      <c r="AD257" s="173"/>
      <c r="AE257" s="173">
        <f t="shared" si="743"/>
        <v>0.7305263831762292</v>
      </c>
      <c r="AF257" s="545">
        <f t="shared" si="744"/>
        <v>1122.478282625128</v>
      </c>
      <c r="AG257" s="528">
        <f t="shared" si="745"/>
        <v>0.12784211705584009</v>
      </c>
      <c r="AI257" s="173">
        <f t="shared" si="746"/>
        <v>1.790832434232853</v>
      </c>
      <c r="AJ257" s="173">
        <f t="shared" si="747"/>
        <v>1.790832434232853</v>
      </c>
      <c r="AK257" s="173">
        <f t="shared" si="748"/>
        <v>1.7858018031354466</v>
      </c>
      <c r="AM257" s="545">
        <f t="shared" si="749"/>
        <v>410</v>
      </c>
      <c r="AN257" s="460">
        <f t="shared" si="750"/>
        <v>350</v>
      </c>
      <c r="AP257">
        <f t="shared" si="751"/>
        <v>410</v>
      </c>
      <c r="AQ257">
        <f t="shared" si="752"/>
        <v>350</v>
      </c>
      <c r="AS257" s="5">
        <f t="shared" si="600"/>
        <v>2.8571428571428572</v>
      </c>
      <c r="AT257" s="5">
        <f t="shared" si="753"/>
        <v>0.35843044551124004</v>
      </c>
      <c r="AU257" s="5">
        <f t="shared" si="722"/>
        <v>2.4987124116316171</v>
      </c>
      <c r="AV257" s="5"/>
      <c r="AW257" s="173">
        <f t="shared" si="723"/>
        <v>0.12545065592893401</v>
      </c>
      <c r="AX257" s="173">
        <f t="shared" si="631"/>
        <v>6.7348696957507679</v>
      </c>
      <c r="AY257" s="173">
        <f t="shared" si="632"/>
        <v>0.78308566534976598</v>
      </c>
      <c r="AZ257" s="173">
        <f t="shared" si="633"/>
        <v>8.600425207301722</v>
      </c>
      <c r="BA257" s="460">
        <f t="shared" si="724"/>
        <v>0.91847801662255246</v>
      </c>
      <c r="BB257" s="5">
        <f t="shared" si="725"/>
        <v>0.2278282435537303</v>
      </c>
      <c r="BD257" s="173">
        <f t="shared" si="681"/>
        <v>0.36621049999420474</v>
      </c>
      <c r="BE257" s="173">
        <f t="shared" si="682"/>
        <v>0.96691096049607894</v>
      </c>
      <c r="BG257" s="528">
        <f t="shared" si="683"/>
        <v>2.6822026061201088E-3</v>
      </c>
      <c r="BH257" s="528">
        <f t="shared" si="754"/>
        <v>0.87373300674887922</v>
      </c>
      <c r="BI257" s="528">
        <f t="shared" si="755"/>
        <v>0.48264430467157038</v>
      </c>
      <c r="BJ257" s="528">
        <f t="shared" si="684"/>
        <v>1.0056805121728292</v>
      </c>
      <c r="BK257">
        <f t="shared" si="685"/>
        <v>2.6980116410212005E-2</v>
      </c>
      <c r="BL257" s="460">
        <f t="shared" si="686"/>
        <v>509.62442108178243</v>
      </c>
      <c r="BM257" s="528">
        <f t="shared" si="756"/>
        <v>1.8840205862339887</v>
      </c>
      <c r="BN257" s="460">
        <f t="shared" si="687"/>
        <v>1884.0205862339888</v>
      </c>
      <c r="BO257" s="528">
        <f t="shared" si="637"/>
        <v>0.28699999999999998</v>
      </c>
      <c r="BR257" s="460">
        <f t="shared" si="688"/>
        <v>287</v>
      </c>
      <c r="BS257" s="528">
        <f t="shared" si="689"/>
        <v>4.0233039091801632E-3</v>
      </c>
      <c r="BT257" s="528">
        <f t="shared" si="690"/>
        <v>2.8047504165823498E-2</v>
      </c>
      <c r="BU257" s="528">
        <f t="shared" si="691"/>
        <v>0.49178750888792161</v>
      </c>
      <c r="BV257" s="528"/>
      <c r="BW257" s="528">
        <f t="shared" si="692"/>
        <v>5.61239141312564E-3</v>
      </c>
      <c r="BX257" s="460">
        <f t="shared" si="693"/>
        <v>529.47070837605088</v>
      </c>
      <c r="BY257" s="173">
        <f t="shared" si="694"/>
        <v>3.2081908509856616</v>
      </c>
      <c r="BZ257" s="5">
        <f t="shared" si="695"/>
        <v>6.56</v>
      </c>
      <c r="CA257" s="173">
        <f t="shared" si="696"/>
        <v>0.67156755023250403</v>
      </c>
      <c r="CB257" s="5">
        <f t="shared" si="697"/>
        <v>67.156755023250398</v>
      </c>
      <c r="CE257" s="562">
        <f t="shared" si="757"/>
        <v>-50</v>
      </c>
      <c r="CF257">
        <f t="shared" si="758"/>
        <v>-50</v>
      </c>
      <c r="CG257" s="173">
        <f t="shared" si="759"/>
        <v>0.46395042838648182</v>
      </c>
      <c r="CI257" s="170">
        <v>41</v>
      </c>
      <c r="CJ257" s="217">
        <f t="shared" si="698"/>
        <v>0.41</v>
      </c>
      <c r="CK257" s="217"/>
      <c r="CL257" s="217">
        <f t="shared" si="641"/>
        <v>6.56</v>
      </c>
      <c r="CM257" s="541">
        <f t="shared" si="642"/>
        <v>60</v>
      </c>
      <c r="CN257" s="443">
        <f t="shared" si="643"/>
        <v>16.399999999999999</v>
      </c>
      <c r="CO257" s="443">
        <f t="shared" si="644"/>
        <v>76.400000000000006</v>
      </c>
      <c r="CP257" s="443"/>
      <c r="CQ257" s="217">
        <f t="shared" si="645"/>
        <v>0.21465968586387432</v>
      </c>
      <c r="CR257" s="172">
        <f t="shared" si="646"/>
        <v>33.164921465968582</v>
      </c>
      <c r="CS257" s="172">
        <f t="shared" si="647"/>
        <v>6.56</v>
      </c>
      <c r="CT257" s="217">
        <f t="shared" si="648"/>
        <v>2.0728075916230364</v>
      </c>
      <c r="CU257" s="217">
        <f t="shared" si="649"/>
        <v>16</v>
      </c>
      <c r="CV257" s="217"/>
      <c r="CW257" s="172">
        <f t="shared" si="650"/>
        <v>305.93200490462965</v>
      </c>
      <c r="CX257" s="172">
        <f t="shared" si="651"/>
        <v>16</v>
      </c>
      <c r="CY257" s="217">
        <f t="shared" si="652"/>
        <v>1.0186666666666666</v>
      </c>
      <c r="CZ257" s="217">
        <f t="shared" si="653"/>
        <v>0.20373333333333332</v>
      </c>
      <c r="DA257" s="217">
        <f t="shared" si="654"/>
        <v>0.74536585365853669</v>
      </c>
      <c r="DB257" s="197">
        <f t="shared" si="655"/>
        <v>350</v>
      </c>
      <c r="DC257" s="443">
        <f t="shared" si="656"/>
        <v>350</v>
      </c>
      <c r="DE257" s="217">
        <f t="shared" si="657"/>
        <v>3.06656694091249</v>
      </c>
      <c r="DF257" s="173">
        <f t="shared" si="658"/>
        <v>2.2438294689603588</v>
      </c>
      <c r="DG257" s="173">
        <f t="shared" si="659"/>
        <v>1.2041493223478366</v>
      </c>
      <c r="DH257" s="173"/>
      <c r="DI257" s="173">
        <f t="shared" si="660"/>
        <v>0.73170731707317083</v>
      </c>
      <c r="DJ257" s="545">
        <f t="shared" si="661"/>
        <v>1120.6666666666665</v>
      </c>
      <c r="DK257" s="528">
        <f t="shared" si="662"/>
        <v>0.12804878048780488</v>
      </c>
      <c r="DM257" s="173">
        <f t="shared" si="663"/>
        <v>1.7893866999351375</v>
      </c>
      <c r="DN257" s="173">
        <f t="shared" si="664"/>
        <v>1.7893866999351375</v>
      </c>
      <c r="DO257" s="173">
        <f t="shared" si="665"/>
        <v>1.7847308888408424</v>
      </c>
      <c r="DQ257" s="545">
        <f t="shared" si="666"/>
        <v>410</v>
      </c>
      <c r="DR257" s="460">
        <f t="shared" si="667"/>
        <v>350</v>
      </c>
      <c r="DT257">
        <f t="shared" si="668"/>
        <v>410</v>
      </c>
      <c r="DU257">
        <f t="shared" si="669"/>
        <v>350</v>
      </c>
      <c r="DW257" s="5">
        <f t="shared" si="670"/>
        <v>2.8571428571428572</v>
      </c>
      <c r="DX257" s="5">
        <f t="shared" si="671"/>
        <v>0.35787733998702753</v>
      </c>
      <c r="DY257" s="5">
        <f t="shared" si="672"/>
        <v>2.4992655171558296</v>
      </c>
      <c r="DZ257" s="5"/>
      <c r="EA257" s="173">
        <f t="shared" si="673"/>
        <v>0.12525706899545963</v>
      </c>
      <c r="EB257" s="173">
        <f t="shared" si="699"/>
        <v>6.7240000000000002</v>
      </c>
      <c r="EC257" s="173">
        <f t="shared" si="700"/>
        <v>0.78262668330090213</v>
      </c>
      <c r="ED257" s="173">
        <f t="shared" si="701"/>
        <v>8.5915803070245893</v>
      </c>
      <c r="EE257" s="460">
        <f t="shared" si="674"/>
        <v>0.91706068371675797</v>
      </c>
      <c r="EF257" s="5">
        <f t="shared" si="675"/>
        <v>0.22771085822975329</v>
      </c>
      <c r="EH257" s="173">
        <f t="shared" si="702"/>
        <v>0.3656324227411985</v>
      </c>
      <c r="EI257" s="173">
        <f t="shared" si="703"/>
        <v>0.96623729939492031</v>
      </c>
      <c r="EK257" s="528">
        <f t="shared" si="704"/>
        <v>2.6737413711919698E-3</v>
      </c>
      <c r="EL257" s="528">
        <f t="shared" si="705"/>
        <v>0.90911580676904624</v>
      </c>
      <c r="EM257" s="528">
        <f t="shared" si="706"/>
        <v>4.0250000000000001E-2</v>
      </c>
      <c r="EN257" s="528">
        <f t="shared" si="707"/>
        <v>1.0061459800000001</v>
      </c>
      <c r="EO257">
        <f t="shared" si="708"/>
        <v>2.7E-2</v>
      </c>
      <c r="EP257" s="460">
        <f t="shared" si="709"/>
        <v>67.25</v>
      </c>
      <c r="EQ257" s="460"/>
      <c r="ER257" s="460">
        <f t="shared" si="710"/>
        <v>1985.1855281402381</v>
      </c>
      <c r="ES257" s="528">
        <f t="shared" si="711"/>
        <v>0.28699999999999998</v>
      </c>
      <c r="EV257" s="460">
        <f t="shared" si="712"/>
        <v>287</v>
      </c>
      <c r="EW257" s="528">
        <f t="shared" si="713"/>
        <v>4.0106120567879548E-3</v>
      </c>
      <c r="EX257" s="528">
        <f t="shared" si="714"/>
        <v>2.8008435562259664E-2</v>
      </c>
      <c r="EY257" s="528">
        <f t="shared" si="715"/>
        <v>0.49079556287247406</v>
      </c>
      <c r="EZ257" s="528"/>
      <c r="FA257" s="528">
        <f t="shared" si="716"/>
        <v>5.6033333333333334E-3</v>
      </c>
      <c r="FB257" s="460">
        <f t="shared" si="717"/>
        <v>528.417943824855</v>
      </c>
      <c r="FC257" s="173">
        <f t="shared" si="718"/>
        <v>2.8006034719650934</v>
      </c>
      <c r="FD257" s="5">
        <f t="shared" si="719"/>
        <v>6.56</v>
      </c>
      <c r="FE257" s="173">
        <f t="shared" si="720"/>
        <v>0.70080951721191154</v>
      </c>
      <c r="FF257" s="5">
        <f t="shared" si="721"/>
        <v>70.080951721191155</v>
      </c>
      <c r="FI257" s="562">
        <f t="shared" si="676"/>
        <v>-50</v>
      </c>
      <c r="FJ257">
        <f t="shared" si="677"/>
        <v>-50</v>
      </c>
      <c r="FL257">
        <f t="shared" si="760"/>
        <v>0.45825756949558405</v>
      </c>
    </row>
    <row r="258" spans="5:168">
      <c r="E258" s="170">
        <v>42</v>
      </c>
      <c r="F258" s="217">
        <f t="shared" si="761"/>
        <v>0.42</v>
      </c>
      <c r="G258" s="217"/>
      <c r="H258" s="217">
        <f t="shared" si="726"/>
        <v>6.72</v>
      </c>
      <c r="I258" s="541">
        <f t="shared" si="727"/>
        <v>59.955278640450004</v>
      </c>
      <c r="J258" s="172">
        <f t="shared" si="728"/>
        <v>16.426832815729995</v>
      </c>
      <c r="K258" s="172">
        <f t="shared" si="729"/>
        <v>76.382111456179999</v>
      </c>
      <c r="L258" s="443"/>
      <c r="M258" s="217">
        <f t="shared" si="730"/>
        <v>0.21506468141098084</v>
      </c>
      <c r="N258" s="172">
        <f t="shared" si="731"/>
        <v>33.202726966766036</v>
      </c>
      <c r="O258" s="172">
        <f t="shared" si="599"/>
        <v>6.72</v>
      </c>
      <c r="P258" s="217">
        <f t="shared" si="732"/>
        <v>2.0751704354228773</v>
      </c>
      <c r="Q258" s="217">
        <f t="shared" si="733"/>
        <v>16</v>
      </c>
      <c r="R258" s="217"/>
      <c r="S258" s="172">
        <f t="shared" si="734"/>
        <v>297.00201863129126</v>
      </c>
      <c r="T258" s="172">
        <f t="shared" si="735"/>
        <v>16</v>
      </c>
      <c r="U258" s="217">
        <f t="shared" si="736"/>
        <v>1.0423240246092003</v>
      </c>
      <c r="V258" s="217">
        <f t="shared" si="737"/>
        <v>0.20862030131358125</v>
      </c>
      <c r="W258" s="217">
        <f t="shared" si="738"/>
        <v>0.76143030343214479</v>
      </c>
      <c r="X258" s="197">
        <f t="shared" si="739"/>
        <v>350</v>
      </c>
      <c r="Y258" s="443">
        <f t="shared" si="680"/>
        <v>350</v>
      </c>
      <c r="AA258" s="217">
        <f t="shared" si="740"/>
        <v>3.070013695338293</v>
      </c>
      <c r="AB258" s="173">
        <f t="shared" si="741"/>
        <v>2.2426821260871508</v>
      </c>
      <c r="AC258" s="173">
        <f t="shared" si="742"/>
        <v>1.204886347241142</v>
      </c>
      <c r="AD258" s="173"/>
      <c r="AE258" s="173">
        <f t="shared" si="743"/>
        <v>0.73051209168629572</v>
      </c>
      <c r="AF258" s="545">
        <f t="shared" si="744"/>
        <v>1149.8782971010994</v>
      </c>
      <c r="AG258" s="528">
        <f t="shared" si="745"/>
        <v>0.12783961604510174</v>
      </c>
      <c r="AI258" s="173">
        <f t="shared" si="746"/>
        <v>1.812558016491058</v>
      </c>
      <c r="AJ258" s="173">
        <f t="shared" si="747"/>
        <v>1.812558016491058</v>
      </c>
      <c r="AK258" s="173">
        <f t="shared" si="748"/>
        <v>1.8018948270304134</v>
      </c>
      <c r="AM258" s="545">
        <f t="shared" si="749"/>
        <v>420</v>
      </c>
      <c r="AN258" s="460">
        <f t="shared" si="750"/>
        <v>350</v>
      </c>
      <c r="AP258">
        <f t="shared" si="751"/>
        <v>420</v>
      </c>
      <c r="AQ258">
        <f t="shared" si="752"/>
        <v>350</v>
      </c>
      <c r="AS258" s="5">
        <f t="shared" si="600"/>
        <v>2.8571428571428572</v>
      </c>
      <c r="AT258" s="5">
        <f t="shared" si="753"/>
        <v>0.36278200503963909</v>
      </c>
      <c r="AU258" s="5">
        <f t="shared" si="722"/>
        <v>2.4943608521032181</v>
      </c>
      <c r="AV258" s="5"/>
      <c r="AW258" s="173">
        <f t="shared" si="723"/>
        <v>0.12697370176387368</v>
      </c>
      <c r="AX258" s="173">
        <f t="shared" si="631"/>
        <v>6.8992697826065967</v>
      </c>
      <c r="AY258" s="173">
        <f t="shared" si="632"/>
        <v>0.79120540773770198</v>
      </c>
      <c r="AZ258" s="173">
        <f t="shared" si="633"/>
        <v>8.7199477090705404</v>
      </c>
      <c r="BA258" s="460">
        <f t="shared" si="724"/>
        <v>0.95230276322905261</v>
      </c>
      <c r="BB258" s="5">
        <f t="shared" si="725"/>
        <v>0.23298066639880391</v>
      </c>
      <c r="BD258" s="173">
        <f t="shared" si="681"/>
        <v>0.37289639051346091</v>
      </c>
      <c r="BE258" s="173">
        <f t="shared" si="682"/>
        <v>0.97778856081331056</v>
      </c>
      <c r="BG258" s="528">
        <f t="shared" si="683"/>
        <v>2.7810343611593506E-3</v>
      </c>
      <c r="BH258" s="528">
        <f t="shared" si="754"/>
        <v>0.88433026638758516</v>
      </c>
      <c r="BI258" s="528">
        <f t="shared" si="755"/>
        <v>0.48263999305562261</v>
      </c>
      <c r="BJ258" s="528">
        <f t="shared" si="684"/>
        <v>1.0056748705931793</v>
      </c>
      <c r="BK258">
        <f t="shared" si="685"/>
        <v>2.6979875388202502E-2</v>
      </c>
      <c r="BL258" s="460">
        <f t="shared" si="686"/>
        <v>509.61986844382511</v>
      </c>
      <c r="BM258" s="528">
        <f t="shared" si="756"/>
        <v>1.8947890775305836</v>
      </c>
      <c r="BN258" s="460">
        <f t="shared" si="687"/>
        <v>1894.7890775305837</v>
      </c>
      <c r="BO258" s="528">
        <f t="shared" si="637"/>
        <v>0.29399999999999998</v>
      </c>
      <c r="BR258" s="460">
        <f t="shared" si="688"/>
        <v>294</v>
      </c>
      <c r="BS258" s="528">
        <f t="shared" si="689"/>
        <v>4.1715515417390259E-3</v>
      </c>
      <c r="BT258" s="528">
        <f t="shared" si="690"/>
        <v>2.8682114089720951E-2</v>
      </c>
      <c r="BU258" s="528">
        <f t="shared" si="691"/>
        <v>0.50683886091595176</v>
      </c>
      <c r="BV258" s="528"/>
      <c r="BW258" s="528">
        <f t="shared" si="692"/>
        <v>5.7493914855054973E-3</v>
      </c>
      <c r="BX258" s="460">
        <f t="shared" si="693"/>
        <v>545.44191803291721</v>
      </c>
      <c r="BY258" s="173">
        <f t="shared" si="694"/>
        <v>3.2418479578186665</v>
      </c>
      <c r="BZ258" s="5">
        <f t="shared" si="695"/>
        <v>6.72</v>
      </c>
      <c r="CA258" s="173">
        <f t="shared" si="696"/>
        <v>0.6745736361822039</v>
      </c>
      <c r="CB258" s="5">
        <f t="shared" si="697"/>
        <v>67.457363618220384</v>
      </c>
      <c r="CE258" s="562">
        <f t="shared" si="757"/>
        <v>-50</v>
      </c>
      <c r="CF258">
        <f t="shared" si="758"/>
        <v>-50</v>
      </c>
      <c r="CG258" s="173">
        <f t="shared" si="759"/>
        <v>0.46957427527495582</v>
      </c>
      <c r="CI258" s="170">
        <v>42</v>
      </c>
      <c r="CJ258" s="217">
        <f t="shared" si="698"/>
        <v>0.42</v>
      </c>
      <c r="CK258" s="217"/>
      <c r="CL258" s="217">
        <f t="shared" si="641"/>
        <v>6.72</v>
      </c>
      <c r="CM258" s="541">
        <f t="shared" si="642"/>
        <v>60</v>
      </c>
      <c r="CN258" s="443">
        <f t="shared" si="643"/>
        <v>16.399999999999999</v>
      </c>
      <c r="CO258" s="443">
        <f t="shared" si="644"/>
        <v>76.400000000000006</v>
      </c>
      <c r="CP258" s="443"/>
      <c r="CQ258" s="217">
        <f t="shared" si="645"/>
        <v>0.21465968586387432</v>
      </c>
      <c r="CR258" s="172">
        <f t="shared" si="646"/>
        <v>33.164921465968582</v>
      </c>
      <c r="CS258" s="172">
        <f t="shared" si="647"/>
        <v>6.72</v>
      </c>
      <c r="CT258" s="217">
        <f t="shared" si="648"/>
        <v>2.0728075916230364</v>
      </c>
      <c r="CU258" s="217">
        <f t="shared" si="649"/>
        <v>16</v>
      </c>
      <c r="CV258" s="217"/>
      <c r="CW258" s="172">
        <f t="shared" si="650"/>
        <v>297.22349593760146</v>
      </c>
      <c r="CX258" s="172">
        <f t="shared" si="651"/>
        <v>16</v>
      </c>
      <c r="CY258" s="217">
        <f t="shared" si="652"/>
        <v>1.0435121951219513</v>
      </c>
      <c r="CZ258" s="217">
        <f t="shared" si="653"/>
        <v>0.20870243902439026</v>
      </c>
      <c r="DA258" s="217">
        <f t="shared" si="654"/>
        <v>0.76354550862581816</v>
      </c>
      <c r="DB258" s="197">
        <f t="shared" si="655"/>
        <v>350</v>
      </c>
      <c r="DC258" s="443">
        <f t="shared" si="656"/>
        <v>350</v>
      </c>
      <c r="DE258" s="217">
        <f t="shared" si="657"/>
        <v>3.06656694091249</v>
      </c>
      <c r="DF258" s="173">
        <f t="shared" si="658"/>
        <v>2.2438294689603588</v>
      </c>
      <c r="DG258" s="173">
        <f t="shared" si="659"/>
        <v>1.2041493223478366</v>
      </c>
      <c r="DH258" s="173"/>
      <c r="DI258" s="173">
        <f t="shared" si="660"/>
        <v>0.73170731707317083</v>
      </c>
      <c r="DJ258" s="545">
        <f t="shared" si="661"/>
        <v>1147.9999999999998</v>
      </c>
      <c r="DK258" s="528">
        <f t="shared" si="662"/>
        <v>0.12804878048780488</v>
      </c>
      <c r="DM258" s="173">
        <f t="shared" si="663"/>
        <v>1.8110770276274832</v>
      </c>
      <c r="DN258" s="173">
        <f t="shared" si="664"/>
        <v>1.8110770276274832</v>
      </c>
      <c r="DO258" s="173">
        <f t="shared" si="665"/>
        <v>1.8007977982425802</v>
      </c>
      <c r="DQ258" s="545">
        <f t="shared" si="666"/>
        <v>420</v>
      </c>
      <c r="DR258" s="460">
        <f t="shared" si="667"/>
        <v>350</v>
      </c>
      <c r="DT258">
        <f t="shared" si="668"/>
        <v>420</v>
      </c>
      <c r="DU258">
        <f t="shared" si="669"/>
        <v>350</v>
      </c>
      <c r="DW258" s="5">
        <f t="shared" si="670"/>
        <v>2.8571428571428572</v>
      </c>
      <c r="DX258" s="5">
        <f t="shared" si="671"/>
        <v>0.36221540552549664</v>
      </c>
      <c r="DY258" s="5">
        <f t="shared" si="672"/>
        <v>2.4949274516173605</v>
      </c>
      <c r="DZ258" s="5"/>
      <c r="EA258" s="173">
        <f t="shared" si="673"/>
        <v>0.12677539193392381</v>
      </c>
      <c r="EB258" s="173">
        <f t="shared" si="699"/>
        <v>6.887999999999999</v>
      </c>
      <c r="EC258" s="173">
        <f t="shared" si="700"/>
        <v>0.79073851381374161</v>
      </c>
      <c r="ED258" s="173">
        <f t="shared" si="701"/>
        <v>8.7108442040834593</v>
      </c>
      <c r="EE258" s="460">
        <f t="shared" si="674"/>
        <v>0.95081543950442871</v>
      </c>
      <c r="EF258" s="5">
        <f t="shared" si="675"/>
        <v>0.23285989548428696</v>
      </c>
      <c r="EH258" s="173">
        <f t="shared" si="702"/>
        <v>0.37230063369239208</v>
      </c>
      <c r="EI258" s="173">
        <f t="shared" si="703"/>
        <v>0.9771005943533021</v>
      </c>
      <c r="EK258" s="528">
        <f t="shared" si="704"/>
        <v>2.7721552369551344E-3</v>
      </c>
      <c r="EL258" s="528">
        <f t="shared" si="705"/>
        <v>0.92013579465641926</v>
      </c>
      <c r="EM258" s="528">
        <f t="shared" si="706"/>
        <v>4.0250000000000001E-2</v>
      </c>
      <c r="EN258" s="528">
        <f t="shared" si="707"/>
        <v>1.0061459800000001</v>
      </c>
      <c r="EO258">
        <f t="shared" si="708"/>
        <v>2.7E-2</v>
      </c>
      <c r="EP258" s="460">
        <f t="shared" si="709"/>
        <v>67.25</v>
      </c>
      <c r="EQ258" s="460"/>
      <c r="ER258" s="460">
        <f t="shared" si="710"/>
        <v>1996.3039298933745</v>
      </c>
      <c r="ES258" s="528">
        <f t="shared" si="711"/>
        <v>0.29399999999999998</v>
      </c>
      <c r="EV258" s="460">
        <f t="shared" si="712"/>
        <v>294</v>
      </c>
      <c r="EW258" s="528">
        <f t="shared" si="713"/>
        <v>4.1582328554327017E-3</v>
      </c>
      <c r="EX258" s="528">
        <f t="shared" si="714"/>
        <v>2.8641767144567287E-2</v>
      </c>
      <c r="EY258" s="528">
        <f t="shared" si="715"/>
        <v>0.50580418674229144</v>
      </c>
      <c r="EZ258" s="528"/>
      <c r="FA258" s="528">
        <f t="shared" si="716"/>
        <v>5.7399999999999994E-3</v>
      </c>
      <c r="FB258" s="460">
        <f t="shared" si="717"/>
        <v>544.3441867422913</v>
      </c>
      <c r="FC258" s="173">
        <f t="shared" si="718"/>
        <v>2.8346481166356656</v>
      </c>
      <c r="FD258" s="5">
        <f t="shared" si="719"/>
        <v>6.72</v>
      </c>
      <c r="FE258" s="173">
        <f t="shared" si="720"/>
        <v>0.7033226046597949</v>
      </c>
      <c r="FF258" s="5">
        <f t="shared" si="721"/>
        <v>70.332260465979488</v>
      </c>
      <c r="FI258" s="562">
        <f t="shared" si="676"/>
        <v>-50</v>
      </c>
      <c r="FJ258">
        <f t="shared" si="677"/>
        <v>-50</v>
      </c>
      <c r="FL258">
        <f t="shared" si="760"/>
        <v>0.46381240951435548</v>
      </c>
    </row>
    <row r="259" spans="5:168">
      <c r="E259" s="170">
        <v>43</v>
      </c>
      <c r="F259" s="217">
        <f t="shared" si="761"/>
        <v>0.43</v>
      </c>
      <c r="G259" s="217"/>
      <c r="H259" s="217">
        <f t="shared" si="726"/>
        <v>6.88</v>
      </c>
      <c r="I259" s="541">
        <f t="shared" si="727"/>
        <v>59.954749375168745</v>
      </c>
      <c r="J259" s="172">
        <f t="shared" si="728"/>
        <v>16.427150374898751</v>
      </c>
      <c r="K259" s="172">
        <f t="shared" si="729"/>
        <v>76.381899750067504</v>
      </c>
      <c r="L259" s="443"/>
      <c r="M259" s="217">
        <f t="shared" si="730"/>
        <v>0.21506947553916012</v>
      </c>
      <c r="N259" s="172">
        <f t="shared" si="731"/>
        <v>33.203173998313275</v>
      </c>
      <c r="O259" s="172">
        <f t="shared" si="599"/>
        <v>6.88</v>
      </c>
      <c r="P259" s="217">
        <f t="shared" si="732"/>
        <v>2.0751983748945797</v>
      </c>
      <c r="Q259" s="217">
        <f t="shared" si="733"/>
        <v>16</v>
      </c>
      <c r="R259" s="217"/>
      <c r="S259" s="172">
        <f t="shared" si="734"/>
        <v>288.70232787950926</v>
      </c>
      <c r="T259" s="172">
        <f t="shared" si="735"/>
        <v>16</v>
      </c>
      <c r="U259" s="217">
        <f t="shared" si="736"/>
        <v>1.0671268958142359</v>
      </c>
      <c r="V259" s="217">
        <f t="shared" si="737"/>
        <v>0.21358646117657615</v>
      </c>
      <c r="W259" s="217">
        <f t="shared" si="738"/>
        <v>0.77953403101113072</v>
      </c>
      <c r="X259" s="197">
        <f t="shared" si="739"/>
        <v>350</v>
      </c>
      <c r="Y259" s="443">
        <f t="shared" si="680"/>
        <v>350</v>
      </c>
      <c r="AA259" s="217">
        <f t="shared" si="740"/>
        <v>3.0700544516247921</v>
      </c>
      <c r="AB259" s="173">
        <f t="shared" si="741"/>
        <v>2.2426685443746401</v>
      </c>
      <c r="AC259" s="173">
        <f t="shared" si="742"/>
        <v>1.204895045930845</v>
      </c>
      <c r="AD259" s="173"/>
      <c r="AE259" s="173">
        <f t="shared" si="743"/>
        <v>0.73049796989357396</v>
      </c>
      <c r="AF259" s="545">
        <f t="shared" si="744"/>
        <v>1177.2791102010772</v>
      </c>
      <c r="AG259" s="528">
        <f t="shared" si="745"/>
        <v>0.12783714473137547</v>
      </c>
      <c r="AI259" s="173">
        <f t="shared" si="746"/>
        <v>1.8340268810937603</v>
      </c>
      <c r="AJ259" s="173">
        <f t="shared" si="747"/>
        <v>1.8340268810937603</v>
      </c>
      <c r="AK259" s="173">
        <f t="shared" si="748"/>
        <v>1.8177976896990817</v>
      </c>
      <c r="AM259" s="545">
        <f t="shared" si="749"/>
        <v>430</v>
      </c>
      <c r="AN259" s="460">
        <f t="shared" si="750"/>
        <v>350</v>
      </c>
      <c r="AP259">
        <f t="shared" si="751"/>
        <v>430</v>
      </c>
      <c r="AQ259">
        <f t="shared" si="752"/>
        <v>350</v>
      </c>
      <c r="AS259" s="5">
        <f t="shared" si="600"/>
        <v>2.8571428571428572</v>
      </c>
      <c r="AT259" s="5">
        <f t="shared" si="753"/>
        <v>0.3670822212166604</v>
      </c>
      <c r="AU259" s="5">
        <f t="shared" si="722"/>
        <v>2.4900606359261968</v>
      </c>
      <c r="AV259" s="5"/>
      <c r="AW259" s="173">
        <f t="shared" si="723"/>
        <v>0.12847877742583114</v>
      </c>
      <c r="AX259" s="173">
        <f t="shared" si="631"/>
        <v>7.0636746612064627</v>
      </c>
      <c r="AY259" s="173">
        <f t="shared" si="632"/>
        <v>0.7991966748223619</v>
      </c>
      <c r="AZ259" s="173">
        <f t="shared" si="633"/>
        <v>8.8384685318873633</v>
      </c>
      <c r="BA259" s="460">
        <f t="shared" si="724"/>
        <v>0.98653346951977483</v>
      </c>
      <c r="BB259" s="5">
        <f t="shared" si="725"/>
        <v>0.23811871110730795</v>
      </c>
      <c r="BD259" s="173">
        <f t="shared" si="681"/>
        <v>0.3795428086371746</v>
      </c>
      <c r="BE259" s="173">
        <f t="shared" si="682"/>
        <v>0.98851679631825529</v>
      </c>
      <c r="BG259" s="528">
        <f t="shared" si="683"/>
        <v>2.881054871763899E-3</v>
      </c>
      <c r="BH259" s="528">
        <f t="shared" si="754"/>
        <v>0.89480224645491568</v>
      </c>
      <c r="BI259" s="528">
        <f t="shared" si="755"/>
        <v>0.48263573247010844</v>
      </c>
      <c r="BJ259" s="528">
        <f t="shared" si="684"/>
        <v>1.0056692958003863</v>
      </c>
      <c r="BK259">
        <f t="shared" si="685"/>
        <v>2.6979637218825934E-2</v>
      </c>
      <c r="BL259" s="460">
        <f t="shared" si="686"/>
        <v>509.61536968893438</v>
      </c>
      <c r="BM259" s="528">
        <f t="shared" si="756"/>
        <v>1.9054348257019327</v>
      </c>
      <c r="BN259" s="460">
        <f t="shared" si="687"/>
        <v>1905.4348257019326</v>
      </c>
      <c r="BO259" s="528">
        <f t="shared" si="637"/>
        <v>0.30099999999999999</v>
      </c>
      <c r="BR259" s="460">
        <f t="shared" si="688"/>
        <v>301</v>
      </c>
      <c r="BS259" s="528">
        <f t="shared" si="689"/>
        <v>4.3215823076458481E-3</v>
      </c>
      <c r="BT259" s="528">
        <f t="shared" si="690"/>
        <v>2.931496369809921E-2</v>
      </c>
      <c r="BU259" s="528">
        <f t="shared" si="691"/>
        <v>0.52198059387243601</v>
      </c>
      <c r="BV259" s="528"/>
      <c r="BW259" s="528">
        <f t="shared" si="692"/>
        <v>5.8863955510053854E-3</v>
      </c>
      <c r="BX259" s="460">
        <f t="shared" si="693"/>
        <v>561.5035354291864</v>
      </c>
      <c r="BY259" s="173">
        <f t="shared" si="694"/>
        <v>3.2754715022451872</v>
      </c>
      <c r="BZ259" s="5">
        <f t="shared" si="695"/>
        <v>6.88</v>
      </c>
      <c r="CA259" s="173">
        <f t="shared" si="696"/>
        <v>0.67746731389861692</v>
      </c>
      <c r="CB259" s="5">
        <f t="shared" si="697"/>
        <v>67.746731389861694</v>
      </c>
      <c r="CE259" s="562">
        <f t="shared" si="757"/>
        <v>-50</v>
      </c>
      <c r="CF259">
        <f t="shared" si="758"/>
        <v>-50</v>
      </c>
      <c r="CG259" s="173">
        <f t="shared" si="759"/>
        <v>0.47513156072818402</v>
      </c>
      <c r="CI259" s="170">
        <v>43</v>
      </c>
      <c r="CJ259" s="217">
        <f t="shared" si="698"/>
        <v>0.43</v>
      </c>
      <c r="CK259" s="217"/>
      <c r="CL259" s="217">
        <f t="shared" si="641"/>
        <v>6.88</v>
      </c>
      <c r="CM259" s="541">
        <f t="shared" si="642"/>
        <v>60</v>
      </c>
      <c r="CN259" s="443">
        <f t="shared" si="643"/>
        <v>16.399999999999999</v>
      </c>
      <c r="CO259" s="443">
        <f t="shared" si="644"/>
        <v>76.400000000000006</v>
      </c>
      <c r="CP259" s="443"/>
      <c r="CQ259" s="217">
        <f t="shared" si="645"/>
        <v>0.21465968586387432</v>
      </c>
      <c r="CR259" s="172">
        <f t="shared" si="646"/>
        <v>33.164921465968582</v>
      </c>
      <c r="CS259" s="172">
        <f t="shared" si="647"/>
        <v>6.88</v>
      </c>
      <c r="CT259" s="217">
        <f t="shared" si="648"/>
        <v>2.0728075916230364</v>
      </c>
      <c r="CU259" s="217">
        <f t="shared" si="649"/>
        <v>16</v>
      </c>
      <c r="CV259" s="217"/>
      <c r="CW259" s="172">
        <f t="shared" si="650"/>
        <v>288.92016238724705</v>
      </c>
      <c r="CX259" s="172">
        <f t="shared" si="651"/>
        <v>16</v>
      </c>
      <c r="CY259" s="217">
        <f t="shared" si="652"/>
        <v>1.0683577235772359</v>
      </c>
      <c r="CZ259" s="217">
        <f t="shared" si="653"/>
        <v>0.21367154471544716</v>
      </c>
      <c r="DA259" s="217">
        <f t="shared" si="654"/>
        <v>0.7817251635930994</v>
      </c>
      <c r="DB259" s="197">
        <f t="shared" si="655"/>
        <v>350</v>
      </c>
      <c r="DC259" s="443">
        <f t="shared" si="656"/>
        <v>350</v>
      </c>
      <c r="DE259" s="217">
        <f t="shared" si="657"/>
        <v>3.06656694091249</v>
      </c>
      <c r="DF259" s="173">
        <f t="shared" si="658"/>
        <v>2.2438294689603588</v>
      </c>
      <c r="DG259" s="173">
        <f t="shared" si="659"/>
        <v>1.2041493223478366</v>
      </c>
      <c r="DH259" s="173"/>
      <c r="DI259" s="173">
        <f t="shared" si="660"/>
        <v>0.73170731707317083</v>
      </c>
      <c r="DJ259" s="545">
        <f t="shared" si="661"/>
        <v>1175.3333333333333</v>
      </c>
      <c r="DK259" s="528">
        <f t="shared" si="662"/>
        <v>0.12804878048780488</v>
      </c>
      <c r="DM259" s="173">
        <f t="shared" si="663"/>
        <v>1.8325106379214386</v>
      </c>
      <c r="DN259" s="173">
        <f t="shared" si="664"/>
        <v>1.8325106379214386</v>
      </c>
      <c r="DO259" s="173">
        <f t="shared" si="665"/>
        <v>1.8166745466084731</v>
      </c>
      <c r="DQ259" s="545">
        <f t="shared" si="666"/>
        <v>430</v>
      </c>
      <c r="DR259" s="460">
        <f t="shared" si="667"/>
        <v>350</v>
      </c>
      <c r="DT259">
        <f t="shared" si="668"/>
        <v>430</v>
      </c>
      <c r="DU259">
        <f t="shared" si="669"/>
        <v>350</v>
      </c>
      <c r="DW259" s="5">
        <f t="shared" si="670"/>
        <v>2.8571428571428572</v>
      </c>
      <c r="DX259" s="5">
        <f t="shared" si="671"/>
        <v>0.36650212758428774</v>
      </c>
      <c r="DY259" s="5">
        <f t="shared" si="672"/>
        <v>2.4906407295585695</v>
      </c>
      <c r="DZ259" s="5"/>
      <c r="EA259" s="173">
        <f t="shared" si="673"/>
        <v>0.1282757446545007</v>
      </c>
      <c r="EB259" s="173">
        <f t="shared" si="699"/>
        <v>7.0519999999999996</v>
      </c>
      <c r="EC259" s="173">
        <f t="shared" si="700"/>
        <v>0.79872198562738606</v>
      </c>
      <c r="ED259" s="173">
        <f t="shared" si="701"/>
        <v>8.8291046533052953</v>
      </c>
      <c r="EE259" s="460">
        <f t="shared" si="674"/>
        <v>0.98497446788277332</v>
      </c>
      <c r="EF259" s="5">
        <f t="shared" si="675"/>
        <v>0.23799455860226329</v>
      </c>
      <c r="EH259" s="173">
        <f t="shared" si="702"/>
        <v>0.3789292666129126</v>
      </c>
      <c r="EI259" s="173">
        <f t="shared" si="703"/>
        <v>0.98781460318689329</v>
      </c>
      <c r="EK259" s="528">
        <f t="shared" si="704"/>
        <v>2.8717477819159959E-3</v>
      </c>
      <c r="EL259" s="528">
        <f t="shared" si="705"/>
        <v>0.93102535470236636</v>
      </c>
      <c r="EM259" s="528">
        <f t="shared" si="706"/>
        <v>4.0250000000000001E-2</v>
      </c>
      <c r="EN259" s="528">
        <f t="shared" si="707"/>
        <v>1.0061459800000001</v>
      </c>
      <c r="EO259">
        <f t="shared" si="708"/>
        <v>2.7E-2</v>
      </c>
      <c r="EP259" s="460">
        <f t="shared" si="709"/>
        <v>67.25</v>
      </c>
      <c r="EQ259" s="460"/>
      <c r="ER259" s="460">
        <f t="shared" si="710"/>
        <v>2007.2930824842826</v>
      </c>
      <c r="ES259" s="528">
        <f t="shared" si="711"/>
        <v>0.30099999999999999</v>
      </c>
      <c r="EV259" s="460">
        <f t="shared" si="712"/>
        <v>301</v>
      </c>
      <c r="EW259" s="528">
        <f t="shared" si="713"/>
        <v>4.3076216728739937E-3</v>
      </c>
      <c r="EX259" s="528">
        <f t="shared" si="714"/>
        <v>2.9273330708078381E-2</v>
      </c>
      <c r="EY259" s="528">
        <f t="shared" si="715"/>
        <v>0.52090242150261379</v>
      </c>
      <c r="EZ259" s="528"/>
      <c r="FA259" s="528">
        <f t="shared" si="716"/>
        <v>5.8766666666666663E-3</v>
      </c>
      <c r="FB259" s="460">
        <f t="shared" si="717"/>
        <v>560.36004055023284</v>
      </c>
      <c r="FC259" s="173">
        <f t="shared" si="718"/>
        <v>2.8686531230345156</v>
      </c>
      <c r="FD259" s="5">
        <f t="shared" si="719"/>
        <v>6.88</v>
      </c>
      <c r="FE259" s="173">
        <f t="shared" si="720"/>
        <v>0.7057385172258982</v>
      </c>
      <c r="FF259" s="5">
        <f t="shared" si="721"/>
        <v>70.573851722589822</v>
      </c>
      <c r="FI259" s="562">
        <f t="shared" si="676"/>
        <v>-50</v>
      </c>
      <c r="FJ259">
        <f t="shared" si="677"/>
        <v>-50</v>
      </c>
      <c r="FL259">
        <f t="shared" si="760"/>
        <v>0.46930150483353922</v>
      </c>
    </row>
    <row r="260" spans="5:168">
      <c r="E260" s="170">
        <v>44</v>
      </c>
      <c r="F260" s="217">
        <f t="shared" si="761"/>
        <v>0.44</v>
      </c>
      <c r="G260" s="217"/>
      <c r="H260" s="217">
        <f t="shared" si="726"/>
        <v>7.04</v>
      </c>
      <c r="I260" s="541">
        <f t="shared" si="727"/>
        <v>59.954226229178296</v>
      </c>
      <c r="J260" s="172">
        <f t="shared" si="728"/>
        <v>16.427464262493022</v>
      </c>
      <c r="K260" s="172">
        <f t="shared" si="729"/>
        <v>76.381690491671321</v>
      </c>
      <c r="L260" s="443"/>
      <c r="M260" s="217">
        <f t="shared" si="730"/>
        <v>0.21507421426393281</v>
      </c>
      <c r="N260" s="172">
        <f t="shared" si="731"/>
        <v>33.203615852459677</v>
      </c>
      <c r="O260" s="172">
        <f t="shared" si="599"/>
        <v>7.04</v>
      </c>
      <c r="P260" s="217">
        <f t="shared" si="732"/>
        <v>2.0752259907787298</v>
      </c>
      <c r="Q260" s="217">
        <f t="shared" si="733"/>
        <v>16</v>
      </c>
      <c r="R260" s="217"/>
      <c r="S260" s="172">
        <f t="shared" si="734"/>
        <v>280.78007587405119</v>
      </c>
      <c r="T260" s="172">
        <f t="shared" si="735"/>
        <v>16</v>
      </c>
      <c r="U260" s="217">
        <f t="shared" si="736"/>
        <v>1.0919292694236555</v>
      </c>
      <c r="V260" s="217">
        <f t="shared" si="737"/>
        <v>0.21855258681842304</v>
      </c>
      <c r="W260" s="217">
        <f t="shared" si="738"/>
        <v>0.79763687345227197</v>
      </c>
      <c r="X260" s="197">
        <f t="shared" si="739"/>
        <v>350</v>
      </c>
      <c r="Y260" s="443">
        <f t="shared" si="680"/>
        <v>350</v>
      </c>
      <c r="AA260" s="217">
        <f t="shared" si="740"/>
        <v>3.0700947358851334</v>
      </c>
      <c r="AB260" s="173">
        <f t="shared" si="741"/>
        <v>2.2426551196179938</v>
      </c>
      <c r="AC260" s="173">
        <f t="shared" si="742"/>
        <v>1.2049036435003833</v>
      </c>
      <c r="AD260" s="173"/>
      <c r="AE260" s="173">
        <f t="shared" si="743"/>
        <v>0.73048401191157952</v>
      </c>
      <c r="AF260" s="545">
        <f t="shared" si="744"/>
        <v>1204.6807125828216</v>
      </c>
      <c r="AG260" s="528">
        <f t="shared" si="745"/>
        <v>0.12783470208452644</v>
      </c>
      <c r="AI260" s="173">
        <f t="shared" si="746"/>
        <v>1.8552479330520155</v>
      </c>
      <c r="AJ260" s="173">
        <f t="shared" si="747"/>
        <v>1.8552479330520155</v>
      </c>
      <c r="AK260" s="173">
        <f t="shared" si="748"/>
        <v>1.8335169874459374</v>
      </c>
      <c r="AM260" s="545">
        <f t="shared" si="749"/>
        <v>440</v>
      </c>
      <c r="AN260" s="460">
        <f t="shared" si="750"/>
        <v>350</v>
      </c>
      <c r="AP260">
        <f t="shared" si="751"/>
        <v>440</v>
      </c>
      <c r="AQ260">
        <f t="shared" si="752"/>
        <v>350</v>
      </c>
      <c r="AS260" s="5">
        <f t="shared" si="600"/>
        <v>2.8571428571428572</v>
      </c>
      <c r="AT260" s="5">
        <f t="shared" si="753"/>
        <v>0.37133287504241569</v>
      </c>
      <c r="AU260" s="5">
        <f t="shared" si="722"/>
        <v>2.4858099821004416</v>
      </c>
      <c r="AV260" s="5"/>
      <c r="AW260" s="173">
        <f t="shared" si="723"/>
        <v>0.12996650626484549</v>
      </c>
      <c r="AX260" s="173">
        <f t="shared" si="631"/>
        <v>7.2280842754969301</v>
      </c>
      <c r="AY260" s="173">
        <f t="shared" si="632"/>
        <v>0.80706392046908448</v>
      </c>
      <c r="AZ260" s="173">
        <f t="shared" si="633"/>
        <v>8.9560245380512082</v>
      </c>
      <c r="BA260" s="460">
        <f t="shared" si="724"/>
        <v>1.0211654063666431</v>
      </c>
      <c r="BB260" s="5">
        <f t="shared" si="725"/>
        <v>0.24324254483595553</v>
      </c>
      <c r="BD260" s="173">
        <f t="shared" si="681"/>
        <v>0.38615089991328738</v>
      </c>
      <c r="BE260" s="173">
        <f t="shared" si="682"/>
        <v>0.9991008191672901</v>
      </c>
      <c r="BG260" s="528">
        <f t="shared" si="683"/>
        <v>2.9822503500768339E-3</v>
      </c>
      <c r="BH260" s="528">
        <f t="shared" si="754"/>
        <v>0.9051532926416328</v>
      </c>
      <c r="BI260" s="528">
        <f t="shared" si="755"/>
        <v>0.48263152114488528</v>
      </c>
      <c r="BJ260" s="528">
        <f t="shared" si="684"/>
        <v>1.0056637854777486</v>
      </c>
      <c r="BK260">
        <f t="shared" si="685"/>
        <v>2.6979401803130233E-2</v>
      </c>
      <c r="BL260" s="460">
        <f t="shared" si="686"/>
        <v>509.61092294801546</v>
      </c>
      <c r="BM260" s="528">
        <f t="shared" si="756"/>
        <v>1.915962153667693</v>
      </c>
      <c r="BN260" s="460">
        <f t="shared" si="687"/>
        <v>1915.962153667693</v>
      </c>
      <c r="BO260" s="528">
        <f t="shared" si="637"/>
        <v>0.308</v>
      </c>
      <c r="BR260" s="460">
        <f t="shared" si="688"/>
        <v>308</v>
      </c>
      <c r="BS260" s="528">
        <f t="shared" si="689"/>
        <v>4.4733755251152507E-3</v>
      </c>
      <c r="BT260" s="528">
        <f t="shared" si="690"/>
        <v>2.9946073405822501E-2</v>
      </c>
      <c r="BU260" s="528">
        <f t="shared" si="691"/>
        <v>0.537211135424427</v>
      </c>
      <c r="BV260" s="528"/>
      <c r="BW260" s="528">
        <f t="shared" si="692"/>
        <v>6.0234035629141078E-3</v>
      </c>
      <c r="BX260" s="460">
        <f t="shared" si="693"/>
        <v>577.65398791827886</v>
      </c>
      <c r="BY260" s="173">
        <f t="shared" si="694"/>
        <v>3.3090642393357528</v>
      </c>
      <c r="BZ260" s="5">
        <f t="shared" si="695"/>
        <v>7.04</v>
      </c>
      <c r="CA260" s="173">
        <f t="shared" si="696"/>
        <v>0.68025473967411154</v>
      </c>
      <c r="CB260" s="5">
        <f t="shared" si="697"/>
        <v>68.025473967411159</v>
      </c>
      <c r="CE260" s="562">
        <f t="shared" si="757"/>
        <v>-50</v>
      </c>
      <c r="CF260">
        <f t="shared" si="758"/>
        <v>-50</v>
      </c>
      <c r="CG260" s="173">
        <f t="shared" si="759"/>
        <v>0.48062459362791665</v>
      </c>
      <c r="CI260" s="170">
        <v>44</v>
      </c>
      <c r="CJ260" s="217">
        <f t="shared" si="698"/>
        <v>0.44</v>
      </c>
      <c r="CK260" s="217"/>
      <c r="CL260" s="217">
        <f t="shared" si="641"/>
        <v>7.04</v>
      </c>
      <c r="CM260" s="541">
        <f t="shared" si="642"/>
        <v>60</v>
      </c>
      <c r="CN260" s="443">
        <f t="shared" si="643"/>
        <v>16.399999999999999</v>
      </c>
      <c r="CO260" s="443">
        <f t="shared" si="644"/>
        <v>76.400000000000006</v>
      </c>
      <c r="CP260" s="443"/>
      <c r="CQ260" s="217">
        <f t="shared" si="645"/>
        <v>0.21465968586387432</v>
      </c>
      <c r="CR260" s="172">
        <f t="shared" si="646"/>
        <v>33.164921465968582</v>
      </c>
      <c r="CS260" s="172">
        <f t="shared" si="647"/>
        <v>7.04</v>
      </c>
      <c r="CT260" s="217">
        <f t="shared" si="648"/>
        <v>2.0728075916230364</v>
      </c>
      <c r="CU260" s="217">
        <f t="shared" si="649"/>
        <v>16</v>
      </c>
      <c r="CV260" s="217"/>
      <c r="CW260" s="172">
        <f t="shared" si="650"/>
        <v>280.99438045880004</v>
      </c>
      <c r="CX260" s="172">
        <f t="shared" si="651"/>
        <v>16</v>
      </c>
      <c r="CY260" s="217">
        <f t="shared" si="652"/>
        <v>1.0932032520325203</v>
      </c>
      <c r="CZ260" s="217">
        <f t="shared" si="653"/>
        <v>0.21864065040650407</v>
      </c>
      <c r="DA260" s="217">
        <f t="shared" si="654"/>
        <v>0.79990481856038076</v>
      </c>
      <c r="DB260" s="197">
        <f t="shared" si="655"/>
        <v>350</v>
      </c>
      <c r="DC260" s="443">
        <f t="shared" si="656"/>
        <v>350</v>
      </c>
      <c r="DE260" s="217">
        <f t="shared" si="657"/>
        <v>3.06656694091249</v>
      </c>
      <c r="DF260" s="173">
        <f t="shared" si="658"/>
        <v>2.2438294689603588</v>
      </c>
      <c r="DG260" s="173">
        <f t="shared" si="659"/>
        <v>1.2041493223478366</v>
      </c>
      <c r="DH260" s="173"/>
      <c r="DI260" s="173">
        <f t="shared" si="660"/>
        <v>0.73170731707317083</v>
      </c>
      <c r="DJ260" s="545">
        <f t="shared" si="661"/>
        <v>1202.6666666666665</v>
      </c>
      <c r="DK260" s="528">
        <f t="shared" si="662"/>
        <v>0.12804878048780488</v>
      </c>
      <c r="DM260" s="173">
        <f t="shared" si="663"/>
        <v>1.8536964358250454</v>
      </c>
      <c r="DN260" s="173">
        <f t="shared" si="664"/>
        <v>1.8536964358250454</v>
      </c>
      <c r="DO260" s="173">
        <f t="shared" si="665"/>
        <v>1.8323677302407744</v>
      </c>
      <c r="DQ260" s="545">
        <f t="shared" si="666"/>
        <v>440</v>
      </c>
      <c r="DR260" s="460">
        <f t="shared" si="667"/>
        <v>350</v>
      </c>
      <c r="DT260">
        <f t="shared" si="668"/>
        <v>440</v>
      </c>
      <c r="DU260">
        <f t="shared" si="669"/>
        <v>350</v>
      </c>
      <c r="DW260" s="5">
        <f t="shared" si="670"/>
        <v>2.8571428571428572</v>
      </c>
      <c r="DX260" s="5">
        <f t="shared" si="671"/>
        <v>0.37073928716500909</v>
      </c>
      <c r="DY260" s="5">
        <f t="shared" si="672"/>
        <v>2.4864035699778482</v>
      </c>
      <c r="DZ260" s="5"/>
      <c r="EA260" s="173">
        <f t="shared" si="673"/>
        <v>0.12975875050775318</v>
      </c>
      <c r="EB260" s="173">
        <f t="shared" si="699"/>
        <v>7.2160000000000011</v>
      </c>
      <c r="EC260" s="173">
        <f t="shared" si="700"/>
        <v>0.80658155124585595</v>
      </c>
      <c r="ED260" s="173">
        <f t="shared" si="701"/>
        <v>8.9463985245559829</v>
      </c>
      <c r="EE260" s="460">
        <f t="shared" si="674"/>
        <v>1.019533039703775</v>
      </c>
      <c r="EF260" s="5">
        <f t="shared" si="675"/>
        <v>0.24311501573116734</v>
      </c>
      <c r="EH260" s="173">
        <f t="shared" si="702"/>
        <v>0.3855194688975373</v>
      </c>
      <c r="EI260" s="173">
        <f t="shared" si="703"/>
        <v>0.99838447729208324</v>
      </c>
      <c r="EK260" s="528">
        <f t="shared" si="704"/>
        <v>2.9725052179807848E-3</v>
      </c>
      <c r="EL260" s="528">
        <f t="shared" si="705"/>
        <v>0.9417890111852727</v>
      </c>
      <c r="EM260" s="528">
        <f t="shared" si="706"/>
        <v>4.0250000000000001E-2</v>
      </c>
      <c r="EN260" s="528">
        <f t="shared" si="707"/>
        <v>1.0061459800000001</v>
      </c>
      <c r="EO260">
        <f t="shared" si="708"/>
        <v>2.7E-2</v>
      </c>
      <c r="EP260" s="460">
        <f t="shared" si="709"/>
        <v>67.25</v>
      </c>
      <c r="EQ260" s="460"/>
      <c r="ER260" s="460">
        <f t="shared" si="710"/>
        <v>2018.1574964032536</v>
      </c>
      <c r="ES260" s="528">
        <f t="shared" si="711"/>
        <v>0.308</v>
      </c>
      <c r="EV260" s="460">
        <f t="shared" si="712"/>
        <v>308</v>
      </c>
      <c r="EW260" s="528">
        <f t="shared" si="713"/>
        <v>4.4587578269711771E-3</v>
      </c>
      <c r="EX260" s="528">
        <f t="shared" si="714"/>
        <v>2.9903146934933587E-2</v>
      </c>
      <c r="EY260" s="528">
        <f t="shared" si="715"/>
        <v>0.53608869933359682</v>
      </c>
      <c r="EZ260" s="528"/>
      <c r="FA260" s="528">
        <f t="shared" si="716"/>
        <v>6.0133333333333349E-3</v>
      </c>
      <c r="FB260" s="460">
        <f t="shared" si="717"/>
        <v>576.46393742883492</v>
      </c>
      <c r="FC260" s="173">
        <f t="shared" si="718"/>
        <v>2.9026214338320879</v>
      </c>
      <c r="FD260" s="5">
        <f t="shared" si="719"/>
        <v>7.04</v>
      </c>
      <c r="FE260" s="173">
        <f t="shared" si="720"/>
        <v>0.70806276260753109</v>
      </c>
      <c r="FF260" s="5">
        <f t="shared" si="721"/>
        <v>70.806276260753108</v>
      </c>
      <c r="FI260" s="562">
        <f t="shared" si="676"/>
        <v>-50</v>
      </c>
      <c r="FJ260">
        <f t="shared" si="677"/>
        <v>-50</v>
      </c>
      <c r="FL260">
        <f t="shared" si="760"/>
        <v>0.47472713600397504</v>
      </c>
    </row>
    <row r="261" spans="5:168">
      <c r="E261" s="170">
        <v>45</v>
      </c>
      <c r="F261" s="217">
        <f t="shared" si="761"/>
        <v>0.45</v>
      </c>
      <c r="G261" s="217"/>
      <c r="H261" s="217">
        <f t="shared" si="726"/>
        <v>7.2</v>
      </c>
      <c r="I261" s="541">
        <f t="shared" si="727"/>
        <v>59.953708995011375</v>
      </c>
      <c r="J261" s="172">
        <f t="shared" si="728"/>
        <v>16.427774602993175</v>
      </c>
      <c r="K261" s="172">
        <f t="shared" si="729"/>
        <v>76.38148359800455</v>
      </c>
      <c r="L261" s="443"/>
      <c r="M261" s="217">
        <f t="shared" si="730"/>
        <v>0.21507889946368575</v>
      </c>
      <c r="N261" s="172">
        <f t="shared" si="731"/>
        <v>33.204052704738793</v>
      </c>
      <c r="O261" s="172">
        <f t="shared" si="599"/>
        <v>7.2</v>
      </c>
      <c r="P261" s="217">
        <f t="shared" si="732"/>
        <v>2.0752532940461745</v>
      </c>
      <c r="Q261" s="217">
        <f t="shared" si="733"/>
        <v>16</v>
      </c>
      <c r="R261" s="217"/>
      <c r="S261" s="172">
        <f t="shared" si="734"/>
        <v>273.21010047401296</v>
      </c>
      <c r="T261" s="172">
        <f t="shared" si="735"/>
        <v>16</v>
      </c>
      <c r="U261" s="217">
        <f t="shared" si="736"/>
        <v>1.1167311511557758</v>
      </c>
      <c r="V261" s="217">
        <f t="shared" si="737"/>
        <v>0.22351867863561806</v>
      </c>
      <c r="W261" s="217">
        <f t="shared" si="738"/>
        <v>0.81573884094000548</v>
      </c>
      <c r="X261" s="197">
        <f t="shared" si="739"/>
        <v>350</v>
      </c>
      <c r="Y261" s="443">
        <f t="shared" si="680"/>
        <v>350</v>
      </c>
      <c r="AA261" s="217">
        <f t="shared" si="740"/>
        <v>3.0701345641227964</v>
      </c>
      <c r="AB261" s="173">
        <f t="shared" si="741"/>
        <v>2.242641846495808</v>
      </c>
      <c r="AC261" s="173">
        <f t="shared" si="742"/>
        <v>1.2049121433781163</v>
      </c>
      <c r="AD261" s="173"/>
      <c r="AE261" s="173">
        <f t="shared" si="743"/>
        <v>0.73047021218647434</v>
      </c>
      <c r="AF261" s="545">
        <f t="shared" si="744"/>
        <v>1232.0830952244883</v>
      </c>
      <c r="AG261" s="528">
        <f t="shared" si="745"/>
        <v>0.12783228713263303</v>
      </c>
      <c r="AI261" s="173">
        <f t="shared" si="746"/>
        <v>1.8762295741532029</v>
      </c>
      <c r="AJ261" s="173">
        <f t="shared" si="747"/>
        <v>1.8762295741532029</v>
      </c>
      <c r="AK261" s="173">
        <f t="shared" si="748"/>
        <v>1.8490589438171874</v>
      </c>
      <c r="AM261" s="545">
        <f t="shared" si="749"/>
        <v>450</v>
      </c>
      <c r="AN261" s="460">
        <f t="shared" si="750"/>
        <v>350</v>
      </c>
      <c r="AP261">
        <f t="shared" si="751"/>
        <v>450</v>
      </c>
      <c r="AQ261">
        <f t="shared" si="752"/>
        <v>350</v>
      </c>
      <c r="AS261" s="5">
        <f t="shared" si="600"/>
        <v>2.8571428571428572</v>
      </c>
      <c r="AT261" s="5">
        <f t="shared" si="753"/>
        <v>0.37553564687235347</v>
      </c>
      <c r="AU261" s="5">
        <f t="shared" si="722"/>
        <v>2.4816072102705036</v>
      </c>
      <c r="AV261" s="5"/>
      <c r="AW261" s="173">
        <f t="shared" si="723"/>
        <v>0.13143747640532372</v>
      </c>
      <c r="AX261" s="173">
        <f t="shared" si="631"/>
        <v>7.3924985713469287</v>
      </c>
      <c r="AY261" s="173">
        <f t="shared" si="632"/>
        <v>0.81481134688473544</v>
      </c>
      <c r="AZ261" s="173">
        <f t="shared" si="633"/>
        <v>9.0726504970882349</v>
      </c>
      <c r="BA261" s="460">
        <f t="shared" si="724"/>
        <v>1.0561940068284941</v>
      </c>
      <c r="BB261" s="5">
        <f t="shared" si="725"/>
        <v>0.248352329008735</v>
      </c>
      <c r="BD261" s="173">
        <f t="shared" si="681"/>
        <v>0.39272175144140736</v>
      </c>
      <c r="BE261" s="173">
        <f t="shared" si="682"/>
        <v>1.0095454905982015</v>
      </c>
      <c r="BG261" s="528">
        <f t="shared" si="683"/>
        <v>3.084607481104131E-3</v>
      </c>
      <c r="BH261" s="528">
        <f t="shared" si="754"/>
        <v>0.91538750506279987</v>
      </c>
      <c r="BI261" s="528">
        <f t="shared" si="755"/>
        <v>0.48262735740984158</v>
      </c>
      <c r="BJ261" s="528">
        <f t="shared" si="684"/>
        <v>1.0056583374394819</v>
      </c>
      <c r="BK261">
        <f t="shared" si="685"/>
        <v>2.6979169047755117E-2</v>
      </c>
      <c r="BL261" s="460">
        <f t="shared" si="686"/>
        <v>509.60652645759671</v>
      </c>
      <c r="BM261" s="528">
        <f t="shared" si="756"/>
        <v>1.9263751396165809</v>
      </c>
      <c r="BN261" s="460">
        <f t="shared" si="687"/>
        <v>1926.375139616581</v>
      </c>
      <c r="BO261" s="528">
        <f t="shared" si="637"/>
        <v>0.315</v>
      </c>
      <c r="BR261" s="460">
        <f t="shared" si="688"/>
        <v>315</v>
      </c>
      <c r="BS261" s="528">
        <f t="shared" si="689"/>
        <v>4.626911221656196E-3</v>
      </c>
      <c r="BT261" s="528">
        <f t="shared" si="690"/>
        <v>3.0575462927614903E-2</v>
      </c>
      <c r="BU261" s="528">
        <f t="shared" si="691"/>
        <v>0.5525289759195805</v>
      </c>
      <c r="BV261" s="528"/>
      <c r="BW261" s="528">
        <f t="shared" si="692"/>
        <v>6.1604154761224408E-3</v>
      </c>
      <c r="BX261" s="460">
        <f t="shared" si="693"/>
        <v>593.89176554497408</v>
      </c>
      <c r="BY261" s="173">
        <f t="shared" si="694"/>
        <v>3.3426287419859566</v>
      </c>
      <c r="BZ261" s="5">
        <f t="shared" si="695"/>
        <v>7.2</v>
      </c>
      <c r="CA261" s="173">
        <f t="shared" si="696"/>
        <v>0.68294162454246743</v>
      </c>
      <c r="CB261" s="5">
        <f t="shared" si="697"/>
        <v>68.294162454246745</v>
      </c>
      <c r="CE261" s="562">
        <f t="shared" si="757"/>
        <v>-50</v>
      </c>
      <c r="CF261">
        <f t="shared" si="758"/>
        <v>-50</v>
      </c>
      <c r="CG261" s="173">
        <f t="shared" si="759"/>
        <v>0.48605555238058951</v>
      </c>
      <c r="CI261" s="170">
        <v>45</v>
      </c>
      <c r="CJ261" s="217">
        <f t="shared" si="698"/>
        <v>0.45</v>
      </c>
      <c r="CK261" s="217"/>
      <c r="CL261" s="217">
        <f t="shared" si="641"/>
        <v>7.2</v>
      </c>
      <c r="CM261" s="541">
        <f t="shared" si="642"/>
        <v>60</v>
      </c>
      <c r="CN261" s="443">
        <f t="shared" si="643"/>
        <v>16.399999999999999</v>
      </c>
      <c r="CO261" s="443">
        <f t="shared" si="644"/>
        <v>76.400000000000006</v>
      </c>
      <c r="CP261" s="443"/>
      <c r="CQ261" s="217">
        <f t="shared" si="645"/>
        <v>0.21465968586387432</v>
      </c>
      <c r="CR261" s="172">
        <f t="shared" si="646"/>
        <v>33.164921465968582</v>
      </c>
      <c r="CS261" s="172">
        <f t="shared" si="647"/>
        <v>7.2</v>
      </c>
      <c r="CT261" s="217">
        <f t="shared" si="648"/>
        <v>2.0728075916230364</v>
      </c>
      <c r="CU261" s="217">
        <f t="shared" si="649"/>
        <v>16</v>
      </c>
      <c r="CV261" s="217"/>
      <c r="CW261" s="172">
        <f t="shared" si="650"/>
        <v>273.42098183944404</v>
      </c>
      <c r="CX261" s="172">
        <f t="shared" si="651"/>
        <v>16</v>
      </c>
      <c r="CY261" s="217">
        <f t="shared" si="652"/>
        <v>1.118048780487805</v>
      </c>
      <c r="CZ261" s="217">
        <f t="shared" si="653"/>
        <v>0.22360975609756101</v>
      </c>
      <c r="DA261" s="217">
        <f t="shared" si="654"/>
        <v>0.81808447352766234</v>
      </c>
      <c r="DB261" s="197">
        <f t="shared" si="655"/>
        <v>350</v>
      </c>
      <c r="DC261" s="443">
        <f t="shared" si="656"/>
        <v>350</v>
      </c>
      <c r="DE261" s="217">
        <f t="shared" si="657"/>
        <v>3.06656694091249</v>
      </c>
      <c r="DF261" s="173">
        <f t="shared" si="658"/>
        <v>2.2438294689603588</v>
      </c>
      <c r="DG261" s="173">
        <f t="shared" si="659"/>
        <v>1.2041493223478366</v>
      </c>
      <c r="DH261" s="173"/>
      <c r="DI261" s="173">
        <f t="shared" si="660"/>
        <v>0.73170731707317083</v>
      </c>
      <c r="DJ261" s="545">
        <f t="shared" si="661"/>
        <v>1229.9999999999998</v>
      </c>
      <c r="DK261" s="528">
        <f t="shared" si="662"/>
        <v>0.12804878048780488</v>
      </c>
      <c r="DM261" s="173">
        <f t="shared" si="663"/>
        <v>1.8746428231227714</v>
      </c>
      <c r="DN261" s="173">
        <f t="shared" si="664"/>
        <v>1.8746428231227714</v>
      </c>
      <c r="DO261" s="173">
        <f t="shared" si="665"/>
        <v>1.8478835726835343</v>
      </c>
      <c r="DQ261" s="545">
        <f t="shared" si="666"/>
        <v>450</v>
      </c>
      <c r="DR261" s="460">
        <f t="shared" si="667"/>
        <v>350</v>
      </c>
      <c r="DT261">
        <f t="shared" si="668"/>
        <v>450</v>
      </c>
      <c r="DU261">
        <f t="shared" si="669"/>
        <v>350</v>
      </c>
      <c r="DW261" s="5">
        <f t="shared" si="670"/>
        <v>2.8571428571428572</v>
      </c>
      <c r="DX261" s="5">
        <f t="shared" si="671"/>
        <v>0.37492856462455432</v>
      </c>
      <c r="DY261" s="5">
        <f t="shared" si="672"/>
        <v>2.4822142925183028</v>
      </c>
      <c r="DZ261" s="5"/>
      <c r="EA261" s="173">
        <f t="shared" si="673"/>
        <v>0.13122499761859402</v>
      </c>
      <c r="EB261" s="173">
        <f t="shared" si="699"/>
        <v>7.379999999999999</v>
      </c>
      <c r="EC261" s="173">
        <f t="shared" si="700"/>
        <v>0.81432141156138571</v>
      </c>
      <c r="ED261" s="173">
        <f t="shared" si="701"/>
        <v>9.0627605945538559</v>
      </c>
      <c r="EE261" s="460">
        <f t="shared" si="674"/>
        <v>1.054486588006559</v>
      </c>
      <c r="EF261" s="5">
        <f t="shared" si="675"/>
        <v>0.24822142925183024</v>
      </c>
      <c r="EH261" s="173">
        <f t="shared" si="702"/>
        <v>0.39207232941903369</v>
      </c>
      <c r="EI261" s="173">
        <f t="shared" si="703"/>
        <v>1.008815077173465</v>
      </c>
      <c r="EK261" s="528">
        <f t="shared" si="704"/>
        <v>3.0744142299213456E-3</v>
      </c>
      <c r="EL261" s="528">
        <f t="shared" si="705"/>
        <v>0.95243103271575535</v>
      </c>
      <c r="EM261" s="528">
        <f t="shared" si="706"/>
        <v>4.0250000000000001E-2</v>
      </c>
      <c r="EN261" s="528">
        <f t="shared" si="707"/>
        <v>1.0061459800000001</v>
      </c>
      <c r="EO261">
        <f t="shared" si="708"/>
        <v>2.7E-2</v>
      </c>
      <c r="EP261" s="460">
        <f t="shared" si="709"/>
        <v>67.25</v>
      </c>
      <c r="EQ261" s="460"/>
      <c r="ER261" s="460">
        <f t="shared" si="710"/>
        <v>2028.9014269456768</v>
      </c>
      <c r="ES261" s="528">
        <f t="shared" si="711"/>
        <v>0.315</v>
      </c>
      <c r="EV261" s="460">
        <f t="shared" si="712"/>
        <v>315</v>
      </c>
      <c r="EW261" s="528">
        <f t="shared" si="713"/>
        <v>4.6116213448820186E-3</v>
      </c>
      <c r="EX261" s="528">
        <f t="shared" si="714"/>
        <v>3.053123579797512E-2</v>
      </c>
      <c r="EY261" s="528">
        <f t="shared" si="715"/>
        <v>0.551361514966625</v>
      </c>
      <c r="EZ261" s="528"/>
      <c r="FA261" s="528">
        <f t="shared" si="716"/>
        <v>6.1500000000000001E-3</v>
      </c>
      <c r="FB261" s="460">
        <f t="shared" si="717"/>
        <v>592.6543721094821</v>
      </c>
      <c r="FC261" s="173">
        <f t="shared" si="718"/>
        <v>2.9365557990551587</v>
      </c>
      <c r="FD261" s="5">
        <f t="shared" si="719"/>
        <v>7.2</v>
      </c>
      <c r="FE261" s="173">
        <f t="shared" si="720"/>
        <v>0.71030043564413869</v>
      </c>
      <c r="FF261" s="5">
        <f t="shared" si="721"/>
        <v>71.030043564413873</v>
      </c>
      <c r="FI261" s="562">
        <f t="shared" si="676"/>
        <v>-50</v>
      </c>
      <c r="FJ261">
        <f t="shared" si="677"/>
        <v>-50</v>
      </c>
      <c r="FL261">
        <f t="shared" si="760"/>
        <v>0.48009145470217318</v>
      </c>
    </row>
    <row r="262" spans="5:168">
      <c r="E262" s="170">
        <v>46</v>
      </c>
      <c r="F262" s="217">
        <f t="shared" si="761"/>
        <v>0.46</v>
      </c>
      <c r="G262" s="217"/>
      <c r="H262" s="217">
        <f t="shared" si="726"/>
        <v>7.36</v>
      </c>
      <c r="I262" s="541">
        <f t="shared" si="727"/>
        <v>59.953197476665501</v>
      </c>
      <c r="J262" s="172">
        <f t="shared" si="728"/>
        <v>16.428081514000699</v>
      </c>
      <c r="K262" s="172">
        <f t="shared" si="729"/>
        <v>76.381278990666203</v>
      </c>
      <c r="L262" s="443"/>
      <c r="M262" s="217">
        <f t="shared" si="730"/>
        <v>0.21508353291300464</v>
      </c>
      <c r="N262" s="172">
        <f t="shared" si="731"/>
        <v>33.204484720984048</v>
      </c>
      <c r="O262" s="172">
        <f t="shared" ref="O262:O316" si="762">T262*F262</f>
        <v>7.36</v>
      </c>
      <c r="P262" s="217">
        <f t="shared" si="732"/>
        <v>2.075280295061503</v>
      </c>
      <c r="Q262" s="217">
        <f t="shared" si="733"/>
        <v>16</v>
      </c>
      <c r="R262" s="217"/>
      <c r="S262" s="172">
        <f t="shared" si="734"/>
        <v>265.96942765319864</v>
      </c>
      <c r="T262" s="172">
        <f t="shared" si="735"/>
        <v>16</v>
      </c>
      <c r="U262" s="217">
        <f t="shared" si="736"/>
        <v>1.1415325465371859</v>
      </c>
      <c r="V262" s="217">
        <f t="shared" si="737"/>
        <v>0.22848473701136304</v>
      </c>
      <c r="W262" s="217">
        <f t="shared" si="738"/>
        <v>0.83383994331729416</v>
      </c>
      <c r="X262" s="197">
        <f t="shared" si="739"/>
        <v>350</v>
      </c>
      <c r="Y262" s="443">
        <f t="shared" si="680"/>
        <v>350</v>
      </c>
      <c r="AA262" s="217">
        <f t="shared" si="740"/>
        <v>3.0701739514568955</v>
      </c>
      <c r="AB262" s="173">
        <f t="shared" si="741"/>
        <v>2.2426287199807464</v>
      </c>
      <c r="AC262" s="173">
        <f t="shared" si="742"/>
        <v>1.2049205488029513</v>
      </c>
      <c r="AD262" s="173"/>
      <c r="AE262" s="173">
        <f t="shared" si="743"/>
        <v>0.73045656547133009</v>
      </c>
      <c r="AF262" s="545">
        <f t="shared" si="744"/>
        <v>1259.4862494067204</v>
      </c>
      <c r="AG262" s="528">
        <f t="shared" si="745"/>
        <v>0.12782989895748276</v>
      </c>
      <c r="AI262" s="173">
        <f t="shared" si="746"/>
        <v>1.896979741895537</v>
      </c>
      <c r="AJ262" s="173">
        <f t="shared" si="747"/>
        <v>1.896979741895537</v>
      </c>
      <c r="AK262" s="173">
        <f t="shared" si="748"/>
        <v>1.8644294384411384</v>
      </c>
      <c r="AM262" s="545">
        <f t="shared" si="749"/>
        <v>460</v>
      </c>
      <c r="AN262" s="460">
        <f t="shared" si="750"/>
        <v>350</v>
      </c>
      <c r="AP262">
        <f t="shared" si="751"/>
        <v>460</v>
      </c>
      <c r="AQ262">
        <f t="shared" si="752"/>
        <v>350</v>
      </c>
      <c r="AS262" s="5">
        <f t="shared" si="600"/>
        <v>2.8571428571428572</v>
      </c>
      <c r="AT262" s="5">
        <f t="shared" si="753"/>
        <v>0.37969212420415721</v>
      </c>
      <c r="AU262" s="5">
        <f t="shared" si="722"/>
        <v>2.4774507329387001</v>
      </c>
      <c r="AV262" s="5"/>
      <c r="AW262" s="173">
        <f t="shared" si="723"/>
        <v>0.13289224347145501</v>
      </c>
      <c r="AX262" s="173">
        <f t="shared" si="631"/>
        <v>7.556917496440323</v>
      </c>
      <c r="AY262" s="173">
        <f t="shared" si="632"/>
        <v>0.82244292408756869</v>
      </c>
      <c r="AZ262" s="173">
        <f t="shared" si="633"/>
        <v>9.1883792481090261</v>
      </c>
      <c r="BA262" s="460">
        <f t="shared" si="724"/>
        <v>1.0916148570869522</v>
      </c>
      <c r="BB262" s="5">
        <f t="shared" si="725"/>
        <v>0.2534482196372948</v>
      </c>
      <c r="BD262" s="173">
        <f t="shared" si="681"/>
        <v>0.3992563960845063</v>
      </c>
      <c r="BE262" s="173">
        <f t="shared" si="682"/>
        <v>1.0198554034304559</v>
      </c>
      <c r="BG262" s="528">
        <f t="shared" si="683"/>
        <v>3.1881133962877633E-3</v>
      </c>
      <c r="BH262" s="528">
        <f t="shared" si="754"/>
        <v>0.92550875725801884</v>
      </c>
      <c r="BI262" s="528">
        <f t="shared" si="755"/>
        <v>0.48262323968715731</v>
      </c>
      <c r="BJ262" s="528">
        <f t="shared" si="684"/>
        <v>1.0056529496205915</v>
      </c>
      <c r="BK262">
        <f t="shared" si="685"/>
        <v>2.6978938864499476E-2</v>
      </c>
      <c r="BL262" s="460">
        <f t="shared" si="686"/>
        <v>509.60217855165678</v>
      </c>
      <c r="BM262" s="528">
        <f t="shared" si="756"/>
        <v>1.9366776359566147</v>
      </c>
      <c r="BN262" s="460">
        <f t="shared" si="687"/>
        <v>1936.6776359566147</v>
      </c>
      <c r="BO262" s="528">
        <f t="shared" si="637"/>
        <v>0.32200000000000001</v>
      </c>
      <c r="BR262" s="460">
        <f t="shared" si="688"/>
        <v>322</v>
      </c>
      <c r="BS262" s="528">
        <f t="shared" si="689"/>
        <v>4.7821700944316444E-3</v>
      </c>
      <c r="BT262" s="528">
        <f t="shared" si="690"/>
        <v>3.120315131718894E-2</v>
      </c>
      <c r="BU262" s="528">
        <f t="shared" si="691"/>
        <v>0.56793266454502356</v>
      </c>
      <c r="BV262" s="528"/>
      <c r="BW262" s="528">
        <f t="shared" si="692"/>
        <v>6.2974312470336019E-3</v>
      </c>
      <c r="BX262" s="460">
        <f t="shared" si="693"/>
        <v>610.21541720367782</v>
      </c>
      <c r="BY262" s="173">
        <f t="shared" si="694"/>
        <v>3.3761674160302331</v>
      </c>
      <c r="BZ262" s="5">
        <f t="shared" si="695"/>
        <v>7.36</v>
      </c>
      <c r="CA262" s="173">
        <f t="shared" si="696"/>
        <v>0.68553327410028475</v>
      </c>
      <c r="CB262" s="5">
        <f t="shared" si="697"/>
        <v>68.553327410028473</v>
      </c>
      <c r="CE262" s="562">
        <f t="shared" si="757"/>
        <v>-50</v>
      </c>
      <c r="CF262">
        <f t="shared" si="758"/>
        <v>-50</v>
      </c>
      <c r="CG262" s="173">
        <f t="shared" si="759"/>
        <v>0.49142649501222463</v>
      </c>
      <c r="CI262" s="170">
        <v>46</v>
      </c>
      <c r="CJ262" s="217">
        <f t="shared" si="698"/>
        <v>0.46</v>
      </c>
      <c r="CK262" s="217"/>
      <c r="CL262" s="217">
        <f t="shared" si="641"/>
        <v>7.36</v>
      </c>
      <c r="CM262" s="541">
        <f t="shared" si="642"/>
        <v>60</v>
      </c>
      <c r="CN262" s="443">
        <f t="shared" si="643"/>
        <v>16.399999999999999</v>
      </c>
      <c r="CO262" s="443">
        <f t="shared" si="644"/>
        <v>76.400000000000006</v>
      </c>
      <c r="CP262" s="443"/>
      <c r="CQ262" s="217">
        <f t="shared" si="645"/>
        <v>0.21465968586387432</v>
      </c>
      <c r="CR262" s="172">
        <f t="shared" si="646"/>
        <v>33.164921465968582</v>
      </c>
      <c r="CS262" s="172">
        <f t="shared" si="647"/>
        <v>7.36</v>
      </c>
      <c r="CT262" s="217">
        <f t="shared" si="648"/>
        <v>2.0728075916230364</v>
      </c>
      <c r="CU262" s="217">
        <f t="shared" si="649"/>
        <v>16</v>
      </c>
      <c r="CV262" s="217"/>
      <c r="CW262" s="172">
        <f t="shared" si="650"/>
        <v>266.17698679887667</v>
      </c>
      <c r="CX262" s="172">
        <f t="shared" si="651"/>
        <v>16</v>
      </c>
      <c r="CY262" s="217">
        <f t="shared" si="652"/>
        <v>1.1428943089430896</v>
      </c>
      <c r="CZ262" s="217">
        <f t="shared" si="653"/>
        <v>0.22857886178861792</v>
      </c>
      <c r="DA262" s="217">
        <f t="shared" si="654"/>
        <v>0.83626412849494369</v>
      </c>
      <c r="DB262" s="197">
        <f t="shared" si="655"/>
        <v>350</v>
      </c>
      <c r="DC262" s="443">
        <f t="shared" si="656"/>
        <v>350</v>
      </c>
      <c r="DE262" s="217">
        <f t="shared" si="657"/>
        <v>3.06656694091249</v>
      </c>
      <c r="DF262" s="173">
        <f t="shared" si="658"/>
        <v>2.2438294689603588</v>
      </c>
      <c r="DG262" s="173">
        <f t="shared" si="659"/>
        <v>1.2041493223478366</v>
      </c>
      <c r="DH262" s="173"/>
      <c r="DI262" s="173">
        <f t="shared" si="660"/>
        <v>0.73170731707317083</v>
      </c>
      <c r="DJ262" s="545">
        <f t="shared" si="661"/>
        <v>1257.3333333333333</v>
      </c>
      <c r="DK262" s="528">
        <f t="shared" si="662"/>
        <v>0.12804878048780488</v>
      </c>
      <c r="DM262" s="173">
        <f t="shared" si="663"/>
        <v>1.8953577373100183</v>
      </c>
      <c r="DN262" s="173">
        <f t="shared" si="664"/>
        <v>1.8953577373100183</v>
      </c>
      <c r="DO262" s="173">
        <f t="shared" si="665"/>
        <v>1.8632279535629765</v>
      </c>
      <c r="DQ262" s="545">
        <f t="shared" si="666"/>
        <v>460</v>
      </c>
      <c r="DR262" s="460">
        <f t="shared" si="667"/>
        <v>350</v>
      </c>
      <c r="DT262">
        <f t="shared" si="668"/>
        <v>460</v>
      </c>
      <c r="DU262">
        <f t="shared" si="669"/>
        <v>350</v>
      </c>
      <c r="DW262" s="5">
        <f t="shared" si="670"/>
        <v>2.8571428571428572</v>
      </c>
      <c r="DX262" s="5">
        <f t="shared" si="671"/>
        <v>0.37907154746200367</v>
      </c>
      <c r="DY262" s="5">
        <f t="shared" si="672"/>
        <v>2.4780713096808533</v>
      </c>
      <c r="DZ262" s="5"/>
      <c r="EA262" s="173">
        <f t="shared" si="673"/>
        <v>0.13267504161170127</v>
      </c>
      <c r="EB262" s="173">
        <f t="shared" si="699"/>
        <v>7.5440000000000014</v>
      </c>
      <c r="EC262" s="173">
        <f t="shared" si="700"/>
        <v>0.8219455353216758</v>
      </c>
      <c r="ED262" s="173">
        <f t="shared" si="701"/>
        <v>9.1782237092480692</v>
      </c>
      <c r="EE262" s="460">
        <f t="shared" si="674"/>
        <v>1.0898306989532605</v>
      </c>
      <c r="EF262" s="5">
        <f t="shared" si="675"/>
        <v>0.25331395610070939</v>
      </c>
      <c r="EH262" s="173">
        <f t="shared" si="702"/>
        <v>0.39858888274437443</v>
      </c>
      <c r="EI262" s="173">
        <f t="shared" si="703"/>
        <v>1.0191109949426063</v>
      </c>
      <c r="EK262" s="528">
        <f t="shared" si="704"/>
        <v>3.177461948948173E-3</v>
      </c>
      <c r="EL262" s="528">
        <f t="shared" si="705"/>
        <v>0.96295545201772803</v>
      </c>
      <c r="EM262" s="528">
        <f t="shared" si="706"/>
        <v>4.0250000000000001E-2</v>
      </c>
      <c r="EN262" s="528">
        <f t="shared" si="707"/>
        <v>1.0061459800000001</v>
      </c>
      <c r="EO262">
        <f t="shared" si="708"/>
        <v>2.7E-2</v>
      </c>
      <c r="EP262" s="460">
        <f t="shared" si="709"/>
        <v>67.25</v>
      </c>
      <c r="EQ262" s="460"/>
      <c r="ER262" s="460">
        <f t="shared" si="710"/>
        <v>2039.5288939666764</v>
      </c>
      <c r="ES262" s="528">
        <f t="shared" si="711"/>
        <v>0.32200000000000001</v>
      </c>
      <c r="EV262" s="460">
        <f t="shared" si="712"/>
        <v>322</v>
      </c>
      <c r="EW262" s="528">
        <f t="shared" si="713"/>
        <v>4.7661929234222595E-3</v>
      </c>
      <c r="EX262" s="528">
        <f t="shared" si="714"/>
        <v>3.1157616600387267E-2</v>
      </c>
      <c r="EY262" s="528">
        <f t="shared" si="715"/>
        <v>0.56671942184970769</v>
      </c>
      <c r="EZ262" s="528"/>
      <c r="FA262" s="528">
        <f t="shared" si="716"/>
        <v>6.2866666666666678E-3</v>
      </c>
      <c r="FB262" s="460">
        <f t="shared" si="717"/>
        <v>608.92989804018396</v>
      </c>
      <c r="FC262" s="173">
        <f t="shared" si="718"/>
        <v>2.9704587920068599</v>
      </c>
      <c r="FD262" s="5">
        <f t="shared" si="719"/>
        <v>7.36</v>
      </c>
      <c r="FE262" s="173">
        <f t="shared" si="720"/>
        <v>0.71245625660834766</v>
      </c>
      <c r="FF262" s="5">
        <f t="shared" si="721"/>
        <v>71.245625660834762</v>
      </c>
      <c r="FI262" s="562">
        <f t="shared" si="676"/>
        <v>-50</v>
      </c>
      <c r="FJ262">
        <f t="shared" si="677"/>
        <v>-50</v>
      </c>
      <c r="FL262">
        <f t="shared" si="760"/>
        <v>0.48539649370134619</v>
      </c>
    </row>
    <row r="263" spans="5:168">
      <c r="E263" s="170">
        <v>47</v>
      </c>
      <c r="F263" s="217">
        <f t="shared" si="761"/>
        <v>0.47</v>
      </c>
      <c r="G263" s="217"/>
      <c r="H263" s="217">
        <f t="shared" si="726"/>
        <v>7.52</v>
      </c>
      <c r="I263" s="541">
        <f t="shared" si="727"/>
        <v>59.952691488735162</v>
      </c>
      <c r="J263" s="172">
        <f t="shared" si="728"/>
        <v>16.428385106758903</v>
      </c>
      <c r="K263" s="172">
        <f t="shared" si="729"/>
        <v>76.381076595494065</v>
      </c>
      <c r="L263" s="443"/>
      <c r="M263" s="217">
        <f t="shared" si="730"/>
        <v>0.21508811629053154</v>
      </c>
      <c r="N263" s="172">
        <f t="shared" si="731"/>
        <v>33.20491205806303</v>
      </c>
      <c r="O263" s="172">
        <f t="shared" si="762"/>
        <v>7.52</v>
      </c>
      <c r="P263" s="217">
        <f t="shared" si="732"/>
        <v>2.0753070036289394</v>
      </c>
      <c r="Q263" s="217">
        <f t="shared" si="733"/>
        <v>16</v>
      </c>
      <c r="R263" s="217"/>
      <c r="S263" s="172">
        <f t="shared" si="734"/>
        <v>259.03703871777236</v>
      </c>
      <c r="T263" s="172">
        <f t="shared" si="735"/>
        <v>16</v>
      </c>
      <c r="U263" s="217">
        <f t="shared" si="736"/>
        <v>1.166333460913227</v>
      </c>
      <c r="V263" s="217">
        <f t="shared" si="737"/>
        <v>0.23345076231629247</v>
      </c>
      <c r="W263" s="217">
        <f t="shared" si="738"/>
        <v>0.85194019010429356</v>
      </c>
      <c r="X263" s="197">
        <f t="shared" si="739"/>
        <v>350</v>
      </c>
      <c r="Y263" s="443">
        <f t="shared" si="680"/>
        <v>350</v>
      </c>
      <c r="AA263" s="217">
        <f t="shared" si="740"/>
        <v>3.070212912189124</v>
      </c>
      <c r="AB263" s="173">
        <f t="shared" si="741"/>
        <v>2.2426157353172753</v>
      </c>
      <c r="AC263" s="173">
        <f t="shared" si="742"/>
        <v>1.2049288628386809</v>
      </c>
      <c r="AD263" s="173"/>
      <c r="AE263" s="173">
        <f t="shared" si="743"/>
        <v>0.73044306680289639</v>
      </c>
      <c r="AF263" s="545">
        <f t="shared" si="744"/>
        <v>1286.8901666961137</v>
      </c>
      <c r="AG263" s="528">
        <f t="shared" si="745"/>
        <v>0.12782753669050687</v>
      </c>
      <c r="AI263" s="173">
        <f t="shared" si="746"/>
        <v>1.9175059446330753</v>
      </c>
      <c r="AJ263" s="173">
        <f t="shared" si="747"/>
        <v>1.9175059446330753</v>
      </c>
      <c r="AK263" s="173">
        <f t="shared" si="748"/>
        <v>1.8796340330615373</v>
      </c>
      <c r="AM263" s="545">
        <f t="shared" si="749"/>
        <v>470</v>
      </c>
      <c r="AN263" s="460">
        <f t="shared" si="750"/>
        <v>350</v>
      </c>
      <c r="AP263">
        <f t="shared" si="751"/>
        <v>470</v>
      </c>
      <c r="AQ263">
        <f t="shared" si="752"/>
        <v>350</v>
      </c>
      <c r="AS263" s="5">
        <f t="shared" ref="AS263:AS316" si="763">1/AN263*1000</f>
        <v>2.8571428571428572</v>
      </c>
      <c r="AT263" s="5">
        <f t="shared" si="753"/>
        <v>0.38380380870674324</v>
      </c>
      <c r="AU263" s="5">
        <f t="shared" si="722"/>
        <v>2.473339048436114</v>
      </c>
      <c r="AV263" s="5"/>
      <c r="AW263" s="173">
        <f t="shared" si="723"/>
        <v>0.13433133304736014</v>
      </c>
      <c r="AX263" s="173">
        <f t="shared" si="631"/>
        <v>7.7213410001766833</v>
      </c>
      <c r="AY263" s="173">
        <f t="shared" si="632"/>
        <v>0.82996240748213845</v>
      </c>
      <c r="AZ263" s="173">
        <f t="shared" si="633"/>
        <v>9.3032418463397129</v>
      </c>
      <c r="BA263" s="460">
        <f t="shared" si="724"/>
        <v>1.1274236880760582</v>
      </c>
      <c r="BB263" s="5">
        <f t="shared" si="725"/>
        <v>0.25853036761680581</v>
      </c>
      <c r="BD263" s="173">
        <f t="shared" si="681"/>
        <v>0.40575581629235424</v>
      </c>
      <c r="BE263" s="173">
        <f t="shared" si="682"/>
        <v>1.0300349023759596</v>
      </c>
      <c r="BG263" s="528">
        <f t="shared" si="683"/>
        <v>3.2927556491014949E-3</v>
      </c>
      <c r="BH263" s="528">
        <f t="shared" si="754"/>
        <v>0.93552071334237175</v>
      </c>
      <c r="BI263" s="528">
        <f t="shared" si="755"/>
        <v>0.48261916648431802</v>
      </c>
      <c r="BJ263" s="528">
        <f t="shared" si="684"/>
        <v>1.0056476200677253</v>
      </c>
      <c r="BK263">
        <f t="shared" si="685"/>
        <v>2.6978711169930822E-2</v>
      </c>
      <c r="BL263" s="460">
        <f t="shared" si="686"/>
        <v>509.5978776542488</v>
      </c>
      <c r="BM263" s="528">
        <f t="shared" si="756"/>
        <v>1.9468732864200942</v>
      </c>
      <c r="BN263" s="460">
        <f t="shared" si="687"/>
        <v>1946.8732864200942</v>
      </c>
      <c r="BO263" s="528">
        <f t="shared" si="637"/>
        <v>0.32899999999999996</v>
      </c>
      <c r="BR263" s="460">
        <f t="shared" si="688"/>
        <v>328.99999999999994</v>
      </c>
      <c r="BS263" s="528">
        <f t="shared" si="689"/>
        <v>4.9391334736522416E-3</v>
      </c>
      <c r="BT263" s="528">
        <f t="shared" si="690"/>
        <v>3.1829157003379578E-2</v>
      </c>
      <c r="BU263" s="528">
        <f t="shared" si="691"/>
        <v>0.58342080580028233</v>
      </c>
      <c r="BV263" s="528"/>
      <c r="BW263" s="528">
        <f t="shared" si="692"/>
        <v>6.4344508334805688E-3</v>
      </c>
      <c r="BX263" s="460">
        <f t="shared" si="693"/>
        <v>626.62354711079468</v>
      </c>
      <c r="BY263" s="173">
        <f t="shared" si="694"/>
        <v>3.4096825138242424</v>
      </c>
      <c r="BZ263" s="5">
        <f t="shared" si="695"/>
        <v>7.52</v>
      </c>
      <c r="CA263" s="173">
        <f t="shared" si="696"/>
        <v>0.68803462410627603</v>
      </c>
      <c r="CB263" s="5">
        <f t="shared" si="697"/>
        <v>68.803462410627603</v>
      </c>
      <c r="CE263" s="562">
        <f t="shared" si="757"/>
        <v>-50</v>
      </c>
      <c r="CF263">
        <f t="shared" si="758"/>
        <v>-50</v>
      </c>
      <c r="CG263" s="173">
        <f t="shared" si="759"/>
        <v>0.49673936828079168</v>
      </c>
      <c r="CI263" s="170">
        <v>47</v>
      </c>
      <c r="CJ263" s="217">
        <f t="shared" si="698"/>
        <v>0.47</v>
      </c>
      <c r="CK263" s="217"/>
      <c r="CL263" s="217">
        <f t="shared" si="641"/>
        <v>7.52</v>
      </c>
      <c r="CM263" s="541">
        <f t="shared" si="642"/>
        <v>60</v>
      </c>
      <c r="CN263" s="443">
        <f t="shared" si="643"/>
        <v>16.399999999999999</v>
      </c>
      <c r="CO263" s="443">
        <f t="shared" si="644"/>
        <v>76.400000000000006</v>
      </c>
      <c r="CP263" s="443"/>
      <c r="CQ263" s="217">
        <f t="shared" si="645"/>
        <v>0.21465968586387432</v>
      </c>
      <c r="CR263" s="172">
        <f t="shared" si="646"/>
        <v>33.164921465968582</v>
      </c>
      <c r="CS263" s="172">
        <f t="shared" si="647"/>
        <v>7.52</v>
      </c>
      <c r="CT263" s="217">
        <f t="shared" si="648"/>
        <v>2.0728075916230364</v>
      </c>
      <c r="CU263" s="217">
        <f t="shared" si="649"/>
        <v>16</v>
      </c>
      <c r="CV263" s="217"/>
      <c r="CW263" s="172">
        <f t="shared" si="650"/>
        <v>259.24137136216274</v>
      </c>
      <c r="CX263" s="172">
        <f t="shared" si="651"/>
        <v>16</v>
      </c>
      <c r="CY263" s="217">
        <f t="shared" si="652"/>
        <v>1.1677398373983741</v>
      </c>
      <c r="CZ263" s="217">
        <f t="shared" si="653"/>
        <v>0.23354796747967482</v>
      </c>
      <c r="DA263" s="217">
        <f t="shared" si="654"/>
        <v>0.85444378346222505</v>
      </c>
      <c r="DB263" s="197">
        <f t="shared" si="655"/>
        <v>350</v>
      </c>
      <c r="DC263" s="443">
        <f t="shared" si="656"/>
        <v>350</v>
      </c>
      <c r="DE263" s="217">
        <f t="shared" si="657"/>
        <v>3.06656694091249</v>
      </c>
      <c r="DF263" s="173">
        <f t="shared" si="658"/>
        <v>2.2438294689603588</v>
      </c>
      <c r="DG263" s="173">
        <f t="shared" si="659"/>
        <v>1.2041493223478366</v>
      </c>
      <c r="DH263" s="173"/>
      <c r="DI263" s="173">
        <f t="shared" si="660"/>
        <v>0.73170731707317083</v>
      </c>
      <c r="DJ263" s="545">
        <f t="shared" si="661"/>
        <v>1284.6666666666665</v>
      </c>
      <c r="DK263" s="528">
        <f t="shared" si="662"/>
        <v>0.12804878048780488</v>
      </c>
      <c r="DM263" s="173">
        <f t="shared" si="663"/>
        <v>1.9158486867381228</v>
      </c>
      <c r="DN263" s="173">
        <f t="shared" si="664"/>
        <v>1.9158486867381228</v>
      </c>
      <c r="DO263" s="173">
        <f t="shared" si="665"/>
        <v>1.8784064346208318</v>
      </c>
      <c r="DQ263" s="545">
        <f t="shared" si="666"/>
        <v>470</v>
      </c>
      <c r="DR263" s="460">
        <f t="shared" si="667"/>
        <v>350</v>
      </c>
      <c r="DT263">
        <f t="shared" si="668"/>
        <v>470</v>
      </c>
      <c r="DU263">
        <f t="shared" si="669"/>
        <v>350</v>
      </c>
      <c r="DW263" s="5">
        <f t="shared" si="670"/>
        <v>2.8571428571428572</v>
      </c>
      <c r="DX263" s="5">
        <f t="shared" si="671"/>
        <v>0.38316973734762455</v>
      </c>
      <c r="DY263" s="5">
        <f t="shared" si="672"/>
        <v>2.4739731197952328</v>
      </c>
      <c r="DZ263" s="5"/>
      <c r="EA263" s="173">
        <f t="shared" si="673"/>
        <v>0.1341094080716686</v>
      </c>
      <c r="EB263" s="173">
        <f t="shared" si="699"/>
        <v>7.7079999999999984</v>
      </c>
      <c r="EC263" s="173">
        <f t="shared" si="700"/>
        <v>0.82945767670239479</v>
      </c>
      <c r="ED263" s="173">
        <f t="shared" si="701"/>
        <v>9.2928189303691138</v>
      </c>
      <c r="EE263" s="460">
        <f t="shared" si="674"/>
        <v>1.1255611034586472</v>
      </c>
      <c r="EF263" s="5">
        <f t="shared" si="675"/>
        <v>0.25839274806750206</v>
      </c>
      <c r="EH263" s="173">
        <f t="shared" si="702"/>
        <v>0.40507011296231787</v>
      </c>
      <c r="EI263" s="173">
        <f t="shared" si="703"/>
        <v>1.0292765746274217</v>
      </c>
      <c r="EK263" s="528">
        <f t="shared" si="704"/>
        <v>3.2816359283060993E-3</v>
      </c>
      <c r="EL263" s="528">
        <f t="shared" si="705"/>
        <v>0.97336608378417089</v>
      </c>
      <c r="EM263" s="528">
        <f t="shared" si="706"/>
        <v>4.0250000000000001E-2</v>
      </c>
      <c r="EN263" s="528">
        <f t="shared" si="707"/>
        <v>1.0061459800000001</v>
      </c>
      <c r="EO263">
        <f t="shared" si="708"/>
        <v>2.7E-2</v>
      </c>
      <c r="EP263" s="460">
        <f t="shared" si="709"/>
        <v>67.25</v>
      </c>
      <c r="EQ263" s="460"/>
      <c r="ER263" s="460">
        <f t="shared" si="710"/>
        <v>2050.0436997124771</v>
      </c>
      <c r="ES263" s="528">
        <f t="shared" si="711"/>
        <v>0.32899999999999996</v>
      </c>
      <c r="EV263" s="460">
        <f t="shared" si="712"/>
        <v>328.99999999999994</v>
      </c>
      <c r="EW263" s="528">
        <f t="shared" si="713"/>
        <v>4.9224538924591485E-3</v>
      </c>
      <c r="EX263" s="528">
        <f t="shared" si="714"/>
        <v>3.1782308012302751E-2</v>
      </c>
      <c r="EY263" s="528">
        <f t="shared" si="715"/>
        <v>0.58216102862646613</v>
      </c>
      <c r="EZ263" s="528"/>
      <c r="FA263" s="528">
        <f t="shared" si="716"/>
        <v>6.4233333333333321E-3</v>
      </c>
      <c r="FB263" s="460">
        <f t="shared" si="717"/>
        <v>625.28912386456136</v>
      </c>
      <c r="FC263" s="173">
        <f t="shared" si="718"/>
        <v>3.0043328235770379</v>
      </c>
      <c r="FD263" s="5">
        <f t="shared" si="719"/>
        <v>7.52</v>
      </c>
      <c r="FE263" s="173">
        <f t="shared" si="720"/>
        <v>0.71453460528665447</v>
      </c>
      <c r="FF263" s="5">
        <f t="shared" si="721"/>
        <v>71.453460528665445</v>
      </c>
      <c r="FI263" s="562">
        <f t="shared" si="676"/>
        <v>-50</v>
      </c>
      <c r="FJ263">
        <f t="shared" si="677"/>
        <v>-50</v>
      </c>
      <c r="FL263">
        <f t="shared" si="760"/>
        <v>0.49064417587195835</v>
      </c>
    </row>
    <row r="264" spans="5:168">
      <c r="E264" s="170">
        <v>48</v>
      </c>
      <c r="F264" s="217">
        <f t="shared" si="761"/>
        <v>0.48</v>
      </c>
      <c r="G264" s="217"/>
      <c r="H264" s="217">
        <f t="shared" si="726"/>
        <v>7.68</v>
      </c>
      <c r="I264" s="541">
        <f t="shared" si="727"/>
        <v>59.952190855626625</v>
      </c>
      <c r="J264" s="172">
        <f t="shared" si="728"/>
        <v>16.428685486624023</v>
      </c>
      <c r="K264" s="172">
        <f t="shared" si="729"/>
        <v>76.380876342250644</v>
      </c>
      <c r="L264" s="443"/>
      <c r="M264" s="217">
        <f t="shared" si="730"/>
        <v>0.21509265118607349</v>
      </c>
      <c r="N264" s="172">
        <f t="shared" si="731"/>
        <v>33.205334864541776</v>
      </c>
      <c r="O264" s="172">
        <f t="shared" si="762"/>
        <v>7.68</v>
      </c>
      <c r="P264" s="217">
        <f t="shared" si="732"/>
        <v>2.075333429033861</v>
      </c>
      <c r="Q264" s="217">
        <f t="shared" si="733"/>
        <v>16</v>
      </c>
      <c r="R264" s="217"/>
      <c r="S264" s="172">
        <f t="shared" si="734"/>
        <v>252.39366662218183</v>
      </c>
      <c r="T264" s="172">
        <f t="shared" si="735"/>
        <v>16</v>
      </c>
      <c r="U264" s="217">
        <f t="shared" si="736"/>
        <v>1.1911338994576892</v>
      </c>
      <c r="V264" s="217">
        <f t="shared" si="737"/>
        <v>0.23841675490914588</v>
      </c>
      <c r="W264" s="217">
        <f t="shared" si="738"/>
        <v>0.87003959051561974</v>
      </c>
      <c r="X264" s="197">
        <f t="shared" si="739"/>
        <v>350</v>
      </c>
      <c r="Y264" s="443">
        <f t="shared" si="680"/>
        <v>350</v>
      </c>
      <c r="AA264" s="217">
        <f t="shared" si="740"/>
        <v>3.0702514598643194</v>
      </c>
      <c r="AB264" s="173">
        <f t="shared" si="741"/>
        <v>2.2426028880015285</v>
      </c>
      <c r="AC264" s="173">
        <f t="shared" si="742"/>
        <v>1.2049370883869606</v>
      </c>
      <c r="AD264" s="173"/>
      <c r="AE264" s="173">
        <f t="shared" si="743"/>
        <v>0.73042971148058145</v>
      </c>
      <c r="AF264" s="545">
        <f t="shared" si="744"/>
        <v>1314.2948389299215</v>
      </c>
      <c r="AG264" s="528">
        <f t="shared" si="745"/>
        <v>0.12782519950910176</v>
      </c>
      <c r="AI264" s="173">
        <f t="shared" si="746"/>
        <v>1.9378152933724997</v>
      </c>
      <c r="AJ264" s="173">
        <f t="shared" si="747"/>
        <v>1.9378152933724997</v>
      </c>
      <c r="AK264" s="173">
        <f t="shared" si="748"/>
        <v>1.8946779950907404</v>
      </c>
      <c r="AM264" s="545">
        <f t="shared" si="749"/>
        <v>480</v>
      </c>
      <c r="AN264" s="460">
        <f t="shared" si="750"/>
        <v>350</v>
      </c>
      <c r="AP264">
        <f t="shared" si="751"/>
        <v>480</v>
      </c>
      <c r="AQ264">
        <f t="shared" si="752"/>
        <v>350</v>
      </c>
      <c r="AS264" s="5">
        <f t="shared" si="763"/>
        <v>2.8571428571428572</v>
      </c>
      <c r="AT264" s="5">
        <f t="shared" si="753"/>
        <v>0.38787212257961357</v>
      </c>
      <c r="AU264" s="5">
        <f t="shared" si="722"/>
        <v>2.4692707345632439</v>
      </c>
      <c r="AV264" s="5"/>
      <c r="AW264" s="173">
        <f t="shared" si="723"/>
        <v>0.13575524290286475</v>
      </c>
      <c r="AX264" s="173">
        <f t="shared" si="631"/>
        <v>7.8857690335795292</v>
      </c>
      <c r="AY264" s="173">
        <f t="shared" si="632"/>
        <v>0.83737335375991495</v>
      </c>
      <c r="AZ264" s="173">
        <f t="shared" si="633"/>
        <v>9.4172676956717147</v>
      </c>
      <c r="BA264" s="460">
        <f t="shared" si="724"/>
        <v>1.1636163677388409</v>
      </c>
      <c r="BB264" s="5">
        <f t="shared" si="725"/>
        <v>0.26359891899966464</v>
      </c>
      <c r="BD264" s="173">
        <f t="shared" si="681"/>
        <v>0.41222094757996791</v>
      </c>
      <c r="BE264" s="173">
        <f t="shared" si="682"/>
        <v>1.040088102415234</v>
      </c>
      <c r="BG264" s="528">
        <f t="shared" si="683"/>
        <v>3.398522192474533E-3</v>
      </c>
      <c r="BH264" s="528">
        <f t="shared" si="754"/>
        <v>0.94542684352341011</v>
      </c>
      <c r="BI264" s="528">
        <f t="shared" si="755"/>
        <v>0.48261513638779435</v>
      </c>
      <c r="BJ264" s="528">
        <f t="shared" si="684"/>
        <v>1.0056423469309055</v>
      </c>
      <c r="BK264">
        <f t="shared" si="685"/>
        <v>2.6978485885031982E-2</v>
      </c>
      <c r="BL264" s="460">
        <f t="shared" si="686"/>
        <v>509.59362227282634</v>
      </c>
      <c r="BM264" s="528">
        <f t="shared" si="756"/>
        <v>1.9569655415382616</v>
      </c>
      <c r="BN264" s="460">
        <f t="shared" si="687"/>
        <v>1956.9655415382617</v>
      </c>
      <c r="BO264" s="528">
        <f t="shared" si="637"/>
        <v>0.33599999999999997</v>
      </c>
      <c r="BR264" s="460">
        <f t="shared" si="688"/>
        <v>335.99999999999994</v>
      </c>
      <c r="BS264" s="528">
        <f t="shared" si="689"/>
        <v>5.0977832887117991E-3</v>
      </c>
      <c r="BT264" s="528">
        <f t="shared" si="690"/>
        <v>3.2453497823571667E-2</v>
      </c>
      <c r="BU264" s="528">
        <f t="shared" si="691"/>
        <v>0.59899205625243301</v>
      </c>
      <c r="BV264" s="528"/>
      <c r="BW264" s="528">
        <f t="shared" si="692"/>
        <v>6.5714741946496071E-3</v>
      </c>
      <c r="BX264" s="460">
        <f t="shared" si="693"/>
        <v>643.1148115593661</v>
      </c>
      <c r="BY264" s="173">
        <f t="shared" si="694"/>
        <v>3.4431761464789816</v>
      </c>
      <c r="BZ264" s="5">
        <f t="shared" si="695"/>
        <v>7.68</v>
      </c>
      <c r="CA264" s="173">
        <f t="shared" si="696"/>
        <v>0.69045027237396472</v>
      </c>
      <c r="CB264" s="5">
        <f t="shared" si="697"/>
        <v>69.045027237396468</v>
      </c>
      <c r="CE264" s="562">
        <f t="shared" si="757"/>
        <v>-50</v>
      </c>
      <c r="CF264">
        <f t="shared" si="758"/>
        <v>-50</v>
      </c>
      <c r="CG264" s="173">
        <f t="shared" si="759"/>
        <v>0.50199601592044529</v>
      </c>
      <c r="CI264" s="170">
        <v>48</v>
      </c>
      <c r="CJ264" s="217">
        <f t="shared" si="698"/>
        <v>0.48</v>
      </c>
      <c r="CK264" s="217"/>
      <c r="CL264" s="217">
        <f t="shared" si="641"/>
        <v>7.68</v>
      </c>
      <c r="CM264" s="541">
        <f t="shared" si="642"/>
        <v>60</v>
      </c>
      <c r="CN264" s="443">
        <f t="shared" si="643"/>
        <v>16.399999999999999</v>
      </c>
      <c r="CO264" s="443">
        <f t="shared" si="644"/>
        <v>76.400000000000006</v>
      </c>
      <c r="CP264" s="443"/>
      <c r="CQ264" s="217">
        <f t="shared" si="645"/>
        <v>0.21465968586387432</v>
      </c>
      <c r="CR264" s="172">
        <f t="shared" si="646"/>
        <v>33.164921465968582</v>
      </c>
      <c r="CS264" s="172">
        <f t="shared" si="647"/>
        <v>7.68</v>
      </c>
      <c r="CT264" s="217">
        <f t="shared" si="648"/>
        <v>2.0728075916230364</v>
      </c>
      <c r="CU264" s="217">
        <f t="shared" si="649"/>
        <v>16</v>
      </c>
      <c r="CV264" s="217"/>
      <c r="CW264" s="172">
        <f t="shared" si="650"/>
        <v>252.59486358600259</v>
      </c>
      <c r="CX264" s="172">
        <f t="shared" si="651"/>
        <v>16</v>
      </c>
      <c r="CY264" s="217">
        <f t="shared" si="652"/>
        <v>1.1925853658536587</v>
      </c>
      <c r="CZ264" s="217">
        <f t="shared" si="653"/>
        <v>0.23851707317073173</v>
      </c>
      <c r="DA264" s="217">
        <f t="shared" si="654"/>
        <v>0.8726234384295064</v>
      </c>
      <c r="DB264" s="197">
        <f t="shared" si="655"/>
        <v>350</v>
      </c>
      <c r="DC264" s="443">
        <f t="shared" si="656"/>
        <v>350</v>
      </c>
      <c r="DE264" s="217">
        <f t="shared" si="657"/>
        <v>3.06656694091249</v>
      </c>
      <c r="DF264" s="173">
        <f t="shared" si="658"/>
        <v>2.2438294689603588</v>
      </c>
      <c r="DG264" s="173">
        <f t="shared" si="659"/>
        <v>1.2041493223478366</v>
      </c>
      <c r="DH264" s="173"/>
      <c r="DI264" s="173">
        <f t="shared" si="660"/>
        <v>0.73170731707317083</v>
      </c>
      <c r="DJ264" s="545">
        <f t="shared" si="661"/>
        <v>1311.9999999999998</v>
      </c>
      <c r="DK264" s="528">
        <f t="shared" si="662"/>
        <v>0.12804878048780488</v>
      </c>
      <c r="DM264" s="173">
        <f t="shared" si="663"/>
        <v>1.9361227824111331</v>
      </c>
      <c r="DN264" s="173">
        <f t="shared" si="664"/>
        <v>1.9361227824111331</v>
      </c>
      <c r="DO264" s="173">
        <f t="shared" si="665"/>
        <v>1.8934242832675059</v>
      </c>
      <c r="DQ264" s="545">
        <f t="shared" si="666"/>
        <v>480</v>
      </c>
      <c r="DR264" s="460">
        <f t="shared" si="667"/>
        <v>350</v>
      </c>
      <c r="DT264">
        <f t="shared" si="668"/>
        <v>480</v>
      </c>
      <c r="DU264">
        <f t="shared" si="669"/>
        <v>350</v>
      </c>
      <c r="DW264" s="5">
        <f t="shared" si="670"/>
        <v>2.8571428571428572</v>
      </c>
      <c r="DX264" s="5">
        <f t="shared" si="671"/>
        <v>0.38722455648222665</v>
      </c>
      <c r="DY264" s="5">
        <f t="shared" si="672"/>
        <v>2.4699183006606305</v>
      </c>
      <c r="DZ264" s="5"/>
      <c r="EA264" s="173">
        <f t="shared" si="673"/>
        <v>0.13552859476877932</v>
      </c>
      <c r="EB264" s="173">
        <f t="shared" si="699"/>
        <v>7.871999999999999</v>
      </c>
      <c r="EC264" s="173">
        <f t="shared" si="700"/>
        <v>0.83686139120556657</v>
      </c>
      <c r="ED264" s="173">
        <f t="shared" si="701"/>
        <v>9.4065756679965187</v>
      </c>
      <c r="EE264" s="460">
        <f t="shared" si="674"/>
        <v>1.16167366944668</v>
      </c>
      <c r="EF264" s="5">
        <f t="shared" si="675"/>
        <v>0.26345795207046724</v>
      </c>
      <c r="EH264" s="173">
        <f t="shared" si="702"/>
        <v>0.41151695716567227</v>
      </c>
      <c r="EI264" s="173">
        <f t="shared" si="703"/>
        <v>1.0393159305470669</v>
      </c>
      <c r="EK264" s="528">
        <f t="shared" si="704"/>
        <v>3.3869241206978752E-3</v>
      </c>
      <c r="EL264" s="528">
        <f t="shared" si="705"/>
        <v>0.98366654083180038</v>
      </c>
      <c r="EM264" s="528">
        <f t="shared" si="706"/>
        <v>4.0250000000000001E-2</v>
      </c>
      <c r="EN264" s="528">
        <f t="shared" si="707"/>
        <v>1.0061459800000001</v>
      </c>
      <c r="EO264">
        <f t="shared" si="708"/>
        <v>2.7E-2</v>
      </c>
      <c r="EP264" s="460">
        <f t="shared" si="709"/>
        <v>67.25</v>
      </c>
      <c r="EQ264" s="460"/>
      <c r="ER264" s="460">
        <f t="shared" si="710"/>
        <v>2060.4494449524982</v>
      </c>
      <c r="ES264" s="528">
        <f t="shared" si="711"/>
        <v>0.33599999999999997</v>
      </c>
      <c r="EV264" s="460">
        <f t="shared" si="712"/>
        <v>335.99999999999994</v>
      </c>
      <c r="EW264" s="528">
        <f t="shared" si="713"/>
        <v>5.0803861810468122E-3</v>
      </c>
      <c r="EX264" s="528">
        <f t="shared" si="714"/>
        <v>3.2405328104667466E-2</v>
      </c>
      <c r="EY264" s="528">
        <f t="shared" si="715"/>
        <v>0.59768499589692359</v>
      </c>
      <c r="EZ264" s="528"/>
      <c r="FA264" s="528">
        <f t="shared" si="716"/>
        <v>6.5599999999999981E-3</v>
      </c>
      <c r="FB264" s="460">
        <f t="shared" si="717"/>
        <v>641.73071018263784</v>
      </c>
      <c r="FC264" s="173">
        <f t="shared" si="718"/>
        <v>3.038180155135136</v>
      </c>
      <c r="FD264" s="5">
        <f t="shared" si="719"/>
        <v>7.68</v>
      </c>
      <c r="FE264" s="173">
        <f t="shared" si="720"/>
        <v>0.71653955138274772</v>
      </c>
      <c r="FF264" s="5">
        <f t="shared" si="721"/>
        <v>71.653955138274767</v>
      </c>
      <c r="FI264" s="562">
        <f t="shared" si="676"/>
        <v>-50</v>
      </c>
      <c r="FJ264">
        <f t="shared" si="677"/>
        <v>-50</v>
      </c>
      <c r="FL264">
        <f t="shared" si="760"/>
        <v>0.4958363223248024</v>
      </c>
    </row>
    <row r="265" spans="5:168">
      <c r="E265" s="170">
        <v>49</v>
      </c>
      <c r="F265" s="217">
        <f t="shared" si="761"/>
        <v>0.49</v>
      </c>
      <c r="G265" s="217"/>
      <c r="H265" s="217">
        <f t="shared" si="726"/>
        <v>7.84</v>
      </c>
      <c r="I265" s="541">
        <f t="shared" si="727"/>
        <v>59.951695410846035</v>
      </c>
      <c r="J265" s="172">
        <f t="shared" si="728"/>
        <v>16.428982753492377</v>
      </c>
      <c r="K265" s="172">
        <f t="shared" si="729"/>
        <v>76.380678164338406</v>
      </c>
      <c r="L265" s="443"/>
      <c r="M265" s="217">
        <f t="shared" si="730"/>
        <v>0.2150971391070482</v>
      </c>
      <c r="N265" s="172">
        <f t="shared" si="731"/>
        <v>33.205753281287095</v>
      </c>
      <c r="O265" s="172">
        <f t="shared" si="762"/>
        <v>7.84</v>
      </c>
      <c r="P265" s="217">
        <f t="shared" si="732"/>
        <v>2.0753595800804434</v>
      </c>
      <c r="Q265" s="217">
        <f t="shared" si="733"/>
        <v>16</v>
      </c>
      <c r="R265" s="217"/>
      <c r="S265" s="172">
        <f t="shared" si="734"/>
        <v>246.02161722640784</v>
      </c>
      <c r="T265" s="172">
        <f t="shared" si="735"/>
        <v>16</v>
      </c>
      <c r="U265" s="217">
        <f t="shared" si="736"/>
        <v>1.2159338671817952</v>
      </c>
      <c r="V265" s="217">
        <f t="shared" si="737"/>
        <v>0.24338271513739049</v>
      </c>
      <c r="W265" s="217">
        <f t="shared" si="738"/>
        <v>0.88813815347635139</v>
      </c>
      <c r="X265" s="197">
        <f t="shared" si="739"/>
        <v>350</v>
      </c>
      <c r="Y265" s="443">
        <f t="shared" si="680"/>
        <v>350</v>
      </c>
      <c r="AA265" s="217">
        <f t="shared" si="740"/>
        <v>3.0702896073253796</v>
      </c>
      <c r="AB265" s="173">
        <f t="shared" si="741"/>
        <v>2.2425901737630456</v>
      </c>
      <c r="AC265" s="173">
        <f t="shared" si="742"/>
        <v>1.2049452281990718</v>
      </c>
      <c r="AD265" s="173"/>
      <c r="AE265" s="173">
        <f t="shared" si="743"/>
        <v>0.73041649504739481</v>
      </c>
      <c r="AF265" s="545">
        <f t="shared" si="744"/>
        <v>1341.7002582018774</v>
      </c>
      <c r="AG265" s="528">
        <f t="shared" si="745"/>
        <v>0.12782288663329408</v>
      </c>
      <c r="AI265" s="173">
        <f t="shared" si="746"/>
        <v>1.957914530603474</v>
      </c>
      <c r="AJ265" s="173">
        <f t="shared" si="747"/>
        <v>1.957914530603474</v>
      </c>
      <c r="AK265" s="173">
        <f t="shared" si="748"/>
        <v>1.9095663189655363</v>
      </c>
      <c r="AM265" s="545">
        <f t="shared" si="749"/>
        <v>490</v>
      </c>
      <c r="AN265" s="460">
        <f t="shared" si="750"/>
        <v>350</v>
      </c>
      <c r="AP265">
        <f t="shared" si="751"/>
        <v>490</v>
      </c>
      <c r="AQ265">
        <f t="shared" si="752"/>
        <v>350</v>
      </c>
      <c r="AS265" s="5">
        <f t="shared" si="763"/>
        <v>2.8571428571428572</v>
      </c>
      <c r="AT265" s="5">
        <f t="shared" si="753"/>
        <v>0.39189841431892425</v>
      </c>
      <c r="AU265" s="5">
        <f t="shared" si="722"/>
        <v>2.4652444428239328</v>
      </c>
      <c r="AV265" s="5"/>
      <c r="AW265" s="173">
        <f t="shared" si="723"/>
        <v>0.13716444501162348</v>
      </c>
      <c r="AX265" s="173">
        <f t="shared" si="631"/>
        <v>8.0502015492112662</v>
      </c>
      <c r="AY265" s="173">
        <f t="shared" si="632"/>
        <v>0.84467913531652761</v>
      </c>
      <c r="AZ265" s="173">
        <f t="shared" si="633"/>
        <v>9.5304846688258795</v>
      </c>
      <c r="BA265" s="460">
        <f t="shared" si="724"/>
        <v>1.2001888938517054</v>
      </c>
      <c r="BB265" s="5">
        <f t="shared" si="725"/>
        <v>0.26865401524912552</v>
      </c>
      <c r="BD265" s="173">
        <f t="shared" si="681"/>
        <v>0.4186526816987271</v>
      </c>
      <c r="BE265" s="173">
        <f t="shared" si="682"/>
        <v>1.0500189054595819</v>
      </c>
      <c r="BG265" s="528">
        <f t="shared" si="683"/>
        <v>3.5054013578707144E-3</v>
      </c>
      <c r="BH265" s="528">
        <f t="shared" si="754"/>
        <v>0.95523043817051478</v>
      </c>
      <c r="BI265" s="528">
        <f t="shared" si="755"/>
        <v>0.48261114805731065</v>
      </c>
      <c r="BJ265" s="528">
        <f t="shared" si="684"/>
        <v>1.0056371284560262</v>
      </c>
      <c r="BK265">
        <f t="shared" si="685"/>
        <v>2.6978262934880714E-2</v>
      </c>
      <c r="BL265" s="460">
        <f t="shared" si="686"/>
        <v>509.58941099219135</v>
      </c>
      <c r="BM265" s="528">
        <f t="shared" si="756"/>
        <v>1.9669576726716025</v>
      </c>
      <c r="BN265" s="460">
        <f t="shared" si="687"/>
        <v>1966.9576726716025</v>
      </c>
      <c r="BO265" s="528">
        <f t="shared" si="637"/>
        <v>0.34299999999999997</v>
      </c>
      <c r="BR265" s="460">
        <f t="shared" si="688"/>
        <v>343</v>
      </c>
      <c r="BS265" s="528">
        <f t="shared" si="689"/>
        <v>5.258102036806071E-3</v>
      </c>
      <c r="BT265" s="528">
        <f t="shared" si="690"/>
        <v>3.3076191054676143E-2</v>
      </c>
      <c r="BU265" s="528">
        <f t="shared" si="691"/>
        <v>0.61464512154546525</v>
      </c>
      <c r="BV265" s="528"/>
      <c r="BW265" s="528">
        <f t="shared" si="692"/>
        <v>6.7085012910093889E-3</v>
      </c>
      <c r="BX265" s="460">
        <f t="shared" si="693"/>
        <v>659.68791592795685</v>
      </c>
      <c r="BY265" s="173">
        <f t="shared" si="694"/>
        <v>3.4766502949045597</v>
      </c>
      <c r="BZ265" s="5">
        <f t="shared" si="695"/>
        <v>7.84</v>
      </c>
      <c r="CA265" s="173">
        <f t="shared" si="696"/>
        <v>0.69278450740233999</v>
      </c>
      <c r="CB265" s="5">
        <f t="shared" si="697"/>
        <v>69.278450740233993</v>
      </c>
      <c r="CE265" s="562">
        <f t="shared" si="757"/>
        <v>-50</v>
      </c>
      <c r="CF265">
        <f t="shared" si="758"/>
        <v>-50</v>
      </c>
      <c r="CG265" s="173">
        <f t="shared" si="759"/>
        <v>0.50719818611663037</v>
      </c>
      <c r="CI265" s="170">
        <v>49</v>
      </c>
      <c r="CJ265" s="217">
        <f t="shared" si="698"/>
        <v>0.49</v>
      </c>
      <c r="CK265" s="217"/>
      <c r="CL265" s="217">
        <f t="shared" si="641"/>
        <v>7.84</v>
      </c>
      <c r="CM265" s="541">
        <f t="shared" si="642"/>
        <v>60</v>
      </c>
      <c r="CN265" s="443">
        <f t="shared" si="643"/>
        <v>16.399999999999999</v>
      </c>
      <c r="CO265" s="443">
        <f t="shared" si="644"/>
        <v>76.400000000000006</v>
      </c>
      <c r="CP265" s="443"/>
      <c r="CQ265" s="217">
        <f t="shared" si="645"/>
        <v>0.21465968586387432</v>
      </c>
      <c r="CR265" s="172">
        <f t="shared" si="646"/>
        <v>33.164921465968582</v>
      </c>
      <c r="CS265" s="172">
        <f t="shared" si="647"/>
        <v>7.84</v>
      </c>
      <c r="CT265" s="217">
        <f t="shared" si="648"/>
        <v>2.0728075916230364</v>
      </c>
      <c r="CU265" s="217">
        <f t="shared" si="649"/>
        <v>16</v>
      </c>
      <c r="CV265" s="217"/>
      <c r="CW265" s="172">
        <f t="shared" si="650"/>
        <v>246.21976478078619</v>
      </c>
      <c r="CX265" s="172">
        <f t="shared" si="651"/>
        <v>16</v>
      </c>
      <c r="CY265" s="217">
        <f t="shared" si="652"/>
        <v>1.2174308943089431</v>
      </c>
      <c r="CZ265" s="217">
        <f t="shared" si="653"/>
        <v>0.24348617886178867</v>
      </c>
      <c r="DA265" s="217">
        <f t="shared" si="654"/>
        <v>0.89080309339678776</v>
      </c>
      <c r="DB265" s="197">
        <f t="shared" si="655"/>
        <v>350</v>
      </c>
      <c r="DC265" s="443">
        <f t="shared" si="656"/>
        <v>350</v>
      </c>
      <c r="DE265" s="217">
        <f t="shared" si="657"/>
        <v>3.06656694091249</v>
      </c>
      <c r="DF265" s="173">
        <f t="shared" si="658"/>
        <v>2.2438294689603588</v>
      </c>
      <c r="DG265" s="173">
        <f t="shared" si="659"/>
        <v>1.2041493223478366</v>
      </c>
      <c r="DH265" s="173"/>
      <c r="DI265" s="173">
        <f t="shared" si="660"/>
        <v>0.73170731707317083</v>
      </c>
      <c r="DJ265" s="545">
        <f t="shared" si="661"/>
        <v>1339.3333333333333</v>
      </c>
      <c r="DK265" s="528">
        <f t="shared" si="662"/>
        <v>0.12804878048780488</v>
      </c>
      <c r="DM265" s="173">
        <f t="shared" si="663"/>
        <v>1.9561867668161612</v>
      </c>
      <c r="DN265" s="173">
        <f t="shared" si="664"/>
        <v>1.9561867668161612</v>
      </c>
      <c r="DO265" s="173">
        <f t="shared" si="665"/>
        <v>1.9082864939378972</v>
      </c>
      <c r="DQ265" s="545">
        <f t="shared" si="666"/>
        <v>490</v>
      </c>
      <c r="DR265" s="460">
        <f t="shared" si="667"/>
        <v>350</v>
      </c>
      <c r="DT265">
        <f t="shared" si="668"/>
        <v>490</v>
      </c>
      <c r="DU265">
        <f t="shared" si="669"/>
        <v>350</v>
      </c>
      <c r="DW265" s="5">
        <f t="shared" si="670"/>
        <v>2.8571428571428572</v>
      </c>
      <c r="DX265" s="5">
        <f t="shared" si="671"/>
        <v>0.39123735336323229</v>
      </c>
      <c r="DY265" s="5">
        <f t="shared" si="672"/>
        <v>2.4659055037796249</v>
      </c>
      <c r="DZ265" s="5"/>
      <c r="EA265" s="173">
        <f t="shared" si="673"/>
        <v>0.13693307367713128</v>
      </c>
      <c r="EB265" s="173">
        <f t="shared" si="699"/>
        <v>8.0359999999999996</v>
      </c>
      <c r="EC265" s="173">
        <f t="shared" si="700"/>
        <v>0.84416005007474737</v>
      </c>
      <c r="ED265" s="173">
        <f t="shared" si="701"/>
        <v>9.5195218007396107</v>
      </c>
      <c r="EE265" s="460">
        <f t="shared" si="674"/>
        <v>1.198164394674899</v>
      </c>
      <c r="EF265" s="5">
        <f t="shared" si="675"/>
        <v>0.26850971041155908</v>
      </c>
      <c r="EH265" s="173">
        <f t="shared" si="702"/>
        <v>0.4179303086259275</v>
      </c>
      <c r="EI265" s="173">
        <f t="shared" si="703"/>
        <v>1.049232963972917</v>
      </c>
      <c r="EK265" s="528">
        <f t="shared" si="704"/>
        <v>3.4933148573632606E-3</v>
      </c>
      <c r="EL265" s="528">
        <f t="shared" si="705"/>
        <v>0.993860248748619</v>
      </c>
      <c r="EM265" s="528">
        <f t="shared" si="706"/>
        <v>4.0250000000000001E-2</v>
      </c>
      <c r="EN265" s="528">
        <f t="shared" si="707"/>
        <v>1.0061459800000001</v>
      </c>
      <c r="EO265">
        <f t="shared" si="708"/>
        <v>2.7E-2</v>
      </c>
      <c r="EP265" s="460">
        <f t="shared" si="709"/>
        <v>67.25</v>
      </c>
      <c r="EQ265" s="460"/>
      <c r="ER265" s="460">
        <f t="shared" si="710"/>
        <v>2070.7495436059826</v>
      </c>
      <c r="ES265" s="528">
        <f t="shared" si="711"/>
        <v>0.34299999999999997</v>
      </c>
      <c r="EV265" s="460">
        <f t="shared" si="712"/>
        <v>343</v>
      </c>
      <c r="EW265" s="528">
        <f t="shared" si="713"/>
        <v>5.2399722860448908E-3</v>
      </c>
      <c r="EX265" s="528">
        <f t="shared" si="714"/>
        <v>3.3026694380621772E-2</v>
      </c>
      <c r="EY265" s="528">
        <f t="shared" si="715"/>
        <v>0.61329003323211972</v>
      </c>
      <c r="EZ265" s="528"/>
      <c r="FA265" s="528">
        <f t="shared" si="716"/>
        <v>6.6966666666666667E-3</v>
      </c>
      <c r="FB265" s="460">
        <f t="shared" si="717"/>
        <v>658.25336656545312</v>
      </c>
      <c r="FC265" s="173">
        <f t="shared" si="718"/>
        <v>3.0720029101714359</v>
      </c>
      <c r="FD265" s="5">
        <f t="shared" si="719"/>
        <v>7.84</v>
      </c>
      <c r="FE265" s="173">
        <f t="shared" si="720"/>
        <v>0.7184748817004144</v>
      </c>
      <c r="FF265" s="5">
        <f t="shared" si="721"/>
        <v>71.847488170041444</v>
      </c>
      <c r="FI265" s="562">
        <f t="shared" si="676"/>
        <v>-50</v>
      </c>
      <c r="FJ265">
        <f t="shared" si="677"/>
        <v>-50</v>
      </c>
      <c r="FL265">
        <f t="shared" si="760"/>
        <v>0.50097465979438283</v>
      </c>
    </row>
    <row r="266" spans="5:168">
      <c r="E266" s="170">
        <v>50</v>
      </c>
      <c r="F266" s="217">
        <f t="shared" si="761"/>
        <v>0.5</v>
      </c>
      <c r="G266" s="217"/>
      <c r="H266" s="217">
        <f t="shared" si="726"/>
        <v>8</v>
      </c>
      <c r="I266" s="541">
        <f t="shared" si="727"/>
        <v>59.951204996352573</v>
      </c>
      <c r="J266" s="172">
        <f t="shared" si="728"/>
        <v>16.429277002188453</v>
      </c>
      <c r="K266" s="172">
        <f t="shared" si="729"/>
        <v>76.380481998541029</v>
      </c>
      <c r="L266" s="443"/>
      <c r="M266" s="217">
        <f t="shared" si="730"/>
        <v>0.21510158148434058</v>
      </c>
      <c r="N266" s="172">
        <f t="shared" si="731"/>
        <v>33.2061674420139</v>
      </c>
      <c r="O266" s="172">
        <f t="shared" si="762"/>
        <v>8</v>
      </c>
      <c r="P266" s="217">
        <f t="shared" si="732"/>
        <v>2.0753854651258687</v>
      </c>
      <c r="Q266" s="217">
        <f t="shared" si="733"/>
        <v>16</v>
      </c>
      <c r="R266" s="217"/>
      <c r="S266" s="172">
        <f t="shared" si="734"/>
        <v>239.90461200271153</v>
      </c>
      <c r="T266" s="172">
        <f t="shared" si="735"/>
        <v>16</v>
      </c>
      <c r="U266" s="217">
        <f t="shared" si="736"/>
        <v>1.2407333689425404</v>
      </c>
      <c r="V266" s="217">
        <f t="shared" si="737"/>
        <v>0.24834864333779977</v>
      </c>
      <c r="W266" s="217">
        <f t="shared" si="738"/>
        <v>0.90623588763688323</v>
      </c>
      <c r="X266" s="197">
        <f t="shared" si="739"/>
        <v>350</v>
      </c>
      <c r="Y266" s="443">
        <f t="shared" si="680"/>
        <v>350</v>
      </c>
      <c r="AA266" s="217">
        <f t="shared" si="740"/>
        <v>3.0703273667631561</v>
      </c>
      <c r="AB266" s="173">
        <f t="shared" si="741"/>
        <v>2.2425775885481811</v>
      </c>
      <c r="AC266" s="173">
        <f t="shared" si="742"/>
        <v>1.2049532848866109</v>
      </c>
      <c r="AD266" s="173"/>
      <c r="AE266" s="173">
        <f t="shared" si="743"/>
        <v>0.73040341327263203</v>
      </c>
      <c r="AF266" s="545">
        <f t="shared" si="744"/>
        <v>1369.1064168490375</v>
      </c>
      <c r="AG266" s="528">
        <f t="shared" si="745"/>
        <v>0.12782059732271062</v>
      </c>
      <c r="AI266" s="173">
        <f t="shared" si="746"/>
        <v>1.9778100564939696</v>
      </c>
      <c r="AJ266" s="173">
        <f t="shared" si="747"/>
        <v>1.9778100564939696</v>
      </c>
      <c r="AK266" s="173">
        <f t="shared" si="748"/>
        <v>1.9243037455510885</v>
      </c>
      <c r="AM266" s="545">
        <f t="shared" si="749"/>
        <v>500</v>
      </c>
      <c r="AN266" s="460">
        <f t="shared" si="750"/>
        <v>350</v>
      </c>
      <c r="AP266">
        <f t="shared" si="751"/>
        <v>500</v>
      </c>
      <c r="AQ266">
        <f t="shared" si="752"/>
        <v>350</v>
      </c>
      <c r="AS266" s="5">
        <f t="shared" si="763"/>
        <v>2.8571428571428572</v>
      </c>
      <c r="AT266" s="5">
        <f t="shared" si="753"/>
        <v>0.39588396395654751</v>
      </c>
      <c r="AU266" s="5">
        <f t="shared" si="722"/>
        <v>2.4612588931863097</v>
      </c>
      <c r="AV266" s="5"/>
      <c r="AW266" s="173">
        <f t="shared" si="723"/>
        <v>0.13855938738479162</v>
      </c>
      <c r="AX266" s="173">
        <f t="shared" si="631"/>
        <v>8.2146385010942264</v>
      </c>
      <c r="AY266" s="173">
        <f t="shared" si="632"/>
        <v>0.85188295335134245</v>
      </c>
      <c r="AZ266" s="173">
        <f t="shared" si="633"/>
        <v>9.6429192165161908</v>
      </c>
      <c r="BA266" s="460">
        <f t="shared" si="724"/>
        <v>1.2371373873642109</v>
      </c>
      <c r="BB266" s="5">
        <f t="shared" si="725"/>
        <v>0.27369579347471579</v>
      </c>
      <c r="BD266" s="173">
        <f t="shared" si="681"/>
        <v>0.42505186953301843</v>
      </c>
      <c r="BE266" s="173">
        <f t="shared" si="682"/>
        <v>1.0598310154906987</v>
      </c>
      <c r="BG266" s="528">
        <f t="shared" si="683"/>
        <v>3.6133818358702824E-3</v>
      </c>
      <c r="BH266" s="528">
        <f t="shared" si="754"/>
        <v>0.96493462059834778</v>
      </c>
      <c r="BI266" s="528">
        <f t="shared" si="755"/>
        <v>0.48260720022063819</v>
      </c>
      <c r="BJ266" s="528">
        <f t="shared" si="684"/>
        <v>1.005631962978039</v>
      </c>
      <c r="BK266">
        <f t="shared" si="685"/>
        <v>2.6978042248358657E-2</v>
      </c>
      <c r="BL266" s="460">
        <f t="shared" si="686"/>
        <v>509.58524246899685</v>
      </c>
      <c r="BM266" s="528">
        <f t="shared" si="756"/>
        <v>1.9768527847571864</v>
      </c>
      <c r="BN266" s="460">
        <f t="shared" si="687"/>
        <v>1976.8527847571863</v>
      </c>
      <c r="BO266" s="528">
        <f t="shared" si="637"/>
        <v>0.35</v>
      </c>
      <c r="BR266" s="460">
        <f t="shared" si="688"/>
        <v>350</v>
      </c>
      <c r="BS266" s="528">
        <f t="shared" si="689"/>
        <v>5.4200727538054232E-3</v>
      </c>
      <c r="BT266" s="528">
        <f t="shared" si="690"/>
        <v>3.3697253441881368E-2</v>
      </c>
      <c r="BU266" s="528">
        <f t="shared" si="691"/>
        <v>0.63037875363913864</v>
      </c>
      <c r="BV266" s="528"/>
      <c r="BW266" s="528">
        <f t="shared" si="692"/>
        <v>6.8455320842451895E-3</v>
      </c>
      <c r="BX266" s="460">
        <f t="shared" si="693"/>
        <v>676.3416119190706</v>
      </c>
      <c r="BY266" s="173">
        <f t="shared" si="694"/>
        <v>3.5101068198003249</v>
      </c>
      <c r="BZ266" s="5">
        <f t="shared" si="695"/>
        <v>8</v>
      </c>
      <c r="CA266" s="173">
        <f t="shared" si="696"/>
        <v>0.69504133412888547</v>
      </c>
      <c r="CB266" s="5">
        <f t="shared" si="697"/>
        <v>69.50413341288855</v>
      </c>
      <c r="CE266" s="562">
        <f t="shared" si="757"/>
        <v>-50</v>
      </c>
      <c r="CF266">
        <f t="shared" si="758"/>
        <v>-50</v>
      </c>
      <c r="CG266" s="173">
        <f t="shared" si="759"/>
        <v>0.51234753829797997</v>
      </c>
      <c r="CI266" s="170">
        <v>50</v>
      </c>
      <c r="CJ266" s="217">
        <f t="shared" si="698"/>
        <v>0.5</v>
      </c>
      <c r="CK266" s="217"/>
      <c r="CL266" s="217">
        <f t="shared" si="641"/>
        <v>8</v>
      </c>
      <c r="CM266" s="541">
        <f t="shared" si="642"/>
        <v>60</v>
      </c>
      <c r="CN266" s="443">
        <f t="shared" si="643"/>
        <v>16.399999999999999</v>
      </c>
      <c r="CO266" s="443">
        <f t="shared" si="644"/>
        <v>76.400000000000006</v>
      </c>
      <c r="CP266" s="443"/>
      <c r="CQ266" s="217">
        <f t="shared" si="645"/>
        <v>0.21465968586387432</v>
      </c>
      <c r="CR266" s="172">
        <f t="shared" si="646"/>
        <v>33.164921465968582</v>
      </c>
      <c r="CS266" s="172">
        <f t="shared" si="647"/>
        <v>8</v>
      </c>
      <c r="CT266" s="217">
        <f t="shared" si="648"/>
        <v>2.0728075916230364</v>
      </c>
      <c r="CU266" s="217">
        <f t="shared" si="649"/>
        <v>16</v>
      </c>
      <c r="CV266" s="217"/>
      <c r="CW266" s="172">
        <f t="shared" si="650"/>
        <v>240.09979218602166</v>
      </c>
      <c r="CX266" s="172">
        <f t="shared" si="651"/>
        <v>16</v>
      </c>
      <c r="CY266" s="217">
        <f t="shared" si="652"/>
        <v>1.2422764227642278</v>
      </c>
      <c r="CZ266" s="217">
        <f t="shared" si="653"/>
        <v>0.24845528455284557</v>
      </c>
      <c r="DA266" s="217">
        <f t="shared" si="654"/>
        <v>0.90898274836406912</v>
      </c>
      <c r="DB266" s="197">
        <f t="shared" si="655"/>
        <v>350</v>
      </c>
      <c r="DC266" s="443">
        <f t="shared" si="656"/>
        <v>350</v>
      </c>
      <c r="DE266" s="217">
        <f t="shared" si="657"/>
        <v>3.06656694091249</v>
      </c>
      <c r="DF266" s="173">
        <f t="shared" si="658"/>
        <v>2.2438294689603588</v>
      </c>
      <c r="DG266" s="173">
        <f t="shared" si="659"/>
        <v>1.2041493223478366</v>
      </c>
      <c r="DH266" s="173"/>
      <c r="DI266" s="173">
        <f t="shared" si="660"/>
        <v>0.73170731707317083</v>
      </c>
      <c r="DJ266" s="545">
        <f t="shared" si="661"/>
        <v>1366.6666666666665</v>
      </c>
      <c r="DK266" s="528">
        <f t="shared" si="662"/>
        <v>0.12804878048780488</v>
      </c>
      <c r="DM266" s="173">
        <f t="shared" si="663"/>
        <v>1.9760470401187074</v>
      </c>
      <c r="DN266" s="173">
        <f t="shared" si="664"/>
        <v>1.9760470401187074</v>
      </c>
      <c r="DO266" s="173">
        <f t="shared" si="665"/>
        <v>1.9229978074953387</v>
      </c>
      <c r="DQ266" s="545">
        <f t="shared" si="666"/>
        <v>500</v>
      </c>
      <c r="DR266" s="460">
        <f t="shared" si="667"/>
        <v>350</v>
      </c>
      <c r="DT266">
        <f t="shared" si="668"/>
        <v>500</v>
      </c>
      <c r="DU266">
        <f t="shared" si="669"/>
        <v>350</v>
      </c>
      <c r="DW266" s="5">
        <f t="shared" si="670"/>
        <v>2.8571428571428572</v>
      </c>
      <c r="DX266" s="5">
        <f t="shared" si="671"/>
        <v>0.39520940802374149</v>
      </c>
      <c r="DY266" s="5">
        <f t="shared" si="672"/>
        <v>2.4619334491191158</v>
      </c>
      <c r="DZ266" s="5"/>
      <c r="EA266" s="173">
        <f t="shared" si="673"/>
        <v>0.13832329280830952</v>
      </c>
      <c r="EB266" s="173">
        <f t="shared" si="699"/>
        <v>8.1999999999999993</v>
      </c>
      <c r="EC266" s="173">
        <f t="shared" si="700"/>
        <v>0.85135685339268696</v>
      </c>
      <c r="ED266" s="173">
        <f t="shared" si="701"/>
        <v>9.6316837849166443</v>
      </c>
      <c r="EE266" s="460">
        <f t="shared" si="674"/>
        <v>1.2350294000741922</v>
      </c>
      <c r="EF266" s="5">
        <f t="shared" si="675"/>
        <v>0.27354816101323504</v>
      </c>
      <c r="EH266" s="173">
        <f t="shared" si="702"/>
        <v>0.4243110196931465</v>
      </c>
      <c r="EI266" s="173">
        <f t="shared" si="703"/>
        <v>1.0590313782670764</v>
      </c>
      <c r="EK266" s="528">
        <f t="shared" si="704"/>
        <v>3.6007968286607549E-3</v>
      </c>
      <c r="EL266" s="528">
        <f t="shared" si="705"/>
        <v>1.0039504592027106</v>
      </c>
      <c r="EM266" s="528">
        <f t="shared" si="706"/>
        <v>4.0250000000000001E-2</v>
      </c>
      <c r="EN266" s="528">
        <f t="shared" si="707"/>
        <v>1.0061459800000001</v>
      </c>
      <c r="EO266">
        <f t="shared" si="708"/>
        <v>2.7E-2</v>
      </c>
      <c r="EP266" s="460">
        <f t="shared" si="709"/>
        <v>67.25</v>
      </c>
      <c r="EQ266" s="460"/>
      <c r="ER266" s="460">
        <f t="shared" si="710"/>
        <v>2080.9472360313716</v>
      </c>
      <c r="ES266" s="528">
        <f t="shared" si="711"/>
        <v>0.35</v>
      </c>
      <c r="EV266" s="460">
        <f t="shared" si="712"/>
        <v>350</v>
      </c>
      <c r="EW266" s="528">
        <f t="shared" si="713"/>
        <v>5.4011952429911326E-3</v>
      </c>
      <c r="EX266" s="528">
        <f t="shared" si="714"/>
        <v>3.3646423804627901E-2</v>
      </c>
      <c r="EY266" s="528">
        <f t="shared" si="715"/>
        <v>0.62897489641787385</v>
      </c>
      <c r="EZ266" s="528"/>
      <c r="FA266" s="528">
        <f t="shared" si="716"/>
        <v>6.8333333333333319E-3</v>
      </c>
      <c r="FB266" s="460">
        <f t="shared" si="717"/>
        <v>674.85584879882617</v>
      </c>
      <c r="FC266" s="173">
        <f t="shared" si="718"/>
        <v>3.1058030848301974</v>
      </c>
      <c r="FD266" s="5">
        <f t="shared" si="719"/>
        <v>8</v>
      </c>
      <c r="FE266" s="173">
        <f t="shared" si="720"/>
        <v>0.72034412449897278</v>
      </c>
      <c r="FF266" s="5">
        <f t="shared" si="721"/>
        <v>72.034412449897275</v>
      </c>
      <c r="FI266" s="562">
        <f t="shared" si="676"/>
        <v>-50</v>
      </c>
      <c r="FJ266">
        <f t="shared" si="677"/>
        <v>-50</v>
      </c>
      <c r="FL266">
        <f t="shared" si="760"/>
        <v>0.50606082734747393</v>
      </c>
    </row>
    <row r="267" spans="5:168">
      <c r="E267" s="170">
        <v>51</v>
      </c>
      <c r="F267" s="217">
        <f t="shared" si="761"/>
        <v>0.51</v>
      </c>
      <c r="G267" s="217"/>
      <c r="H267" s="217">
        <f t="shared" si="726"/>
        <v>8.16</v>
      </c>
      <c r="I267" s="541">
        <f t="shared" si="727"/>
        <v>59.950719461969541</v>
      </c>
      <c r="J267" s="172">
        <f t="shared" si="728"/>
        <v>16.429568322818273</v>
      </c>
      <c r="K267" s="172">
        <f t="shared" si="729"/>
        <v>76.380287784787811</v>
      </c>
      <c r="L267" s="443"/>
      <c r="M267" s="217">
        <f t="shared" si="730"/>
        <v>0.21510597967763456</v>
      </c>
      <c r="N267" s="172">
        <f t="shared" si="731"/>
        <v>33.206577473783426</v>
      </c>
      <c r="O267" s="172">
        <f t="shared" si="762"/>
        <v>8.16</v>
      </c>
      <c r="P267" s="217">
        <f t="shared" si="732"/>
        <v>2.0754110921114641</v>
      </c>
      <c r="Q267" s="217">
        <f t="shared" si="733"/>
        <v>16</v>
      </c>
      <c r="R267" s="217"/>
      <c r="S267" s="172">
        <f t="shared" si="734"/>
        <v>234.02764924779493</v>
      </c>
      <c r="T267" s="172">
        <f t="shared" si="735"/>
        <v>16</v>
      </c>
      <c r="U267" s="217">
        <f t="shared" si="736"/>
        <v>1.2655324094504448</v>
      </c>
      <c r="V267" s="217">
        <f t="shared" si="737"/>
        <v>0.2533145398369907</v>
      </c>
      <c r="W267" s="217">
        <f t="shared" si="738"/>
        <v>0.92433280138673268</v>
      </c>
      <c r="X267" s="197">
        <f t="shared" si="739"/>
        <v>350</v>
      </c>
      <c r="Y267" s="443">
        <f t="shared" si="680"/>
        <v>350</v>
      </c>
      <c r="AA267" s="217">
        <f t="shared" si="740"/>
        <v>3.070364749761886</v>
      </c>
      <c r="AB267" s="173">
        <f t="shared" si="741"/>
        <v>2.2425651285049999</v>
      </c>
      <c r="AC267" s="173">
        <f t="shared" si="742"/>
        <v>1.2049612609312224</v>
      </c>
      <c r="AD267" s="173"/>
      <c r="AE267" s="173">
        <f t="shared" si="743"/>
        <v>0.73039046213610803</v>
      </c>
      <c r="AF267" s="545">
        <f t="shared" si="744"/>
        <v>1396.513307439553</v>
      </c>
      <c r="AG267" s="528">
        <f t="shared" si="745"/>
        <v>0.12781833087381891</v>
      </c>
      <c r="AI267" s="173">
        <f t="shared" si="746"/>
        <v>1.9975079527390789</v>
      </c>
      <c r="AJ267" s="173">
        <f t="shared" si="747"/>
        <v>1.9975079527390789</v>
      </c>
      <c r="AK267" s="173">
        <f t="shared" si="748"/>
        <v>1.9388947798067251</v>
      </c>
      <c r="AM267" s="545">
        <f t="shared" si="749"/>
        <v>510</v>
      </c>
      <c r="AN267" s="460">
        <f t="shared" si="750"/>
        <v>350</v>
      </c>
      <c r="AP267">
        <f t="shared" si="751"/>
        <v>510</v>
      </c>
      <c r="AQ267">
        <f t="shared" si="752"/>
        <v>350</v>
      </c>
      <c r="AS267" s="5">
        <f t="shared" si="763"/>
        <v>2.8571428571428572</v>
      </c>
      <c r="AT267" s="5">
        <f t="shared" si="753"/>
        <v>0.39982998782983187</v>
      </c>
      <c r="AU267" s="5">
        <f t="shared" si="722"/>
        <v>2.4573128693130255</v>
      </c>
      <c r="AV267" s="5"/>
      <c r="AW267" s="173">
        <f t="shared" si="723"/>
        <v>0.13994049574044115</v>
      </c>
      <c r="AX267" s="173">
        <f t="shared" si="631"/>
        <v>8.3790798446373191</v>
      </c>
      <c r="AY267" s="173">
        <f t="shared" si="632"/>
        <v>0.85898784979364928</v>
      </c>
      <c r="AZ267" s="173">
        <f t="shared" si="633"/>
        <v>9.7545964668186951</v>
      </c>
      <c r="BA267" s="460">
        <f t="shared" si="724"/>
        <v>1.2744580862075892</v>
      </c>
      <c r="BB267" s="5">
        <f t="shared" si="725"/>
        <v>0.27872438665108246</v>
      </c>
      <c r="BD267" s="173">
        <f t="shared" si="681"/>
        <v>0.43141932375117165</v>
      </c>
      <c r="BE267" s="173">
        <f t="shared" si="682"/>
        <v>1.069527952344415</v>
      </c>
      <c r="BG267" s="528">
        <f t="shared" si="683"/>
        <v>3.7224526581183656E-3</v>
      </c>
      <c r="BH267" s="528">
        <f t="shared" si="754"/>
        <v>0.97454235870519168</v>
      </c>
      <c r="BI267" s="528">
        <f t="shared" si="755"/>
        <v>0.48260329166885485</v>
      </c>
      <c r="BJ267" s="528">
        <f t="shared" si="684"/>
        <v>1.0056268489147477</v>
      </c>
      <c r="BK267">
        <f t="shared" si="685"/>
        <v>2.6977823757886293E-2</v>
      </c>
      <c r="BL267" s="460">
        <f t="shared" si="686"/>
        <v>509.58111542674112</v>
      </c>
      <c r="BM267" s="528">
        <f t="shared" si="756"/>
        <v>1.9866538279135706</v>
      </c>
      <c r="BN267" s="460">
        <f t="shared" si="687"/>
        <v>1986.6538279135707</v>
      </c>
      <c r="BO267" s="528">
        <f t="shared" si="637"/>
        <v>0.35699999999999998</v>
      </c>
      <c r="BR267" s="460">
        <f t="shared" si="688"/>
        <v>357</v>
      </c>
      <c r="BS267" s="528">
        <f t="shared" si="689"/>
        <v>5.5836789871775479E-3</v>
      </c>
      <c r="BT267" s="528">
        <f t="shared" si="690"/>
        <v>3.4316701225381115E-2</v>
      </c>
      <c r="BU267" s="528">
        <f t="shared" si="691"/>
        <v>0.64619174825548298</v>
      </c>
      <c r="BV267" s="528"/>
      <c r="BW267" s="528">
        <f t="shared" si="692"/>
        <v>6.9825665371977663E-3</v>
      </c>
      <c r="BX267" s="460">
        <f t="shared" si="693"/>
        <v>693.07469500523939</v>
      </c>
      <c r="BY267" s="173">
        <f t="shared" si="694"/>
        <v>3.5435474707100387</v>
      </c>
      <c r="BZ267" s="5">
        <f t="shared" si="695"/>
        <v>8.16</v>
      </c>
      <c r="CA267" s="173">
        <f t="shared" si="696"/>
        <v>0.69722449713829748</v>
      </c>
      <c r="CB267" s="5">
        <f t="shared" si="697"/>
        <v>69.722449713829747</v>
      </c>
      <c r="CE267" s="562">
        <f t="shared" si="757"/>
        <v>-50</v>
      </c>
      <c r="CF267">
        <f t="shared" si="758"/>
        <v>-50</v>
      </c>
      <c r="CG267" s="173">
        <f t="shared" si="759"/>
        <v>0.5174456493198103</v>
      </c>
      <c r="CI267" s="170">
        <v>51</v>
      </c>
      <c r="CJ267" s="217">
        <f t="shared" si="698"/>
        <v>0.51</v>
      </c>
      <c r="CK267" s="217"/>
      <c r="CL267" s="217">
        <f t="shared" si="641"/>
        <v>8.16</v>
      </c>
      <c r="CM267" s="541">
        <f t="shared" si="642"/>
        <v>60</v>
      </c>
      <c r="CN267" s="443">
        <f t="shared" si="643"/>
        <v>16.399999999999999</v>
      </c>
      <c r="CO267" s="443">
        <f t="shared" si="644"/>
        <v>76.400000000000006</v>
      </c>
      <c r="CP267" s="443"/>
      <c r="CQ267" s="217">
        <f t="shared" si="645"/>
        <v>0.21465968586387432</v>
      </c>
      <c r="CR267" s="172">
        <f t="shared" si="646"/>
        <v>33.164921465968582</v>
      </c>
      <c r="CS267" s="172">
        <f t="shared" si="647"/>
        <v>8.16</v>
      </c>
      <c r="CT267" s="217">
        <f t="shared" si="648"/>
        <v>2.0728075916230364</v>
      </c>
      <c r="CU267" s="217">
        <f t="shared" si="649"/>
        <v>16</v>
      </c>
      <c r="CV267" s="217"/>
      <c r="CW267" s="172">
        <f t="shared" si="650"/>
        <v>234.21994015456039</v>
      </c>
      <c r="CX267" s="172">
        <f t="shared" si="651"/>
        <v>16</v>
      </c>
      <c r="CY267" s="217">
        <f t="shared" si="652"/>
        <v>1.2671219512195124</v>
      </c>
      <c r="CZ267" s="217">
        <f t="shared" si="653"/>
        <v>0.25342439024390251</v>
      </c>
      <c r="DA267" s="217">
        <f t="shared" si="654"/>
        <v>0.92716240333135069</v>
      </c>
      <c r="DB267" s="197">
        <f t="shared" si="655"/>
        <v>350</v>
      </c>
      <c r="DC267" s="443">
        <f t="shared" si="656"/>
        <v>350</v>
      </c>
      <c r="DE267" s="217">
        <f t="shared" si="657"/>
        <v>3.06656694091249</v>
      </c>
      <c r="DF267" s="173">
        <f t="shared" si="658"/>
        <v>2.2438294689603588</v>
      </c>
      <c r="DG267" s="173">
        <f t="shared" si="659"/>
        <v>1.2041493223478366</v>
      </c>
      <c r="DH267" s="173"/>
      <c r="DI267" s="173">
        <f t="shared" si="660"/>
        <v>0.73170731707317083</v>
      </c>
      <c r="DJ267" s="545">
        <f t="shared" si="661"/>
        <v>1393.9999999999998</v>
      </c>
      <c r="DK267" s="528">
        <f t="shared" si="662"/>
        <v>0.12804878048780488</v>
      </c>
      <c r="DM267" s="173">
        <f t="shared" si="663"/>
        <v>1.9957096840114652</v>
      </c>
      <c r="DN267" s="173">
        <f t="shared" si="664"/>
        <v>1.9957096840114652</v>
      </c>
      <c r="DO267" s="173">
        <f t="shared" si="665"/>
        <v>1.9375627288973816</v>
      </c>
      <c r="DQ267" s="545">
        <f t="shared" si="666"/>
        <v>510</v>
      </c>
      <c r="DR267" s="460">
        <f t="shared" si="667"/>
        <v>350</v>
      </c>
      <c r="DT267">
        <f t="shared" si="668"/>
        <v>510</v>
      </c>
      <c r="DU267">
        <f t="shared" si="669"/>
        <v>350</v>
      </c>
      <c r="DW267" s="5">
        <f t="shared" si="670"/>
        <v>2.8571428571428572</v>
      </c>
      <c r="DX267" s="5">
        <f t="shared" si="671"/>
        <v>0.3991419368022931</v>
      </c>
      <c r="DY267" s="5">
        <f t="shared" si="672"/>
        <v>2.4580009203405639</v>
      </c>
      <c r="DZ267" s="5"/>
      <c r="EA267" s="173">
        <f t="shared" si="673"/>
        <v>0.13969967788080259</v>
      </c>
      <c r="EB267" s="173">
        <f t="shared" si="699"/>
        <v>8.3640000000000008</v>
      </c>
      <c r="EC267" s="173">
        <f t="shared" si="700"/>
        <v>0.85845484200573252</v>
      </c>
      <c r="ED267" s="173">
        <f t="shared" si="701"/>
        <v>9.7430867539380106</v>
      </c>
      <c r="EE267" s="460">
        <f t="shared" si="674"/>
        <v>1.2722649235573094</v>
      </c>
      <c r="EF267" s="5">
        <f t="shared" si="675"/>
        <v>0.27857343763859721</v>
      </c>
      <c r="EH267" s="173">
        <f t="shared" si="702"/>
        <v>0.43065990444990215</v>
      </c>
      <c r="EI267" s="173">
        <f t="shared" si="703"/>
        <v>1.068714692665095</v>
      </c>
      <c r="EK267" s="528">
        <f t="shared" si="704"/>
        <v>3.7093590660159772E-3</v>
      </c>
      <c r="EL267" s="528">
        <f t="shared" si="705"/>
        <v>1.0139402620588653</v>
      </c>
      <c r="EM267" s="528">
        <f t="shared" si="706"/>
        <v>4.0250000000000001E-2</v>
      </c>
      <c r="EN267" s="528">
        <f t="shared" si="707"/>
        <v>1.0061459800000001</v>
      </c>
      <c r="EO267">
        <f t="shared" si="708"/>
        <v>2.7E-2</v>
      </c>
      <c r="EP267" s="460">
        <f t="shared" si="709"/>
        <v>67.25</v>
      </c>
      <c r="EQ267" s="460"/>
      <c r="ER267" s="460">
        <f t="shared" si="710"/>
        <v>2091.0456011248816</v>
      </c>
      <c r="ES267" s="528">
        <f t="shared" si="711"/>
        <v>0.35699999999999998</v>
      </c>
      <c r="EV267" s="460">
        <f t="shared" si="712"/>
        <v>357</v>
      </c>
      <c r="EW267" s="528">
        <f t="shared" si="713"/>
        <v>5.5640385990239653E-3</v>
      </c>
      <c r="EX267" s="528">
        <f t="shared" si="714"/>
        <v>3.4264532829547452E-2</v>
      </c>
      <c r="EY267" s="528">
        <f t="shared" si="715"/>
        <v>0.64473838490585988</v>
      </c>
      <c r="EZ267" s="528"/>
      <c r="FA267" s="528">
        <f t="shared" si="716"/>
        <v>6.9699999999999996E-3</v>
      </c>
      <c r="FB267" s="460">
        <f t="shared" si="717"/>
        <v>691.53695633443135</v>
      </c>
      <c r="FC267" s="173">
        <f t="shared" si="718"/>
        <v>3.1395825574593133</v>
      </c>
      <c r="FD267" s="5">
        <f t="shared" si="719"/>
        <v>8.16</v>
      </c>
      <c r="FE267" s="173">
        <f t="shared" si="720"/>
        <v>0.72215057136011207</v>
      </c>
      <c r="FF267" s="5">
        <f t="shared" si="721"/>
        <v>72.215057136011211</v>
      </c>
      <c r="FI267" s="562">
        <f t="shared" si="676"/>
        <v>-50</v>
      </c>
      <c r="FJ267">
        <f t="shared" si="677"/>
        <v>-50</v>
      </c>
      <c r="FL267">
        <f t="shared" si="760"/>
        <v>0.51109638249074119</v>
      </c>
    </row>
    <row r="268" spans="5:168">
      <c r="E268" s="170">
        <v>52</v>
      </c>
      <c r="F268" s="217">
        <f t="shared" si="761"/>
        <v>0.52</v>
      </c>
      <c r="G268" s="217"/>
      <c r="H268" s="217">
        <f t="shared" si="726"/>
        <v>8.32</v>
      </c>
      <c r="I268" s="541">
        <f t="shared" si="727"/>
        <v>59.950238664847191</v>
      </c>
      <c r="J268" s="172">
        <f t="shared" si="728"/>
        <v>16.429856801091685</v>
      </c>
      <c r="K268" s="172">
        <f t="shared" si="729"/>
        <v>76.380095465938879</v>
      </c>
      <c r="L268" s="443"/>
      <c r="M268" s="217">
        <f t="shared" si="730"/>
        <v>0.21511033498027674</v>
      </c>
      <c r="N268" s="172">
        <f t="shared" si="731"/>
        <v>33.206983497457756</v>
      </c>
      <c r="O268" s="172">
        <f t="shared" si="762"/>
        <v>8.32</v>
      </c>
      <c r="P268" s="217">
        <f t="shared" si="732"/>
        <v>2.0754364685911098</v>
      </c>
      <c r="Q268" s="217">
        <f t="shared" si="733"/>
        <v>16</v>
      </c>
      <c r="R268" s="217"/>
      <c r="S268" s="172">
        <f t="shared" si="734"/>
        <v>228.3768813092305</v>
      </c>
      <c r="T268" s="172">
        <f t="shared" si="735"/>
        <v>16</v>
      </c>
      <c r="U268" s="217">
        <f t="shared" si="736"/>
        <v>1.2903309932767708</v>
      </c>
      <c r="V268" s="217">
        <f t="shared" si="737"/>
        <v>0.25828040495192439</v>
      </c>
      <c r="W268" s="217">
        <f t="shared" si="738"/>
        <v>0.94242890286739534</v>
      </c>
      <c r="X268" s="197">
        <f t="shared" si="739"/>
        <v>350</v>
      </c>
      <c r="Y268" s="443">
        <f t="shared" si="680"/>
        <v>350</v>
      </c>
      <c r="AA268" s="217">
        <f t="shared" si="740"/>
        <v>3.0704017673406212</v>
      </c>
      <c r="AB268" s="173">
        <f t="shared" si="741"/>
        <v>2.2425527899694959</v>
      </c>
      <c r="AC268" s="173">
        <f t="shared" si="742"/>
        <v>1.2049691586934717</v>
      </c>
      <c r="AD268" s="173"/>
      <c r="AE268" s="173">
        <f t="shared" si="743"/>
        <v>0.73037763781377929</v>
      </c>
      <c r="AF268" s="545">
        <f t="shared" si="744"/>
        <v>1423.9209227612794</v>
      </c>
      <c r="AG268" s="528">
        <f t="shared" si="745"/>
        <v>0.12781608661741137</v>
      </c>
      <c r="AI268" s="173">
        <f t="shared" si="746"/>
        <v>2.0170140043152043</v>
      </c>
      <c r="AJ268" s="173">
        <f t="shared" si="747"/>
        <v>2.0170140043152043</v>
      </c>
      <c r="AK268" s="173">
        <f t="shared" si="748"/>
        <v>1.9533437069001514</v>
      </c>
      <c r="AM268" s="545">
        <f t="shared" si="749"/>
        <v>520</v>
      </c>
      <c r="AN268" s="460">
        <f t="shared" si="750"/>
        <v>350</v>
      </c>
      <c r="AP268">
        <f t="shared" si="751"/>
        <v>520</v>
      </c>
      <c r="AQ268">
        <f t="shared" si="752"/>
        <v>350</v>
      </c>
      <c r="AS268" s="5">
        <f t="shared" si="763"/>
        <v>2.8571428571428572</v>
      </c>
      <c r="AT268" s="5">
        <f t="shared" si="753"/>
        <v>0.40373764293243697</v>
      </c>
      <c r="AU268" s="5">
        <f t="shared" si="722"/>
        <v>2.4534052142104201</v>
      </c>
      <c r="AV268" s="5"/>
      <c r="AW268" s="173">
        <f t="shared" si="723"/>
        <v>0.14130817502635293</v>
      </c>
      <c r="AX268" s="173">
        <f t="shared" si="631"/>
        <v>8.5435255365676745</v>
      </c>
      <c r="AY268" s="173">
        <f t="shared" si="632"/>
        <v>0.86599671818141322</v>
      </c>
      <c r="AZ268" s="173">
        <f t="shared" si="633"/>
        <v>9.8655403157982118</v>
      </c>
      <c r="BA268" s="460">
        <f t="shared" si="724"/>
        <v>1.3121473395304204</v>
      </c>
      <c r="BB268" s="5">
        <f t="shared" si="725"/>
        <v>0.28373992382174062</v>
      </c>
      <c r="BD268" s="173">
        <f t="shared" si="681"/>
        <v>0.43775582123592582</v>
      </c>
      <c r="BE268" s="173">
        <f t="shared" si="682"/>
        <v>1.079113064284096</v>
      </c>
      <c r="BG268" s="528">
        <f t="shared" si="683"/>
        <v>3.8326031805187974E-3</v>
      </c>
      <c r="BH268" s="528">
        <f t="shared" si="754"/>
        <v>0.98405647558910658</v>
      </c>
      <c r="BI268" s="528">
        <f t="shared" si="755"/>
        <v>0.48259942125201993</v>
      </c>
      <c r="BJ268" s="528">
        <f t="shared" si="684"/>
        <v>1.005621784761151</v>
      </c>
      <c r="BK268">
        <f t="shared" si="685"/>
        <v>2.6977607399181234E-2</v>
      </c>
      <c r="BL268" s="460">
        <f t="shared" si="686"/>
        <v>509.57702865120115</v>
      </c>
      <c r="BM268" s="528">
        <f t="shared" si="756"/>
        <v>1.9963636080259461</v>
      </c>
      <c r="BN268" s="460">
        <f t="shared" si="687"/>
        <v>1996.3636080259462</v>
      </c>
      <c r="BO268" s="528">
        <f t="shared" si="637"/>
        <v>0.36399999999999999</v>
      </c>
      <c r="BR268" s="460">
        <f t="shared" si="688"/>
        <v>364</v>
      </c>
      <c r="BS268" s="528">
        <f t="shared" si="689"/>
        <v>5.7489047707781956E-3</v>
      </c>
      <c r="BT268" s="528">
        <f t="shared" si="690"/>
        <v>3.4934550165258343E-2</v>
      </c>
      <c r="BU268" s="528">
        <f t="shared" si="691"/>
        <v>0.6620829425135305</v>
      </c>
      <c r="BV268" s="528"/>
      <c r="BW268" s="528">
        <f t="shared" si="692"/>
        <v>7.1196046138063962E-3</v>
      </c>
      <c r="BX268" s="460">
        <f t="shared" si="693"/>
        <v>709.88600206337344</v>
      </c>
      <c r="BY268" s="173">
        <f t="shared" si="694"/>
        <v>3.5769738942453517</v>
      </c>
      <c r="BZ268" s="5">
        <f t="shared" si="695"/>
        <v>8.32</v>
      </c>
      <c r="CA268" s="173">
        <f t="shared" si="696"/>
        <v>0.69933750161664565</v>
      </c>
      <c r="CB268" s="5">
        <f t="shared" si="697"/>
        <v>69.933750161664562</v>
      </c>
      <c r="CE268" s="562">
        <f t="shared" si="757"/>
        <v>-50</v>
      </c>
      <c r="CF268">
        <f t="shared" si="758"/>
        <v>-50</v>
      </c>
      <c r="CG268" s="173">
        <f t="shared" si="759"/>
        <v>0.52249401910452531</v>
      </c>
      <c r="CI268" s="170">
        <v>52</v>
      </c>
      <c r="CJ268" s="217">
        <f t="shared" si="698"/>
        <v>0.52</v>
      </c>
      <c r="CK268" s="217"/>
      <c r="CL268" s="217">
        <f t="shared" si="641"/>
        <v>8.32</v>
      </c>
      <c r="CM268" s="541">
        <f t="shared" si="642"/>
        <v>60</v>
      </c>
      <c r="CN268" s="443">
        <f t="shared" si="643"/>
        <v>16.399999999999999</v>
      </c>
      <c r="CO268" s="443">
        <f t="shared" si="644"/>
        <v>76.400000000000006</v>
      </c>
      <c r="CP268" s="443"/>
      <c r="CQ268" s="217">
        <f t="shared" si="645"/>
        <v>0.21465968586387432</v>
      </c>
      <c r="CR268" s="172">
        <f t="shared" si="646"/>
        <v>33.164921465968582</v>
      </c>
      <c r="CS268" s="172">
        <f t="shared" si="647"/>
        <v>8.32</v>
      </c>
      <c r="CT268" s="217">
        <f t="shared" si="648"/>
        <v>2.0728075916230364</v>
      </c>
      <c r="CU268" s="217">
        <f t="shared" si="649"/>
        <v>16</v>
      </c>
      <c r="CV268" s="217"/>
      <c r="CW268" s="172">
        <f t="shared" si="650"/>
        <v>228.56635735404888</v>
      </c>
      <c r="CX268" s="172">
        <f t="shared" si="651"/>
        <v>16</v>
      </c>
      <c r="CY268" s="217">
        <f t="shared" si="652"/>
        <v>1.2919674796747969</v>
      </c>
      <c r="CZ268" s="217">
        <f t="shared" si="653"/>
        <v>0.25839349593495942</v>
      </c>
      <c r="DA268" s="217">
        <f t="shared" si="654"/>
        <v>0.94534205829863205</v>
      </c>
      <c r="DB268" s="197">
        <f t="shared" si="655"/>
        <v>350</v>
      </c>
      <c r="DC268" s="443">
        <f t="shared" si="656"/>
        <v>350</v>
      </c>
      <c r="DE268" s="217">
        <f t="shared" si="657"/>
        <v>3.06656694091249</v>
      </c>
      <c r="DF268" s="173">
        <f t="shared" si="658"/>
        <v>2.2438294689603588</v>
      </c>
      <c r="DG268" s="173">
        <f t="shared" si="659"/>
        <v>1.2041493223478366</v>
      </c>
      <c r="DH268" s="173"/>
      <c r="DI268" s="173">
        <f t="shared" si="660"/>
        <v>0.73170731707317083</v>
      </c>
      <c r="DJ268" s="545">
        <f t="shared" si="661"/>
        <v>1421.3333333333333</v>
      </c>
      <c r="DK268" s="528">
        <f t="shared" si="662"/>
        <v>0.12804878048780488</v>
      </c>
      <c r="DM268" s="173">
        <f t="shared" si="663"/>
        <v>2.015180483468511</v>
      </c>
      <c r="DN268" s="173">
        <f t="shared" si="664"/>
        <v>2.015180483468511</v>
      </c>
      <c r="DO268" s="173">
        <f t="shared" si="665"/>
        <v>1.9519855433100082</v>
      </c>
      <c r="DQ268" s="545">
        <f t="shared" si="666"/>
        <v>520</v>
      </c>
      <c r="DR268" s="460">
        <f t="shared" si="667"/>
        <v>350</v>
      </c>
      <c r="DT268">
        <f t="shared" si="668"/>
        <v>520</v>
      </c>
      <c r="DU268">
        <f t="shared" si="669"/>
        <v>350</v>
      </c>
      <c r="DW268" s="5">
        <f t="shared" si="670"/>
        <v>2.8571428571428572</v>
      </c>
      <c r="DX268" s="5">
        <f t="shared" si="671"/>
        <v>0.40303609669370222</v>
      </c>
      <c r="DY268" s="5">
        <f t="shared" si="672"/>
        <v>2.4541067604491551</v>
      </c>
      <c r="DZ268" s="5"/>
      <c r="EA268" s="173">
        <f t="shared" si="673"/>
        <v>0.14106263384279577</v>
      </c>
      <c r="EB268" s="173">
        <f t="shared" si="699"/>
        <v>8.5280000000000022</v>
      </c>
      <c r="EC268" s="173">
        <f t="shared" si="700"/>
        <v>0.86545690840092204</v>
      </c>
      <c r="ED268" s="173">
        <f t="shared" si="701"/>
        <v>9.8537546089463017</v>
      </c>
      <c r="EE268" s="460">
        <f t="shared" si="674"/>
        <v>1.3098673142545323</v>
      </c>
      <c r="EF268" s="5">
        <f t="shared" si="675"/>
        <v>0.28358567009634672</v>
      </c>
      <c r="EH268" s="173">
        <f t="shared" si="702"/>
        <v>0.43697774114452542</v>
      </c>
      <c r="EI268" s="173">
        <f t="shared" si="703"/>
        <v>1.0782862548484153</v>
      </c>
      <c r="EK268" s="528">
        <f t="shared" si="704"/>
        <v>3.8189909251154374E-3</v>
      </c>
      <c r="EL268" s="528">
        <f t="shared" si="705"/>
        <v>1.0238325964310118</v>
      </c>
      <c r="EM268" s="528">
        <f t="shared" si="706"/>
        <v>4.0250000000000001E-2</v>
      </c>
      <c r="EN268" s="528">
        <f t="shared" si="707"/>
        <v>1.0061459800000001</v>
      </c>
      <c r="EO268">
        <f t="shared" si="708"/>
        <v>2.7E-2</v>
      </c>
      <c r="EP268" s="460">
        <f t="shared" si="709"/>
        <v>67.25</v>
      </c>
      <c r="EQ268" s="460"/>
      <c r="ER268" s="460">
        <f t="shared" si="710"/>
        <v>2101.0475673561273</v>
      </c>
      <c r="ES268" s="528">
        <f t="shared" si="711"/>
        <v>0.36399999999999999</v>
      </c>
      <c r="EV268" s="460">
        <f t="shared" si="712"/>
        <v>364</v>
      </c>
      <c r="EW268" s="528">
        <f t="shared" si="713"/>
        <v>5.7284863876731562E-3</v>
      </c>
      <c r="EX268" s="528">
        <f t="shared" si="714"/>
        <v>3.4881037421850655E-2</v>
      </c>
      <c r="EY268" s="528">
        <f t="shared" si="715"/>
        <v>0.66057933945263014</v>
      </c>
      <c r="EZ268" s="528"/>
      <c r="FA268" s="528">
        <f t="shared" si="716"/>
        <v>7.1066666666666682E-3</v>
      </c>
      <c r="FB268" s="460">
        <f t="shared" si="717"/>
        <v>708.29552992882066</v>
      </c>
      <c r="FC268" s="173">
        <f t="shared" si="718"/>
        <v>3.1733430972849477</v>
      </c>
      <c r="FD268" s="5">
        <f t="shared" si="719"/>
        <v>8.32</v>
      </c>
      <c r="FE268" s="173">
        <f t="shared" si="720"/>
        <v>0.72389729685920712</v>
      </c>
      <c r="FF268" s="5">
        <f t="shared" si="721"/>
        <v>72.389729685920713</v>
      </c>
      <c r="FI268" s="562">
        <f t="shared" si="676"/>
        <v>-50</v>
      </c>
      <c r="FJ268">
        <f t="shared" si="677"/>
        <v>-50</v>
      </c>
      <c r="FL268">
        <f t="shared" si="760"/>
        <v>0.51608280674193574</v>
      </c>
    </row>
    <row r="269" spans="5:168">
      <c r="E269" s="170">
        <v>53</v>
      </c>
      <c r="F269" s="217">
        <f t="shared" si="761"/>
        <v>0.53</v>
      </c>
      <c r="G269" s="217"/>
      <c r="H269" s="217">
        <f t="shared" si="726"/>
        <v>8.48</v>
      </c>
      <c r="I269" s="541">
        <f t="shared" si="727"/>
        <v>59.949762468971798</v>
      </c>
      <c r="J269" s="172">
        <f t="shared" si="728"/>
        <v>16.430142518616918</v>
      </c>
      <c r="K269" s="172">
        <f t="shared" si="729"/>
        <v>76.379904987588716</v>
      </c>
      <c r="L269" s="443"/>
      <c r="M269" s="217">
        <f t="shared" si="730"/>
        <v>0.21511464862372093</v>
      </c>
      <c r="N269" s="172">
        <f t="shared" si="731"/>
        <v>33.207385628115134</v>
      </c>
      <c r="O269" s="172">
        <f t="shared" si="762"/>
        <v>8.48</v>
      </c>
      <c r="P269" s="217">
        <f t="shared" si="732"/>
        <v>2.0754616017571959</v>
      </c>
      <c r="Q269" s="217">
        <f t="shared" si="733"/>
        <v>16</v>
      </c>
      <c r="R269" s="217"/>
      <c r="S269" s="172">
        <f t="shared" si="734"/>
        <v>222.93950571104151</v>
      </c>
      <c r="T269" s="172">
        <f t="shared" si="735"/>
        <v>16</v>
      </c>
      <c r="U269" s="217">
        <f t="shared" si="736"/>
        <v>1.3151291248602532</v>
      </c>
      <c r="V269" s="217">
        <f t="shared" si="737"/>
        <v>0.26324623899037292</v>
      </c>
      <c r="W269" s="217">
        <f t="shared" si="738"/>
        <v>0.96052419998432992</v>
      </c>
      <c r="X269" s="197">
        <f t="shared" si="739"/>
        <v>350</v>
      </c>
      <c r="Y269" s="443">
        <f t="shared" si="680"/>
        <v>350</v>
      </c>
      <c r="AA269" s="217">
        <f t="shared" si="740"/>
        <v>3.0704384299911029</v>
      </c>
      <c r="AB269" s="173">
        <f t="shared" si="741"/>
        <v>2.2425405694530061</v>
      </c>
      <c r="AC269" s="173">
        <f t="shared" si="742"/>
        <v>1.2049769804209622</v>
      </c>
      <c r="AD269" s="173"/>
      <c r="AE269" s="173">
        <f t="shared" si="743"/>
        <v>0.73036493666460012</v>
      </c>
      <c r="AF269" s="545">
        <f t="shared" si="744"/>
        <v>1451.3292558111611</v>
      </c>
      <c r="AG269" s="528">
        <f t="shared" si="745"/>
        <v>0.12781386391630503</v>
      </c>
      <c r="AI269" s="173">
        <f t="shared" si="746"/>
        <v>2.0363337193601931</v>
      </c>
      <c r="AJ269" s="173">
        <f t="shared" si="747"/>
        <v>2.0363337193601931</v>
      </c>
      <c r="AK269" s="173">
        <f t="shared" si="748"/>
        <v>1.9676546069334764</v>
      </c>
      <c r="AM269" s="545">
        <f t="shared" si="749"/>
        <v>530</v>
      </c>
      <c r="AN269" s="460">
        <f t="shared" si="750"/>
        <v>350</v>
      </c>
      <c r="AP269">
        <f t="shared" si="751"/>
        <v>530</v>
      </c>
      <c r="AQ269">
        <f t="shared" si="752"/>
        <v>350</v>
      </c>
      <c r="AS269" s="5">
        <f t="shared" si="763"/>
        <v>2.8571428571428572</v>
      </c>
      <c r="AT269" s="5">
        <f t="shared" si="753"/>
        <v>0.40760803089035863</v>
      </c>
      <c r="AU269" s="5">
        <f t="shared" si="722"/>
        <v>2.4495348262524987</v>
      </c>
      <c r="AV269" s="5"/>
      <c r="AW269" s="173">
        <f t="shared" si="723"/>
        <v>0.14266281081162552</v>
      </c>
      <c r="AX269" s="173">
        <f t="shared" si="631"/>
        <v>8.7079755348669678</v>
      </c>
      <c r="AY269" s="173">
        <f t="shared" si="632"/>
        <v>0.87291231360288812</v>
      </c>
      <c r="AZ269" s="173">
        <f t="shared" si="633"/>
        <v>9.9757735103144238</v>
      </c>
      <c r="BA269" s="460">
        <f t="shared" si="724"/>
        <v>1.3502016023243129</v>
      </c>
      <c r="BB269" s="5">
        <f t="shared" si="725"/>
        <v>0.2887425302890369</v>
      </c>
      <c r="BD269" s="173">
        <f t="shared" si="681"/>
        <v>0.44406210531664642</v>
      </c>
      <c r="BE269" s="173">
        <f t="shared" si="682"/>
        <v>1.0885895394911345</v>
      </c>
      <c r="BG269" s="528">
        <f t="shared" si="683"/>
        <v>3.9438230675650481E-3</v>
      </c>
      <c r="BH269" s="528">
        <f t="shared" si="754"/>
        <v>0.99347965924953319</v>
      </c>
      <c r="BI269" s="528">
        <f t="shared" si="755"/>
        <v>0.48259558787522294</v>
      </c>
      <c r="BJ269" s="528">
        <f t="shared" si="684"/>
        <v>1.0056167690842672</v>
      </c>
      <c r="BK269">
        <f t="shared" si="685"/>
        <v>2.697739311103731E-2</v>
      </c>
      <c r="BL269" s="460">
        <f t="shared" si="686"/>
        <v>509.57298098626023</v>
      </c>
      <c r="BM269" s="528">
        <f t="shared" si="756"/>
        <v>2.0059847964189288</v>
      </c>
      <c r="BN269" s="460">
        <f t="shared" si="687"/>
        <v>2005.9847964189289</v>
      </c>
      <c r="BO269" s="528">
        <f t="shared" si="637"/>
        <v>0.371</v>
      </c>
      <c r="BR269" s="460">
        <f t="shared" si="688"/>
        <v>371</v>
      </c>
      <c r="BS269" s="528">
        <f t="shared" si="689"/>
        <v>5.9157346013475713E-3</v>
      </c>
      <c r="BT269" s="528">
        <f t="shared" si="690"/>
        <v>3.5550815564685603E-2</v>
      </c>
      <c r="BU269" s="528">
        <f t="shared" si="691"/>
        <v>0.67805121273505797</v>
      </c>
      <c r="BV269" s="528"/>
      <c r="BW269" s="528">
        <f t="shared" si="692"/>
        <v>7.2566462790558065E-3</v>
      </c>
      <c r="BX269" s="460">
        <f t="shared" si="693"/>
        <v>726.7744091801469</v>
      </c>
      <c r="BY269" s="173">
        <f t="shared" si="694"/>
        <v>3.6103876415677734</v>
      </c>
      <c r="BZ269" s="5">
        <f t="shared" si="695"/>
        <v>8.48</v>
      </c>
      <c r="CA269" s="173">
        <f t="shared" si="696"/>
        <v>0.70138363230348755</v>
      </c>
      <c r="CB269" s="5">
        <f t="shared" si="697"/>
        <v>70.138363230348759</v>
      </c>
      <c r="CE269" s="562">
        <f t="shared" si="757"/>
        <v>-50</v>
      </c>
      <c r="CF269">
        <f t="shared" si="758"/>
        <v>-50</v>
      </c>
      <c r="CG269" s="173">
        <f t="shared" si="759"/>
        <v>0.5274940757961174</v>
      </c>
      <c r="CI269" s="170">
        <v>53</v>
      </c>
      <c r="CJ269" s="217">
        <f t="shared" si="698"/>
        <v>0.53</v>
      </c>
      <c r="CK269" s="217"/>
      <c r="CL269" s="217">
        <f t="shared" si="641"/>
        <v>8.48</v>
      </c>
      <c r="CM269" s="541">
        <f t="shared" si="642"/>
        <v>60</v>
      </c>
      <c r="CN269" s="443">
        <f t="shared" si="643"/>
        <v>16.399999999999999</v>
      </c>
      <c r="CO269" s="443">
        <f t="shared" si="644"/>
        <v>76.400000000000006</v>
      </c>
      <c r="CP269" s="443"/>
      <c r="CQ269" s="217">
        <f t="shared" si="645"/>
        <v>0.21465968586387432</v>
      </c>
      <c r="CR269" s="172">
        <f t="shared" si="646"/>
        <v>33.164921465968582</v>
      </c>
      <c r="CS269" s="172">
        <f t="shared" si="647"/>
        <v>8.48</v>
      </c>
      <c r="CT269" s="217">
        <f t="shared" si="648"/>
        <v>2.0728075916230364</v>
      </c>
      <c r="CU269" s="217">
        <f t="shared" si="649"/>
        <v>16</v>
      </c>
      <c r="CV269" s="217"/>
      <c r="CW269" s="172">
        <f t="shared" si="650"/>
        <v>223.126237870127</v>
      </c>
      <c r="CX269" s="172">
        <f t="shared" si="651"/>
        <v>16</v>
      </c>
      <c r="CY269" s="217">
        <f t="shared" si="652"/>
        <v>1.3168130081300815</v>
      </c>
      <c r="CZ269" s="217">
        <f t="shared" si="653"/>
        <v>0.26336260162601632</v>
      </c>
      <c r="DA269" s="217">
        <f t="shared" si="654"/>
        <v>0.9635217132659134</v>
      </c>
      <c r="DB269" s="197">
        <f t="shared" si="655"/>
        <v>350</v>
      </c>
      <c r="DC269" s="443">
        <f t="shared" si="656"/>
        <v>350</v>
      </c>
      <c r="DE269" s="217">
        <f t="shared" si="657"/>
        <v>3.06656694091249</v>
      </c>
      <c r="DF269" s="173">
        <f t="shared" si="658"/>
        <v>2.2438294689603588</v>
      </c>
      <c r="DG269" s="173">
        <f t="shared" si="659"/>
        <v>1.2041493223478366</v>
      </c>
      <c r="DH269" s="173"/>
      <c r="DI269" s="173">
        <f t="shared" si="660"/>
        <v>0.73170731707317083</v>
      </c>
      <c r="DJ269" s="545">
        <f t="shared" si="661"/>
        <v>1448.6666666666665</v>
      </c>
      <c r="DK269" s="528">
        <f t="shared" si="662"/>
        <v>0.12804878048780488</v>
      </c>
      <c r="DM269" s="173">
        <f t="shared" si="663"/>
        <v>2.0344649466254312</v>
      </c>
      <c r="DN269" s="173">
        <f t="shared" si="664"/>
        <v>2.0344649466254312</v>
      </c>
      <c r="DO269" s="173">
        <f t="shared" si="665"/>
        <v>1.9662703308336527</v>
      </c>
      <c r="DQ269" s="545">
        <f t="shared" si="666"/>
        <v>530</v>
      </c>
      <c r="DR269" s="460">
        <f t="shared" si="667"/>
        <v>350</v>
      </c>
      <c r="DT269">
        <f t="shared" si="668"/>
        <v>530</v>
      </c>
      <c r="DU269">
        <f t="shared" si="669"/>
        <v>350</v>
      </c>
      <c r="DW269" s="5">
        <f t="shared" si="670"/>
        <v>2.8571428571428572</v>
      </c>
      <c r="DX269" s="5">
        <f t="shared" si="671"/>
        <v>0.40689298932508627</v>
      </c>
      <c r="DY269" s="5">
        <f t="shared" si="672"/>
        <v>2.4502498678177709</v>
      </c>
      <c r="DZ269" s="5"/>
      <c r="EA269" s="173">
        <f t="shared" si="673"/>
        <v>0.14241254626378019</v>
      </c>
      <c r="EB269" s="173">
        <f t="shared" si="699"/>
        <v>8.6919999999999984</v>
      </c>
      <c r="EC269" s="173">
        <f t="shared" si="700"/>
        <v>0.8723658066460489</v>
      </c>
      <c r="ED269" s="173">
        <f t="shared" si="701"/>
        <v>9.9637101016347653</v>
      </c>
      <c r="EE269" s="460">
        <f t="shared" si="674"/>
        <v>1.3478330271393484</v>
      </c>
      <c r="EF269" s="5">
        <f t="shared" si="675"/>
        <v>0.28858498443187075</v>
      </c>
      <c r="EH269" s="173">
        <f t="shared" si="702"/>
        <v>0.44326527442590113</v>
      </c>
      <c r="EI269" s="173">
        <f t="shared" si="703"/>
        <v>1.0877492524339742</v>
      </c>
      <c r="EK269" s="528">
        <f t="shared" si="704"/>
        <v>3.9296820702373883E-3</v>
      </c>
      <c r="EL269" s="528">
        <f t="shared" si="705"/>
        <v>1.0336302607825167</v>
      </c>
      <c r="EM269" s="528">
        <f t="shared" si="706"/>
        <v>4.0250000000000001E-2</v>
      </c>
      <c r="EN269" s="528">
        <f t="shared" si="707"/>
        <v>1.0061459800000001</v>
      </c>
      <c r="EO269">
        <f t="shared" si="708"/>
        <v>2.7E-2</v>
      </c>
      <c r="EP269" s="460">
        <f t="shared" si="709"/>
        <v>67.25</v>
      </c>
      <c r="EQ269" s="460"/>
      <c r="ER269" s="460">
        <f t="shared" si="710"/>
        <v>2110.9559228527542</v>
      </c>
      <c r="ES269" s="528">
        <f t="shared" si="711"/>
        <v>0.371</v>
      </c>
      <c r="EV269" s="460">
        <f t="shared" si="712"/>
        <v>371</v>
      </c>
      <c r="EW269" s="528">
        <f t="shared" si="713"/>
        <v>5.8945231053560828E-3</v>
      </c>
      <c r="EX269" s="528">
        <f t="shared" si="714"/>
        <v>3.5495953085120095E-2</v>
      </c>
      <c r="EY269" s="528">
        <f t="shared" si="715"/>
        <v>0.67649663992936993</v>
      </c>
      <c r="EZ269" s="528"/>
      <c r="FA269" s="528">
        <f t="shared" si="716"/>
        <v>7.2433333333333325E-3</v>
      </c>
      <c r="FB269" s="460">
        <f t="shared" si="717"/>
        <v>725.13044945317949</v>
      </c>
      <c r="FC269" s="173">
        <f t="shared" si="718"/>
        <v>3.207086372305934</v>
      </c>
      <c r="FD269" s="5">
        <f t="shared" si="719"/>
        <v>8.48</v>
      </c>
      <c r="FE269" s="173">
        <f t="shared" si="720"/>
        <v>0.72558717629523639</v>
      </c>
      <c r="FF269" s="5">
        <f t="shared" si="721"/>
        <v>72.558717629523642</v>
      </c>
      <c r="FI269" s="562">
        <f t="shared" si="676"/>
        <v>-50</v>
      </c>
      <c r="FJ269">
        <f t="shared" si="677"/>
        <v>-50</v>
      </c>
      <c r="FL269">
        <f t="shared" si="760"/>
        <v>0.52102151072114711</v>
      </c>
    </row>
    <row r="270" spans="5:168">
      <c r="E270" s="170">
        <v>54</v>
      </c>
      <c r="F270" s="217">
        <f t="shared" si="761"/>
        <v>0.54</v>
      </c>
      <c r="G270" s="217"/>
      <c r="H270" s="217">
        <f t="shared" si="726"/>
        <v>8.64</v>
      </c>
      <c r="I270" s="541">
        <f t="shared" si="727"/>
        <v>59.949290744716286</v>
      </c>
      <c r="J270" s="172">
        <f t="shared" si="728"/>
        <v>16.430425553170224</v>
      </c>
      <c r="K270" s="172">
        <f t="shared" si="729"/>
        <v>76.379716297886517</v>
      </c>
      <c r="L270" s="443"/>
      <c r="M270" s="217">
        <f t="shared" si="730"/>
        <v>0.21511892178159689</v>
      </c>
      <c r="N270" s="172">
        <f t="shared" si="731"/>
        <v>33.207783975430196</v>
      </c>
      <c r="O270" s="172">
        <f t="shared" si="762"/>
        <v>8.64</v>
      </c>
      <c r="P270" s="217">
        <f t="shared" si="732"/>
        <v>2.0754864984643873</v>
      </c>
      <c r="Q270" s="217">
        <f t="shared" si="733"/>
        <v>16</v>
      </c>
      <c r="R270" s="217"/>
      <c r="S270" s="172">
        <f t="shared" si="734"/>
        <v>217.70366837666865</v>
      </c>
      <c r="T270" s="172">
        <f t="shared" si="735"/>
        <v>16</v>
      </c>
      <c r="U270" s="217">
        <f t="shared" si="736"/>
        <v>1.3399268085133818</v>
      </c>
      <c r="V270" s="217">
        <f t="shared" si="737"/>
        <v>0.26821204225135448</v>
      </c>
      <c r="W270" s="217">
        <f t="shared" si="738"/>
        <v>0.97861870041814836</v>
      </c>
      <c r="X270" s="197">
        <f t="shared" si="739"/>
        <v>350</v>
      </c>
      <c r="Y270" s="443">
        <f t="shared" si="680"/>
        <v>350</v>
      </c>
      <c r="AA270" s="217">
        <f t="shared" si="740"/>
        <v>3.0704747477124221</v>
      </c>
      <c r="AB270" s="173">
        <f t="shared" si="741"/>
        <v>2.2425284636306788</v>
      </c>
      <c r="AC270" s="173">
        <f t="shared" si="742"/>
        <v>1.2049847282557584</v>
      </c>
      <c r="AD270" s="173"/>
      <c r="AE270" s="173">
        <f t="shared" si="743"/>
        <v>0.73035235521849406</v>
      </c>
      <c r="AF270" s="545">
        <f t="shared" si="744"/>
        <v>1478.7382997853201</v>
      </c>
      <c r="AG270" s="528">
        <f t="shared" si="745"/>
        <v>0.12781166216323647</v>
      </c>
      <c r="AI270" s="173">
        <f t="shared" si="746"/>
        <v>2.0554723473730316</v>
      </c>
      <c r="AJ270" s="173">
        <f t="shared" si="747"/>
        <v>2.0554723473730316</v>
      </c>
      <c r="AK270" s="173">
        <f t="shared" si="748"/>
        <v>1.9818313684244679</v>
      </c>
      <c r="AM270" s="545">
        <f t="shared" si="749"/>
        <v>540</v>
      </c>
      <c r="AN270" s="460">
        <f t="shared" si="750"/>
        <v>350</v>
      </c>
      <c r="AP270">
        <f t="shared" si="751"/>
        <v>540</v>
      </c>
      <c r="AQ270">
        <f t="shared" si="752"/>
        <v>350</v>
      </c>
      <c r="AS270" s="5">
        <f t="shared" si="763"/>
        <v>2.8571428571428572</v>
      </c>
      <c r="AT270" s="5">
        <f t="shared" si="753"/>
        <v>0.41144220160186507</v>
      </c>
      <c r="AU270" s="5">
        <f t="shared" si="722"/>
        <v>2.4457006555409921</v>
      </c>
      <c r="AV270" s="5"/>
      <c r="AW270" s="173">
        <f t="shared" si="723"/>
        <v>0.14400477056065278</v>
      </c>
      <c r="AX270" s="173">
        <f t="shared" si="631"/>
        <v>8.8724297987119218</v>
      </c>
      <c r="AY270" s="173">
        <f t="shared" si="632"/>
        <v>0.8797372617979059</v>
      </c>
      <c r="AZ270" s="173">
        <f t="shared" si="633"/>
        <v>10.085317723816164</v>
      </c>
      <c r="BA270" s="460">
        <f t="shared" si="724"/>
        <v>1.3886174304062946</v>
      </c>
      <c r="BB270" s="5">
        <f t="shared" si="725"/>
        <v>0.29373232779150332</v>
      </c>
      <c r="BD270" s="173">
        <f t="shared" si="681"/>
        <v>0.45033888782288944</v>
      </c>
      <c r="BE270" s="173">
        <f t="shared" si="682"/>
        <v>1.0979604165843944</v>
      </c>
      <c r="BG270" s="528">
        <f t="shared" si="683"/>
        <v>4.0561022777111403E-3</v>
      </c>
      <c r="BH270" s="528">
        <f t="shared" si="754"/>
        <v>1.0028144714688381</v>
      </c>
      <c r="BI270" s="528">
        <f t="shared" si="755"/>
        <v>0.48259179049496614</v>
      </c>
      <c r="BJ270" s="528">
        <f t="shared" si="684"/>
        <v>1.0056118005184034</v>
      </c>
      <c r="BK270">
        <f t="shared" si="685"/>
        <v>2.6977180835122329E-2</v>
      </c>
      <c r="BL270" s="460">
        <f t="shared" si="686"/>
        <v>509.56897133008852</v>
      </c>
      <c r="BM270" s="528">
        <f t="shared" si="756"/>
        <v>2.0155199387113041</v>
      </c>
      <c r="BN270" s="460">
        <f t="shared" si="687"/>
        <v>2015.5199387113041</v>
      </c>
      <c r="BO270" s="528">
        <f t="shared" si="637"/>
        <v>0.378</v>
      </c>
      <c r="BR270" s="460">
        <f t="shared" si="688"/>
        <v>378</v>
      </c>
      <c r="BS270" s="528">
        <f t="shared" si="689"/>
        <v>6.0841534165667101E-3</v>
      </c>
      <c r="BT270" s="528">
        <f t="shared" si="690"/>
        <v>3.6165512291585308E-2</v>
      </c>
      <c r="BU270" s="528">
        <f t="shared" si="691"/>
        <v>0.69409547240595981</v>
      </c>
      <c r="BV270" s="528"/>
      <c r="BW270" s="528">
        <f t="shared" si="692"/>
        <v>7.3936914989266023E-3</v>
      </c>
      <c r="BX270" s="460">
        <f t="shared" si="693"/>
        <v>743.73882961303855</v>
      </c>
      <c r="BY270" s="173">
        <f t="shared" si="694"/>
        <v>3.6437901752080797</v>
      </c>
      <c r="BZ270" s="5">
        <f t="shared" si="695"/>
        <v>8.64</v>
      </c>
      <c r="CA270" s="173">
        <f t="shared" si="696"/>
        <v>0.70336597066252349</v>
      </c>
      <c r="CB270" s="5">
        <f t="shared" si="697"/>
        <v>70.336597066252352</v>
      </c>
      <c r="CE270" s="562">
        <f t="shared" si="757"/>
        <v>-50</v>
      </c>
      <c r="CF270">
        <f t="shared" si="758"/>
        <v>-50</v>
      </c>
      <c r="CG270" s="173">
        <f t="shared" si="759"/>
        <v>0.53244718047896544</v>
      </c>
      <c r="CI270" s="170">
        <v>54</v>
      </c>
      <c r="CJ270" s="217">
        <f t="shared" si="698"/>
        <v>0.54</v>
      </c>
      <c r="CK270" s="217"/>
      <c r="CL270" s="217">
        <f t="shared" si="641"/>
        <v>8.64</v>
      </c>
      <c r="CM270" s="541">
        <f t="shared" si="642"/>
        <v>60</v>
      </c>
      <c r="CN270" s="443">
        <f t="shared" si="643"/>
        <v>16.399999999999999</v>
      </c>
      <c r="CO270" s="443">
        <f t="shared" si="644"/>
        <v>76.400000000000006</v>
      </c>
      <c r="CP270" s="443"/>
      <c r="CQ270" s="217">
        <f t="shared" si="645"/>
        <v>0.21465968586387432</v>
      </c>
      <c r="CR270" s="172">
        <f t="shared" si="646"/>
        <v>33.164921465968582</v>
      </c>
      <c r="CS270" s="172">
        <f t="shared" si="647"/>
        <v>8.64</v>
      </c>
      <c r="CT270" s="217">
        <f t="shared" si="648"/>
        <v>2.0728075916230364</v>
      </c>
      <c r="CU270" s="217">
        <f t="shared" si="649"/>
        <v>16</v>
      </c>
      <c r="CV270" s="217"/>
      <c r="CW270" s="172">
        <f t="shared" si="650"/>
        <v>217.88772440929333</v>
      </c>
      <c r="CX270" s="172">
        <f t="shared" si="651"/>
        <v>16</v>
      </c>
      <c r="CY270" s="217">
        <f t="shared" si="652"/>
        <v>1.3416585365853662</v>
      </c>
      <c r="CZ270" s="217">
        <f t="shared" si="653"/>
        <v>0.26833170731707323</v>
      </c>
      <c r="DA270" s="217">
        <f t="shared" si="654"/>
        <v>0.98170136823319487</v>
      </c>
      <c r="DB270" s="197">
        <f t="shared" si="655"/>
        <v>350</v>
      </c>
      <c r="DC270" s="443">
        <f t="shared" si="656"/>
        <v>350</v>
      </c>
      <c r="DE270" s="217">
        <f t="shared" si="657"/>
        <v>3.06656694091249</v>
      </c>
      <c r="DF270" s="173">
        <f t="shared" si="658"/>
        <v>2.2438294689603588</v>
      </c>
      <c r="DG270" s="173">
        <f t="shared" si="659"/>
        <v>1.2041493223478366</v>
      </c>
      <c r="DH270" s="173"/>
      <c r="DI270" s="173">
        <f t="shared" si="660"/>
        <v>0.73170731707317083</v>
      </c>
      <c r="DJ270" s="545">
        <f t="shared" si="661"/>
        <v>1476</v>
      </c>
      <c r="DK270" s="528">
        <f t="shared" si="662"/>
        <v>0.12804878048780488</v>
      </c>
      <c r="DM270" s="173">
        <f t="shared" si="663"/>
        <v>2.053568322979018</v>
      </c>
      <c r="DN270" s="173">
        <f t="shared" si="664"/>
        <v>2.053568322979018</v>
      </c>
      <c r="DO270" s="173">
        <f t="shared" si="665"/>
        <v>1.9804209799844577</v>
      </c>
      <c r="DQ270" s="545">
        <f t="shared" si="666"/>
        <v>540</v>
      </c>
      <c r="DR270" s="460">
        <f t="shared" si="667"/>
        <v>350</v>
      </c>
      <c r="DT270">
        <f t="shared" si="668"/>
        <v>540</v>
      </c>
      <c r="DU270">
        <f t="shared" si="669"/>
        <v>350</v>
      </c>
      <c r="DW270" s="5">
        <f t="shared" si="670"/>
        <v>2.8571428571428572</v>
      </c>
      <c r="DX270" s="5">
        <f t="shared" si="671"/>
        <v>0.41071366459580361</v>
      </c>
      <c r="DY270" s="5">
        <f t="shared" si="672"/>
        <v>2.4464291925470536</v>
      </c>
      <c r="DZ270" s="5"/>
      <c r="EA270" s="173">
        <f t="shared" si="673"/>
        <v>0.14374978260853125</v>
      </c>
      <c r="EB270" s="173">
        <f t="shared" si="699"/>
        <v>8.8559999999999981</v>
      </c>
      <c r="EC270" s="173">
        <f t="shared" si="700"/>
        <v>0.87918416148950906</v>
      </c>
      <c r="ED270" s="173">
        <f t="shared" si="701"/>
        <v>10.072974910053214</v>
      </c>
      <c r="EE270" s="460">
        <f t="shared" si="674"/>
        <v>1.3861586180108374</v>
      </c>
      <c r="EF270" s="5">
        <f t="shared" si="675"/>
        <v>0.29357150310564645</v>
      </c>
      <c r="EH270" s="173">
        <f t="shared" si="702"/>
        <v>0.44952321739943013</v>
      </c>
      <c r="EI270" s="173">
        <f t="shared" si="703"/>
        <v>1.0971067234928196</v>
      </c>
      <c r="EK270" s="528">
        <f t="shared" si="704"/>
        <v>4.0414224596227065E-3</v>
      </c>
      <c r="EL270" s="528">
        <f t="shared" si="705"/>
        <v>1.0433359221727199</v>
      </c>
      <c r="EM270" s="528">
        <f t="shared" si="706"/>
        <v>4.0250000000000001E-2</v>
      </c>
      <c r="EN270" s="528">
        <f t="shared" si="707"/>
        <v>1.0061459800000001</v>
      </c>
      <c r="EO270">
        <f t="shared" si="708"/>
        <v>2.7E-2</v>
      </c>
      <c r="EP270" s="460">
        <f t="shared" si="709"/>
        <v>67.25</v>
      </c>
      <c r="EQ270" s="460"/>
      <c r="ER270" s="460">
        <f t="shared" si="710"/>
        <v>2120.7733246323432</v>
      </c>
      <c r="ES270" s="528">
        <f t="shared" si="711"/>
        <v>0.378</v>
      </c>
      <c r="EV270" s="460">
        <f t="shared" si="712"/>
        <v>378</v>
      </c>
      <c r="EW270" s="528">
        <f t="shared" si="713"/>
        <v>6.0621336894340601E-3</v>
      </c>
      <c r="EX270" s="528">
        <f t="shared" si="714"/>
        <v>3.6109294881994498E-2</v>
      </c>
      <c r="EY270" s="528">
        <f t="shared" si="715"/>
        <v>0.69248920328704311</v>
      </c>
      <c r="EZ270" s="528"/>
      <c r="FA270" s="528">
        <f t="shared" si="716"/>
        <v>7.3799999999999977E-3</v>
      </c>
      <c r="FB270" s="460">
        <f t="shared" si="717"/>
        <v>742.04063185847156</v>
      </c>
      <c r="FC270" s="173">
        <f t="shared" si="718"/>
        <v>3.2408139564908152</v>
      </c>
      <c r="FD270" s="5">
        <f t="shared" si="719"/>
        <v>8.64</v>
      </c>
      <c r="FE270" s="173">
        <f t="shared" si="720"/>
        <v>0.7272229017002434</v>
      </c>
      <c r="FF270" s="5">
        <f t="shared" si="721"/>
        <v>72.722290170024337</v>
      </c>
      <c r="FI270" s="562">
        <f t="shared" si="676"/>
        <v>-50</v>
      </c>
      <c r="FJ270">
        <f t="shared" si="677"/>
        <v>-50</v>
      </c>
      <c r="FL270">
        <f t="shared" si="760"/>
        <v>0.52591383881169984</v>
      </c>
    </row>
    <row r="271" spans="5:168">
      <c r="E271" s="170">
        <v>55</v>
      </c>
      <c r="F271" s="217">
        <f t="shared" si="761"/>
        <v>0.55000000000000004</v>
      </c>
      <c r="G271" s="217"/>
      <c r="H271" s="217">
        <f t="shared" si="726"/>
        <v>8.8000000000000007</v>
      </c>
      <c r="I271" s="541">
        <f t="shared" si="727"/>
        <v>59.948823368428087</v>
      </c>
      <c r="J271" s="172">
        <f t="shared" si="728"/>
        <v>16.430705978943148</v>
      </c>
      <c r="K271" s="172">
        <f t="shared" si="729"/>
        <v>76.379529347371232</v>
      </c>
      <c r="L271" s="443"/>
      <c r="M271" s="217">
        <f t="shared" si="730"/>
        <v>0.21512315557344208</v>
      </c>
      <c r="N271" s="172">
        <f t="shared" si="731"/>
        <v>33.20817864402273</v>
      </c>
      <c r="O271" s="172">
        <f t="shared" si="762"/>
        <v>8.8000000000000007</v>
      </c>
      <c r="P271" s="217">
        <f t="shared" si="732"/>
        <v>2.0755111652514207</v>
      </c>
      <c r="Q271" s="217">
        <f t="shared" si="733"/>
        <v>16</v>
      </c>
      <c r="R271" s="217"/>
      <c r="S271" s="172">
        <f t="shared" si="734"/>
        <v>212.6583774096359</v>
      </c>
      <c r="T271" s="172">
        <f t="shared" si="735"/>
        <v>16</v>
      </c>
      <c r="U271" s="217">
        <f t="shared" si="736"/>
        <v>1.3647240484282728</v>
      </c>
      <c r="V271" s="217">
        <f t="shared" si="737"/>
        <v>0.273177815025541</v>
      </c>
      <c r="W271" s="217">
        <f t="shared" si="738"/>
        <v>0.99671241163507518</v>
      </c>
      <c r="X271" s="197">
        <f t="shared" si="739"/>
        <v>350</v>
      </c>
      <c r="Y271" s="443">
        <f t="shared" si="680"/>
        <v>350</v>
      </c>
      <c r="AA271" s="217">
        <f t="shared" si="740"/>
        <v>3.0705107300428134</v>
      </c>
      <c r="AB271" s="173">
        <f t="shared" si="741"/>
        <v>2.2425164693309037</v>
      </c>
      <c r="AC271" s="173">
        <f t="shared" si="742"/>
        <v>1.2049924042411966</v>
      </c>
      <c r="AD271" s="173"/>
      <c r="AE271" s="173">
        <f t="shared" si="743"/>
        <v>0.73033989016531964</v>
      </c>
      <c r="AF271" s="545">
        <f t="shared" si="744"/>
        <v>1506.1480480697887</v>
      </c>
      <c r="AG271" s="528">
        <f t="shared" si="745"/>
        <v>0.12780948077893092</v>
      </c>
      <c r="AI271" s="173">
        <f t="shared" si="746"/>
        <v>2.0744348959035213</v>
      </c>
      <c r="AJ271" s="173">
        <f t="shared" si="747"/>
        <v>2.0744348959035213</v>
      </c>
      <c r="AK271" s="173">
        <f t="shared" si="748"/>
        <v>1.9958777006692749</v>
      </c>
      <c r="AM271" s="545">
        <f t="shared" si="749"/>
        <v>550</v>
      </c>
      <c r="AN271" s="460">
        <f t="shared" si="750"/>
        <v>350</v>
      </c>
      <c r="AP271">
        <f t="shared" si="751"/>
        <v>550</v>
      </c>
      <c r="AQ271">
        <f t="shared" si="752"/>
        <v>350</v>
      </c>
      <c r="AS271" s="5">
        <f t="shared" si="763"/>
        <v>2.8571428571428572</v>
      </c>
      <c r="AT271" s="5">
        <f t="shared" si="753"/>
        <v>0.4152411565754302</v>
      </c>
      <c r="AU271" s="5">
        <f t="shared" si="722"/>
        <v>2.4419017005674268</v>
      </c>
      <c r="AV271" s="5"/>
      <c r="AW271" s="173">
        <f t="shared" si="723"/>
        <v>0.14533440480140056</v>
      </c>
      <c r="AX271" s="173">
        <f t="shared" si="631"/>
        <v>9.0368882884187318</v>
      </c>
      <c r="AY271" s="173">
        <f t="shared" si="632"/>
        <v>0.88647406750406377</v>
      </c>
      <c r="AZ271" s="173">
        <f t="shared" si="633"/>
        <v>10.194193625835879</v>
      </c>
      <c r="BA271" s="460">
        <f t="shared" si="724"/>
        <v>1.4273914757280415</v>
      </c>
      <c r="BB271" s="5">
        <f t="shared" si="725"/>
        <v>0.2987094346696601</v>
      </c>
      <c r="BD271" s="173">
        <f t="shared" si="681"/>
        <v>0.45658685097665175</v>
      </c>
      <c r="BE271" s="173">
        <f t="shared" si="682"/>
        <v>1.1072285942670748</v>
      </c>
      <c r="BG271" s="528">
        <f t="shared" si="683"/>
        <v>4.1694310496955041E-3</v>
      </c>
      <c r="BH271" s="528">
        <f t="shared" si="754"/>
        <v>1.0120633559569576</v>
      </c>
      <c r="BI271" s="528">
        <f t="shared" si="755"/>
        <v>0.48258802811584611</v>
      </c>
      <c r="BJ271" s="528">
        <f t="shared" si="684"/>
        <v>1.0056068777608096</v>
      </c>
      <c r="BK271">
        <f t="shared" si="685"/>
        <v>2.6976970515792637E-2</v>
      </c>
      <c r="BL271" s="460">
        <f t="shared" si="686"/>
        <v>509.56499863163873</v>
      </c>
      <c r="BM271" s="528">
        <f t="shared" si="756"/>
        <v>2.0249714629356936</v>
      </c>
      <c r="BN271" s="460">
        <f t="shared" si="687"/>
        <v>2024.9714629356936</v>
      </c>
      <c r="BO271" s="528">
        <f t="shared" si="637"/>
        <v>0.38500000000000001</v>
      </c>
      <c r="BR271" s="460">
        <f t="shared" si="688"/>
        <v>385</v>
      </c>
      <c r="BS271" s="528">
        <f t="shared" si="689"/>
        <v>6.2541465745432553E-3</v>
      </c>
      <c r="BT271" s="528">
        <f t="shared" si="690"/>
        <v>3.6778654798879269E-2</v>
      </c>
      <c r="BU271" s="528">
        <f t="shared" si="691"/>
        <v>0.71021467027953622</v>
      </c>
      <c r="BV271" s="528"/>
      <c r="BW271" s="528">
        <f t="shared" si="692"/>
        <v>7.530740240348944E-3</v>
      </c>
      <c r="BX271" s="460">
        <f t="shared" si="693"/>
        <v>760.77821189330768</v>
      </c>
      <c r="BY271" s="173">
        <f t="shared" si="694"/>
        <v>3.6771828752924085</v>
      </c>
      <c r="BZ271" s="5">
        <f t="shared" si="695"/>
        <v>8.8000000000000007</v>
      </c>
      <c r="CA271" s="173">
        <f t="shared" si="696"/>
        <v>0.70528741046393995</v>
      </c>
      <c r="CB271" s="5">
        <f t="shared" si="697"/>
        <v>70.528741046393989</v>
      </c>
      <c r="CE271" s="562">
        <f t="shared" si="757"/>
        <v>-50</v>
      </c>
      <c r="CF271">
        <f t="shared" si="758"/>
        <v>-50</v>
      </c>
      <c r="CG271" s="173">
        <f t="shared" si="759"/>
        <v>0.53735463150511698</v>
      </c>
      <c r="CI271" s="170">
        <v>55</v>
      </c>
      <c r="CJ271" s="217">
        <f t="shared" si="698"/>
        <v>0.55000000000000004</v>
      </c>
      <c r="CK271" s="217"/>
      <c r="CL271" s="217">
        <f t="shared" si="641"/>
        <v>8.8000000000000007</v>
      </c>
      <c r="CM271" s="541">
        <f t="shared" si="642"/>
        <v>60</v>
      </c>
      <c r="CN271" s="443">
        <f t="shared" si="643"/>
        <v>16.399999999999999</v>
      </c>
      <c r="CO271" s="443">
        <f t="shared" si="644"/>
        <v>76.400000000000006</v>
      </c>
      <c r="CP271" s="443"/>
      <c r="CQ271" s="217">
        <f t="shared" si="645"/>
        <v>0.21465968586387432</v>
      </c>
      <c r="CR271" s="172">
        <f t="shared" si="646"/>
        <v>33.164921465968582</v>
      </c>
      <c r="CS271" s="172">
        <f t="shared" si="647"/>
        <v>8.8000000000000007</v>
      </c>
      <c r="CT271" s="217">
        <f t="shared" si="648"/>
        <v>2.0728075916230364</v>
      </c>
      <c r="CU271" s="217">
        <f t="shared" si="649"/>
        <v>16</v>
      </c>
      <c r="CV271" s="217"/>
      <c r="CW271" s="172">
        <f t="shared" si="650"/>
        <v>212.83982206148232</v>
      </c>
      <c r="CX271" s="172">
        <f t="shared" si="651"/>
        <v>16</v>
      </c>
      <c r="CY271" s="217">
        <f t="shared" si="652"/>
        <v>1.3665040650406506</v>
      </c>
      <c r="CZ271" s="217">
        <f t="shared" si="653"/>
        <v>0.27330081300813019</v>
      </c>
      <c r="DA271" s="217">
        <f t="shared" si="654"/>
        <v>0.99988102320047623</v>
      </c>
      <c r="DB271" s="197">
        <f t="shared" si="655"/>
        <v>350</v>
      </c>
      <c r="DC271" s="443">
        <f t="shared" si="656"/>
        <v>350</v>
      </c>
      <c r="DE271" s="217">
        <f t="shared" si="657"/>
        <v>3.06656694091249</v>
      </c>
      <c r="DF271" s="173">
        <f t="shared" si="658"/>
        <v>2.2438294689603588</v>
      </c>
      <c r="DG271" s="173">
        <f t="shared" si="659"/>
        <v>1.2041493223478366</v>
      </c>
      <c r="DH271" s="173"/>
      <c r="DI271" s="173">
        <f t="shared" si="660"/>
        <v>0.73170731707317083</v>
      </c>
      <c r="DJ271" s="545">
        <f t="shared" si="661"/>
        <v>1503.3333333333333</v>
      </c>
      <c r="DK271" s="528">
        <f t="shared" si="662"/>
        <v>0.12804878048780488</v>
      </c>
      <c r="DM271" s="173">
        <f t="shared" si="663"/>
        <v>2.0724956200769387</v>
      </c>
      <c r="DN271" s="173">
        <f t="shared" si="664"/>
        <v>2.0724956200769387</v>
      </c>
      <c r="DO271" s="173">
        <f t="shared" si="665"/>
        <v>1.9944412000569915</v>
      </c>
      <c r="DQ271" s="545">
        <f t="shared" si="666"/>
        <v>550</v>
      </c>
      <c r="DR271" s="460">
        <f t="shared" si="667"/>
        <v>350</v>
      </c>
      <c r="DT271">
        <f t="shared" si="668"/>
        <v>550</v>
      </c>
      <c r="DU271">
        <f t="shared" si="669"/>
        <v>350</v>
      </c>
      <c r="DW271" s="5">
        <f t="shared" si="670"/>
        <v>2.8571428571428572</v>
      </c>
      <c r="DX271" s="5">
        <f t="shared" si="671"/>
        <v>0.41449912401538774</v>
      </c>
      <c r="DY271" s="5">
        <f t="shared" si="672"/>
        <v>2.4426437331274693</v>
      </c>
      <c r="DZ271" s="5"/>
      <c r="EA271" s="173">
        <f t="shared" si="673"/>
        <v>0.1450746934053857</v>
      </c>
      <c r="EB271" s="173">
        <f t="shared" si="699"/>
        <v>9.0199999999999978</v>
      </c>
      <c r="EC271" s="173">
        <f t="shared" si="700"/>
        <v>0.88591447670513601</v>
      </c>
      <c r="ED271" s="173">
        <f t="shared" si="701"/>
        <v>10.181569708113232</v>
      </c>
      <c r="EE271" s="460">
        <f t="shared" si="674"/>
        <v>1.4248407388028954</v>
      </c>
      <c r="EF271" s="5">
        <f t="shared" si="675"/>
        <v>0.29854534516002401</v>
      </c>
      <c r="EH271" s="173">
        <f t="shared" si="702"/>
        <v>0.45575225352150828</v>
      </c>
      <c r="EI271" s="173">
        <f t="shared" si="703"/>
        <v>1.1063615661961952</v>
      </c>
      <c r="EK271" s="528">
        <f t="shared" si="704"/>
        <v>4.1542023317986633E-3</v>
      </c>
      <c r="EL271" s="528">
        <f t="shared" si="705"/>
        <v>1.0529521247362896</v>
      </c>
      <c r="EM271" s="528">
        <f t="shared" si="706"/>
        <v>4.0250000000000001E-2</v>
      </c>
      <c r="EN271" s="528">
        <f t="shared" si="707"/>
        <v>1.0061459800000001</v>
      </c>
      <c r="EO271">
        <f t="shared" si="708"/>
        <v>2.7E-2</v>
      </c>
      <c r="EP271" s="460">
        <f t="shared" si="709"/>
        <v>67.25</v>
      </c>
      <c r="EQ271" s="460"/>
      <c r="ER271" s="460">
        <f t="shared" si="710"/>
        <v>2130.5023070680882</v>
      </c>
      <c r="ES271" s="528">
        <f t="shared" si="711"/>
        <v>0.38500000000000001</v>
      </c>
      <c r="EV271" s="460">
        <f t="shared" si="712"/>
        <v>385</v>
      </c>
      <c r="EW271" s="528">
        <f t="shared" si="713"/>
        <v>6.2313034976979945E-3</v>
      </c>
      <c r="EX271" s="528">
        <f t="shared" si="714"/>
        <v>3.6721077454682942E-2</v>
      </c>
      <c r="EY271" s="528">
        <f t="shared" si="715"/>
        <v>0.70855598166321732</v>
      </c>
      <c r="EZ271" s="528"/>
      <c r="FA271" s="528">
        <f t="shared" si="716"/>
        <v>7.5166666666666654E-3</v>
      </c>
      <c r="FB271" s="460">
        <f t="shared" si="717"/>
        <v>759.02502928226488</v>
      </c>
      <c r="FC271" s="173">
        <f t="shared" si="718"/>
        <v>3.2745273363503533</v>
      </c>
      <c r="FD271" s="5">
        <f t="shared" si="719"/>
        <v>8.8000000000000007</v>
      </c>
      <c r="FE271" s="173">
        <f t="shared" si="720"/>
        <v>0.72880699632089185</v>
      </c>
      <c r="FF271" s="5">
        <f t="shared" si="721"/>
        <v>72.88069963208919</v>
      </c>
      <c r="FI271" s="562">
        <f t="shared" si="676"/>
        <v>-50</v>
      </c>
      <c r="FJ271">
        <f t="shared" si="677"/>
        <v>-50</v>
      </c>
      <c r="FL271">
        <f t="shared" si="760"/>
        <v>0.53076107343433809</v>
      </c>
    </row>
    <row r="272" spans="5:168">
      <c r="E272" s="170">
        <v>56</v>
      </c>
      <c r="F272" s="217">
        <f t="shared" si="761"/>
        <v>0.56000000000000005</v>
      </c>
      <c r="G272" s="217"/>
      <c r="H272" s="217">
        <f t="shared" si="726"/>
        <v>8.9600000000000009</v>
      </c>
      <c r="I272" s="541">
        <f t="shared" si="727"/>
        <v>59.948360222050567</v>
      </c>
      <c r="J272" s="172">
        <f t="shared" si="728"/>
        <v>16.430983866769658</v>
      </c>
      <c r="K272" s="172">
        <f t="shared" si="729"/>
        <v>76.379344088820233</v>
      </c>
      <c r="L272" s="443"/>
      <c r="M272" s="217">
        <f t="shared" si="730"/>
        <v>0.21512735106812861</v>
      </c>
      <c r="N272" s="172">
        <f t="shared" si="731"/>
        <v>33.20856973377785</v>
      </c>
      <c r="O272" s="172">
        <f t="shared" si="762"/>
        <v>8.9600000000000009</v>
      </c>
      <c r="P272" s="217">
        <f t="shared" si="732"/>
        <v>2.0755356083611156</v>
      </c>
      <c r="Q272" s="217">
        <f t="shared" si="733"/>
        <v>16</v>
      </c>
      <c r="R272" s="217"/>
      <c r="S272" s="172">
        <f t="shared" si="734"/>
        <v>207.79342611218723</v>
      </c>
      <c r="T272" s="172">
        <f t="shared" si="735"/>
        <v>16</v>
      </c>
      <c r="U272" s="217">
        <f t="shared" si="736"/>
        <v>1.3895208486821695</v>
      </c>
      <c r="V272" s="217">
        <f t="shared" si="737"/>
        <v>0.27814355759563897</v>
      </c>
      <c r="W272" s="217">
        <f t="shared" si="738"/>
        <v>1.014805340896741</v>
      </c>
      <c r="X272" s="197">
        <f t="shared" si="739"/>
        <v>350</v>
      </c>
      <c r="Y272" s="443">
        <f t="shared" si="680"/>
        <v>350</v>
      </c>
      <c r="AA272" s="217">
        <f t="shared" si="740"/>
        <v>3.0705463860888536</v>
      </c>
      <c r="AB272" s="173">
        <f t="shared" si="741"/>
        <v>2.2425045835256059</v>
      </c>
      <c r="AC272" s="173">
        <f t="shared" si="742"/>
        <v>1.2050000103281417</v>
      </c>
      <c r="AD272" s="173"/>
      <c r="AE272" s="173">
        <f t="shared" si="743"/>
        <v>0.73032753834473862</v>
      </c>
      <c r="AF272" s="545">
        <f t="shared" si="744"/>
        <v>1533.5584942318351</v>
      </c>
      <c r="AG272" s="528">
        <f t="shared" si="745"/>
        <v>0.12780731921032928</v>
      </c>
      <c r="AI272" s="173">
        <f t="shared" si="746"/>
        <v>2.0932261458822938</v>
      </c>
      <c r="AJ272" s="173">
        <f t="shared" si="747"/>
        <v>2.0932261458822938</v>
      </c>
      <c r="AK272" s="173">
        <f t="shared" si="748"/>
        <v>2.0097971450979952</v>
      </c>
      <c r="AM272" s="545">
        <f t="shared" si="749"/>
        <v>560</v>
      </c>
      <c r="AN272" s="460">
        <f t="shared" si="750"/>
        <v>350</v>
      </c>
      <c r="AP272">
        <f t="shared" si="751"/>
        <v>560</v>
      </c>
      <c r="AQ272">
        <f t="shared" si="752"/>
        <v>350</v>
      </c>
      <c r="AS272" s="5">
        <f t="shared" si="763"/>
        <v>2.8571428571428572</v>
      </c>
      <c r="AT272" s="5">
        <f t="shared" si="753"/>
        <v>0.41900585199573498</v>
      </c>
      <c r="AU272" s="5">
        <f t="shared" si="722"/>
        <v>2.4381370051471221</v>
      </c>
      <c r="AV272" s="5"/>
      <c r="AW272" s="173">
        <f t="shared" si="723"/>
        <v>0.14665204819850725</v>
      </c>
      <c r="AX272" s="173">
        <f t="shared" si="631"/>
        <v>9.2013509653910095</v>
      </c>
      <c r="AY272" s="173">
        <f t="shared" si="632"/>
        <v>0.89312512212299411</v>
      </c>
      <c r="AZ272" s="173">
        <f t="shared" si="633"/>
        <v>10.302420945812196</v>
      </c>
      <c r="BA272" s="460">
        <f t="shared" si="724"/>
        <v>1.4665204819850726</v>
      </c>
      <c r="BB272" s="5">
        <f t="shared" si="725"/>
        <v>0.30367396602121449</v>
      </c>
      <c r="BD272" s="173">
        <f t="shared" si="681"/>
        <v>0.4628066491386752</v>
      </c>
      <c r="BE272" s="173">
        <f t="shared" si="682"/>
        <v>1.1163968401878632</v>
      </c>
      <c r="BG272" s="528">
        <f t="shared" si="683"/>
        <v>4.2837998897393764E-3</v>
      </c>
      <c r="BH272" s="528">
        <f t="shared" si="754"/>
        <v>1.0212286458325253</v>
      </c>
      <c r="BI272" s="528">
        <f t="shared" si="755"/>
        <v>0.48258429978750711</v>
      </c>
      <c r="BJ272" s="528">
        <f t="shared" si="684"/>
        <v>1.0056019995676939</v>
      </c>
      <c r="BK272">
        <f t="shared" si="685"/>
        <v>2.6976762099922755E-2</v>
      </c>
      <c r="BL272" s="460">
        <f t="shared" si="686"/>
        <v>509.5610618874299</v>
      </c>
      <c r="BM272" s="528">
        <f t="shared" si="756"/>
        <v>2.0343416869963886</v>
      </c>
      <c r="BN272" s="460">
        <f t="shared" si="687"/>
        <v>2034.3416869963887</v>
      </c>
      <c r="BO272" s="528">
        <f t="shared" si="637"/>
        <v>0.39200000000000002</v>
      </c>
      <c r="BR272" s="460">
        <f t="shared" si="688"/>
        <v>392</v>
      </c>
      <c r="BS272" s="528">
        <f t="shared" si="689"/>
        <v>6.4256998346090641E-3</v>
      </c>
      <c r="BT272" s="528">
        <f t="shared" si="690"/>
        <v>3.7390257143443364E-2</v>
      </c>
      <c r="BU272" s="528">
        <f t="shared" si="691"/>
        <v>0.7264077886094007</v>
      </c>
      <c r="BV272" s="528"/>
      <c r="BW272" s="528">
        <f t="shared" si="692"/>
        <v>7.667792471159173E-3</v>
      </c>
      <c r="BX272" s="460">
        <f t="shared" si="693"/>
        <v>777.89153805861224</v>
      </c>
      <c r="BY272" s="173">
        <f t="shared" si="694"/>
        <v>3.7105670452360004</v>
      </c>
      <c r="BZ272" s="5">
        <f t="shared" si="695"/>
        <v>8.9600000000000009</v>
      </c>
      <c r="CA272" s="173">
        <f t="shared" si="696"/>
        <v>0.70715067194793502</v>
      </c>
      <c r="CB272" s="5">
        <f t="shared" si="697"/>
        <v>70.715067194793505</v>
      </c>
      <c r="CE272" s="562">
        <f t="shared" si="757"/>
        <v>-50</v>
      </c>
      <c r="CF272">
        <f t="shared" si="758"/>
        <v>-50</v>
      </c>
      <c r="CG272" s="173">
        <f t="shared" si="759"/>
        <v>0.54221766846903841</v>
      </c>
      <c r="CI272" s="170">
        <v>56</v>
      </c>
      <c r="CJ272" s="217">
        <f t="shared" si="698"/>
        <v>0.56000000000000005</v>
      </c>
      <c r="CK272" s="217"/>
      <c r="CL272" s="217">
        <f t="shared" si="641"/>
        <v>8.9600000000000009</v>
      </c>
      <c r="CM272" s="541">
        <f t="shared" si="642"/>
        <v>60</v>
      </c>
      <c r="CN272" s="443">
        <f t="shared" si="643"/>
        <v>16.399999999999999</v>
      </c>
      <c r="CO272" s="443">
        <f t="shared" si="644"/>
        <v>76.400000000000006</v>
      </c>
      <c r="CP272" s="443"/>
      <c r="CQ272" s="217">
        <f t="shared" si="645"/>
        <v>0.21465968586387432</v>
      </c>
      <c r="CR272" s="172">
        <f t="shared" si="646"/>
        <v>33.164921465968582</v>
      </c>
      <c r="CS272" s="172">
        <f t="shared" si="647"/>
        <v>8.9600000000000009</v>
      </c>
      <c r="CT272" s="217">
        <f t="shared" si="648"/>
        <v>2.0728075916230364</v>
      </c>
      <c r="CU272" s="217">
        <f t="shared" si="649"/>
        <v>16</v>
      </c>
      <c r="CV272" s="217"/>
      <c r="CW272" s="172">
        <f t="shared" si="650"/>
        <v>207.97232130238925</v>
      </c>
      <c r="CX272" s="172">
        <f t="shared" si="651"/>
        <v>16</v>
      </c>
      <c r="CY272" s="217">
        <f t="shared" si="652"/>
        <v>1.3913495934959352</v>
      </c>
      <c r="CZ272" s="217">
        <f t="shared" si="653"/>
        <v>0.2782699186991871</v>
      </c>
      <c r="DA272" s="217">
        <f t="shared" si="654"/>
        <v>1.0180606781677575</v>
      </c>
      <c r="DB272" s="197">
        <f t="shared" si="655"/>
        <v>350</v>
      </c>
      <c r="DC272" s="443">
        <f t="shared" si="656"/>
        <v>350</v>
      </c>
      <c r="DE272" s="217">
        <f t="shared" si="657"/>
        <v>3.06656694091249</v>
      </c>
      <c r="DF272" s="173">
        <f t="shared" si="658"/>
        <v>2.2438294689603588</v>
      </c>
      <c r="DG272" s="173">
        <f t="shared" si="659"/>
        <v>1.2041493223478366</v>
      </c>
      <c r="DH272" s="173"/>
      <c r="DI272" s="173">
        <f t="shared" si="660"/>
        <v>0.73170731707317083</v>
      </c>
      <c r="DJ272" s="545">
        <f t="shared" si="661"/>
        <v>1530.6666666666665</v>
      </c>
      <c r="DK272" s="528">
        <f t="shared" si="662"/>
        <v>0.12804878048780488</v>
      </c>
      <c r="DM272" s="173">
        <f t="shared" si="663"/>
        <v>2.0912516188477497</v>
      </c>
      <c r="DN272" s="173">
        <f t="shared" si="664"/>
        <v>2.0912516188477497</v>
      </c>
      <c r="DO272" s="173">
        <f t="shared" si="665"/>
        <v>2.0083345324798145</v>
      </c>
      <c r="DQ272" s="545">
        <f t="shared" si="666"/>
        <v>560</v>
      </c>
      <c r="DR272" s="460">
        <f t="shared" si="667"/>
        <v>350</v>
      </c>
      <c r="DT272">
        <f t="shared" si="668"/>
        <v>560</v>
      </c>
      <c r="DU272">
        <f t="shared" si="669"/>
        <v>350</v>
      </c>
      <c r="DW272" s="5">
        <f t="shared" si="670"/>
        <v>2.8571428571428572</v>
      </c>
      <c r="DX272" s="5">
        <f t="shared" si="671"/>
        <v>0.41825032376954996</v>
      </c>
      <c r="DY272" s="5">
        <f t="shared" si="672"/>
        <v>2.4388925333733074</v>
      </c>
      <c r="DZ272" s="5"/>
      <c r="EA272" s="173">
        <f t="shared" si="673"/>
        <v>0.14638761331934247</v>
      </c>
      <c r="EB272" s="173">
        <f t="shared" si="699"/>
        <v>9.1840000000000011</v>
      </c>
      <c r="EC272" s="173">
        <f t="shared" si="700"/>
        <v>0.89255914275720816</v>
      </c>
      <c r="ED272" s="173">
        <f t="shared" si="701"/>
        <v>10.289514229420886</v>
      </c>
      <c r="EE272" s="460">
        <f t="shared" si="674"/>
        <v>1.4638761331934249</v>
      </c>
      <c r="EF272" s="5">
        <f t="shared" si="675"/>
        <v>0.30350662637534487</v>
      </c>
      <c r="EH272" s="173">
        <f t="shared" si="702"/>
        <v>0.46195303834790791</v>
      </c>
      <c r="EI272" s="173">
        <f t="shared" si="703"/>
        <v>1.1155165476759696</v>
      </c>
      <c r="EK272" s="528">
        <f t="shared" si="704"/>
        <v>4.268012192777274E-3</v>
      </c>
      <c r="EL272" s="528">
        <f t="shared" si="705"/>
        <v>1.0624812974717879</v>
      </c>
      <c r="EM272" s="528">
        <f t="shared" si="706"/>
        <v>4.0250000000000001E-2</v>
      </c>
      <c r="EN272" s="528">
        <f t="shared" si="707"/>
        <v>1.0061459800000001</v>
      </c>
      <c r="EO272">
        <f t="shared" si="708"/>
        <v>2.7E-2</v>
      </c>
      <c r="EP272" s="460">
        <f t="shared" si="709"/>
        <v>67.25</v>
      </c>
      <c r="EQ272" s="460"/>
      <c r="ER272" s="460">
        <f t="shared" si="710"/>
        <v>2140.1452896645651</v>
      </c>
      <c r="ES272" s="528">
        <f t="shared" si="711"/>
        <v>0.39200000000000002</v>
      </c>
      <c r="EV272" s="460">
        <f t="shared" si="712"/>
        <v>392</v>
      </c>
      <c r="EW272" s="528">
        <f t="shared" si="713"/>
        <v>6.4020182891659097E-3</v>
      </c>
      <c r="EX272" s="528">
        <f t="shared" si="714"/>
        <v>3.733131504416741E-2</v>
      </c>
      <c r="EY272" s="528">
        <f t="shared" si="715"/>
        <v>0.72469596061830166</v>
      </c>
      <c r="EZ272" s="528"/>
      <c r="FA272" s="528">
        <f t="shared" si="716"/>
        <v>7.6533333333333349E-3</v>
      </c>
      <c r="FB272" s="460">
        <f t="shared" si="717"/>
        <v>776.08262728496823</v>
      </c>
      <c r="FC272" s="173">
        <f t="shared" si="718"/>
        <v>3.3082279169495332</v>
      </c>
      <c r="FD272" s="5">
        <f t="shared" si="719"/>
        <v>8.9600000000000009</v>
      </c>
      <c r="FE272" s="173">
        <f t="shared" si="720"/>
        <v>0.73034182774034107</v>
      </c>
      <c r="FF272" s="5">
        <f t="shared" si="721"/>
        <v>73.034182774034107</v>
      </c>
      <c r="FI272" s="562">
        <f t="shared" si="676"/>
        <v>-50</v>
      </c>
      <c r="FJ272">
        <f t="shared" si="677"/>
        <v>-50</v>
      </c>
      <c r="FL272">
        <f t="shared" si="760"/>
        <v>0.53556443897320427</v>
      </c>
    </row>
    <row r="273" spans="5:168">
      <c r="E273" s="170">
        <v>57</v>
      </c>
      <c r="F273" s="217">
        <f t="shared" si="761"/>
        <v>0.56999999999999995</v>
      </c>
      <c r="G273" s="217"/>
      <c r="H273" s="217">
        <f t="shared" si="726"/>
        <v>9.1199999999999992</v>
      </c>
      <c r="I273" s="541">
        <f t="shared" si="727"/>
        <v>59.947901192774829</v>
      </c>
      <c r="J273" s="172">
        <f t="shared" si="728"/>
        <v>16.431259284335102</v>
      </c>
      <c r="K273" s="172">
        <f t="shared" si="729"/>
        <v>76.379160477109934</v>
      </c>
      <c r="L273" s="443"/>
      <c r="M273" s="217">
        <f t="shared" si="730"/>
        <v>0.21513150928701649</v>
      </c>
      <c r="N273" s="172">
        <f t="shared" si="731"/>
        <v>33.208957340140756</v>
      </c>
      <c r="O273" s="172">
        <f t="shared" si="762"/>
        <v>9.1199999999999992</v>
      </c>
      <c r="P273" s="217">
        <f t="shared" si="732"/>
        <v>2.0755598337587973</v>
      </c>
      <c r="Q273" s="217">
        <f t="shared" si="733"/>
        <v>16</v>
      </c>
      <c r="R273" s="217"/>
      <c r="S273" s="172">
        <f t="shared" si="734"/>
        <v>203.09932410739131</v>
      </c>
      <c r="T273" s="172">
        <f t="shared" si="735"/>
        <v>16</v>
      </c>
      <c r="U273" s="217">
        <f t="shared" si="736"/>
        <v>1.4143172132425921</v>
      </c>
      <c r="V273" s="217">
        <f t="shared" si="737"/>
        <v>0.28310927023674715</v>
      </c>
      <c r="W273" s="217">
        <f t="shared" si="738"/>
        <v>1.0328974952693575</v>
      </c>
      <c r="X273" s="197">
        <f t="shared" si="739"/>
        <v>350</v>
      </c>
      <c r="Y273" s="443">
        <f t="shared" si="680"/>
        <v>350</v>
      </c>
      <c r="AA273" s="217">
        <f t="shared" si="740"/>
        <v>3.0705817245523255</v>
      </c>
      <c r="AB273" s="173">
        <f t="shared" si="741"/>
        <v>2.2424928033213094</v>
      </c>
      <c r="AC273" s="173">
        <f t="shared" si="742"/>
        <v>1.2050075483807419</v>
      </c>
      <c r="AD273" s="173"/>
      <c r="AE273" s="173">
        <f t="shared" si="743"/>
        <v>0.73031529673689188</v>
      </c>
      <c r="AF273" s="545">
        <f t="shared" si="744"/>
        <v>1560.9696320118346</v>
      </c>
      <c r="AG273" s="528">
        <f t="shared" si="745"/>
        <v>0.1278051769289561</v>
      </c>
      <c r="AI273" s="173">
        <f t="shared" si="746"/>
        <v>2.1118506657241483</v>
      </c>
      <c r="AJ273" s="173">
        <f t="shared" si="747"/>
        <v>2.1118506657241483</v>
      </c>
      <c r="AK273" s="173">
        <f t="shared" si="748"/>
        <v>2.0235930857215911</v>
      </c>
      <c r="AM273" s="545">
        <f t="shared" si="749"/>
        <v>570</v>
      </c>
      <c r="AN273" s="460">
        <f t="shared" si="750"/>
        <v>350</v>
      </c>
      <c r="AP273">
        <f t="shared" si="751"/>
        <v>570</v>
      </c>
      <c r="AQ273">
        <f t="shared" si="752"/>
        <v>350</v>
      </c>
      <c r="AS273" s="5">
        <f t="shared" si="763"/>
        <v>2.8571428571428572</v>
      </c>
      <c r="AT273" s="5">
        <f t="shared" si="753"/>
        <v>0.42273720154433242</v>
      </c>
      <c r="AU273" s="5">
        <f t="shared" si="722"/>
        <v>2.4344056555985247</v>
      </c>
      <c r="AV273" s="5"/>
      <c r="AW273" s="173">
        <f t="shared" si="723"/>
        <v>0.14795802054051635</v>
      </c>
      <c r="AX273" s="173">
        <f t="shared" si="631"/>
        <v>9.3658177920710095</v>
      </c>
      <c r="AY273" s="173">
        <f t="shared" si="632"/>
        <v>0.89969271077321578</v>
      </c>
      <c r="AZ273" s="173">
        <f t="shared" si="633"/>
        <v>10.410018531796061</v>
      </c>
      <c r="BA273" s="460">
        <f t="shared" si="724"/>
        <v>1.506001280501684</v>
      </c>
      <c r="BB273" s="5">
        <f t="shared" si="725"/>
        <v>0.30862603384651371</v>
      </c>
      <c r="BD273" s="173">
        <f t="shared" si="681"/>
        <v>0.46899891042246195</v>
      </c>
      <c r="BE273" s="173">
        <f t="shared" si="682"/>
        <v>1.1254677990932123</v>
      </c>
      <c r="BG273" s="528">
        <f t="shared" si="683"/>
        <v>4.3991995595491296E-3</v>
      </c>
      <c r="BH273" s="528">
        <f t="shared" si="754"/>
        <v>1.0303125705053686</v>
      </c>
      <c r="BI273" s="528">
        <f t="shared" si="755"/>
        <v>0.48258060460183738</v>
      </c>
      <c r="BJ273" s="528">
        <f t="shared" si="684"/>
        <v>1.0055971647505508</v>
      </c>
      <c r="BK273">
        <f t="shared" si="685"/>
        <v>2.6976555536748673E-2</v>
      </c>
      <c r="BL273" s="460">
        <f t="shared" si="686"/>
        <v>509.55716013858608</v>
      </c>
      <c r="BM273" s="528">
        <f t="shared" si="756"/>
        <v>2.0436328255300729</v>
      </c>
      <c r="BN273" s="460">
        <f t="shared" si="687"/>
        <v>2043.6328255300728</v>
      </c>
      <c r="BO273" s="528">
        <f t="shared" si="637"/>
        <v>0.39899999999999997</v>
      </c>
      <c r="BR273" s="460">
        <f t="shared" si="688"/>
        <v>398.99999999999994</v>
      </c>
      <c r="BS273" s="528">
        <f t="shared" si="689"/>
        <v>6.598799339323694E-3</v>
      </c>
      <c r="BT273" s="528">
        <f t="shared" si="690"/>
        <v>3.8000333003871574E-2</v>
      </c>
      <c r="BU273" s="528">
        <f t="shared" si="691"/>
        <v>0.74267384150099602</v>
      </c>
      <c r="BV273" s="528"/>
      <c r="BW273" s="528">
        <f t="shared" si="692"/>
        <v>7.8048481600591756E-3</v>
      </c>
      <c r="BX273" s="460">
        <f t="shared" si="693"/>
        <v>795.07782200425049</v>
      </c>
      <c r="BY273" s="173">
        <f t="shared" si="694"/>
        <v>3.7439439169583046</v>
      </c>
      <c r="BZ273" s="5">
        <f t="shared" si="695"/>
        <v>9.1199999999999992</v>
      </c>
      <c r="CA273" s="173">
        <f t="shared" si="696"/>
        <v>0.70895831471849535</v>
      </c>
      <c r="CB273" s="5">
        <f t="shared" si="697"/>
        <v>70.895831471849533</v>
      </c>
      <c r="CE273" s="562">
        <f t="shared" si="757"/>
        <v>-50</v>
      </c>
      <c r="CF273">
        <f t="shared" si="758"/>
        <v>-50</v>
      </c>
      <c r="CG273" s="173">
        <f t="shared" si="759"/>
        <v>0.54703747586431406</v>
      </c>
      <c r="CI273" s="170">
        <v>57</v>
      </c>
      <c r="CJ273" s="217">
        <f t="shared" si="698"/>
        <v>0.56999999999999995</v>
      </c>
      <c r="CK273" s="217"/>
      <c r="CL273" s="217">
        <f t="shared" si="641"/>
        <v>9.1199999999999992</v>
      </c>
      <c r="CM273" s="541">
        <f t="shared" si="642"/>
        <v>60</v>
      </c>
      <c r="CN273" s="443">
        <f t="shared" si="643"/>
        <v>16.399999999999999</v>
      </c>
      <c r="CO273" s="443">
        <f t="shared" si="644"/>
        <v>76.400000000000006</v>
      </c>
      <c r="CP273" s="443"/>
      <c r="CQ273" s="217">
        <f t="shared" si="645"/>
        <v>0.21465968586387432</v>
      </c>
      <c r="CR273" s="172">
        <f t="shared" si="646"/>
        <v>33.164921465968582</v>
      </c>
      <c r="CS273" s="172">
        <f t="shared" si="647"/>
        <v>9.1199999999999992</v>
      </c>
      <c r="CT273" s="217">
        <f t="shared" si="648"/>
        <v>2.0728075916230364</v>
      </c>
      <c r="CU273" s="217">
        <f t="shared" si="649"/>
        <v>16</v>
      </c>
      <c r="CV273" s="217"/>
      <c r="CW273" s="172">
        <f t="shared" si="650"/>
        <v>203.27572910083805</v>
      </c>
      <c r="CX273" s="172">
        <f t="shared" si="651"/>
        <v>16</v>
      </c>
      <c r="CY273" s="217">
        <f t="shared" si="652"/>
        <v>1.4161951219512194</v>
      </c>
      <c r="CZ273" s="217">
        <f t="shared" si="653"/>
        <v>0.28323902439024384</v>
      </c>
      <c r="DA273" s="217">
        <f t="shared" si="654"/>
        <v>1.0362403331350387</v>
      </c>
      <c r="DB273" s="197">
        <f t="shared" si="655"/>
        <v>350</v>
      </c>
      <c r="DC273" s="443">
        <f t="shared" si="656"/>
        <v>350</v>
      </c>
      <c r="DE273" s="217">
        <f t="shared" si="657"/>
        <v>3.06656694091249</v>
      </c>
      <c r="DF273" s="173">
        <f t="shared" si="658"/>
        <v>2.2438294689603588</v>
      </c>
      <c r="DG273" s="173">
        <f t="shared" si="659"/>
        <v>1.2041493223478366</v>
      </c>
      <c r="DH273" s="173"/>
      <c r="DI273" s="173">
        <f t="shared" si="660"/>
        <v>0.73170731707317083</v>
      </c>
      <c r="DJ273" s="545">
        <f t="shared" si="661"/>
        <v>1557.9999999999998</v>
      </c>
      <c r="DK273" s="528">
        <f t="shared" si="662"/>
        <v>0.12804878048780488</v>
      </c>
      <c r="DM273" s="173">
        <f t="shared" si="663"/>
        <v>2.1098408877042294</v>
      </c>
      <c r="DN273" s="173">
        <f t="shared" si="664"/>
        <v>2.1098408877042294</v>
      </c>
      <c r="DO273" s="173">
        <f t="shared" si="665"/>
        <v>2.0221043612623921</v>
      </c>
      <c r="DQ273" s="545">
        <f t="shared" si="666"/>
        <v>570</v>
      </c>
      <c r="DR273" s="460">
        <f t="shared" si="667"/>
        <v>350</v>
      </c>
      <c r="DT273">
        <f t="shared" si="668"/>
        <v>570</v>
      </c>
      <c r="DU273">
        <f t="shared" si="669"/>
        <v>350</v>
      </c>
      <c r="DW273" s="5">
        <f t="shared" si="670"/>
        <v>2.8571428571428572</v>
      </c>
      <c r="DX273" s="5">
        <f t="shared" si="671"/>
        <v>0.42196817754084592</v>
      </c>
      <c r="DY273" s="5">
        <f t="shared" si="672"/>
        <v>2.4351746796020111</v>
      </c>
      <c r="DZ273" s="5"/>
      <c r="EA273" s="173">
        <f t="shared" si="673"/>
        <v>0.14768886213929608</v>
      </c>
      <c r="EB273" s="173">
        <f t="shared" si="699"/>
        <v>9.3480000000000008</v>
      </c>
      <c r="EC273" s="173">
        <f t="shared" si="700"/>
        <v>0.89912044385211465</v>
      </c>
      <c r="ED273" s="173">
        <f t="shared" si="701"/>
        <v>10.396827325992311</v>
      </c>
      <c r="EE273" s="460">
        <f t="shared" si="674"/>
        <v>1.5032616324892634</v>
      </c>
      <c r="EF273" s="5">
        <f t="shared" si="675"/>
        <v>0.30845545941625468</v>
      </c>
      <c r="EH273" s="173">
        <f t="shared" si="702"/>
        <v>0.46812620114973197</v>
      </c>
      <c r="EI273" s="173">
        <f t="shared" si="703"/>
        <v>1.1245743121762317</v>
      </c>
      <c r="EK273" s="528">
        <f t="shared" si="704"/>
        <v>4.3828428040575866E-3</v>
      </c>
      <c r="EL273" s="528">
        <f t="shared" si="705"/>
        <v>1.071925761407011</v>
      </c>
      <c r="EM273" s="528">
        <f t="shared" si="706"/>
        <v>4.0250000000000001E-2</v>
      </c>
      <c r="EN273" s="528">
        <f t="shared" si="707"/>
        <v>1.0061459800000001</v>
      </c>
      <c r="EO273">
        <f t="shared" si="708"/>
        <v>2.7E-2</v>
      </c>
      <c r="EP273" s="460">
        <f t="shared" si="709"/>
        <v>67.25</v>
      </c>
      <c r="EQ273" s="460"/>
      <c r="ER273" s="460">
        <f t="shared" si="710"/>
        <v>2149.7045842110688</v>
      </c>
      <c r="ES273" s="528">
        <f t="shared" si="711"/>
        <v>0.39899999999999997</v>
      </c>
      <c r="EV273" s="460">
        <f t="shared" si="712"/>
        <v>398.99999999999994</v>
      </c>
      <c r="EW273" s="528">
        <f t="shared" si="713"/>
        <v>6.5742642060863787E-3</v>
      </c>
      <c r="EX273" s="528">
        <f t="shared" si="714"/>
        <v>3.7940021508199341E-2</v>
      </c>
      <c r="EY273" s="528">
        <f t="shared" si="715"/>
        <v>0.74090815749019623</v>
      </c>
      <c r="EZ273" s="528"/>
      <c r="FA273" s="528">
        <f t="shared" si="716"/>
        <v>7.79E-3</v>
      </c>
      <c r="FB273" s="460">
        <f t="shared" si="717"/>
        <v>793.21244320448193</v>
      </c>
      <c r="FC273" s="173">
        <f t="shared" si="718"/>
        <v>3.3419170274155507</v>
      </c>
      <c r="FD273" s="5">
        <f t="shared" si="719"/>
        <v>9.1199999999999992</v>
      </c>
      <c r="FE273" s="173">
        <f t="shared" si="720"/>
        <v>0.73182961978774919</v>
      </c>
      <c r="FF273" s="5">
        <f t="shared" si="721"/>
        <v>73.182961978774912</v>
      </c>
      <c r="FI273" s="562">
        <f t="shared" si="676"/>
        <v>-50</v>
      </c>
      <c r="FJ273">
        <f t="shared" si="677"/>
        <v>-50</v>
      </c>
      <c r="FL273">
        <f t="shared" si="760"/>
        <v>0.54032510538766854</v>
      </c>
    </row>
    <row r="274" spans="5:168">
      <c r="E274" s="170">
        <v>58</v>
      </c>
      <c r="F274" s="217">
        <f t="shared" si="761"/>
        <v>0.57999999999999996</v>
      </c>
      <c r="G274" s="217"/>
      <c r="H274" s="217">
        <f t="shared" si="726"/>
        <v>9.2799999999999994</v>
      </c>
      <c r="I274" s="541">
        <f t="shared" si="727"/>
        <v>59.947446172718777</v>
      </c>
      <c r="J274" s="172">
        <f t="shared" si="728"/>
        <v>16.431532296368733</v>
      </c>
      <c r="K274" s="172">
        <f t="shared" si="729"/>
        <v>76.378978469087514</v>
      </c>
      <c r="L274" s="443"/>
      <c r="M274" s="217">
        <f t="shared" si="730"/>
        <v>0.21513563120685861</v>
      </c>
      <c r="N274" s="172">
        <f t="shared" si="731"/>
        <v>33.209341554388111</v>
      </c>
      <c r="O274" s="172">
        <f t="shared" si="762"/>
        <v>9.2799999999999994</v>
      </c>
      <c r="P274" s="217">
        <f t="shared" si="732"/>
        <v>2.0755838471492569</v>
      </c>
      <c r="Q274" s="217">
        <f t="shared" si="733"/>
        <v>16</v>
      </c>
      <c r="R274" s="217"/>
      <c r="S274" s="172">
        <f t="shared" si="734"/>
        <v>198.56723558669711</v>
      </c>
      <c r="T274" s="172">
        <f t="shared" si="735"/>
        <v>16</v>
      </c>
      <c r="U274" s="217">
        <f t="shared" si="736"/>
        <v>1.4391131459721762</v>
      </c>
      <c r="V274" s="217">
        <f t="shared" si="737"/>
        <v>0.28807495321669185</v>
      </c>
      <c r="W274" s="217">
        <f t="shared" si="738"/>
        <v>1.0509888816323316</v>
      </c>
      <c r="X274" s="197">
        <f t="shared" si="739"/>
        <v>350</v>
      </c>
      <c r="Y274" s="443">
        <f t="shared" si="680"/>
        <v>350</v>
      </c>
      <c r="AA274" s="217">
        <f t="shared" si="740"/>
        <v>3.0706167537549689</v>
      </c>
      <c r="AB274" s="173">
        <f t="shared" si="741"/>
        <v>2.2424811259509059</v>
      </c>
      <c r="AC274" s="173">
        <f t="shared" si="742"/>
        <v>1.2050150201817276</v>
      </c>
      <c r="AD274" s="173"/>
      <c r="AE274" s="173">
        <f t="shared" si="743"/>
        <v>0.73030316245381</v>
      </c>
      <c r="AF274" s="545">
        <f t="shared" si="744"/>
        <v>1588.381455315644</v>
      </c>
      <c r="AG274" s="528">
        <f t="shared" si="745"/>
        <v>0.12780305342941675</v>
      </c>
      <c r="AI274" s="173">
        <f t="shared" si="746"/>
        <v>2.1303128243225848</v>
      </c>
      <c r="AJ274" s="173">
        <f t="shared" si="747"/>
        <v>2.1303128243225848</v>
      </c>
      <c r="AK274" s="173">
        <f t="shared" si="748"/>
        <v>2.0372687587574703</v>
      </c>
      <c r="AM274" s="545">
        <f t="shared" si="749"/>
        <v>580</v>
      </c>
      <c r="AN274" s="460">
        <f t="shared" si="750"/>
        <v>350</v>
      </c>
      <c r="AP274">
        <f t="shared" si="751"/>
        <v>580</v>
      </c>
      <c r="AQ274">
        <f t="shared" si="752"/>
        <v>350</v>
      </c>
      <c r="AS274" s="5">
        <f t="shared" si="763"/>
        <v>2.8571428571428572</v>
      </c>
      <c r="AT274" s="5">
        <f t="shared" si="753"/>
        <v>0.42643607899855318</v>
      </c>
      <c r="AU274" s="5">
        <f t="shared" si="722"/>
        <v>2.4307067781443039</v>
      </c>
      <c r="AV274" s="5"/>
      <c r="AW274" s="173">
        <f t="shared" si="723"/>
        <v>0.1492526276494936</v>
      </c>
      <c r="AX274" s="173">
        <f t="shared" si="631"/>
        <v>9.5302887318938652</v>
      </c>
      <c r="AY274" s="173">
        <f t="shared" si="632"/>
        <v>0.90617901878851248</v>
      </c>
      <c r="AZ274" s="173">
        <f t="shared" si="633"/>
        <v>10.517004404532655</v>
      </c>
      <c r="BA274" s="460">
        <f t="shared" si="724"/>
        <v>1.5458307863697551</v>
      </c>
      <c r="BB274" s="5">
        <f t="shared" si="725"/>
        <v>0.31356574718502472</v>
      </c>
      <c r="BD274" s="173">
        <f t="shared" si="681"/>
        <v>0.47516423818816539</v>
      </c>
      <c r="BE274" s="173">
        <f t="shared" si="682"/>
        <v>1.1344440003388518</v>
      </c>
      <c r="BG274" s="528">
        <f t="shared" si="683"/>
        <v>4.5156210650587917E-3</v>
      </c>
      <c r="BH274" s="528">
        <f t="shared" si="754"/>
        <v>1.0393172620179099</v>
      </c>
      <c r="BI274" s="528">
        <f t="shared" si="755"/>
        <v>0.48257694169038617</v>
      </c>
      <c r="BJ274" s="528">
        <f t="shared" si="684"/>
        <v>1.0055923721727824</v>
      </c>
      <c r="BK274">
        <f t="shared" si="685"/>
        <v>2.6976350777723448E-2</v>
      </c>
      <c r="BL274" s="460">
        <f t="shared" si="686"/>
        <v>509.55329246810965</v>
      </c>
      <c r="BM274" s="528">
        <f t="shared" si="756"/>
        <v>2.0528469962268634</v>
      </c>
      <c r="BN274" s="460">
        <f t="shared" si="687"/>
        <v>2052.8469962268632</v>
      </c>
      <c r="BO274" s="528">
        <f t="shared" si="637"/>
        <v>0.40599999999999997</v>
      </c>
      <c r="BR274" s="460">
        <f t="shared" si="688"/>
        <v>406</v>
      </c>
      <c r="BS274" s="528">
        <f t="shared" si="689"/>
        <v>6.7734315975881872E-3</v>
      </c>
      <c r="BT274" s="528">
        <f t="shared" si="690"/>
        <v>3.8608895697144506E-2</v>
      </c>
      <c r="BU274" s="528">
        <f t="shared" si="691"/>
        <v>0.75901187337179976</v>
      </c>
      <c r="BV274" s="528"/>
      <c r="BW274" s="528">
        <f t="shared" si="692"/>
        <v>7.9419072765782184E-3</v>
      </c>
      <c r="BX274" s="460">
        <f t="shared" si="693"/>
        <v>812.33610794311062</v>
      </c>
      <c r="BY274" s="173">
        <f t="shared" si="694"/>
        <v>3.7773146556669714</v>
      </c>
      <c r="BZ274" s="5">
        <f t="shared" si="695"/>
        <v>9.2799999999999994</v>
      </c>
      <c r="CA274" s="173">
        <f t="shared" si="696"/>
        <v>0.71071274949879615</v>
      </c>
      <c r="CB274" s="5">
        <f t="shared" si="697"/>
        <v>71.071274949879609</v>
      </c>
      <c r="CE274" s="562">
        <f t="shared" si="757"/>
        <v>-50</v>
      </c>
      <c r="CF274">
        <f t="shared" si="758"/>
        <v>-50</v>
      </c>
      <c r="CG274" s="173">
        <f t="shared" si="759"/>
        <v>0.55181518645285577</v>
      </c>
      <c r="CI274" s="170">
        <v>58</v>
      </c>
      <c r="CJ274" s="217">
        <f t="shared" si="698"/>
        <v>0.57999999999999996</v>
      </c>
      <c r="CK274" s="217"/>
      <c r="CL274" s="217">
        <f t="shared" si="641"/>
        <v>9.2799999999999994</v>
      </c>
      <c r="CM274" s="541">
        <f t="shared" si="642"/>
        <v>60</v>
      </c>
      <c r="CN274" s="443">
        <f t="shared" si="643"/>
        <v>16.399999999999999</v>
      </c>
      <c r="CO274" s="443">
        <f t="shared" si="644"/>
        <v>76.400000000000006</v>
      </c>
      <c r="CP274" s="443"/>
      <c r="CQ274" s="217">
        <f t="shared" si="645"/>
        <v>0.21465968586387432</v>
      </c>
      <c r="CR274" s="172">
        <f t="shared" si="646"/>
        <v>33.164921465968582</v>
      </c>
      <c r="CS274" s="172">
        <f t="shared" si="647"/>
        <v>9.2799999999999994</v>
      </c>
      <c r="CT274" s="217">
        <f t="shared" si="648"/>
        <v>2.0728075916230364</v>
      </c>
      <c r="CU274" s="217">
        <f t="shared" si="649"/>
        <v>16</v>
      </c>
      <c r="CV274" s="217"/>
      <c r="CW274" s="172">
        <f t="shared" si="650"/>
        <v>198.74120715299779</v>
      </c>
      <c r="CX274" s="172">
        <f t="shared" si="651"/>
        <v>16</v>
      </c>
      <c r="CY274" s="217">
        <f t="shared" si="652"/>
        <v>1.4410406504065041</v>
      </c>
      <c r="CZ274" s="217">
        <f t="shared" si="653"/>
        <v>0.28820813008130081</v>
      </c>
      <c r="DA274" s="217">
        <f t="shared" si="654"/>
        <v>1.0544199881023202</v>
      </c>
      <c r="DB274" s="197">
        <f t="shared" si="655"/>
        <v>350</v>
      </c>
      <c r="DC274" s="443">
        <f t="shared" si="656"/>
        <v>350</v>
      </c>
      <c r="DE274" s="217">
        <f t="shared" si="657"/>
        <v>3.06656694091249</v>
      </c>
      <c r="DF274" s="173">
        <f t="shared" si="658"/>
        <v>2.2438294689603588</v>
      </c>
      <c r="DG274" s="173">
        <f t="shared" si="659"/>
        <v>1.2041493223478366</v>
      </c>
      <c r="DH274" s="173"/>
      <c r="DI274" s="173">
        <f t="shared" si="660"/>
        <v>0.73170731707317083</v>
      </c>
      <c r="DJ274" s="545">
        <f t="shared" si="661"/>
        <v>1585.333333333333</v>
      </c>
      <c r="DK274" s="528">
        <f t="shared" si="662"/>
        <v>0.12804878048780488</v>
      </c>
      <c r="DM274" s="173">
        <f t="shared" si="663"/>
        <v>2.1282677955379135</v>
      </c>
      <c r="DN274" s="173">
        <f t="shared" si="664"/>
        <v>2.1282677955379135</v>
      </c>
      <c r="DO274" s="173">
        <f t="shared" si="665"/>
        <v>2.0357539226206764</v>
      </c>
      <c r="DQ274" s="545">
        <f t="shared" si="666"/>
        <v>580</v>
      </c>
      <c r="DR274" s="460">
        <f t="shared" si="667"/>
        <v>350</v>
      </c>
      <c r="DT274">
        <f t="shared" si="668"/>
        <v>580</v>
      </c>
      <c r="DU274">
        <f t="shared" si="669"/>
        <v>350</v>
      </c>
      <c r="DW274" s="5">
        <f t="shared" si="670"/>
        <v>2.8571428571428572</v>
      </c>
      <c r="DX274" s="5">
        <f t="shared" si="671"/>
        <v>0.42565355910758268</v>
      </c>
      <c r="DY274" s="5">
        <f t="shared" si="672"/>
        <v>2.4314892980352747</v>
      </c>
      <c r="DZ274" s="5"/>
      <c r="EA274" s="173">
        <f t="shared" si="673"/>
        <v>0.14897874568765393</v>
      </c>
      <c r="EB274" s="173">
        <f t="shared" si="699"/>
        <v>9.5120000000000022</v>
      </c>
      <c r="EC274" s="173">
        <f t="shared" si="700"/>
        <v>0.90560056443562342</v>
      </c>
      <c r="ED274" s="173">
        <f t="shared" si="701"/>
        <v>10.5035270223445</v>
      </c>
      <c r="EE274" s="460">
        <f t="shared" si="674"/>
        <v>1.542994151764987</v>
      </c>
      <c r="EF274" s="5">
        <f t="shared" si="675"/>
        <v>0.31339195396899089</v>
      </c>
      <c r="EH274" s="173">
        <f t="shared" si="702"/>
        <v>0.47427234640911448</v>
      </c>
      <c r="EI274" s="173">
        <f t="shared" si="703"/>
        <v>1.1335373885641633</v>
      </c>
      <c r="EK274" s="528">
        <f t="shared" si="704"/>
        <v>4.4986851713681416E-3</v>
      </c>
      <c r="EL274" s="528">
        <f t="shared" si="705"/>
        <v>1.0812877362009925</v>
      </c>
      <c r="EM274" s="528">
        <f t="shared" si="706"/>
        <v>4.0250000000000001E-2</v>
      </c>
      <c r="EN274" s="528">
        <f t="shared" si="707"/>
        <v>1.0061459800000001</v>
      </c>
      <c r="EO274">
        <f t="shared" si="708"/>
        <v>2.7E-2</v>
      </c>
      <c r="EP274" s="460">
        <f t="shared" si="709"/>
        <v>67.25</v>
      </c>
      <c r="EQ274" s="460"/>
      <c r="ER274" s="460">
        <f t="shared" si="710"/>
        <v>2159.1824013723608</v>
      </c>
      <c r="ES274" s="528">
        <f t="shared" si="711"/>
        <v>0.40599999999999997</v>
      </c>
      <c r="EV274" s="460">
        <f t="shared" si="712"/>
        <v>406</v>
      </c>
      <c r="EW274" s="528">
        <f t="shared" si="713"/>
        <v>6.7480277570522119E-3</v>
      </c>
      <c r="EX274" s="528">
        <f t="shared" si="714"/>
        <v>3.8547210338185887E-2</v>
      </c>
      <c r="EY274" s="528">
        <f t="shared" si="715"/>
        <v>0.75719161985745664</v>
      </c>
      <c r="EZ274" s="528"/>
      <c r="FA274" s="528">
        <f t="shared" si="716"/>
        <v>7.9266666666666687E-3</v>
      </c>
      <c r="FB274" s="460">
        <f t="shared" si="717"/>
        <v>810.41352461936128</v>
      </c>
      <c r="FC274" s="173">
        <f t="shared" si="718"/>
        <v>3.3755959259917221</v>
      </c>
      <c r="FD274" s="5">
        <f t="shared" si="719"/>
        <v>9.2799999999999994</v>
      </c>
      <c r="FE274" s="173">
        <f t="shared" si="720"/>
        <v>0.73327246336468321</v>
      </c>
      <c r="FF274" s="5">
        <f t="shared" si="721"/>
        <v>73.32724633646832</v>
      </c>
      <c r="FI274" s="562">
        <f t="shared" si="676"/>
        <v>-50</v>
      </c>
      <c r="FJ274">
        <f t="shared" si="677"/>
        <v>-50</v>
      </c>
      <c r="FL274">
        <f t="shared" si="760"/>
        <v>0.54504419154019734</v>
      </c>
    </row>
    <row r="275" spans="5:168">
      <c r="E275" s="170">
        <v>59</v>
      </c>
      <c r="F275" s="217">
        <f t="shared" si="761"/>
        <v>0.59</v>
      </c>
      <c r="G275" s="217"/>
      <c r="H275" s="217">
        <f t="shared" si="726"/>
        <v>9.44</v>
      </c>
      <c r="I275" s="541">
        <f t="shared" si="727"/>
        <v>59.946995058631067</v>
      </c>
      <c r="J275" s="172">
        <f t="shared" si="728"/>
        <v>16.431802964821358</v>
      </c>
      <c r="K275" s="172">
        <f t="shared" si="729"/>
        <v>76.378798023452418</v>
      </c>
      <c r="L275" s="443"/>
      <c r="M275" s="217">
        <f t="shared" si="730"/>
        <v>0.21513971776248175</v>
      </c>
      <c r="N275" s="172">
        <f t="shared" si="731"/>
        <v>33.209722463878649</v>
      </c>
      <c r="O275" s="172">
        <f t="shared" si="762"/>
        <v>9.44</v>
      </c>
      <c r="P275" s="217">
        <f t="shared" si="732"/>
        <v>2.0756076539924155</v>
      </c>
      <c r="Q275" s="217">
        <f t="shared" si="733"/>
        <v>16</v>
      </c>
      <c r="R275" s="217"/>
      <c r="S275" s="172">
        <f t="shared" si="734"/>
        <v>194.18892383753777</v>
      </c>
      <c r="T275" s="172">
        <f t="shared" si="735"/>
        <v>16</v>
      </c>
      <c r="U275" s="217">
        <f t="shared" si="736"/>
        <v>1.4639086506332102</v>
      </c>
      <c r="V275" s="217">
        <f t="shared" si="737"/>
        <v>0.29304060679634131</v>
      </c>
      <c r="W275" s="217">
        <f t="shared" si="738"/>
        <v>1.0690795066863501</v>
      </c>
      <c r="X275" s="197">
        <f t="shared" si="739"/>
        <v>350</v>
      </c>
      <c r="Y275" s="443">
        <f t="shared" si="680"/>
        <v>350</v>
      </c>
      <c r="AA275" s="217">
        <f t="shared" si="740"/>
        <v>3.0706514816613217</v>
      </c>
      <c r="AB275" s="173">
        <f t="shared" si="741"/>
        <v>2.2424695487660662</v>
      </c>
      <c r="AC275" s="173">
        <f t="shared" si="742"/>
        <v>1.2050224274373105</v>
      </c>
      <c r="AD275" s="173"/>
      <c r="AE275" s="173">
        <f t="shared" si="743"/>
        <v>0.73029113273148716</v>
      </c>
      <c r="AF275" s="545">
        <f t="shared" si="744"/>
        <v>1615.7939582074339</v>
      </c>
      <c r="AG275" s="528">
        <f t="shared" si="745"/>
        <v>0.12780094822801025</v>
      </c>
      <c r="AI275" s="173">
        <f t="shared" si="746"/>
        <v>2.148616803040261</v>
      </c>
      <c r="AJ275" s="173">
        <f t="shared" si="747"/>
        <v>2.148616803040261</v>
      </c>
      <c r="AK275" s="173">
        <f t="shared" si="748"/>
        <v>2.0508272615113046</v>
      </c>
      <c r="AM275" s="545">
        <f t="shared" si="749"/>
        <v>590</v>
      </c>
      <c r="AN275" s="460">
        <f t="shared" si="750"/>
        <v>350</v>
      </c>
      <c r="AP275">
        <f t="shared" si="751"/>
        <v>590</v>
      </c>
      <c r="AQ275">
        <f t="shared" si="752"/>
        <v>350</v>
      </c>
      <c r="AS275" s="5">
        <f t="shared" si="763"/>
        <v>2.8571428571428572</v>
      </c>
      <c r="AT275" s="5">
        <f t="shared" si="753"/>
        <v>0.43010332062959478</v>
      </c>
      <c r="AU275" s="5">
        <f t="shared" si="722"/>
        <v>2.4270395365132624</v>
      </c>
      <c r="AV275" s="5"/>
      <c r="AW275" s="173">
        <f t="shared" si="723"/>
        <v>0.15053616222035818</v>
      </c>
      <c r="AX275" s="173">
        <f t="shared" si="631"/>
        <v>9.6947637492445988</v>
      </c>
      <c r="AY275" s="173">
        <f t="shared" si="632"/>
        <v>0.91258613771420249</v>
      </c>
      <c r="AZ275" s="173">
        <f t="shared" si="633"/>
        <v>10.623395807356367</v>
      </c>
      <c r="BA275" s="460">
        <f t="shared" si="724"/>
        <v>1.5860059948216305</v>
      </c>
      <c r="BB275" s="5">
        <f t="shared" si="725"/>
        <v>0.31849321224353944</v>
      </c>
      <c r="BD275" s="173">
        <f t="shared" si="681"/>
        <v>0.48130321242720919</v>
      </c>
      <c r="BE275" s="173">
        <f t="shared" si="682"/>
        <v>1.1433278648210374</v>
      </c>
      <c r="BG275" s="528">
        <f t="shared" si="683"/>
        <v>4.6330556458550253E-3</v>
      </c>
      <c r="BH275" s="528">
        <f t="shared" si="754"/>
        <v>1.048244760896567</v>
      </c>
      <c r="BI275" s="528">
        <f t="shared" si="755"/>
        <v>0.48257331022198013</v>
      </c>
      <c r="BJ275" s="528">
        <f t="shared" si="684"/>
        <v>1.0055876207465775</v>
      </c>
      <c r="BK275">
        <f t="shared" si="685"/>
        <v>2.697614777638398E-2</v>
      </c>
      <c r="BL275" s="460">
        <f t="shared" si="686"/>
        <v>509.54945799836418</v>
      </c>
      <c r="BM275" s="528">
        <f t="shared" si="756"/>
        <v>2.0619862256626371</v>
      </c>
      <c r="BN275" s="460">
        <f t="shared" si="687"/>
        <v>2061.986225662637</v>
      </c>
      <c r="BO275" s="528">
        <f t="shared" si="637"/>
        <v>0.41299999999999998</v>
      </c>
      <c r="BR275" s="460">
        <f t="shared" si="688"/>
        <v>413</v>
      </c>
      <c r="BS275" s="528">
        <f t="shared" si="689"/>
        <v>6.9495834687825376E-3</v>
      </c>
      <c r="BT275" s="528">
        <f t="shared" si="690"/>
        <v>3.9215958194286971E-2</v>
      </c>
      <c r="BU275" s="528">
        <f t="shared" si="691"/>
        <v>0.77542095751131057</v>
      </c>
      <c r="BV275" s="528"/>
      <c r="BW275" s="528">
        <f t="shared" si="692"/>
        <v>8.0789697910371664E-3</v>
      </c>
      <c r="BX275" s="460">
        <f t="shared" si="693"/>
        <v>829.66546896541729</v>
      </c>
      <c r="BY275" s="173">
        <f t="shared" si="694"/>
        <v>3.8106803642527809</v>
      </c>
      <c r="BZ275" s="5">
        <f t="shared" si="695"/>
        <v>9.44</v>
      </c>
      <c r="CA275" s="173">
        <f t="shared" si="696"/>
        <v>0.71241624886423949</v>
      </c>
      <c r="CB275" s="5">
        <f t="shared" si="697"/>
        <v>71.241624886423949</v>
      </c>
      <c r="CE275" s="562">
        <f t="shared" si="757"/>
        <v>-50</v>
      </c>
      <c r="CF275">
        <f t="shared" si="758"/>
        <v>-50</v>
      </c>
      <c r="CG275" s="173">
        <f t="shared" si="759"/>
        <v>0.55655188437377512</v>
      </c>
      <c r="CI275" s="170">
        <v>59</v>
      </c>
      <c r="CJ275" s="217">
        <f t="shared" si="698"/>
        <v>0.59</v>
      </c>
      <c r="CK275" s="217"/>
      <c r="CL275" s="217">
        <f t="shared" si="641"/>
        <v>9.44</v>
      </c>
      <c r="CM275" s="541">
        <f t="shared" si="642"/>
        <v>60</v>
      </c>
      <c r="CN275" s="443">
        <f t="shared" si="643"/>
        <v>16.399999999999999</v>
      </c>
      <c r="CO275" s="443">
        <f t="shared" si="644"/>
        <v>76.400000000000006</v>
      </c>
      <c r="CP275" s="443"/>
      <c r="CQ275" s="217">
        <f t="shared" si="645"/>
        <v>0.21465968586387432</v>
      </c>
      <c r="CR275" s="172">
        <f t="shared" si="646"/>
        <v>33.164921465968582</v>
      </c>
      <c r="CS275" s="172">
        <f t="shared" si="647"/>
        <v>9.44</v>
      </c>
      <c r="CT275" s="217">
        <f t="shared" si="648"/>
        <v>2.0728075916230364</v>
      </c>
      <c r="CU275" s="217">
        <f t="shared" si="649"/>
        <v>16</v>
      </c>
      <c r="CV275" s="217"/>
      <c r="CW275" s="172">
        <f t="shared" si="650"/>
        <v>194.36051639789136</v>
      </c>
      <c r="CX275" s="172">
        <f t="shared" si="651"/>
        <v>16</v>
      </c>
      <c r="CY275" s="217">
        <f t="shared" si="652"/>
        <v>1.4658861788617887</v>
      </c>
      <c r="CZ275" s="217">
        <f t="shared" si="653"/>
        <v>0.29317723577235771</v>
      </c>
      <c r="DA275" s="217">
        <f t="shared" si="654"/>
        <v>1.0725996430696016</v>
      </c>
      <c r="DB275" s="197">
        <f t="shared" si="655"/>
        <v>350</v>
      </c>
      <c r="DC275" s="443">
        <f t="shared" si="656"/>
        <v>350</v>
      </c>
      <c r="DE275" s="217">
        <f t="shared" si="657"/>
        <v>3.06656694091249</v>
      </c>
      <c r="DF275" s="173">
        <f t="shared" si="658"/>
        <v>2.2438294689603588</v>
      </c>
      <c r="DG275" s="173">
        <f t="shared" si="659"/>
        <v>1.2041493223478366</v>
      </c>
      <c r="DH275" s="173"/>
      <c r="DI275" s="173">
        <f t="shared" si="660"/>
        <v>0.73170731707317083</v>
      </c>
      <c r="DJ275" s="545">
        <f t="shared" si="661"/>
        <v>1612.6666666666663</v>
      </c>
      <c r="DK275" s="528">
        <f t="shared" si="662"/>
        <v>0.12804878048780488</v>
      </c>
      <c r="DM275" s="173">
        <f t="shared" si="663"/>
        <v>2.1465365237095426</v>
      </c>
      <c r="DN275" s="173">
        <f t="shared" si="664"/>
        <v>2.1465365237095426</v>
      </c>
      <c r="DO275" s="173">
        <f t="shared" si="665"/>
        <v>2.0492863138589206</v>
      </c>
      <c r="DQ275" s="545">
        <f t="shared" si="666"/>
        <v>590</v>
      </c>
      <c r="DR275" s="460">
        <f t="shared" si="667"/>
        <v>350</v>
      </c>
      <c r="DT275">
        <f t="shared" si="668"/>
        <v>590</v>
      </c>
      <c r="DU275">
        <f t="shared" si="669"/>
        <v>350</v>
      </c>
      <c r="DW275" s="5">
        <f t="shared" si="670"/>
        <v>2.8571428571428572</v>
      </c>
      <c r="DX275" s="5">
        <f t="shared" si="671"/>
        <v>0.42930730474190854</v>
      </c>
      <c r="DY275" s="5">
        <f t="shared" si="672"/>
        <v>2.4278355524009485</v>
      </c>
      <c r="DZ275" s="5"/>
      <c r="EA275" s="173">
        <f t="shared" si="673"/>
        <v>0.15025755665966797</v>
      </c>
      <c r="EB275" s="173">
        <f t="shared" si="699"/>
        <v>9.6760000000000002</v>
      </c>
      <c r="EC275" s="173">
        <f t="shared" si="700"/>
        <v>0.91200159518810464</v>
      </c>
      <c r="ED275" s="173">
        <f t="shared" si="701"/>
        <v>10.609630565398605</v>
      </c>
      <c r="EE275" s="460">
        <f t="shared" si="674"/>
        <v>1.5830706862357875</v>
      </c>
      <c r="EF275" s="5">
        <f t="shared" si="675"/>
        <v>0.3183162168703465</v>
      </c>
      <c r="EH275" s="173">
        <f t="shared" si="702"/>
        <v>0.48039205520553191</v>
      </c>
      <c r="EI275" s="173">
        <f t="shared" si="703"/>
        <v>1.1424081972606908</v>
      </c>
      <c r="EK275" s="528">
        <f t="shared" si="704"/>
        <v>4.6155305340918962E-3</v>
      </c>
      <c r="EL275" s="528">
        <f t="shared" si="705"/>
        <v>1.0905693462358705</v>
      </c>
      <c r="EM275" s="528">
        <f t="shared" si="706"/>
        <v>4.0250000000000001E-2</v>
      </c>
      <c r="EN275" s="528">
        <f t="shared" si="707"/>
        <v>1.0061459800000001</v>
      </c>
      <c r="EO275">
        <f t="shared" si="708"/>
        <v>2.7E-2</v>
      </c>
      <c r="EP275" s="460">
        <f t="shared" si="709"/>
        <v>67.25</v>
      </c>
      <c r="EQ275" s="460"/>
      <c r="ER275" s="460">
        <f t="shared" si="710"/>
        <v>2168.5808567699623</v>
      </c>
      <c r="ES275" s="528">
        <f t="shared" si="711"/>
        <v>0.41299999999999998</v>
      </c>
      <c r="EV275" s="460">
        <f t="shared" si="712"/>
        <v>413</v>
      </c>
      <c r="EW275" s="528">
        <f t="shared" si="713"/>
        <v>6.9232958011378439E-3</v>
      </c>
      <c r="EX275" s="528">
        <f t="shared" si="714"/>
        <v>3.9152894675052639E-2</v>
      </c>
      <c r="EY275" s="528">
        <f t="shared" si="715"/>
        <v>0.77354542410206073</v>
      </c>
      <c r="EZ275" s="528"/>
      <c r="FA275" s="528">
        <f t="shared" si="716"/>
        <v>8.0633333333333321E-3</v>
      </c>
      <c r="FB275" s="460">
        <f t="shared" si="717"/>
        <v>827.68494791158457</v>
      </c>
      <c r="FC275" s="173">
        <f t="shared" si="718"/>
        <v>3.4092658046815467</v>
      </c>
      <c r="FD275" s="5">
        <f t="shared" si="719"/>
        <v>9.44</v>
      </c>
      <c r="FE275" s="173">
        <f t="shared" si="720"/>
        <v>0.7346723263021453</v>
      </c>
      <c r="FF275" s="5">
        <f t="shared" si="721"/>
        <v>73.467232630214525</v>
      </c>
      <c r="FI275" s="562">
        <f t="shared" si="676"/>
        <v>-50</v>
      </c>
      <c r="FJ275">
        <f t="shared" si="677"/>
        <v>-50</v>
      </c>
      <c r="FL275">
        <f t="shared" si="760"/>
        <v>0.549722768267078</v>
      </c>
    </row>
    <row r="276" spans="5:168">
      <c r="E276" s="170">
        <v>60</v>
      </c>
      <c r="F276" s="217">
        <f t="shared" si="761"/>
        <v>0.6</v>
      </c>
      <c r="G276" s="217"/>
      <c r="H276" s="217">
        <f t="shared" si="726"/>
        <v>9.6</v>
      </c>
      <c r="I276" s="541">
        <f t="shared" si="727"/>
        <v>59.946547751617516</v>
      </c>
      <c r="J276" s="172">
        <f t="shared" si="728"/>
        <v>16.432071349029489</v>
      </c>
      <c r="K276" s="172">
        <f t="shared" si="729"/>
        <v>76.378619100647001</v>
      </c>
      <c r="L276" s="443"/>
      <c r="M276" s="217">
        <f t="shared" si="730"/>
        <v>0.21514376984926348</v>
      </c>
      <c r="N276" s="172">
        <f t="shared" si="731"/>
        <v>33.210100152284596</v>
      </c>
      <c r="O276" s="172">
        <f t="shared" si="762"/>
        <v>9.6</v>
      </c>
      <c r="P276" s="217">
        <f t="shared" si="732"/>
        <v>2.0756312595177873</v>
      </c>
      <c r="Q276" s="217">
        <f t="shared" si="733"/>
        <v>16</v>
      </c>
      <c r="R276" s="217"/>
      <c r="S276" s="172">
        <f t="shared" si="734"/>
        <v>189.9567013183003</v>
      </c>
      <c r="T276" s="172">
        <f t="shared" si="735"/>
        <v>16</v>
      </c>
      <c r="U276" s="217">
        <f t="shared" si="736"/>
        <v>1.488703730891908</v>
      </c>
      <c r="V276" s="217">
        <f t="shared" si="737"/>
        <v>0.29800623122990211</v>
      </c>
      <c r="W276" s="217">
        <f t="shared" si="738"/>
        <v>1.0871693769609883</v>
      </c>
      <c r="X276" s="197">
        <f t="shared" si="739"/>
        <v>350</v>
      </c>
      <c r="Y276" s="443">
        <f t="shared" si="680"/>
        <v>350</v>
      </c>
      <c r="AA276" s="217">
        <f t="shared" si="740"/>
        <v>3.0706859158998214</v>
      </c>
      <c r="AB276" s="173">
        <f t="shared" si="741"/>
        <v>2.2424580692302185</v>
      </c>
      <c r="AC276" s="173">
        <f t="shared" si="742"/>
        <v>1.2050297717816993</v>
      </c>
      <c r="AD276" s="173"/>
      <c r="AE276" s="173">
        <f t="shared" si="743"/>
        <v>0.73027920492255793</v>
      </c>
      <c r="AF276" s="545">
        <f t="shared" si="744"/>
        <v>1643.2071349029488</v>
      </c>
      <c r="AG276" s="528">
        <f t="shared" si="745"/>
        <v>0.12779886086144765</v>
      </c>
      <c r="AI276" s="173">
        <f t="shared" si="746"/>
        <v>2.1667666067885896</v>
      </c>
      <c r="AJ276" s="173">
        <f t="shared" si="747"/>
        <v>2.1667666067885896</v>
      </c>
      <c r="AK276" s="173">
        <f t="shared" si="748"/>
        <v>2.0642715605841402</v>
      </c>
      <c r="AM276" s="545">
        <f t="shared" si="749"/>
        <v>600</v>
      </c>
      <c r="AN276" s="460">
        <f t="shared" si="750"/>
        <v>350</v>
      </c>
      <c r="AP276">
        <f t="shared" si="751"/>
        <v>600</v>
      </c>
      <c r="AQ276">
        <f t="shared" si="752"/>
        <v>350</v>
      </c>
      <c r="AS276" s="5">
        <f t="shared" si="763"/>
        <v>2.8571428571428572</v>
      </c>
      <c r="AT276" s="5">
        <f t="shared" si="753"/>
        <v>0.43373972741843997</v>
      </c>
      <c r="AU276" s="5">
        <f t="shared" si="722"/>
        <v>2.4234031297244174</v>
      </c>
      <c r="AV276" s="5"/>
      <c r="AW276" s="173">
        <f t="shared" si="723"/>
        <v>0.15180890459645399</v>
      </c>
      <c r="AX276" s="173">
        <f t="shared" si="631"/>
        <v>9.8592428094176903</v>
      </c>
      <c r="AY276" s="173">
        <f t="shared" si="632"/>
        <v>0.91891607084791904</v>
      </c>
      <c r="AZ276" s="173">
        <f t="shared" si="633"/>
        <v>10.729209252288067</v>
      </c>
      <c r="BA276" s="460">
        <f t="shared" si="724"/>
        <v>1.6265239778191498</v>
      </c>
      <c r="BB276" s="5">
        <f t="shared" si="725"/>
        <v>0.32340853251674057</v>
      </c>
      <c r="BD276" s="173">
        <f t="shared" si="681"/>
        <v>0.48741639104734003</v>
      </c>
      <c r="BE276" s="173">
        <f t="shared" si="682"/>
        <v>1.1521217113814115</v>
      </c>
      <c r="BG276" s="528">
        <f t="shared" si="683"/>
        <v>4.7514947652322701E-3</v>
      </c>
      <c r="BH276" s="528">
        <f t="shared" si="754"/>
        <v>1.0570970215586564</v>
      </c>
      <c r="BI276" s="528">
        <f t="shared" si="755"/>
        <v>0.48256970940052102</v>
      </c>
      <c r="BJ276" s="528">
        <f t="shared" si="684"/>
        <v>1.0055829094300315</v>
      </c>
      <c r="BK276">
        <f t="shared" si="685"/>
        <v>2.6975946488227882E-2</v>
      </c>
      <c r="BL276" s="460">
        <f t="shared" si="686"/>
        <v>509.54565588874891</v>
      </c>
      <c r="BM276" s="528">
        <f t="shared" si="756"/>
        <v>2.0710524546880533</v>
      </c>
      <c r="BN276" s="460">
        <f t="shared" si="687"/>
        <v>2071.0524546880533</v>
      </c>
      <c r="BO276" s="528">
        <f t="shared" si="637"/>
        <v>0.42</v>
      </c>
      <c r="BR276" s="460">
        <f t="shared" si="688"/>
        <v>420</v>
      </c>
      <c r="BS276" s="528">
        <f t="shared" si="689"/>
        <v>7.1272421478484043E-3</v>
      </c>
      <c r="BT276" s="528">
        <f t="shared" si="690"/>
        <v>3.9821533135092978E-2</v>
      </c>
      <c r="BU276" s="528">
        <f t="shared" si="691"/>
        <v>0.79190019473274742</v>
      </c>
      <c r="BV276" s="528"/>
      <c r="BW276" s="528">
        <f t="shared" si="692"/>
        <v>8.2160356745147409E-3</v>
      </c>
      <c r="BX276" s="460">
        <f t="shared" si="693"/>
        <v>847.06500569020363</v>
      </c>
      <c r="BY276" s="173">
        <f t="shared" si="694"/>
        <v>3.8440420873328729</v>
      </c>
      <c r="BZ276" s="5">
        <f t="shared" si="695"/>
        <v>9.6</v>
      </c>
      <c r="CA276" s="173">
        <f t="shared" si="696"/>
        <v>0.71407095705578216</v>
      </c>
      <c r="CB276" s="5">
        <f t="shared" si="697"/>
        <v>71.407095705578215</v>
      </c>
      <c r="CE276" s="562">
        <f t="shared" si="757"/>
        <v>-50</v>
      </c>
      <c r="CF276">
        <f t="shared" si="758"/>
        <v>-50</v>
      </c>
      <c r="CG276" s="173">
        <f t="shared" si="759"/>
        <v>0.56124860801609122</v>
      </c>
      <c r="CI276" s="170">
        <v>60</v>
      </c>
      <c r="CJ276" s="217">
        <f t="shared" si="698"/>
        <v>0.6</v>
      </c>
      <c r="CK276" s="217"/>
      <c r="CL276" s="217">
        <f t="shared" si="641"/>
        <v>9.6</v>
      </c>
      <c r="CM276" s="541">
        <f t="shared" si="642"/>
        <v>60</v>
      </c>
      <c r="CN276" s="443">
        <f t="shared" si="643"/>
        <v>16.399999999999999</v>
      </c>
      <c r="CO276" s="443">
        <f t="shared" si="644"/>
        <v>76.400000000000006</v>
      </c>
      <c r="CP276" s="443"/>
      <c r="CQ276" s="217">
        <f t="shared" si="645"/>
        <v>0.21465968586387432</v>
      </c>
      <c r="CR276" s="172">
        <f t="shared" si="646"/>
        <v>33.164921465968582</v>
      </c>
      <c r="CS276" s="172">
        <f t="shared" si="647"/>
        <v>9.6</v>
      </c>
      <c r="CT276" s="217">
        <f t="shared" si="648"/>
        <v>2.0728075916230364</v>
      </c>
      <c r="CU276" s="217">
        <f t="shared" si="649"/>
        <v>16</v>
      </c>
      <c r="CV276" s="217"/>
      <c r="CW276" s="172">
        <f t="shared" si="650"/>
        <v>190.12596708137821</v>
      </c>
      <c r="CX276" s="172">
        <f t="shared" si="651"/>
        <v>16</v>
      </c>
      <c r="CY276" s="217">
        <f t="shared" si="652"/>
        <v>1.4907317073170732</v>
      </c>
      <c r="CZ276" s="217">
        <f t="shared" si="653"/>
        <v>0.29814634146341462</v>
      </c>
      <c r="DA276" s="217">
        <f t="shared" si="654"/>
        <v>1.0907792980368829</v>
      </c>
      <c r="DB276" s="197">
        <f t="shared" si="655"/>
        <v>350</v>
      </c>
      <c r="DC276" s="443">
        <f t="shared" si="656"/>
        <v>350</v>
      </c>
      <c r="DE276" s="217">
        <f t="shared" si="657"/>
        <v>3.06656694091249</v>
      </c>
      <c r="DF276" s="173">
        <f t="shared" si="658"/>
        <v>2.2438294689603588</v>
      </c>
      <c r="DG276" s="173">
        <f t="shared" si="659"/>
        <v>1.2041493223478366</v>
      </c>
      <c r="DH276" s="173"/>
      <c r="DI276" s="173">
        <f t="shared" si="660"/>
        <v>0.73170731707317083</v>
      </c>
      <c r="DJ276" s="545">
        <f t="shared" si="661"/>
        <v>1639.9999999999998</v>
      </c>
      <c r="DK276" s="528">
        <f t="shared" si="662"/>
        <v>0.12804878048780488</v>
      </c>
      <c r="DM276" s="173">
        <f t="shared" si="663"/>
        <v>2.164651077128664</v>
      </c>
      <c r="DN276" s="173">
        <f t="shared" si="664"/>
        <v>2.164651077128664</v>
      </c>
      <c r="DO276" s="173">
        <f t="shared" si="665"/>
        <v>2.0627045015767882</v>
      </c>
      <c r="DQ276" s="545">
        <f t="shared" si="666"/>
        <v>600</v>
      </c>
      <c r="DR276" s="460">
        <f t="shared" si="667"/>
        <v>350</v>
      </c>
      <c r="DT276">
        <f t="shared" si="668"/>
        <v>600</v>
      </c>
      <c r="DU276">
        <f t="shared" si="669"/>
        <v>350</v>
      </c>
      <c r="DW276" s="5">
        <f t="shared" si="670"/>
        <v>2.8571428571428572</v>
      </c>
      <c r="DX276" s="5">
        <f t="shared" si="671"/>
        <v>0.43293021542573284</v>
      </c>
      <c r="DY276" s="5">
        <f t="shared" si="672"/>
        <v>2.4242126417171246</v>
      </c>
      <c r="DZ276" s="5"/>
      <c r="EA276" s="173">
        <f t="shared" si="673"/>
        <v>0.15152557539900649</v>
      </c>
      <c r="EB276" s="173">
        <f t="shared" si="699"/>
        <v>9.84</v>
      </c>
      <c r="EC276" s="173">
        <f t="shared" si="700"/>
        <v>0.91832553856433208</v>
      </c>
      <c r="ED276" s="173">
        <f t="shared" si="701"/>
        <v>10.715154470585022</v>
      </c>
      <c r="EE276" s="460">
        <f t="shared" si="674"/>
        <v>1.6234883078464981</v>
      </c>
      <c r="EF276" s="5">
        <f t="shared" si="675"/>
        <v>0.32322835222894986</v>
      </c>
      <c r="EH276" s="173">
        <f t="shared" si="702"/>
        <v>0.4864858865024424</v>
      </c>
      <c r="EI276" s="173">
        <f t="shared" si="703"/>
        <v>1.1511890566447782</v>
      </c>
      <c r="EK276" s="528">
        <f t="shared" si="704"/>
        <v>4.733370355321345E-3</v>
      </c>
      <c r="EL276" s="528">
        <f t="shared" si="705"/>
        <v>1.099772626245989</v>
      </c>
      <c r="EM276" s="528">
        <f t="shared" si="706"/>
        <v>4.0250000000000001E-2</v>
      </c>
      <c r="EN276" s="528">
        <f t="shared" si="707"/>
        <v>1.0061459800000001</v>
      </c>
      <c r="EO276">
        <f t="shared" si="708"/>
        <v>2.7E-2</v>
      </c>
      <c r="EP276" s="460">
        <f t="shared" si="709"/>
        <v>67.25</v>
      </c>
      <c r="EQ276" s="460"/>
      <c r="ER276" s="460">
        <f t="shared" si="710"/>
        <v>2177.9019766013103</v>
      </c>
      <c r="ES276" s="528">
        <f t="shared" si="711"/>
        <v>0.42</v>
      </c>
      <c r="EV276" s="460">
        <f t="shared" si="712"/>
        <v>420</v>
      </c>
      <c r="EW276" s="528">
        <f t="shared" si="713"/>
        <v>7.1000555329820171E-3</v>
      </c>
      <c r="EX276" s="528">
        <f t="shared" si="714"/>
        <v>3.9757087324160834E-2</v>
      </c>
      <c r="EY276" s="528">
        <f t="shared" si="715"/>
        <v>0.78996867406374804</v>
      </c>
      <c r="EZ276" s="528"/>
      <c r="FA276" s="528">
        <f t="shared" si="716"/>
        <v>8.199999999999999E-3</v>
      </c>
      <c r="FB276" s="460">
        <f t="shared" si="717"/>
        <v>845.02581692089086</v>
      </c>
      <c r="FC276" s="173">
        <f t="shared" si="718"/>
        <v>3.4429277935222014</v>
      </c>
      <c r="FD276" s="5">
        <f t="shared" si="719"/>
        <v>9.6</v>
      </c>
      <c r="FE276" s="173">
        <f t="shared" si="720"/>
        <v>0.73603106234842919</v>
      </c>
      <c r="FF276" s="5">
        <f t="shared" si="721"/>
        <v>73.603106234842926</v>
      </c>
      <c r="FI276" s="562">
        <f t="shared" si="676"/>
        <v>-50</v>
      </c>
      <c r="FJ276">
        <f t="shared" si="677"/>
        <v>-50</v>
      </c>
      <c r="FL276">
        <f t="shared" si="760"/>
        <v>0.55436186121587738</v>
      </c>
    </row>
    <row r="277" spans="5:168">
      <c r="E277" s="170">
        <v>61</v>
      </c>
      <c r="F277" s="217">
        <f t="shared" si="761"/>
        <v>0.61</v>
      </c>
      <c r="G277" s="217"/>
      <c r="H277" s="217">
        <f t="shared" si="726"/>
        <v>9.76</v>
      </c>
      <c r="I277" s="541">
        <f t="shared" si="727"/>
        <v>59.94610415688792</v>
      </c>
      <c r="J277" s="172">
        <f t="shared" si="728"/>
        <v>16.432337505867245</v>
      </c>
      <c r="K277" s="172">
        <f t="shared" si="729"/>
        <v>76.378441662755165</v>
      </c>
      <c r="L277" s="443"/>
      <c r="M277" s="217">
        <f t="shared" si="730"/>
        <v>0.21514778832542419</v>
      </c>
      <c r="N277" s="172">
        <f t="shared" si="731"/>
        <v>33.210474699805886</v>
      </c>
      <c r="O277" s="172">
        <f t="shared" si="762"/>
        <v>9.76</v>
      </c>
      <c r="P277" s="217">
        <f t="shared" si="732"/>
        <v>2.0756546687378679</v>
      </c>
      <c r="Q277" s="217">
        <f t="shared" si="733"/>
        <v>16</v>
      </c>
      <c r="R277" s="217"/>
      <c r="S277" s="172">
        <f t="shared" si="734"/>
        <v>185.86338464407044</v>
      </c>
      <c r="T277" s="172">
        <f t="shared" si="735"/>
        <v>16</v>
      </c>
      <c r="U277" s="217">
        <f t="shared" si="736"/>
        <v>1.5134983903224304</v>
      </c>
      <c r="V277" s="217">
        <f t="shared" si="737"/>
        <v>0.30297182676519807</v>
      </c>
      <c r="W277" s="217">
        <f t="shared" si="738"/>
        <v>1.1052584988218714</v>
      </c>
      <c r="X277" s="197">
        <f t="shared" si="739"/>
        <v>350</v>
      </c>
      <c r="Y277" s="443">
        <f t="shared" si="680"/>
        <v>350</v>
      </c>
      <c r="AA277" s="217">
        <f t="shared" si="740"/>
        <v>3.0707200637823346</v>
      </c>
      <c r="AB277" s="173">
        <f t="shared" si="741"/>
        <v>2.2424466849120543</v>
      </c>
      <c r="AC277" s="173">
        <f t="shared" si="742"/>
        <v>1.205037054781285</v>
      </c>
      <c r="AD277" s="173"/>
      <c r="AE277" s="173">
        <f t="shared" si="743"/>
        <v>0.730267376489519</v>
      </c>
      <c r="AF277" s="545">
        <f t="shared" si="744"/>
        <v>1670.62097976317</v>
      </c>
      <c r="AG277" s="528">
        <f t="shared" si="745"/>
        <v>0.12779679088566584</v>
      </c>
      <c r="AI277" s="173">
        <f t="shared" si="746"/>
        <v>2.1847660742796569</v>
      </c>
      <c r="AJ277" s="173">
        <f t="shared" si="747"/>
        <v>2.1847660742796569</v>
      </c>
      <c r="AK277" s="173">
        <f t="shared" si="748"/>
        <v>2.0776044994664122</v>
      </c>
      <c r="AM277" s="545">
        <f t="shared" si="749"/>
        <v>610</v>
      </c>
      <c r="AN277" s="460">
        <f t="shared" si="750"/>
        <v>350</v>
      </c>
      <c r="AP277">
        <f t="shared" si="751"/>
        <v>610</v>
      </c>
      <c r="AQ277">
        <f t="shared" si="752"/>
        <v>350</v>
      </c>
      <c r="AS277" s="5">
        <f t="shared" si="763"/>
        <v>2.8571428571428572</v>
      </c>
      <c r="AT277" s="5">
        <f t="shared" si="753"/>
        <v>0.43734606710623875</v>
      </c>
      <c r="AU277" s="5">
        <f t="shared" si="722"/>
        <v>2.4197967900366186</v>
      </c>
      <c r="AV277" s="5"/>
      <c r="AW277" s="173">
        <f t="shared" si="723"/>
        <v>0.15307112348718355</v>
      </c>
      <c r="AX277" s="173">
        <f t="shared" si="631"/>
        <v>10.023725878579022</v>
      </c>
      <c r="AY277" s="173">
        <f t="shared" si="632"/>
        <v>0.92517073836649311</v>
      </c>
      <c r="AZ277" s="173">
        <f t="shared" si="633"/>
        <v>10.834460562681855</v>
      </c>
      <c r="BA277" s="460">
        <f t="shared" si="724"/>
        <v>1.6673818808425351</v>
      </c>
      <c r="BB277" s="5">
        <f t="shared" si="725"/>
        <v>0.32831180890070305</v>
      </c>
      <c r="BD277" s="173">
        <f t="shared" si="681"/>
        <v>0.49350431106681447</v>
      </c>
      <c r="BE277" s="173">
        <f t="shared" si="682"/>
        <v>1.1608277627335228</v>
      </c>
      <c r="BG277" s="528">
        <f t="shared" si="683"/>
        <v>4.8709301008306241E-3</v>
      </c>
      <c r="BH277" s="528">
        <f t="shared" si="754"/>
        <v>1.0658759173153773</v>
      </c>
      <c r="BI277" s="528">
        <f t="shared" si="755"/>
        <v>0.48256613846294771</v>
      </c>
      <c r="BJ277" s="528">
        <f t="shared" si="684"/>
        <v>1.0055782372244753</v>
      </c>
      <c r="BK277">
        <f t="shared" si="685"/>
        <v>2.6975746870599563E-2</v>
      </c>
      <c r="BL277" s="460">
        <f t="shared" si="686"/>
        <v>509.54188533354727</v>
      </c>
      <c r="BM277" s="528">
        <f t="shared" si="756"/>
        <v>2.0800475434147412</v>
      </c>
      <c r="BN277" s="460">
        <f t="shared" si="687"/>
        <v>2080.0475434147411</v>
      </c>
      <c r="BO277" s="528">
        <f t="shared" si="637"/>
        <v>0.42699999999999999</v>
      </c>
      <c r="BR277" s="460">
        <f t="shared" si="688"/>
        <v>427</v>
      </c>
      <c r="BS277" s="528">
        <f t="shared" si="689"/>
        <v>7.3063951512459353E-3</v>
      </c>
      <c r="BT277" s="528">
        <f t="shared" si="690"/>
        <v>4.0425632841987476E-2</v>
      </c>
      <c r="BU277" s="528">
        <f t="shared" si="691"/>
        <v>0.80844871210920244</v>
      </c>
      <c r="BV277" s="528"/>
      <c r="BW277" s="528">
        <f t="shared" si="692"/>
        <v>8.3531048988158517E-3</v>
      </c>
      <c r="BX277" s="460">
        <f t="shared" si="693"/>
        <v>864.53384500125162</v>
      </c>
      <c r="BY277" s="173">
        <f t="shared" si="694"/>
        <v>3.8774008149754824</v>
      </c>
      <c r="BZ277" s="5">
        <f t="shared" si="695"/>
        <v>9.76</v>
      </c>
      <c r="CA277" s="173">
        <f t="shared" si="696"/>
        <v>0.71567889896455661</v>
      </c>
      <c r="CB277" s="5">
        <f t="shared" si="697"/>
        <v>71.567889896455654</v>
      </c>
      <c r="CE277" s="562">
        <f t="shared" si="757"/>
        <v>-50</v>
      </c>
      <c r="CF277">
        <f t="shared" si="758"/>
        <v>-50</v>
      </c>
      <c r="CG277" s="173">
        <f t="shared" si="759"/>
        <v>0.56590635267683642</v>
      </c>
      <c r="CI277" s="170">
        <v>61</v>
      </c>
      <c r="CJ277" s="217">
        <f t="shared" si="698"/>
        <v>0.61</v>
      </c>
      <c r="CK277" s="217"/>
      <c r="CL277" s="217">
        <f t="shared" si="641"/>
        <v>9.76</v>
      </c>
      <c r="CM277" s="541">
        <f t="shared" si="642"/>
        <v>60</v>
      </c>
      <c r="CN277" s="443">
        <f t="shared" si="643"/>
        <v>16.399999999999999</v>
      </c>
      <c r="CO277" s="443">
        <f t="shared" si="644"/>
        <v>76.400000000000006</v>
      </c>
      <c r="CP277" s="443"/>
      <c r="CQ277" s="217">
        <f t="shared" si="645"/>
        <v>0.21465968586387432</v>
      </c>
      <c r="CR277" s="172">
        <f t="shared" si="646"/>
        <v>33.164921465968582</v>
      </c>
      <c r="CS277" s="172">
        <f t="shared" si="647"/>
        <v>9.76</v>
      </c>
      <c r="CT277" s="217">
        <f t="shared" si="648"/>
        <v>2.0728075916230364</v>
      </c>
      <c r="CU277" s="217">
        <f t="shared" si="649"/>
        <v>16</v>
      </c>
      <c r="CV277" s="217"/>
      <c r="CW277" s="172">
        <f t="shared" si="650"/>
        <v>186.03037373190298</v>
      </c>
      <c r="CX277" s="172">
        <f t="shared" si="651"/>
        <v>16</v>
      </c>
      <c r="CY277" s="217">
        <f t="shared" si="652"/>
        <v>1.5155772357723578</v>
      </c>
      <c r="CZ277" s="217">
        <f t="shared" si="653"/>
        <v>0.30311544715447153</v>
      </c>
      <c r="DA277" s="217">
        <f t="shared" si="654"/>
        <v>1.1089589530041641</v>
      </c>
      <c r="DB277" s="197">
        <f t="shared" si="655"/>
        <v>350</v>
      </c>
      <c r="DC277" s="443">
        <f t="shared" si="656"/>
        <v>350</v>
      </c>
      <c r="DE277" s="217">
        <f t="shared" si="657"/>
        <v>3.06656694091249</v>
      </c>
      <c r="DF277" s="173">
        <f t="shared" si="658"/>
        <v>2.2438294689603588</v>
      </c>
      <c r="DG277" s="173">
        <f t="shared" si="659"/>
        <v>1.2041493223478366</v>
      </c>
      <c r="DH277" s="173"/>
      <c r="DI277" s="173">
        <f t="shared" si="660"/>
        <v>0.73170731707317083</v>
      </c>
      <c r="DJ277" s="545">
        <f t="shared" si="661"/>
        <v>1667.333333333333</v>
      </c>
      <c r="DK277" s="528">
        <f t="shared" si="662"/>
        <v>0.12804878048780488</v>
      </c>
      <c r="DM277" s="173">
        <f t="shared" si="663"/>
        <v>2.1826152945055441</v>
      </c>
      <c r="DN277" s="173">
        <f t="shared" si="664"/>
        <v>2.1826152945055441</v>
      </c>
      <c r="DO277" s="173">
        <f t="shared" si="665"/>
        <v>2.0760113292633662</v>
      </c>
      <c r="DQ277" s="545">
        <f t="shared" si="666"/>
        <v>610</v>
      </c>
      <c r="DR277" s="460">
        <f t="shared" si="667"/>
        <v>350</v>
      </c>
      <c r="DT277">
        <f t="shared" si="668"/>
        <v>610</v>
      </c>
      <c r="DU277">
        <f t="shared" si="669"/>
        <v>350</v>
      </c>
      <c r="DW277" s="5">
        <f t="shared" si="670"/>
        <v>2.8571428571428572</v>
      </c>
      <c r="DX277" s="5">
        <f t="shared" si="671"/>
        <v>0.43652305890110882</v>
      </c>
      <c r="DY277" s="5">
        <f t="shared" si="672"/>
        <v>2.4206197982417486</v>
      </c>
      <c r="DZ277" s="5"/>
      <c r="EA277" s="173">
        <f t="shared" si="673"/>
        <v>0.15278307061538809</v>
      </c>
      <c r="EB277" s="173">
        <f t="shared" si="699"/>
        <v>10.003999999999998</v>
      </c>
      <c r="EC277" s="173">
        <f t="shared" si="700"/>
        <v>0.92457431391943878</v>
      </c>
      <c r="ED277" s="173">
        <f t="shared" si="701"/>
        <v>10.820114564497494</v>
      </c>
      <c r="EE277" s="460">
        <f t="shared" si="674"/>
        <v>1.6642441620604773</v>
      </c>
      <c r="EF277" s="5">
        <f t="shared" si="675"/>
        <v>0.32812846153943692</v>
      </c>
      <c r="EH277" s="173">
        <f t="shared" si="702"/>
        <v>0.4925543783429564</v>
      </c>
      <c r="EI277" s="173">
        <f t="shared" si="703"/>
        <v>1.1598821889794202</v>
      </c>
      <c r="EK277" s="528">
        <f t="shared" si="704"/>
        <v>4.8521963124963244E-3</v>
      </c>
      <c r="EL277" s="528">
        <f t="shared" si="705"/>
        <v>1.1088995265264869</v>
      </c>
      <c r="EM277" s="528">
        <f t="shared" si="706"/>
        <v>4.0250000000000001E-2</v>
      </c>
      <c r="EN277" s="528">
        <f t="shared" si="707"/>
        <v>1.0061459800000001</v>
      </c>
      <c r="EO277">
        <f t="shared" si="708"/>
        <v>2.7E-2</v>
      </c>
      <c r="EP277" s="460">
        <f t="shared" si="709"/>
        <v>67.25</v>
      </c>
      <c r="EQ277" s="460"/>
      <c r="ER277" s="460">
        <f t="shared" si="710"/>
        <v>2187.1477028389836</v>
      </c>
      <c r="ES277" s="528">
        <f t="shared" si="711"/>
        <v>0.42699999999999999</v>
      </c>
      <c r="EV277" s="460">
        <f t="shared" si="712"/>
        <v>427</v>
      </c>
      <c r="EW277" s="528">
        <f t="shared" si="713"/>
        <v>7.2782944687444871E-3</v>
      </c>
      <c r="EX277" s="528">
        <f t="shared" si="714"/>
        <v>4.0359800769350737E-2</v>
      </c>
      <c r="EY277" s="528">
        <f t="shared" si="715"/>
        <v>0.80646049977865975</v>
      </c>
      <c r="EZ277" s="528"/>
      <c r="FA277" s="528">
        <f t="shared" si="716"/>
        <v>8.3366666666666658E-3</v>
      </c>
      <c r="FB277" s="460">
        <f t="shared" si="717"/>
        <v>862.43526168342169</v>
      </c>
      <c r="FC277" s="173">
        <f t="shared" si="718"/>
        <v>3.4765829645224051</v>
      </c>
      <c r="FD277" s="5">
        <f t="shared" si="719"/>
        <v>9.76</v>
      </c>
      <c r="FE277" s="173">
        <f t="shared" si="720"/>
        <v>0.73735041937631629</v>
      </c>
      <c r="FF277" s="5">
        <f t="shared" si="721"/>
        <v>73.735041937631635</v>
      </c>
      <c r="FI277" s="562">
        <f t="shared" si="676"/>
        <v>-50</v>
      </c>
      <c r="FJ277">
        <f t="shared" si="677"/>
        <v>-50</v>
      </c>
      <c r="FL277">
        <f t="shared" si="760"/>
        <v>0.5589624534709321</v>
      </c>
    </row>
    <row r="278" spans="5:168">
      <c r="E278" s="170">
        <v>62</v>
      </c>
      <c r="F278" s="217">
        <f t="shared" si="761"/>
        <v>0.62</v>
      </c>
      <c r="G278" s="217"/>
      <c r="H278" s="217">
        <f t="shared" si="726"/>
        <v>9.92</v>
      </c>
      <c r="I278" s="541">
        <f t="shared" si="727"/>
        <v>59.945664183521536</v>
      </c>
      <c r="J278" s="172">
        <f t="shared" si="728"/>
        <v>16.432601489887077</v>
      </c>
      <c r="K278" s="172">
        <f t="shared" si="729"/>
        <v>76.378265673408606</v>
      </c>
      <c r="L278" s="443"/>
      <c r="M278" s="217">
        <f t="shared" si="730"/>
        <v>0.2151517740141507</v>
      </c>
      <c r="N278" s="172">
        <f t="shared" si="731"/>
        <v>33.210846183368574</v>
      </c>
      <c r="O278" s="172">
        <f t="shared" si="762"/>
        <v>9.92</v>
      </c>
      <c r="P278" s="217">
        <f t="shared" si="732"/>
        <v>2.0756778864605359</v>
      </c>
      <c r="Q278" s="217">
        <f t="shared" si="733"/>
        <v>16</v>
      </c>
      <c r="R278" s="217"/>
      <c r="S278" s="172">
        <f t="shared" si="734"/>
        <v>181.9022539287034</v>
      </c>
      <c r="T278" s="172">
        <f t="shared" si="735"/>
        <v>16</v>
      </c>
      <c r="U278" s="217">
        <f t="shared" si="736"/>
        <v>1.5382926324106732</v>
      </c>
      <c r="V278" s="217">
        <f t="shared" si="737"/>
        <v>0.30793739364393286</v>
      </c>
      <c r="W278" s="217">
        <f t="shared" si="738"/>
        <v>1.1233468784774219</v>
      </c>
      <c r="X278" s="197">
        <f t="shared" si="739"/>
        <v>350</v>
      </c>
      <c r="Y278" s="443">
        <f t="shared" si="680"/>
        <v>350</v>
      </c>
      <c r="AA278" s="217">
        <f t="shared" si="740"/>
        <v>3.070753932322249</v>
      </c>
      <c r="AB278" s="173">
        <f t="shared" si="741"/>
        <v>2.2424353934795151</v>
      </c>
      <c r="AC278" s="173">
        <f t="shared" si="742"/>
        <v>1.2050442779385169</v>
      </c>
      <c r="AD278" s="173"/>
      <c r="AE278" s="173">
        <f t="shared" si="743"/>
        <v>0.73025564499845141</v>
      </c>
      <c r="AF278" s="545">
        <f t="shared" si="744"/>
        <v>1698.0354872883311</v>
      </c>
      <c r="AG278" s="528">
        <f t="shared" si="745"/>
        <v>0.12779473787472898</v>
      </c>
      <c r="AI278" s="173">
        <f t="shared" si="746"/>
        <v>2.2026188875247907</v>
      </c>
      <c r="AJ278" s="173">
        <f t="shared" si="747"/>
        <v>2.2026188875247907</v>
      </c>
      <c r="AK278" s="173">
        <f t="shared" si="748"/>
        <v>2.0908288055739188</v>
      </c>
      <c r="AM278" s="545">
        <f t="shared" si="749"/>
        <v>620</v>
      </c>
      <c r="AN278" s="460">
        <f t="shared" si="750"/>
        <v>350</v>
      </c>
      <c r="AP278">
        <f t="shared" si="751"/>
        <v>620</v>
      </c>
      <c r="AQ278">
        <f t="shared" si="752"/>
        <v>350</v>
      </c>
      <c r="AS278" s="5">
        <f t="shared" si="763"/>
        <v>2.8571428571428572</v>
      </c>
      <c r="AT278" s="5">
        <f t="shared" si="753"/>
        <v>0.44092307609402093</v>
      </c>
      <c r="AU278" s="5">
        <f t="shared" si="722"/>
        <v>2.4162197810488362</v>
      </c>
      <c r="AV278" s="5"/>
      <c r="AW278" s="173">
        <f t="shared" si="723"/>
        <v>0.15432307663290731</v>
      </c>
      <c r="AX278" s="173">
        <f t="shared" si="631"/>
        <v>10.188212923729989</v>
      </c>
      <c r="AY278" s="173">
        <f t="shared" si="632"/>
        <v>0.9313519820761067</v>
      </c>
      <c r="AZ278" s="173">
        <f t="shared" si="633"/>
        <v>10.939164912731613</v>
      </c>
      <c r="BA278" s="460">
        <f t="shared" si="724"/>
        <v>1.708576919864331</v>
      </c>
      <c r="BB278" s="5">
        <f t="shared" si="725"/>
        <v>0.33320313979985428</v>
      </c>
      <c r="BD278" s="173">
        <f t="shared" si="681"/>
        <v>0.49956748972552273</v>
      </c>
      <c r="BE278" s="173">
        <f t="shared" si="682"/>
        <v>1.1694481509539683</v>
      </c>
      <c r="BG278" s="528">
        <f t="shared" si="683"/>
        <v>4.991353535813205E-3</v>
      </c>
      <c r="BH278" s="528">
        <f t="shared" si="754"/>
        <v>1.0745832450071635</v>
      </c>
      <c r="BI278" s="528">
        <f t="shared" si="755"/>
        <v>0.48256259667734841</v>
      </c>
      <c r="BJ278" s="528">
        <f t="shared" si="684"/>
        <v>1.0055736031720084</v>
      </c>
      <c r="BK278">
        <f t="shared" si="685"/>
        <v>2.6975548882584691E-2</v>
      </c>
      <c r="BL278" s="460">
        <f t="shared" si="686"/>
        <v>509.53814555993313</v>
      </c>
      <c r="BM278" s="528">
        <f t="shared" si="756"/>
        <v>2.0889732758348765</v>
      </c>
      <c r="BN278" s="460">
        <f t="shared" si="687"/>
        <v>2088.9732758348764</v>
      </c>
      <c r="BO278" s="528">
        <f t="shared" si="637"/>
        <v>0.434</v>
      </c>
      <c r="BR278" s="460">
        <f t="shared" si="688"/>
        <v>434</v>
      </c>
      <c r="BS278" s="528">
        <f t="shared" si="689"/>
        <v>7.4870303037198075E-3</v>
      </c>
      <c r="BT278" s="528">
        <f t="shared" si="690"/>
        <v>4.1028269333089659E-2</v>
      </c>
      <c r="BU278" s="528">
        <f t="shared" si="691"/>
        <v>0.82506566178764174</v>
      </c>
      <c r="BV278" s="528"/>
      <c r="BW278" s="528">
        <f t="shared" si="692"/>
        <v>8.4901774364416569E-3</v>
      </c>
      <c r="BX278" s="460">
        <f t="shared" si="693"/>
        <v>882.0711388608928</v>
      </c>
      <c r="BY278" s="173">
        <f t="shared" si="694"/>
        <v>3.910757486135811</v>
      </c>
      <c r="BZ278" s="5">
        <f t="shared" si="695"/>
        <v>9.92</v>
      </c>
      <c r="CA278" s="173">
        <f t="shared" si="696"/>
        <v>0.71724198836860376</v>
      </c>
      <c r="CB278" s="5">
        <f t="shared" si="697"/>
        <v>71.724198836860381</v>
      </c>
      <c r="CE278" s="562">
        <f t="shared" si="757"/>
        <v>-50</v>
      </c>
      <c r="CF278">
        <f t="shared" si="758"/>
        <v>-50</v>
      </c>
      <c r="CG278" s="173">
        <f t="shared" si="759"/>
        <v>0.57052607302383651</v>
      </c>
      <c r="CI278" s="170">
        <v>62</v>
      </c>
      <c r="CJ278" s="217">
        <f t="shared" si="698"/>
        <v>0.62</v>
      </c>
      <c r="CK278" s="217"/>
      <c r="CL278" s="217">
        <f t="shared" si="641"/>
        <v>9.92</v>
      </c>
      <c r="CM278" s="541">
        <f t="shared" si="642"/>
        <v>60</v>
      </c>
      <c r="CN278" s="443">
        <f t="shared" si="643"/>
        <v>16.399999999999999</v>
      </c>
      <c r="CO278" s="443">
        <f t="shared" si="644"/>
        <v>76.400000000000006</v>
      </c>
      <c r="CP278" s="443"/>
      <c r="CQ278" s="217">
        <f t="shared" si="645"/>
        <v>0.21465968586387432</v>
      </c>
      <c r="CR278" s="172">
        <f t="shared" si="646"/>
        <v>33.164921465968582</v>
      </c>
      <c r="CS278" s="172">
        <f t="shared" si="647"/>
        <v>9.92</v>
      </c>
      <c r="CT278" s="217">
        <f t="shared" si="648"/>
        <v>2.0728075916230364</v>
      </c>
      <c r="CU278" s="217">
        <f t="shared" si="649"/>
        <v>16</v>
      </c>
      <c r="CV278" s="217"/>
      <c r="CW278" s="172">
        <f t="shared" si="650"/>
        <v>182.06701449345655</v>
      </c>
      <c r="CX278" s="172">
        <f t="shared" si="651"/>
        <v>16</v>
      </c>
      <c r="CY278" s="217">
        <f t="shared" si="652"/>
        <v>1.5404227642276425</v>
      </c>
      <c r="CZ278" s="217">
        <f t="shared" si="653"/>
        <v>0.30808455284552849</v>
      </c>
      <c r="DA278" s="217">
        <f t="shared" si="654"/>
        <v>1.1271386079714458</v>
      </c>
      <c r="DB278" s="197">
        <f t="shared" si="655"/>
        <v>350</v>
      </c>
      <c r="DC278" s="443">
        <f t="shared" si="656"/>
        <v>350</v>
      </c>
      <c r="DE278" s="217">
        <f t="shared" si="657"/>
        <v>3.06656694091249</v>
      </c>
      <c r="DF278" s="173">
        <f t="shared" si="658"/>
        <v>2.2438294689603588</v>
      </c>
      <c r="DG278" s="173">
        <f t="shared" si="659"/>
        <v>1.2041493223478366</v>
      </c>
      <c r="DH278" s="173"/>
      <c r="DI278" s="173">
        <f t="shared" si="660"/>
        <v>0.73170731707317083</v>
      </c>
      <c r="DJ278" s="545">
        <f t="shared" si="661"/>
        <v>1694.6666666666665</v>
      </c>
      <c r="DK278" s="528">
        <f t="shared" si="662"/>
        <v>0.12804878048780488</v>
      </c>
      <c r="DM278" s="173">
        <f t="shared" si="663"/>
        <v>2.2004328578497372</v>
      </c>
      <c r="DN278" s="173">
        <f t="shared" si="664"/>
        <v>2.2004328578497372</v>
      </c>
      <c r="DO278" s="173">
        <f t="shared" si="665"/>
        <v>2.0892095243331386</v>
      </c>
      <c r="DQ278" s="545">
        <f t="shared" si="666"/>
        <v>620</v>
      </c>
      <c r="DR278" s="460">
        <f t="shared" si="667"/>
        <v>350</v>
      </c>
      <c r="DT278">
        <f t="shared" si="668"/>
        <v>620</v>
      </c>
      <c r="DU278">
        <f t="shared" si="669"/>
        <v>350</v>
      </c>
      <c r="DW278" s="5">
        <f t="shared" si="670"/>
        <v>2.8571428571428572</v>
      </c>
      <c r="DX278" s="5">
        <f t="shared" si="671"/>
        <v>0.4400865715699474</v>
      </c>
      <c r="DY278" s="5">
        <f t="shared" si="672"/>
        <v>2.4170562855729099</v>
      </c>
      <c r="DZ278" s="5"/>
      <c r="EA278" s="173">
        <f t="shared" si="673"/>
        <v>0.15403030004948159</v>
      </c>
      <c r="EB278" s="173">
        <f t="shared" si="699"/>
        <v>10.167999999999999</v>
      </c>
      <c r="EC278" s="173">
        <f t="shared" si="700"/>
        <v>0.93074976225820194</v>
      </c>
      <c r="ED278" s="173">
        <f t="shared" si="701"/>
        <v>10.924526024406617</v>
      </c>
      <c r="EE278" s="460">
        <f t="shared" si="674"/>
        <v>1.7053354648335461</v>
      </c>
      <c r="EF278" s="5">
        <f t="shared" si="675"/>
        <v>0.33301664379004531</v>
      </c>
      <c r="EH278" s="173">
        <f t="shared" si="702"/>
        <v>0.4985980489623561</v>
      </c>
      <c r="EI278" s="173">
        <f t="shared" si="703"/>
        <v>1.1684897259022802</v>
      </c>
      <c r="EK278" s="528">
        <f t="shared" si="704"/>
        <v>4.9720002885813609E-3</v>
      </c>
      <c r="EL278" s="528">
        <f t="shared" si="705"/>
        <v>1.1179519177591377</v>
      </c>
      <c r="EM278" s="528">
        <f t="shared" si="706"/>
        <v>4.0250000000000001E-2</v>
      </c>
      <c r="EN278" s="528">
        <f t="shared" si="707"/>
        <v>1.0061459800000001</v>
      </c>
      <c r="EO278">
        <f t="shared" si="708"/>
        <v>2.7E-2</v>
      </c>
      <c r="EP278" s="460">
        <f t="shared" si="709"/>
        <v>67.25</v>
      </c>
      <c r="EQ278" s="460"/>
      <c r="ER278" s="460">
        <f t="shared" si="710"/>
        <v>2196.3198980477191</v>
      </c>
      <c r="ES278" s="528">
        <f t="shared" si="711"/>
        <v>0.434</v>
      </c>
      <c r="EV278" s="460">
        <f t="shared" si="712"/>
        <v>434</v>
      </c>
      <c r="EW278" s="528">
        <f t="shared" si="713"/>
        <v>7.4580004328720405E-3</v>
      </c>
      <c r="EX278" s="528">
        <f t="shared" si="714"/>
        <v>4.0961047186175575E-2</v>
      </c>
      <c r="EY278" s="528">
        <f t="shared" si="715"/>
        <v>0.82302005629569563</v>
      </c>
      <c r="EZ278" s="528"/>
      <c r="FA278" s="528">
        <f t="shared" si="716"/>
        <v>8.4733333333333345E-3</v>
      </c>
      <c r="FB278" s="460">
        <f t="shared" si="717"/>
        <v>879.91243724807657</v>
      </c>
      <c r="FC278" s="173">
        <f t="shared" si="718"/>
        <v>3.5102323352957963</v>
      </c>
      <c r="FD278" s="5">
        <f t="shared" si="719"/>
        <v>9.92</v>
      </c>
      <c r="FE278" s="173">
        <f t="shared" si="720"/>
        <v>0.73863204688793016</v>
      </c>
      <c r="FF278" s="5">
        <f t="shared" si="721"/>
        <v>73.863204688793019</v>
      </c>
      <c r="FI278" s="562">
        <f t="shared" si="676"/>
        <v>-50</v>
      </c>
      <c r="FJ278">
        <f t="shared" si="677"/>
        <v>-50</v>
      </c>
      <c r="FL278">
        <f t="shared" si="760"/>
        <v>0.5635254879859084</v>
      </c>
    </row>
    <row r="279" spans="5:168">
      <c r="E279" s="170">
        <v>63</v>
      </c>
      <c r="F279" s="217">
        <f t="shared" si="761"/>
        <v>0.63</v>
      </c>
      <c r="G279" s="217"/>
      <c r="H279" s="217">
        <f t="shared" si="726"/>
        <v>10.08</v>
      </c>
      <c r="I279" s="541">
        <f t="shared" si="727"/>
        <v>59.945227744249486</v>
      </c>
      <c r="J279" s="172">
        <f t="shared" si="728"/>
        <v>16.432863353450308</v>
      </c>
      <c r="K279" s="172">
        <f t="shared" si="729"/>
        <v>76.378091097699794</v>
      </c>
      <c r="L279" s="443"/>
      <c r="M279" s="217">
        <f t="shared" si="730"/>
        <v>0.21515572770556621</v>
      </c>
      <c r="N279" s="172">
        <f t="shared" si="731"/>
        <v>33.211214676808979</v>
      </c>
      <c r="O279" s="172">
        <f t="shared" si="762"/>
        <v>10.08</v>
      </c>
      <c r="P279" s="217">
        <f t="shared" si="732"/>
        <v>2.0757009173005612</v>
      </c>
      <c r="Q279" s="217">
        <f t="shared" si="733"/>
        <v>16</v>
      </c>
      <c r="R279" s="217"/>
      <c r="S279" s="172">
        <f t="shared" si="734"/>
        <v>178.0670159991783</v>
      </c>
      <c r="T279" s="172">
        <f t="shared" si="735"/>
        <v>16</v>
      </c>
      <c r="U279" s="217">
        <f t="shared" si="736"/>
        <v>1.5630864605578421</v>
      </c>
      <c r="V279" s="217">
        <f t="shared" si="737"/>
        <v>0.31290293210193793</v>
      </c>
      <c r="W279" s="217">
        <f t="shared" si="738"/>
        <v>1.1414345219852267</v>
      </c>
      <c r="X279" s="197">
        <f t="shared" si="739"/>
        <v>350</v>
      </c>
      <c r="Y279" s="443">
        <f t="shared" si="680"/>
        <v>350</v>
      </c>
      <c r="AA279" s="217">
        <f t="shared" si="740"/>
        <v>3.0707875282512558</v>
      </c>
      <c r="AB279" s="173">
        <f t="shared" si="741"/>
        <v>2.2424241926942097</v>
      </c>
      <c r="AC279" s="173">
        <f t="shared" si="742"/>
        <v>1.2050514426954972</v>
      </c>
      <c r="AD279" s="173"/>
      <c r="AE279" s="173">
        <f t="shared" si="743"/>
        <v>0.73024400811319556</v>
      </c>
      <c r="AF279" s="545">
        <f t="shared" si="744"/>
        <v>1725.4506521122823</v>
      </c>
      <c r="AG279" s="528">
        <f t="shared" si="745"/>
        <v>0.12779270141980922</v>
      </c>
      <c r="AI279" s="173">
        <f t="shared" si="746"/>
        <v>2.2203285806463628</v>
      </c>
      <c r="AJ279" s="173">
        <f t="shared" si="747"/>
        <v>2.2203285806463628</v>
      </c>
      <c r="AK279" s="173">
        <f t="shared" si="748"/>
        <v>2.1039470967750837</v>
      </c>
      <c r="AM279" s="545">
        <f t="shared" si="749"/>
        <v>630</v>
      </c>
      <c r="AN279" s="460">
        <f t="shared" si="750"/>
        <v>350</v>
      </c>
      <c r="AP279">
        <f t="shared" si="751"/>
        <v>630</v>
      </c>
      <c r="AQ279">
        <f t="shared" si="752"/>
        <v>350</v>
      </c>
      <c r="AS279" s="5">
        <f t="shared" si="763"/>
        <v>2.8571428571428572</v>
      </c>
      <c r="AT279" s="5">
        <f t="shared" si="753"/>
        <v>0.44447146120505471</v>
      </c>
      <c r="AU279" s="5">
        <f t="shared" si="722"/>
        <v>2.4126713959378026</v>
      </c>
      <c r="AV279" s="5"/>
      <c r="AW279" s="173">
        <f t="shared" si="723"/>
        <v>0.15556501142176915</v>
      </c>
      <c r="AX279" s="173">
        <f t="shared" si="631"/>
        <v>10.352703912673693</v>
      </c>
      <c r="AY279" s="173">
        <f t="shared" si="632"/>
        <v>0.93746156981901552</v>
      </c>
      <c r="AZ279" s="173">
        <f t="shared" si="633"/>
        <v>11.043336864115258</v>
      </c>
      <c r="BA279" s="460">
        <f t="shared" si="724"/>
        <v>1.7501063784949029</v>
      </c>
      <c r="BB279" s="5">
        <f t="shared" si="725"/>
        <v>0.33808262122787058</v>
      </c>
      <c r="BD279" s="173">
        <f t="shared" si="681"/>
        <v>0.50560642552007473</v>
      </c>
      <c r="BE279" s="173">
        <f t="shared" si="682"/>
        <v>1.1779849225766195</v>
      </c>
      <c r="BG279" s="528">
        <f t="shared" si="683"/>
        <v>5.112757150543738E-3</v>
      </c>
      <c r="BH279" s="528">
        <f t="shared" si="754"/>
        <v>1.0832207293038871</v>
      </c>
      <c r="BI279" s="528">
        <f t="shared" si="755"/>
        <v>0.48255908334120839</v>
      </c>
      <c r="BJ279" s="528">
        <f t="shared" si="684"/>
        <v>1.005569006353205</v>
      </c>
      <c r="BK279">
        <f t="shared" si="685"/>
        <v>2.6975352484912268E-2</v>
      </c>
      <c r="BL279" s="460">
        <f t="shared" si="686"/>
        <v>509.53443582612067</v>
      </c>
      <c r="BM279" s="528">
        <f t="shared" si="756"/>
        <v>2.0978313641065376</v>
      </c>
      <c r="BN279" s="460">
        <f t="shared" si="687"/>
        <v>2097.8313641065374</v>
      </c>
      <c r="BO279" s="528">
        <f t="shared" si="637"/>
        <v>0.44099999999999995</v>
      </c>
      <c r="BR279" s="460">
        <f t="shared" si="688"/>
        <v>440.99999999999994</v>
      </c>
      <c r="BS279" s="528">
        <f t="shared" si="689"/>
        <v>7.6691357258156061E-3</v>
      </c>
      <c r="BT279" s="528">
        <f t="shared" si="690"/>
        <v>4.1629454334535326E-2</v>
      </c>
      <c r="BU279" s="528">
        <f t="shared" si="691"/>
        <v>0.84175021987478726</v>
      </c>
      <c r="BV279" s="528"/>
      <c r="BW279" s="528">
        <f t="shared" si="692"/>
        <v>8.6272532605614124E-3</v>
      </c>
      <c r="BX279" s="460">
        <f t="shared" si="693"/>
        <v>899.67606319569973</v>
      </c>
      <c r="BY279" s="173">
        <f t="shared" si="694"/>
        <v>3.9441129918294555</v>
      </c>
      <c r="BZ279" s="5">
        <f t="shared" si="695"/>
        <v>10.08</v>
      </c>
      <c r="CA279" s="173">
        <f t="shared" si="696"/>
        <v>0.71876203549363005</v>
      </c>
      <c r="CB279" s="5">
        <f t="shared" si="697"/>
        <v>71.876203549362998</v>
      </c>
      <c r="CE279" s="562">
        <f t="shared" si="757"/>
        <v>-50</v>
      </c>
      <c r="CF279">
        <f t="shared" si="758"/>
        <v>-50</v>
      </c>
      <c r="CG279" s="173">
        <f t="shared" si="759"/>
        <v>0.57510868538042448</v>
      </c>
      <c r="CI279" s="170">
        <v>63</v>
      </c>
      <c r="CJ279" s="217">
        <f t="shared" si="698"/>
        <v>0.63</v>
      </c>
      <c r="CK279" s="217"/>
      <c r="CL279" s="217">
        <f t="shared" si="641"/>
        <v>10.08</v>
      </c>
      <c r="CM279" s="541">
        <f t="shared" si="642"/>
        <v>60</v>
      </c>
      <c r="CN279" s="443">
        <f t="shared" si="643"/>
        <v>16.399999999999999</v>
      </c>
      <c r="CO279" s="443">
        <f t="shared" si="644"/>
        <v>76.400000000000006</v>
      </c>
      <c r="CP279" s="443"/>
      <c r="CQ279" s="217">
        <f t="shared" si="645"/>
        <v>0.21465968586387432</v>
      </c>
      <c r="CR279" s="172">
        <f t="shared" si="646"/>
        <v>33.164921465968582</v>
      </c>
      <c r="CS279" s="172">
        <f t="shared" si="647"/>
        <v>10.08</v>
      </c>
      <c r="CT279" s="217">
        <f t="shared" si="648"/>
        <v>2.0728075916230364</v>
      </c>
      <c r="CU279" s="217">
        <f t="shared" si="649"/>
        <v>16</v>
      </c>
      <c r="CV279" s="217"/>
      <c r="CW279" s="172">
        <f t="shared" si="650"/>
        <v>178.2295943316154</v>
      </c>
      <c r="CX279" s="172">
        <f t="shared" si="651"/>
        <v>16</v>
      </c>
      <c r="CY279" s="217">
        <f t="shared" si="652"/>
        <v>1.5652682926829269</v>
      </c>
      <c r="CZ279" s="217">
        <f t="shared" si="653"/>
        <v>0.31305365853658534</v>
      </c>
      <c r="DA279" s="217">
        <f t="shared" si="654"/>
        <v>1.1453182629387271</v>
      </c>
      <c r="DB279" s="197">
        <f t="shared" si="655"/>
        <v>350</v>
      </c>
      <c r="DC279" s="443">
        <f t="shared" si="656"/>
        <v>350</v>
      </c>
      <c r="DE279" s="217">
        <f t="shared" si="657"/>
        <v>3.06656694091249</v>
      </c>
      <c r="DF279" s="173">
        <f t="shared" si="658"/>
        <v>2.2438294689603588</v>
      </c>
      <c r="DG279" s="173">
        <f t="shared" si="659"/>
        <v>1.2041493223478366</v>
      </c>
      <c r="DH279" s="173"/>
      <c r="DI279" s="173">
        <f t="shared" si="660"/>
        <v>0.73170731707317083</v>
      </c>
      <c r="DJ279" s="545">
        <f t="shared" si="661"/>
        <v>1721.9999999999998</v>
      </c>
      <c r="DK279" s="528">
        <f t="shared" si="662"/>
        <v>0.12804878048780488</v>
      </c>
      <c r="DM279" s="173">
        <f t="shared" si="663"/>
        <v>2.2181073012818833</v>
      </c>
      <c r="DN279" s="173">
        <f t="shared" si="664"/>
        <v>2.2181073012818833</v>
      </c>
      <c r="DO279" s="173">
        <f t="shared" si="665"/>
        <v>2.1023017046532466</v>
      </c>
      <c r="DQ279" s="545">
        <f t="shared" si="666"/>
        <v>630</v>
      </c>
      <c r="DR279" s="460">
        <f t="shared" si="667"/>
        <v>350</v>
      </c>
      <c r="DT279">
        <f t="shared" si="668"/>
        <v>630</v>
      </c>
      <c r="DU279">
        <f t="shared" si="669"/>
        <v>350</v>
      </c>
      <c r="DW279" s="5">
        <f t="shared" si="670"/>
        <v>2.8571428571428572</v>
      </c>
      <c r="DX279" s="5">
        <f t="shared" si="671"/>
        <v>0.44362146025637667</v>
      </c>
      <c r="DY279" s="5">
        <f t="shared" si="672"/>
        <v>2.4135213968864804</v>
      </c>
      <c r="DZ279" s="5"/>
      <c r="EA279" s="173">
        <f t="shared" si="673"/>
        <v>0.15526751108973183</v>
      </c>
      <c r="EB279" s="173">
        <f t="shared" si="699"/>
        <v>10.331999999999999</v>
      </c>
      <c r="EC279" s="173">
        <f t="shared" si="700"/>
        <v>0.93685365064094173</v>
      </c>
      <c r="ED279" s="173">
        <f t="shared" si="701"/>
        <v>11.028403414910573</v>
      </c>
      <c r="EE279" s="460">
        <f t="shared" si="674"/>
        <v>1.7467594997594833</v>
      </c>
      <c r="EF279" s="5">
        <f t="shared" si="675"/>
        <v>0.33789299556410723</v>
      </c>
      <c r="EH279" s="173">
        <f t="shared" si="702"/>
        <v>0.50461739782449055</v>
      </c>
      <c r="EI279" s="173">
        <f t="shared" si="703"/>
        <v>1.1770137135194472</v>
      </c>
      <c r="EK279" s="528">
        <f t="shared" si="704"/>
        <v>5.0927743637432035E-3</v>
      </c>
      <c r="EL279" s="528">
        <f t="shared" si="705"/>
        <v>1.1269315954892736</v>
      </c>
      <c r="EM279" s="528">
        <f t="shared" si="706"/>
        <v>4.0250000000000001E-2</v>
      </c>
      <c r="EN279" s="528">
        <f t="shared" si="707"/>
        <v>1.0061459800000001</v>
      </c>
      <c r="EO279">
        <f t="shared" si="708"/>
        <v>2.7E-2</v>
      </c>
      <c r="EP279" s="460">
        <f t="shared" si="709"/>
        <v>67.25</v>
      </c>
      <c r="EQ279" s="460"/>
      <c r="ER279" s="460">
        <f t="shared" si="710"/>
        <v>2205.4203498530169</v>
      </c>
      <c r="ES279" s="528">
        <f t="shared" si="711"/>
        <v>0.44099999999999995</v>
      </c>
      <c r="EV279" s="460">
        <f t="shared" si="712"/>
        <v>440.99999999999994</v>
      </c>
      <c r="EW279" s="528">
        <f t="shared" si="713"/>
        <v>7.6391615456148044E-3</v>
      </c>
      <c r="EX279" s="528">
        <f t="shared" si="714"/>
        <v>4.1560838454385178E-2</v>
      </c>
      <c r="EY279" s="528">
        <f t="shared" si="715"/>
        <v>0.83964652256462846</v>
      </c>
      <c r="EZ279" s="528"/>
      <c r="FA279" s="528">
        <f t="shared" si="716"/>
        <v>8.6099999999999996E-3</v>
      </c>
      <c r="FB279" s="460">
        <f t="shared" si="717"/>
        <v>897.45652256462847</v>
      </c>
      <c r="FC279" s="173">
        <f t="shared" si="718"/>
        <v>3.5438768724176453</v>
      </c>
      <c r="FD279" s="5">
        <f t="shared" si="719"/>
        <v>10.08</v>
      </c>
      <c r="FE279" s="173">
        <f t="shared" si="720"/>
        <v>0.73987750288668297</v>
      </c>
      <c r="FF279" s="5">
        <f t="shared" si="721"/>
        <v>73.987750288668295</v>
      </c>
      <c r="FI279" s="562">
        <f t="shared" si="676"/>
        <v>-50</v>
      </c>
      <c r="FJ279">
        <f t="shared" si="677"/>
        <v>-50</v>
      </c>
      <c r="FL279">
        <f t="shared" si="760"/>
        <v>0.56805186984048239</v>
      </c>
    </row>
    <row r="280" spans="5:168">
      <c r="E280" s="170">
        <v>64</v>
      </c>
      <c r="F280" s="217">
        <f t="shared" si="761"/>
        <v>0.64</v>
      </c>
      <c r="G280" s="217"/>
      <c r="H280" s="217">
        <f t="shared" ref="H280:H311" si="764">F280*Vout</f>
        <v>10.24</v>
      </c>
      <c r="I280" s="541">
        <f t="shared" ref="I280:I316" si="765">VIN_max-F280*(Rdcr_pri+RON/1000)/CG280/Nps</f>
        <v>59.944794755252609</v>
      </c>
      <c r="J280" s="172">
        <f t="shared" ref="J280:J316" si="766">(T280+Vfwd1+F280/CG280*Rdcr_sec)*Nps</f>
        <v>16.43312314684843</v>
      </c>
      <c r="K280" s="172">
        <f t="shared" ref="K280:K316" si="767">(Vout+Vfwd1+F280/CG280*Rdcr_sec)*Nps+I280</f>
        <v>76.377917902101046</v>
      </c>
      <c r="L280" s="443"/>
      <c r="M280" s="217">
        <f t="shared" ref="M280:M316" si="768">(Vout+Vfwd1+F280/FL280*Rdcr_sec)*Nps/((Vout+Vfwd1+F280/FL280*Rdcr_sec)*Nps+I280)</f>
        <v>0.21515965015856048</v>
      </c>
      <c r="N280" s="172">
        <f t="shared" ref="N280:N311" si="769">M280*I280*(Isw_max+VIN_max/Lmag*ILIM_delay)*0.5*Efficiency</f>
        <v>33.211580251044673</v>
      </c>
      <c r="O280" s="172">
        <f t="shared" si="762"/>
        <v>10.24</v>
      </c>
      <c r="P280" s="217">
        <f t="shared" ref="P280:P311" si="770">N280/Vout</f>
        <v>2.075723765690292</v>
      </c>
      <c r="Q280" s="217">
        <f t="shared" ref="Q280:Q316" si="771">MIN(Vout,N280/F280)</f>
        <v>16</v>
      </c>
      <c r="R280" s="217"/>
      <c r="S280" s="172">
        <f t="shared" ref="S280:S316" si="772">(SQRT(Isw_max^2*Nps^2*I280^2+4*Isw_max*F280/Efficiency*(Nps^2*Vfwd1*I280-Nps*I280^2)+4*(F280/Efficiency)^2*Nps^2*Vfwd1^2+8*(F280/Efficiency)^2*Nps*Vfwd1*I280+4*(F280/Efficiency)^2*I280^2)-2*F280/Efficiency*I280-2*F280/Efficiency*Nps*Vfwd1+Isw_max*Nps*I280)/(4*F280/Efficiency*Nps)</f>
        <v>174.35177105869943</v>
      </c>
      <c r="T280" s="172">
        <f t="shared" ref="T280:T311" si="773">MIN(Vout, S280)</f>
        <v>16</v>
      </c>
      <c r="U280" s="217">
        <f t="shared" ref="U280:U315" si="774">MIN(2*Vout*F280/(Efficiency*I280*M280), Isw_max)</f>
        <v>1.5878798780838257</v>
      </c>
      <c r="V280" s="217">
        <f t="shared" ref="V280:V311" si="775">L*U280/I280*1000000</f>
        <v>0.31786844236940642</v>
      </c>
      <c r="W280" s="217">
        <f t="shared" ref="W280:W316" si="776">L*U280/J280*1000000</f>
        <v>1.1595214352580461</v>
      </c>
      <c r="X280" s="197">
        <f t="shared" ref="X280:X316" si="777">IF(1/((350000*L)*(1/I280+1/J280))&gt;Isw_min, 350, 0.001/((Isw_min*L)*(1/I280+1/J280)))</f>
        <v>350</v>
      </c>
      <c r="Y280" s="443">
        <f t="shared" si="680"/>
        <v>350</v>
      </c>
      <c r="AA280" s="217">
        <f t="shared" ref="AA280:AA316" si="778">1/((X280*1000*L)*(1/I280+1/J280))</f>
        <v>3.0708208580349434</v>
      </c>
      <c r="AB280" s="173">
        <f t="shared" ref="AB280:AB311" si="779">L*AA280/J280*1000000</f>
        <v>2.2424130804062306</v>
      </c>
      <c r="AC280" s="173">
        <f t="shared" ref="AC280:AC311" si="780">0.5*AB280*AA280*Nps*X280/1000</f>
        <v>1.2050585504373224</v>
      </c>
      <c r="AD280" s="173"/>
      <c r="AE280" s="173">
        <f t="shared" ref="AE280:AE316" si="781">L*Isw_min/J280*1000000</f>
        <v>0.73023246358994021</v>
      </c>
      <c r="AF280" s="545">
        <f t="shared" ref="AF280:AF311" si="782">MAX(12000,F280/(0.5*AE280/1000000*Isw_min*Nps))/1000</f>
        <v>1752.8664689971661</v>
      </c>
      <c r="AG280" s="528">
        <f t="shared" ref="AG280:AG316" si="783">0.5*AE280/1000000*Isw_min*Nps*X280*1000</f>
        <v>0.12779068112823952</v>
      </c>
      <c r="AI280" s="173">
        <f t="shared" ref="AI280:AI316" si="784">SQRT(F280/(0.5*L/J280*Fsw_DCM*Nps))</f>
        <v>2.2378985480625513</v>
      </c>
      <c r="AJ280" s="173">
        <f t="shared" ref="AJ280:AJ311" si="785">MAX(IF(F280&gt;AC280,U280,AI280),Isw_min)</f>
        <v>2.2378985480625513</v>
      </c>
      <c r="AK280" s="173">
        <f t="shared" ref="AK280:AK311" si="786">IF(F280&gt;AG280, (AJ280-Isw_min)/1.08*0.8+1.2, AF280*0.2/350+1)</f>
        <v>2.1169618874537415</v>
      </c>
      <c r="AM280" s="545">
        <f t="shared" ref="AM280:AM316" si="787">F280*1000</f>
        <v>640</v>
      </c>
      <c r="AN280" s="460">
        <f t="shared" ref="AN280:AN316" si="788">IF(F280&gt;AG280, Y280, AF280)</f>
        <v>350</v>
      </c>
      <c r="AP280">
        <f t="shared" ref="AP280:AP316" si="789">IF(H280&gt;N280, "",AM280)</f>
        <v>640</v>
      </c>
      <c r="AQ280">
        <f t="shared" ref="AQ280:AQ316" si="790">IF(H280&gt;N280, "",AN280)</f>
        <v>350</v>
      </c>
      <c r="AS280" s="5">
        <f t="shared" si="763"/>
        <v>2.8571428571428572</v>
      </c>
      <c r="AT280" s="5">
        <f t="shared" ref="AT280:AT316" si="791">L*AJ280/I280*1000000</f>
        <v>0.44799190132179895</v>
      </c>
      <c r="AU280" s="5">
        <f t="shared" si="722"/>
        <v>2.4091509558210582</v>
      </c>
      <c r="AV280" s="5"/>
      <c r="AW280" s="173">
        <f t="shared" si="723"/>
        <v>0.15679716546262962</v>
      </c>
      <c r="AX280" s="173">
        <f t="shared" ref="AX280:AX316" si="792">0.5*L*AJ280^2*AN280*1000</f>
        <v>10.517198813982997</v>
      </c>
      <c r="AY280" s="173">
        <f t="shared" ref="AY280:AY316" si="793">AJ280*Nps/2*(1-AW280)</f>
        <v>0.94350119956670442</v>
      </c>
      <c r="AZ280" s="173">
        <f t="shared" ref="AZ280:AZ316" si="794">AX280/AY280</f>
        <v>11.146990400025924</v>
      </c>
      <c r="BA280" s="460">
        <f t="shared" si="724"/>
        <v>1.791967605287196</v>
      </c>
      <c r="BB280" s="5">
        <f t="shared" si="725"/>
        <v>0.34295034690294451</v>
      </c>
      <c r="BD280" s="173">
        <f t="shared" si="681"/>
        <v>0.51162159916917394</v>
      </c>
      <c r="BE280" s="173">
        <f t="shared" si="682"/>
        <v>1.1864400433244555</v>
      </c>
      <c r="BG280" s="528">
        <f t="shared" si="683"/>
        <v>5.2351332147284584E-3</v>
      </c>
      <c r="BH280" s="528">
        <f t="shared" ref="BH280:BH316" si="795">0.5*K280*AJ280*AN280*1000*Tfall</f>
        <v>1.091790026699063</v>
      </c>
      <c r="BI280" s="528">
        <f t="shared" ref="BI280:BI316" si="796">Qg*Vdd*AN280*1000*0+Qg*I280*AN280*1000</f>
        <v>0.48255559777978352</v>
      </c>
      <c r="BJ280" s="528">
        <f t="shared" si="684"/>
        <v>1.0055644458849826</v>
      </c>
      <c r="BK280">
        <f t="shared" si="685"/>
        <v>2.6975157639863672E-2</v>
      </c>
      <c r="BL280" s="460">
        <f t="shared" si="686"/>
        <v>509.53075541964722</v>
      </c>
      <c r="BM280" s="528">
        <f t="shared" ref="BM280:BM316" si="797">(BH280+BI280*0+BJ280+BK280*0+BG280*(1+RdsonTC*(Ta-25)))/(1-BG280*RdsonTC*ThetaJA)</f>
        <v>2.1066234525339222</v>
      </c>
      <c r="BN280" s="460">
        <f t="shared" si="687"/>
        <v>2106.6234525339223</v>
      </c>
      <c r="BO280" s="528">
        <f t="shared" ref="BO280:BO316" si="798">Vfwd2*F280</f>
        <v>0.44799999999999995</v>
      </c>
      <c r="BR280" s="460">
        <f t="shared" si="688"/>
        <v>447.99999999999994</v>
      </c>
      <c r="BS280" s="528">
        <f t="shared" si="689"/>
        <v>7.8526998220926868E-3</v>
      </c>
      <c r="BT280" s="528">
        <f t="shared" si="690"/>
        <v>4.222919929211208E-2</v>
      </c>
      <c r="BU280" s="528">
        <f t="shared" si="691"/>
        <v>0.85850158538944554</v>
      </c>
      <c r="BV280" s="528"/>
      <c r="BW280" s="528">
        <f t="shared" si="692"/>
        <v>8.7643323449858312E-3</v>
      </c>
      <c r="BX280" s="460">
        <f t="shared" si="693"/>
        <v>917.34781684863617</v>
      </c>
      <c r="BY280" s="173">
        <f t="shared" si="694"/>
        <v>3.9774681780670567</v>
      </c>
      <c r="BZ280" s="5">
        <f t="shared" si="695"/>
        <v>10.24</v>
      </c>
      <c r="CA280" s="173">
        <f t="shared" si="696"/>
        <v>0.72024075396187626</v>
      </c>
      <c r="CB280" s="5">
        <f t="shared" si="697"/>
        <v>72.024075396187627</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0.57965506984757753</v>
      </c>
      <c r="CI280" s="170">
        <v>64</v>
      </c>
      <c r="CJ280" s="217">
        <f t="shared" si="698"/>
        <v>0.64</v>
      </c>
      <c r="CK280" s="217"/>
      <c r="CL280" s="217">
        <f t="shared" ref="CL280:CL316" si="802">CJ280*Vout</f>
        <v>10.24</v>
      </c>
      <c r="CM280" s="541">
        <f t="shared" ref="CM280:CM316" si="803">VIN_max</f>
        <v>60</v>
      </c>
      <c r="CN280" s="443">
        <f t="shared" ref="CN280:CN316" si="804">(CX280+Vfwd1)*Nps</f>
        <v>16.399999999999999</v>
      </c>
      <c r="CO280" s="443">
        <f t="shared" ref="CO280:CO316" si="805">(Vout+Vfwd1)*Nps+CM280</f>
        <v>76.400000000000006</v>
      </c>
      <c r="CP280" s="443"/>
      <c r="CQ280" s="217">
        <f t="shared" ref="CQ280:CQ316" si="806">(Vout+Vfwd1)*Nps/((Vout+Vfwd1)*Nps+CM280)</f>
        <v>0.21465968586387432</v>
      </c>
      <c r="CR280" s="172">
        <f t="shared" ref="CR280:CR316" si="807">CQ280*CM280*(Isw_max+VIN_max/Lmag*ILIM_delay)*0.5*Efficiency</f>
        <v>33.164921465968582</v>
      </c>
      <c r="CS280" s="172">
        <f t="shared" ref="CS280:CS316" si="808">CX280*CJ280</f>
        <v>10.24</v>
      </c>
      <c r="CT280" s="217">
        <f t="shared" ref="CT280:CT316" si="809">CR280/Vout</f>
        <v>2.0728075916230364</v>
      </c>
      <c r="CU280" s="217">
        <f t="shared" ref="CU280:CU316" si="810">MIN(Vout,CR280/CJ280)</f>
        <v>16</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174.51221168904243</v>
      </c>
      <c r="CX280" s="172">
        <f t="shared" ref="CX280:CX316" si="812">MIN(Vout, CW280)</f>
        <v>16</v>
      </c>
      <c r="CY280" s="217">
        <f t="shared" ref="CY280:CY316" si="813">MIN(2*Vout*CJ280/(Efficiency*CM280*CQ280), Isw_max)</f>
        <v>1.5901138211382115</v>
      </c>
      <c r="CZ280" s="217">
        <f t="shared" ref="CZ280:CZ316" si="814">L*CY280/CM280*1000000</f>
        <v>0.31802276422764231</v>
      </c>
      <c r="DA280" s="217">
        <f t="shared" ref="DA280:DA316" si="815">L*CY280/CN280*1000000</f>
        <v>1.1634979179060085</v>
      </c>
      <c r="DB280" s="197">
        <f t="shared" ref="DB280:DB316" si="816">IF(1/((350000*L)*(1/CM280+1/CN280))&gt;Isw_min, 350, 0.001/((Isw_min*L)*(1/CM280+1/CN280)))</f>
        <v>350</v>
      </c>
      <c r="DC280" s="443">
        <f t="shared" ref="DC280:DC316" si="817">MIN(1/(CZ280+DA280)*1000, 350)</f>
        <v>350</v>
      </c>
      <c r="DE280" s="217">
        <f t="shared" ref="DE280:DE316" si="818">1/((DB280*1000*L)*(1/CM280+1/CN280))</f>
        <v>3.06656694091249</v>
      </c>
      <c r="DF280" s="173">
        <f t="shared" ref="DF280:DF316" si="819">L*DE280/CN280*1000000</f>
        <v>2.2438294689603588</v>
      </c>
      <c r="DG280" s="173">
        <f t="shared" ref="DG280:DG316" si="820">0.5*DF280*DE280*Nps*DB280/1000</f>
        <v>1.2041493223478366</v>
      </c>
      <c r="DH280" s="173"/>
      <c r="DI280" s="173">
        <f t="shared" ref="DI280:DI316" si="821">L*Isw_min/CN280*1000000</f>
        <v>0.73170731707317083</v>
      </c>
      <c r="DJ280" s="545">
        <f t="shared" ref="DJ280:DJ316" si="822">MAX(12000,CJ280/(0.5*DI280/1000000*Isw_min*Nps))/1000</f>
        <v>1749.3333333333333</v>
      </c>
      <c r="DK280" s="528">
        <f t="shared" ref="DK280:DK316" si="823">0.5*DI280/1000000*Isw_min*Nps*DB280*1000</f>
        <v>0.12804878048780488</v>
      </c>
      <c r="DM280" s="173">
        <f t="shared" ref="DM280:DM316" si="824">SQRT(CJ280/(0.5*L/CN280*Fsw_DCM*Nps))</f>
        <v>2.2356420192184698</v>
      </c>
      <c r="DN280" s="173">
        <f t="shared" ref="DN280:DN316" si="825">MAX(IF(CJ280&gt;DG280,CY280,DM280),Isw_min)</f>
        <v>2.2356420192184698</v>
      </c>
      <c r="DO280" s="173">
        <f t="shared" ref="DO280:DO316" si="826">IF(CJ280&gt;DK280, (DN280-Isw_min)/1.08*0.8+1.2, DJ280*0.2/350+1)</f>
        <v>2.1152903846062738</v>
      </c>
      <c r="DQ280" s="545">
        <f t="shared" ref="DQ280:DQ316" si="827">CJ280*1000</f>
        <v>640</v>
      </c>
      <c r="DR280" s="460">
        <f t="shared" ref="DR280:DR316" si="828">IF(CJ280&gt;DK280, DC280, DJ280)</f>
        <v>350</v>
      </c>
      <c r="DT280">
        <f t="shared" ref="DT280:DT316" si="829">IF(CL280&gt;CR280, "",DQ280)</f>
        <v>640</v>
      </c>
      <c r="DU280">
        <f t="shared" ref="DU280:DU316" si="830">IF(CL280&gt;CR280, "",DR280)</f>
        <v>350</v>
      </c>
      <c r="DW280" s="5">
        <f t="shared" si="670"/>
        <v>2.8571428571428572</v>
      </c>
      <c r="DX280" s="5">
        <f t="shared" ref="DX280:DX316" si="831">L*DN280/CM280*1000000</f>
        <v>0.44712840384369396</v>
      </c>
      <c r="DY280" s="5">
        <f t="shared" ref="DY280:DY316" si="832">DW280-DX280</f>
        <v>2.4100144532991634</v>
      </c>
      <c r="DZ280" s="5"/>
      <c r="EA280" s="173">
        <f t="shared" ref="EA280:EA316" si="833">DX280/DW280</f>
        <v>0.15649494134529288</v>
      </c>
      <c r="EB280" s="173">
        <f t="shared" si="699"/>
        <v>10.495999999999999</v>
      </c>
      <c r="EC280" s="173">
        <f t="shared" si="700"/>
        <v>0.94288767627590164</v>
      </c>
      <c r="ED280" s="173">
        <f t="shared" si="701"/>
        <v>11.131760721972494</v>
      </c>
      <c r="EE280" s="460">
        <f t="shared" ref="EE280:EE316" si="834">CJ280*DX280/Vout_ripple*1000</f>
        <v>1.7885136153747756</v>
      </c>
      <c r="EF280" s="5">
        <f t="shared" ref="EF280:EF316" si="835">CL280/Efficiency/CM280*DY280/Vinripple1</f>
        <v>0.34275761113588094</v>
      </c>
      <c r="EH280" s="173">
        <f t="shared" si="702"/>
        <v>0.51061290658838021</v>
      </c>
      <c r="EI280" s="173">
        <f t="shared" si="703"/>
        <v>1.1854561171368225</v>
      </c>
      <c r="EK280" s="528">
        <f t="shared" si="704"/>
        <v>5.2145108074926781E-3</v>
      </c>
      <c r="EL280" s="528">
        <f t="shared" si="705"/>
        <v>1.135840284284136</v>
      </c>
      <c r="EM280" s="528">
        <f t="shared" si="706"/>
        <v>4.0250000000000001E-2</v>
      </c>
      <c r="EN280" s="528">
        <f t="shared" si="707"/>
        <v>1.0061459800000001</v>
      </c>
      <c r="EO280">
        <f t="shared" si="708"/>
        <v>2.7E-2</v>
      </c>
      <c r="EP280" s="460">
        <f t="shared" si="709"/>
        <v>67.25</v>
      </c>
      <c r="EQ280" s="460"/>
      <c r="ER280" s="460">
        <f t="shared" si="710"/>
        <v>2214.4507750916287</v>
      </c>
      <c r="ES280" s="528">
        <f t="shared" si="711"/>
        <v>0.44799999999999995</v>
      </c>
      <c r="EV280" s="460">
        <f t="shared" si="712"/>
        <v>447.99999999999994</v>
      </c>
      <c r="EW280" s="528">
        <f t="shared" si="713"/>
        <v>7.8217662112390167E-3</v>
      </c>
      <c r="EX280" s="528">
        <f t="shared" si="714"/>
        <v>4.2159186169713356E-2</v>
      </c>
      <c r="EY280" s="528">
        <f t="shared" si="715"/>
        <v>0.85633910039054761</v>
      </c>
      <c r="EZ280" s="528"/>
      <c r="FA280" s="528">
        <f t="shared" si="716"/>
        <v>8.7466666666666647E-3</v>
      </c>
      <c r="FB280" s="460">
        <f t="shared" si="717"/>
        <v>915.06671943816661</v>
      </c>
      <c r="FC280" s="173">
        <f t="shared" si="718"/>
        <v>3.5775174945297952</v>
      </c>
      <c r="FD280" s="5">
        <f t="shared" si="719"/>
        <v>10.24</v>
      </c>
      <c r="FE280" s="173">
        <f t="shared" si="720"/>
        <v>0.74108826017798812</v>
      </c>
      <c r="FF280" s="5">
        <f t="shared" si="721"/>
        <v>74.108826017798819</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0.57254246833643752</v>
      </c>
    </row>
    <row r="281" spans="5:168">
      <c r="E281" s="170">
        <v>65</v>
      </c>
      <c r="F281" s="217">
        <f t="shared" ref="F281:F312" si="839">IF(PLOT_TYPE=1, E281/100*Iout_max, min_I*EXP(N281*rr/100))</f>
        <v>0.65</v>
      </c>
      <c r="G281" s="217"/>
      <c r="H281" s="217">
        <f t="shared" si="764"/>
        <v>10.4</v>
      </c>
      <c r="I281" s="541">
        <f t="shared" si="765"/>
        <v>59.944365135973584</v>
      </c>
      <c r="J281" s="172">
        <f t="shared" si="766"/>
        <v>16.43338091841585</v>
      </c>
      <c r="K281" s="172">
        <f t="shared" si="767"/>
        <v>76.377746054389434</v>
      </c>
      <c r="L281" s="443"/>
      <c r="M281" s="217">
        <f t="shared" si="768"/>
        <v>0.21516354210249103</v>
      </c>
      <c r="N281" s="172">
        <f t="shared" si="769"/>
        <v>33.211942974233459</v>
      </c>
      <c r="O281" s="172">
        <f t="shared" si="762"/>
        <v>10.4</v>
      </c>
      <c r="P281" s="217">
        <f t="shared" si="770"/>
        <v>2.0757464358895912</v>
      </c>
      <c r="Q281" s="217">
        <f t="shared" si="771"/>
        <v>16</v>
      </c>
      <c r="R281" s="217"/>
      <c r="S281" s="172">
        <f t="shared" si="772"/>
        <v>170.75098242713761</v>
      </c>
      <c r="T281" s="172">
        <f t="shared" si="773"/>
        <v>16</v>
      </c>
      <c r="U281" s="217">
        <f t="shared" si="774"/>
        <v>1.6126728882303878</v>
      </c>
      <c r="V281" s="217">
        <f t="shared" si="775"/>
        <v>0.3228339246711141</v>
      </c>
      <c r="W281" s="217">
        <f t="shared" si="776"/>
        <v>1.1776076240694944</v>
      </c>
      <c r="X281" s="197">
        <f t="shared" si="777"/>
        <v>350</v>
      </c>
      <c r="Y281" s="443">
        <f t="shared" ref="Y281:Y316" si="840">MIN(1/(V281+W281+0.2)*1000, 350)</f>
        <v>350</v>
      </c>
      <c r="AA281" s="217">
        <f t="shared" si="778"/>
        <v>3.0708539278872951</v>
      </c>
      <c r="AB281" s="173">
        <f t="shared" si="779"/>
        <v>2.2424020545493351</v>
      </c>
      <c r="AC281" s="173">
        <f t="shared" si="780"/>
        <v>1.2050656024951891</v>
      </c>
      <c r="AD281" s="173"/>
      <c r="AE281" s="173">
        <f t="shared" si="781"/>
        <v>0.7302210092721918</v>
      </c>
      <c r="AF281" s="545">
        <f t="shared" si="782"/>
        <v>1780.2829328283838</v>
      </c>
      <c r="AG281" s="528">
        <f t="shared" si="783"/>
        <v>0.12778867662263357</v>
      </c>
      <c r="AI281" s="173">
        <f t="shared" si="784"/>
        <v>2.255332052098749</v>
      </c>
      <c r="AJ281" s="173">
        <f t="shared" si="785"/>
        <v>2.255332052098749</v>
      </c>
      <c r="AK281" s="173">
        <f t="shared" si="786"/>
        <v>2.1298755941472214</v>
      </c>
      <c r="AM281" s="545">
        <f t="shared" si="787"/>
        <v>650</v>
      </c>
      <c r="AN281" s="460">
        <f t="shared" si="788"/>
        <v>350</v>
      </c>
      <c r="AP281">
        <f t="shared" si="789"/>
        <v>650</v>
      </c>
      <c r="AQ281">
        <f t="shared" si="790"/>
        <v>350</v>
      </c>
      <c r="AS281" s="5">
        <f t="shared" si="763"/>
        <v>2.8571428571428572</v>
      </c>
      <c r="AT281" s="5">
        <f t="shared" si="791"/>
        <v>0.45148504890818258</v>
      </c>
      <c r="AU281" s="5">
        <f t="shared" si="722"/>
        <v>2.4056578082346745</v>
      </c>
      <c r="AV281" s="5"/>
      <c r="AW281" s="173">
        <f t="shared" si="723"/>
        <v>0.15801976711786389</v>
      </c>
      <c r="AX281" s="173">
        <f t="shared" si="792"/>
        <v>10.681697596970304</v>
      </c>
      <c r="AY281" s="173">
        <f t="shared" si="793"/>
        <v>0.94947250322632526</v>
      </c>
      <c r="AZ281" s="173">
        <f t="shared" si="794"/>
        <v>11.250138956814123</v>
      </c>
      <c r="BA281" s="460">
        <f t="shared" si="724"/>
        <v>1.8341580111894915</v>
      </c>
      <c r="BB281" s="5">
        <f t="shared" si="725"/>
        <v>0.34780640833782056</v>
      </c>
      <c r="BD281" s="173">
        <f t="shared" ref="BD281:BD316" si="841">AJ281*SQRT(AW281/3)</f>
        <v>0.51761347451498518</v>
      </c>
      <c r="BE281" s="173">
        <f t="shared" ref="BE281:BE316" si="842">AJ281*Nps*SQRT((1-AW281)/3)</f>
        <v>1.1948154025100182</v>
      </c>
      <c r="BG281" s="528">
        <f t="shared" ref="BG281:BG316" si="843">Rdson*BD281^2</f>
        <v>5.3584741799895044E-3</v>
      </c>
      <c r="BH281" s="528">
        <f t="shared" si="795"/>
        <v>1.1002927292242548</v>
      </c>
      <c r="BI281" s="528">
        <f t="shared" si="796"/>
        <v>0.48255213934458735</v>
      </c>
      <c r="BJ281" s="528">
        <f t="shared" ref="BJ281:BJ316" si="844">0.5*(Coss+Csw)*K281^2*AN281*1000</f>
        <v>1.0055599209186246</v>
      </c>
      <c r="BK281">
        <f t="shared" ref="BK281:BK316" si="845">I281*IQ</f>
        <v>2.6974964311188111E-2</v>
      </c>
      <c r="BL281" s="460">
        <f t="shared" ref="BL281:BL316" si="846">(BK281+BI281)*1000</f>
        <v>509.52710365577548</v>
      </c>
      <c r="BM281" s="528">
        <f t="shared" si="797"/>
        <v>2.1153511212685738</v>
      </c>
      <c r="BN281" s="460">
        <f t="shared" ref="BN281:BN316" si="847">BM281*1000</f>
        <v>2115.3511212685739</v>
      </c>
      <c r="BO281" s="528">
        <f t="shared" si="798"/>
        <v>0.45499999999999996</v>
      </c>
      <c r="BR281" s="460">
        <f t="shared" ref="BR281:BR316" si="848">SUM(BO281:BQ281)*1000</f>
        <v>454.99999999999994</v>
      </c>
      <c r="BS281" s="528">
        <f t="shared" ref="BS281:BS316" si="849">Rdcr_pri*BD281^2</f>
        <v>8.0377112699842566E-3</v>
      </c>
      <c r="BT281" s="528">
        <f t="shared" ref="BT281:BT316" si="850">Rdcr_sec*BE281^2</f>
        <v>4.28275153822553E-2</v>
      </c>
      <c r="BU281" s="528">
        <f t="shared" ref="BU281:BU316" si="851">AJ281^2.5*AN281^2.5*k_core</f>
        <v>0.87531897927633728</v>
      </c>
      <c r="BV281" s="528"/>
      <c r="BW281" s="528">
        <f t="shared" ref="BW281:BW316" si="852">0.5*Lleak*0.000000001*AJ281^2*AN281*1000</f>
        <v>8.9014146641419219E-3</v>
      </c>
      <c r="BX281" s="460">
        <f t="shared" ref="BX281:BX316" si="853">SUM(BS281:BW281)*1000</f>
        <v>935.08562059271878</v>
      </c>
      <c r="BY281" s="173">
        <f t="shared" ref="BY281:BY316" si="854">SUM(BG281:BK281,BO281:BQ281,BS281:BW281)</f>
        <v>4.0108238485713628</v>
      </c>
      <c r="BZ281" s="5">
        <f t="shared" ref="BZ281:BZ316" si="855">MIN(H281,O281)</f>
        <v>10.4</v>
      </c>
      <c r="CA281" s="173">
        <f t="shared" ref="CA281:CA316" si="856">BZ281/(BZ281+BY281)</f>
        <v>0.72167976718631666</v>
      </c>
      <c r="CB281" s="5">
        <f t="shared" ref="CB281:CB316" si="857">CA281*100</f>
        <v>72.167976718631664</v>
      </c>
      <c r="CE281" s="562">
        <f t="shared" si="799"/>
        <v>-50</v>
      </c>
      <c r="CF281">
        <f t="shared" si="800"/>
        <v>-50</v>
      </c>
      <c r="CG281" s="173">
        <f t="shared" si="801"/>
        <v>0.58416607227739614</v>
      </c>
      <c r="CI281" s="170">
        <v>65</v>
      </c>
      <c r="CJ281" s="217">
        <f t="shared" ref="CJ281:CJ316" si="858">IF(PLOT_TYPE=1, CI281/100*Iout_max, min_I*EXP(CR281*rr/100))</f>
        <v>0.65</v>
      </c>
      <c r="CK281" s="217"/>
      <c r="CL281" s="217">
        <f t="shared" si="802"/>
        <v>10.4</v>
      </c>
      <c r="CM281" s="541">
        <f t="shared" si="803"/>
        <v>60</v>
      </c>
      <c r="CN281" s="443">
        <f t="shared" si="804"/>
        <v>16.399999999999999</v>
      </c>
      <c r="CO281" s="443">
        <f t="shared" si="805"/>
        <v>76.400000000000006</v>
      </c>
      <c r="CP281" s="443"/>
      <c r="CQ281" s="217">
        <f t="shared" si="806"/>
        <v>0.21465968586387432</v>
      </c>
      <c r="CR281" s="172">
        <f t="shared" si="807"/>
        <v>33.164921465968582</v>
      </c>
      <c r="CS281" s="172">
        <f t="shared" si="808"/>
        <v>10.4</v>
      </c>
      <c r="CT281" s="217">
        <f t="shared" si="809"/>
        <v>2.0728075916230364</v>
      </c>
      <c r="CU281" s="217">
        <f t="shared" si="810"/>
        <v>16</v>
      </c>
      <c r="CV281" s="217"/>
      <c r="CW281" s="172">
        <f t="shared" si="811"/>
        <v>170.90932821896988</v>
      </c>
      <c r="CX281" s="172">
        <f t="shared" si="812"/>
        <v>16</v>
      </c>
      <c r="CY281" s="217">
        <f t="shared" si="813"/>
        <v>1.6149593495934962</v>
      </c>
      <c r="CZ281" s="217">
        <f t="shared" si="814"/>
        <v>0.32299186991869921</v>
      </c>
      <c r="DA281" s="217">
        <f t="shared" si="815"/>
        <v>1.18167757287329</v>
      </c>
      <c r="DB281" s="197">
        <f t="shared" si="816"/>
        <v>350</v>
      </c>
      <c r="DC281" s="443">
        <f t="shared" si="817"/>
        <v>350</v>
      </c>
      <c r="DE281" s="217">
        <f t="shared" si="818"/>
        <v>3.06656694091249</v>
      </c>
      <c r="DF281" s="173">
        <f t="shared" si="819"/>
        <v>2.2438294689603588</v>
      </c>
      <c r="DG281" s="173">
        <f t="shared" si="820"/>
        <v>1.2041493223478366</v>
      </c>
      <c r="DH281" s="173"/>
      <c r="DI281" s="173">
        <f t="shared" si="821"/>
        <v>0.73170731707317083</v>
      </c>
      <c r="DJ281" s="545">
        <f t="shared" si="822"/>
        <v>1776.6666666666665</v>
      </c>
      <c r="DK281" s="528">
        <f t="shared" si="823"/>
        <v>0.12804878048780488</v>
      </c>
      <c r="DM281" s="173">
        <f t="shared" si="824"/>
        <v>2.2530402739832405</v>
      </c>
      <c r="DN281" s="173">
        <f t="shared" si="825"/>
        <v>2.2530402739832405</v>
      </c>
      <c r="DO281" s="173">
        <f t="shared" si="826"/>
        <v>2.1281779807283261</v>
      </c>
      <c r="DQ281" s="545">
        <f t="shared" si="827"/>
        <v>650</v>
      </c>
      <c r="DR281" s="460">
        <f t="shared" si="828"/>
        <v>350</v>
      </c>
      <c r="DT281">
        <f t="shared" si="829"/>
        <v>650</v>
      </c>
      <c r="DU281">
        <f t="shared" si="830"/>
        <v>350</v>
      </c>
      <c r="DW281" s="5">
        <f t="shared" ref="DW281:DW316" si="859">1/DR281*1000</f>
        <v>2.8571428571428572</v>
      </c>
      <c r="DX281" s="5">
        <f t="shared" si="831"/>
        <v>0.45060805479664812</v>
      </c>
      <c r="DY281" s="5">
        <f t="shared" si="832"/>
        <v>2.4065348023462092</v>
      </c>
      <c r="DZ281" s="5"/>
      <c r="EA281" s="173">
        <f t="shared" si="833"/>
        <v>0.15771281917882685</v>
      </c>
      <c r="EB281" s="173">
        <f t="shared" ref="EB281:EB316" si="860">0.5*L*DN281^2*DR281*1000</f>
        <v>10.659999999999998</v>
      </c>
      <c r="EC281" s="173">
        <f t="shared" ref="EC281:EC316" si="861">DN281*Nps/2*(1-EA281)</f>
        <v>0.9488534703249536</v>
      </c>
      <c r="ED281" s="173">
        <f t="shared" ref="ED281:ED316" si="862">EB281/EC281</f>
        <v>11.234611384568442</v>
      </c>
      <c r="EE281" s="460">
        <f t="shared" si="834"/>
        <v>1.8305952226113829</v>
      </c>
      <c r="EF281" s="5">
        <f t="shared" si="835"/>
        <v>0.34761058256111904</v>
      </c>
      <c r="EH281" s="173">
        <f t="shared" ref="EH281:EH316" si="863">DN281*SQRT(EA281/3)</f>
        <v>0.51658504001074579</v>
      </c>
      <c r="EI281" s="173">
        <f t="shared" ref="EI281:EI316" si="864">DN281*Nps*SQRT((1-EA281)/3)</f>
        <v>1.1938188256601536</v>
      </c>
      <c r="EK281" s="528">
        <f t="shared" ref="EK281:EK316" si="865">Rdson*EH281^2</f>
        <v>5.3372020712580768E-3</v>
      </c>
      <c r="EL281" s="528">
        <f t="shared" ref="EL281:EL316" si="866">0.5*CO281*DN281*DR281*1000*Trise</f>
        <v>1.1446796415999254</v>
      </c>
      <c r="EM281" s="528">
        <f t="shared" ref="EM281:EM316" si="867">Qg*Vdd*DR281*1000</f>
        <v>4.0250000000000001E-2</v>
      </c>
      <c r="EN281" s="528">
        <f t="shared" ref="EN281:EN316" si="868">0.5*(Coss+Csw)*CO281^2*DR281*1000</f>
        <v>1.0061459800000001</v>
      </c>
      <c r="EO281">
        <f t="shared" ref="EO281:EO316" si="869">CM281*IQ</f>
        <v>2.7E-2</v>
      </c>
      <c r="EP281" s="460">
        <f t="shared" ref="EP281:EP316" si="870">(EO281+EM281)*1000</f>
        <v>67.25</v>
      </c>
      <c r="EQ281" s="460"/>
      <c r="ER281" s="460">
        <f t="shared" ref="ER281:ER316" si="871">SUM(EK281:EO281)*1000</f>
        <v>2223.4128236711836</v>
      </c>
      <c r="ES281" s="528">
        <f t="shared" ref="ES281:ES316" si="872">Vfwd2*CJ281</f>
        <v>0.45499999999999996</v>
      </c>
      <c r="EV281" s="460">
        <f t="shared" ref="EV281:EV316" si="873">SUM(ES281:EU281)*1000</f>
        <v>454.99999999999994</v>
      </c>
      <c r="EW281" s="528">
        <f t="shared" ref="EW281:EW316" si="874">Rdcr_pri*EH281^2</f>
        <v>8.005803106887116E-3</v>
      </c>
      <c r="EX281" s="528">
        <f t="shared" ref="EX281:EX316" si="875">Rdcr_sec*EI281^2</f>
        <v>4.2756101655017649E-2</v>
      </c>
      <c r="EY281" s="528">
        <f t="shared" ref="EY281:EY316" si="876">DN281^2.5*DR281^2.5*k_core</f>
        <v>0.87309701344970037</v>
      </c>
      <c r="EZ281" s="528"/>
      <c r="FA281" s="528">
        <f t="shared" ref="FA281:FA316" si="877">0.5*Lleak*0.000000001*DN281^2*DR281*1000</f>
        <v>8.8833333333333316E-3</v>
      </c>
      <c r="FB281" s="460">
        <f t="shared" ref="FB281:FB316" si="878">SUM(EW281:FA281)*1000</f>
        <v>932.74225154493854</v>
      </c>
      <c r="FC281" s="173">
        <f t="shared" ref="FC281:FC316" si="879">SUM(EK281:EO281,ES281:EU281,EW281:FA281)</f>
        <v>3.6111550752161219</v>
      </c>
      <c r="FD281" s="5">
        <f t="shared" ref="FD281:FD316" si="880">MIN(CL281,CS281)</f>
        <v>10.4</v>
      </c>
      <c r="FE281" s="173">
        <f t="shared" ref="FE281:FE316" si="881">FD281/(FD281+FC281)</f>
        <v>0.74226571215361281</v>
      </c>
      <c r="FF281" s="5">
        <f t="shared" ref="FF281:FF316" si="882">FE281*100</f>
        <v>74.226571215361275</v>
      </c>
      <c r="FI281" s="562">
        <f t="shared" si="836"/>
        <v>-50</v>
      </c>
      <c r="FJ281">
        <f t="shared" si="837"/>
        <v>-50</v>
      </c>
      <c r="FL281">
        <f t="shared" si="838"/>
        <v>0.57699811894692754</v>
      </c>
    </row>
    <row r="282" spans="5:168">
      <c r="E282" s="170">
        <v>66</v>
      </c>
      <c r="F282" s="217">
        <f t="shared" si="839"/>
        <v>0.66</v>
      </c>
      <c r="G282" s="217"/>
      <c r="H282" s="217">
        <f t="shared" si="764"/>
        <v>10.56</v>
      </c>
      <c r="I282" s="541">
        <f t="shared" si="765"/>
        <v>59.943938808941859</v>
      </c>
      <c r="J282" s="172">
        <f t="shared" si="766"/>
        <v>16.433636714634883</v>
      </c>
      <c r="K282" s="172">
        <f t="shared" si="767"/>
        <v>76.377575523576738</v>
      </c>
      <c r="L282" s="443"/>
      <c r="M282" s="217">
        <f t="shared" si="768"/>
        <v>0.21516740423876796</v>
      </c>
      <c r="N282" s="172">
        <f t="shared" si="769"/>
        <v>33.212302911921476</v>
      </c>
      <c r="O282" s="172">
        <f t="shared" si="762"/>
        <v>10.56</v>
      </c>
      <c r="P282" s="217">
        <f t="shared" si="770"/>
        <v>2.0757689319950923</v>
      </c>
      <c r="Q282" s="217">
        <f t="shared" si="771"/>
        <v>16</v>
      </c>
      <c r="R282" s="217"/>
      <c r="S282" s="172">
        <f t="shared" si="772"/>
        <v>167.25944903242171</v>
      </c>
      <c r="T282" s="172">
        <f t="shared" si="773"/>
        <v>16</v>
      </c>
      <c r="U282" s="217">
        <f t="shared" si="774"/>
        <v>1.637465494164182</v>
      </c>
      <c r="V282" s="217">
        <f t="shared" si="775"/>
        <v>0.32779937922662911</v>
      </c>
      <c r="W282" s="217">
        <f t="shared" si="776"/>
        <v>1.195693094059415</v>
      </c>
      <c r="X282" s="197">
        <f t="shared" si="777"/>
        <v>350</v>
      </c>
      <c r="Y282" s="443">
        <f t="shared" si="840"/>
        <v>350</v>
      </c>
      <c r="AA282" s="217">
        <f t="shared" si="778"/>
        <v>3.0708867437841829</v>
      </c>
      <c r="AB282" s="173">
        <f t="shared" si="779"/>
        <v>2.2423911131364531</v>
      </c>
      <c r="AC282" s="173">
        <f t="shared" si="780"/>
        <v>1.2050726001492835</v>
      </c>
      <c r="AD282" s="173"/>
      <c r="AE282" s="173">
        <f t="shared" si="781"/>
        <v>0.73020964308608982</v>
      </c>
      <c r="AF282" s="545">
        <f t="shared" si="782"/>
        <v>1807.7000386098373</v>
      </c>
      <c r="AG282" s="528">
        <f t="shared" si="783"/>
        <v>0.12778668754006572</v>
      </c>
      <c r="AI282" s="173">
        <f t="shared" si="784"/>
        <v>2.272632230073965</v>
      </c>
      <c r="AJ282" s="173">
        <f t="shared" si="785"/>
        <v>2.272632230073965</v>
      </c>
      <c r="AK282" s="173">
        <f t="shared" si="786"/>
        <v>2.1426905407955297</v>
      </c>
      <c r="AM282" s="545">
        <f t="shared" si="787"/>
        <v>660</v>
      </c>
      <c r="AN282" s="460">
        <f t="shared" si="788"/>
        <v>350</v>
      </c>
      <c r="AP282">
        <f t="shared" si="789"/>
        <v>660</v>
      </c>
      <c r="AQ282">
        <f t="shared" si="790"/>
        <v>350</v>
      </c>
      <c r="AS282" s="5">
        <f t="shared" si="763"/>
        <v>2.8571428571428572</v>
      </c>
      <c r="AT282" s="5">
        <f t="shared" si="791"/>
        <v>0.45495153142688494</v>
      </c>
      <c r="AU282" s="5">
        <f t="shared" si="722"/>
        <v>2.4021913257159722</v>
      </c>
      <c r="AV282" s="5"/>
      <c r="AW282" s="173">
        <f t="shared" si="723"/>
        <v>0.15923303599940972</v>
      </c>
      <c r="AX282" s="173">
        <f t="shared" si="792"/>
        <v>10.846200231659022</v>
      </c>
      <c r="AY282" s="173">
        <f t="shared" si="793"/>
        <v>0.95537705018458918</v>
      </c>
      <c r="AZ282" s="173">
        <f t="shared" si="794"/>
        <v>11.352795453442615</v>
      </c>
      <c r="BA282" s="460">
        <f t="shared" si="724"/>
        <v>1.8766750671359005</v>
      </c>
      <c r="BB282" s="5">
        <f t="shared" si="725"/>
        <v>0.35265089492496277</v>
      </c>
      <c r="BD282" s="173">
        <f t="shared" si="841"/>
        <v>0.52358249936566326</v>
      </c>
      <c r="BE282" s="173">
        <f t="shared" si="842"/>
        <v>1.2031128171324277</v>
      </c>
      <c r="BG282" s="528">
        <f t="shared" si="843"/>
        <v>5.4827726728398953E-3</v>
      </c>
      <c r="BH282" s="528">
        <f t="shared" si="795"/>
        <v>1.1087303679072764</v>
      </c>
      <c r="BI282" s="528">
        <f t="shared" si="796"/>
        <v>0.48254870741198197</v>
      </c>
      <c r="BJ282" s="528">
        <f t="shared" si="844"/>
        <v>1.0055554306379353</v>
      </c>
      <c r="BK282">
        <f t="shared" si="845"/>
        <v>2.6974772464023834E-2</v>
      </c>
      <c r="BL282" s="460">
        <f t="shared" si="846"/>
        <v>509.52347987600575</v>
      </c>
      <c r="BM282" s="528">
        <f t="shared" si="797"/>
        <v>2.1240158897551402</v>
      </c>
      <c r="BN282" s="460">
        <f t="shared" si="847"/>
        <v>2124.0158897551401</v>
      </c>
      <c r="BO282" s="528">
        <f t="shared" si="798"/>
        <v>0.46199999999999997</v>
      </c>
      <c r="BR282" s="460">
        <f t="shared" si="848"/>
        <v>461.99999999999994</v>
      </c>
      <c r="BS282" s="528">
        <f t="shared" si="849"/>
        <v>8.2241590092598429E-3</v>
      </c>
      <c r="BT282" s="528">
        <f t="shared" si="850"/>
        <v>4.3424413522449787E-2</v>
      </c>
      <c r="BU282" s="528">
        <f t="shared" si="851"/>
        <v>0.89220164347693454</v>
      </c>
      <c r="BV282" s="528"/>
      <c r="BW282" s="528">
        <f t="shared" si="852"/>
        <v>9.0385001930491839E-3</v>
      </c>
      <c r="BX282" s="460">
        <f t="shared" si="853"/>
        <v>952.88871620169334</v>
      </c>
      <c r="BY282" s="173">
        <f t="shared" si="854"/>
        <v>4.0441807672957504</v>
      </c>
      <c r="BZ282" s="5">
        <f t="shared" si="855"/>
        <v>10.56</v>
      </c>
      <c r="CA282" s="173">
        <f t="shared" si="856"/>
        <v>0.72308061426134962</v>
      </c>
      <c r="CB282" s="5">
        <f t="shared" si="857"/>
        <v>72.308061426134955</v>
      </c>
      <c r="CE282" s="562">
        <f t="shared" si="799"/>
        <v>-50</v>
      </c>
      <c r="CF282">
        <f t="shared" si="800"/>
        <v>-50</v>
      </c>
      <c r="CG282" s="173">
        <f t="shared" si="801"/>
        <v>0.58864250611045754</v>
      </c>
      <c r="CI282" s="170">
        <v>66</v>
      </c>
      <c r="CJ282" s="217">
        <f t="shared" si="858"/>
        <v>0.66</v>
      </c>
      <c r="CK282" s="217"/>
      <c r="CL282" s="217">
        <f t="shared" si="802"/>
        <v>10.56</v>
      </c>
      <c r="CM282" s="541">
        <f t="shared" si="803"/>
        <v>60</v>
      </c>
      <c r="CN282" s="443">
        <f t="shared" si="804"/>
        <v>16.399999999999999</v>
      </c>
      <c r="CO282" s="443">
        <f t="shared" si="805"/>
        <v>76.400000000000006</v>
      </c>
      <c r="CP282" s="443"/>
      <c r="CQ282" s="217">
        <f t="shared" si="806"/>
        <v>0.21465968586387432</v>
      </c>
      <c r="CR282" s="172">
        <f t="shared" si="807"/>
        <v>33.164921465968582</v>
      </c>
      <c r="CS282" s="172">
        <f t="shared" si="808"/>
        <v>10.56</v>
      </c>
      <c r="CT282" s="217">
        <f t="shared" si="809"/>
        <v>2.0728075916230364</v>
      </c>
      <c r="CU282" s="217">
        <f t="shared" si="810"/>
        <v>16</v>
      </c>
      <c r="CV282" s="217"/>
      <c r="CW282" s="172">
        <f t="shared" si="811"/>
        <v>167.41574127021252</v>
      </c>
      <c r="CX282" s="172">
        <f t="shared" si="812"/>
        <v>16</v>
      </c>
      <c r="CY282" s="217">
        <f t="shared" si="813"/>
        <v>1.6398048780487808</v>
      </c>
      <c r="CZ282" s="217">
        <f t="shared" si="814"/>
        <v>0.32796097560975618</v>
      </c>
      <c r="DA282" s="217">
        <f t="shared" si="815"/>
        <v>1.1998572278405715</v>
      </c>
      <c r="DB282" s="197">
        <f t="shared" si="816"/>
        <v>350</v>
      </c>
      <c r="DC282" s="443">
        <f t="shared" si="817"/>
        <v>350</v>
      </c>
      <c r="DE282" s="217">
        <f t="shared" si="818"/>
        <v>3.06656694091249</v>
      </c>
      <c r="DF282" s="173">
        <f t="shared" si="819"/>
        <v>2.2438294689603588</v>
      </c>
      <c r="DG282" s="173">
        <f t="shared" si="820"/>
        <v>1.2041493223478366</v>
      </c>
      <c r="DH282" s="173"/>
      <c r="DI282" s="173">
        <f t="shared" si="821"/>
        <v>0.73170731707317083</v>
      </c>
      <c r="DJ282" s="545">
        <f t="shared" si="822"/>
        <v>1803.9999999999998</v>
      </c>
      <c r="DK282" s="528">
        <f t="shared" si="823"/>
        <v>0.12804878048780488</v>
      </c>
      <c r="DM282" s="173">
        <f t="shared" si="824"/>
        <v>2.2703052028935922</v>
      </c>
      <c r="DN282" s="173">
        <f t="shared" si="825"/>
        <v>2.2703052028935922</v>
      </c>
      <c r="DO282" s="173">
        <f t="shared" si="826"/>
        <v>2.1409668169582163</v>
      </c>
      <c r="DQ282" s="545">
        <f t="shared" si="827"/>
        <v>660</v>
      </c>
      <c r="DR282" s="460">
        <f t="shared" si="828"/>
        <v>350</v>
      </c>
      <c r="DT282">
        <f t="shared" si="829"/>
        <v>660</v>
      </c>
      <c r="DU282">
        <f t="shared" si="830"/>
        <v>350</v>
      </c>
      <c r="DW282" s="5">
        <f t="shared" si="859"/>
        <v>2.8571428571428572</v>
      </c>
      <c r="DX282" s="5">
        <f t="shared" si="831"/>
        <v>0.45406104057871843</v>
      </c>
      <c r="DY282" s="5">
        <f t="shared" si="832"/>
        <v>2.4030818165641388</v>
      </c>
      <c r="DZ282" s="5"/>
      <c r="EA282" s="173">
        <f t="shared" si="833"/>
        <v>0.15892136420255146</v>
      </c>
      <c r="EB282" s="173">
        <f t="shared" si="860"/>
        <v>10.824</v>
      </c>
      <c r="EC282" s="173">
        <f t="shared" si="861"/>
        <v>0.95475260144679608</v>
      </c>
      <c r="ED282" s="173">
        <f t="shared" si="862"/>
        <v>11.336968324147762</v>
      </c>
      <c r="EE282" s="460">
        <f t="shared" si="834"/>
        <v>1.8730017923872135</v>
      </c>
      <c r="EF282" s="5">
        <f t="shared" si="835"/>
        <v>0.35245199976274033</v>
      </c>
      <c r="EH282" s="173">
        <f t="shared" si="863"/>
        <v>0.5225342467896269</v>
      </c>
      <c r="EI282" s="173">
        <f t="shared" si="864"/>
        <v>1.2021036556916527</v>
      </c>
      <c r="EK282" s="528">
        <f t="shared" si="865"/>
        <v>5.4608407813600546E-3</v>
      </c>
      <c r="EL282" s="528">
        <f t="shared" si="866"/>
        <v>1.1534512613821186</v>
      </c>
      <c r="EM282" s="528">
        <f t="shared" si="867"/>
        <v>4.0250000000000001E-2</v>
      </c>
      <c r="EN282" s="528">
        <f t="shared" si="868"/>
        <v>1.0061459800000001</v>
      </c>
      <c r="EO282">
        <f t="shared" si="869"/>
        <v>2.7E-2</v>
      </c>
      <c r="EP282" s="460">
        <f t="shared" si="870"/>
        <v>67.25</v>
      </c>
      <c r="EQ282" s="460"/>
      <c r="ER282" s="460">
        <f t="shared" si="871"/>
        <v>2232.308082163479</v>
      </c>
      <c r="ES282" s="528">
        <f t="shared" si="872"/>
        <v>0.46199999999999997</v>
      </c>
      <c r="EV282" s="460">
        <f t="shared" si="873"/>
        <v>461.99999999999994</v>
      </c>
      <c r="EW282" s="528">
        <f t="shared" si="874"/>
        <v>8.1912611720400819E-3</v>
      </c>
      <c r="EX282" s="528">
        <f t="shared" si="875"/>
        <v>4.3351595970817065E-2</v>
      </c>
      <c r="EY282" s="528">
        <f t="shared" si="876"/>
        <v>0.88991950636223005</v>
      </c>
      <c r="EZ282" s="528"/>
      <c r="FA282" s="528">
        <f t="shared" si="877"/>
        <v>9.0200000000000002E-3</v>
      </c>
      <c r="FB282" s="460">
        <f t="shared" si="878"/>
        <v>950.48236350508716</v>
      </c>
      <c r="FC282" s="173">
        <f t="shared" si="879"/>
        <v>3.644790445668566</v>
      </c>
      <c r="FD282" s="5">
        <f t="shared" si="880"/>
        <v>10.56</v>
      </c>
      <c r="FE282" s="173">
        <f t="shared" si="881"/>
        <v>0.74341117810858215</v>
      </c>
      <c r="FF282" s="5">
        <f t="shared" si="882"/>
        <v>74.341117810858208</v>
      </c>
      <c r="FI282" s="562">
        <f t="shared" si="836"/>
        <v>-50</v>
      </c>
      <c r="FJ282">
        <f t="shared" si="837"/>
        <v>-50</v>
      </c>
      <c r="FL282">
        <f t="shared" si="838"/>
        <v>0.58141962513128587</v>
      </c>
    </row>
    <row r="283" spans="5:168">
      <c r="E283" s="170">
        <v>67</v>
      </c>
      <c r="F283" s="217">
        <f t="shared" si="839"/>
        <v>0.67</v>
      </c>
      <c r="G283" s="217"/>
      <c r="H283" s="217">
        <f t="shared" si="764"/>
        <v>10.72</v>
      </c>
      <c r="I283" s="541">
        <f t="shared" si="765"/>
        <v>59.943515699610636</v>
      </c>
      <c r="J283" s="172">
        <f t="shared" si="766"/>
        <v>16.433890580233619</v>
      </c>
      <c r="K283" s="172">
        <f t="shared" si="767"/>
        <v>76.377406279844251</v>
      </c>
      <c r="L283" s="443"/>
      <c r="M283" s="217">
        <f t="shared" si="768"/>
        <v>0.21517123724233017</v>
      </c>
      <c r="N283" s="172">
        <f t="shared" si="769"/>
        <v>33.212660127181181</v>
      </c>
      <c r="O283" s="172">
        <f t="shared" si="762"/>
        <v>10.72</v>
      </c>
      <c r="P283" s="217">
        <f t="shared" si="770"/>
        <v>2.0757912579488238</v>
      </c>
      <c r="Q283" s="217">
        <f t="shared" si="771"/>
        <v>16</v>
      </c>
      <c r="R283" s="217"/>
      <c r="S283" s="172">
        <f t="shared" si="772"/>
        <v>163.8722803654658</v>
      </c>
      <c r="T283" s="172">
        <f t="shared" si="773"/>
        <v>16</v>
      </c>
      <c r="U283" s="217">
        <f t="shared" si="774"/>
        <v>1.6622576989796092</v>
      </c>
      <c r="V283" s="217">
        <f t="shared" si="775"/>
        <v>0.33276480625050958</v>
      </c>
      <c r="W283" s="217">
        <f t="shared" si="776"/>
        <v>1.2137778507389667</v>
      </c>
      <c r="X283" s="197">
        <f t="shared" si="777"/>
        <v>350</v>
      </c>
      <c r="Y283" s="443">
        <f t="shared" si="840"/>
        <v>350</v>
      </c>
      <c r="AA283" s="217">
        <f t="shared" si="778"/>
        <v>3.0709193114759525</v>
      </c>
      <c r="AB283" s="173">
        <f t="shared" si="779"/>
        <v>2.2423802542555062</v>
      </c>
      <c r="AC283" s="173">
        <f t="shared" si="780"/>
        <v>1.2050795446314786</v>
      </c>
      <c r="AD283" s="173"/>
      <c r="AE283" s="173">
        <f t="shared" si="781"/>
        <v>0.7301983630360408</v>
      </c>
      <c r="AF283" s="545">
        <f t="shared" si="782"/>
        <v>1835.1177814594209</v>
      </c>
      <c r="AG283" s="528">
        <f t="shared" si="783"/>
        <v>0.12778471353130716</v>
      </c>
      <c r="AI283" s="173">
        <f t="shared" si="784"/>
        <v>2.2898021009058036</v>
      </c>
      <c r="AJ283" s="173">
        <f t="shared" si="785"/>
        <v>2.2898021009058036</v>
      </c>
      <c r="AK283" s="173">
        <f t="shared" si="786"/>
        <v>2.1554089636339286</v>
      </c>
      <c r="AM283" s="545">
        <f t="shared" si="787"/>
        <v>670</v>
      </c>
      <c r="AN283" s="460">
        <f t="shared" si="788"/>
        <v>350</v>
      </c>
      <c r="AP283">
        <f t="shared" si="789"/>
        <v>670</v>
      </c>
      <c r="AQ283">
        <f t="shared" si="790"/>
        <v>350</v>
      </c>
      <c r="AS283" s="5">
        <f t="shared" si="763"/>
        <v>2.8571428571428572</v>
      </c>
      <c r="AT283" s="5">
        <f t="shared" si="791"/>
        <v>0.45839195266032956</v>
      </c>
      <c r="AU283" s="5">
        <f t="shared" si="722"/>
        <v>2.3987509044825277</v>
      </c>
      <c r="AV283" s="5"/>
      <c r="AW283" s="173">
        <f t="shared" si="723"/>
        <v>0.16043718343111535</v>
      </c>
      <c r="AX283" s="173">
        <f t="shared" si="792"/>
        <v>11.010706688756528</v>
      </c>
      <c r="AY283" s="173">
        <f t="shared" si="793"/>
        <v>0.96121635061091293</v>
      </c>
      <c r="AZ283" s="173">
        <f t="shared" si="794"/>
        <v>11.454972318935834</v>
      </c>
      <c r="BA283" s="460">
        <f t="shared" si="724"/>
        <v>1.9195163017651302</v>
      </c>
      <c r="BB283" s="5">
        <f t="shared" si="725"/>
        <v>0.35748389401718789</v>
      </c>
      <c r="BD283" s="173">
        <f t="shared" si="841"/>
        <v>0.52952910628371064</v>
      </c>
      <c r="BE283" s="173">
        <f t="shared" si="842"/>
        <v>1.2113340356961486</v>
      </c>
      <c r="BG283" s="528">
        <f t="shared" si="843"/>
        <v>5.6080214880325063E-3</v>
      </c>
      <c r="BH283" s="528">
        <f t="shared" si="795"/>
        <v>1.1171044159954537</v>
      </c>
      <c r="BI283" s="528">
        <f t="shared" si="796"/>
        <v>0.48254530138186569</v>
      </c>
      <c r="BJ283" s="528">
        <f t="shared" si="844"/>
        <v>1.005550974257523</v>
      </c>
      <c r="BK283">
        <f t="shared" si="845"/>
        <v>2.6974582064824785E-2</v>
      </c>
      <c r="BL283" s="460">
        <f t="shared" si="846"/>
        <v>509.51988344669053</v>
      </c>
      <c r="BM283" s="528">
        <f t="shared" si="797"/>
        <v>2.1326192199428862</v>
      </c>
      <c r="BN283" s="460">
        <f t="shared" si="847"/>
        <v>2132.619219942886</v>
      </c>
      <c r="BO283" s="528">
        <f t="shared" si="798"/>
        <v>0.46899999999999997</v>
      </c>
      <c r="BR283" s="460">
        <f t="shared" si="848"/>
        <v>469</v>
      </c>
      <c r="BS283" s="528">
        <f t="shared" si="849"/>
        <v>8.4120322320487585E-3</v>
      </c>
      <c r="BT283" s="528">
        <f t="shared" si="850"/>
        <v>4.4019904381077543E-2</v>
      </c>
      <c r="BU283" s="528">
        <f t="shared" si="851"/>
        <v>0.90914884005318186</v>
      </c>
      <c r="BV283" s="528"/>
      <c r="BW283" s="528">
        <f t="shared" si="852"/>
        <v>9.1755889072971074E-3</v>
      </c>
      <c r="BX283" s="460">
        <f t="shared" si="853"/>
        <v>970.75636557360519</v>
      </c>
      <c r="BY283" s="173">
        <f t="shared" si="854"/>
        <v>4.077539660761305</v>
      </c>
      <c r="BZ283" s="5">
        <f t="shared" si="855"/>
        <v>10.72</v>
      </c>
      <c r="CA283" s="173">
        <f t="shared" si="856"/>
        <v>0.72444475539580855</v>
      </c>
      <c r="CB283" s="5">
        <f t="shared" si="857"/>
        <v>72.44447553958085</v>
      </c>
      <c r="CE283" s="562">
        <f t="shared" si="799"/>
        <v>-50</v>
      </c>
      <c r="CF283">
        <f t="shared" si="800"/>
        <v>-50</v>
      </c>
      <c r="CG283" s="173">
        <f t="shared" si="801"/>
        <v>0.5930851540883485</v>
      </c>
      <c r="CI283" s="170">
        <v>67</v>
      </c>
      <c r="CJ283" s="217">
        <f t="shared" si="858"/>
        <v>0.67</v>
      </c>
      <c r="CK283" s="217"/>
      <c r="CL283" s="217">
        <f t="shared" si="802"/>
        <v>10.72</v>
      </c>
      <c r="CM283" s="541">
        <f t="shared" si="803"/>
        <v>60</v>
      </c>
      <c r="CN283" s="443">
        <f t="shared" si="804"/>
        <v>16.399999999999999</v>
      </c>
      <c r="CO283" s="443">
        <f t="shared" si="805"/>
        <v>76.400000000000006</v>
      </c>
      <c r="CP283" s="443"/>
      <c r="CQ283" s="217">
        <f t="shared" si="806"/>
        <v>0.21465968586387432</v>
      </c>
      <c r="CR283" s="172">
        <f t="shared" si="807"/>
        <v>33.164921465968582</v>
      </c>
      <c r="CS283" s="172">
        <f t="shared" si="808"/>
        <v>10.72</v>
      </c>
      <c r="CT283" s="217">
        <f t="shared" si="809"/>
        <v>2.0728075916230364</v>
      </c>
      <c r="CU283" s="217">
        <f t="shared" si="810"/>
        <v>16</v>
      </c>
      <c r="CV283" s="217"/>
      <c r="CW283" s="172">
        <f t="shared" si="811"/>
        <v>164.02655883623856</v>
      </c>
      <c r="CX283" s="172">
        <f t="shared" si="812"/>
        <v>16</v>
      </c>
      <c r="CY283" s="217">
        <f t="shared" si="813"/>
        <v>1.6646504065040653</v>
      </c>
      <c r="CZ283" s="217">
        <f t="shared" si="814"/>
        <v>0.33293008130081303</v>
      </c>
      <c r="DA283" s="217">
        <f t="shared" si="815"/>
        <v>1.2180368828078527</v>
      </c>
      <c r="DB283" s="197">
        <f t="shared" si="816"/>
        <v>350</v>
      </c>
      <c r="DC283" s="443">
        <f t="shared" si="817"/>
        <v>350</v>
      </c>
      <c r="DE283" s="217">
        <f t="shared" si="818"/>
        <v>3.06656694091249</v>
      </c>
      <c r="DF283" s="173">
        <f t="shared" si="819"/>
        <v>2.2438294689603588</v>
      </c>
      <c r="DG283" s="173">
        <f t="shared" si="820"/>
        <v>1.2041493223478366</v>
      </c>
      <c r="DH283" s="173"/>
      <c r="DI283" s="173">
        <f t="shared" si="821"/>
        <v>0.73170731707317083</v>
      </c>
      <c r="DJ283" s="545">
        <f t="shared" si="822"/>
        <v>1831.3333333333333</v>
      </c>
      <c r="DK283" s="528">
        <f t="shared" si="823"/>
        <v>0.12804878048780488</v>
      </c>
      <c r="DM283" s="173">
        <f t="shared" si="824"/>
        <v>2.2874398248655532</v>
      </c>
      <c r="DN283" s="173">
        <f t="shared" si="825"/>
        <v>2.2874398248655532</v>
      </c>
      <c r="DO283" s="173">
        <f t="shared" si="826"/>
        <v>2.1536591295300394</v>
      </c>
      <c r="DQ283" s="545">
        <f t="shared" si="827"/>
        <v>670</v>
      </c>
      <c r="DR283" s="460">
        <f t="shared" si="828"/>
        <v>350</v>
      </c>
      <c r="DT283">
        <f t="shared" si="829"/>
        <v>670</v>
      </c>
      <c r="DU283">
        <f t="shared" si="830"/>
        <v>350</v>
      </c>
      <c r="DW283" s="5">
        <f t="shared" si="859"/>
        <v>2.8571428571428572</v>
      </c>
      <c r="DX283" s="5">
        <f t="shared" si="831"/>
        <v>0.45748796497311067</v>
      </c>
      <c r="DY283" s="5">
        <f t="shared" si="832"/>
        <v>2.3996548921697465</v>
      </c>
      <c r="DZ283" s="5"/>
      <c r="EA283" s="173">
        <f t="shared" si="833"/>
        <v>0.16012078774058874</v>
      </c>
      <c r="EB283" s="173">
        <f t="shared" si="860"/>
        <v>10.988000000000001</v>
      </c>
      <c r="EC283" s="173">
        <f t="shared" si="861"/>
        <v>0.96058657909944312</v>
      </c>
      <c r="ED283" s="173">
        <f t="shared" si="862"/>
        <v>11.438843972087691</v>
      </c>
      <c r="EE283" s="460">
        <f t="shared" si="834"/>
        <v>1.9157308533249009</v>
      </c>
      <c r="EF283" s="5">
        <f t="shared" si="835"/>
        <v>0.35728195061193996</v>
      </c>
      <c r="EH283" s="173">
        <f t="shared" si="863"/>
        <v>0.5284609603537711</v>
      </c>
      <c r="EI283" s="173">
        <f t="shared" si="864"/>
        <v>1.2103123553483843</v>
      </c>
      <c r="EK283" s="528">
        <f t="shared" si="865"/>
        <v>5.5854197323606004E-3</v>
      </c>
      <c r="EL283" s="528">
        <f t="shared" si="866"/>
        <v>1.1621566774211931</v>
      </c>
      <c r="EM283" s="528">
        <f t="shared" si="867"/>
        <v>4.0250000000000001E-2</v>
      </c>
      <c r="EN283" s="528">
        <f t="shared" si="868"/>
        <v>1.0061459800000001</v>
      </c>
      <c r="EO283">
        <f t="shared" si="869"/>
        <v>2.7E-2</v>
      </c>
      <c r="EP283" s="460">
        <f t="shared" si="870"/>
        <v>67.25</v>
      </c>
      <c r="EQ283" s="460"/>
      <c r="ER283" s="460">
        <f t="shared" si="871"/>
        <v>2241.1380771535541</v>
      </c>
      <c r="ES283" s="528">
        <f t="shared" si="872"/>
        <v>0.46899999999999997</v>
      </c>
      <c r="EV283" s="460">
        <f t="shared" si="873"/>
        <v>469</v>
      </c>
      <c r="EW283" s="528">
        <f t="shared" si="874"/>
        <v>8.3781295985409007E-3</v>
      </c>
      <c r="EX283" s="528">
        <f t="shared" si="875"/>
        <v>4.3945679925268606E-2</v>
      </c>
      <c r="EY283" s="528">
        <f t="shared" si="876"/>
        <v>0.90680584381771401</v>
      </c>
      <c r="EZ283" s="528"/>
      <c r="FA283" s="528">
        <f t="shared" si="877"/>
        <v>9.1566666666666689E-3</v>
      </c>
      <c r="FB283" s="460">
        <f t="shared" si="878"/>
        <v>968.28632000819027</v>
      </c>
      <c r="FC283" s="173">
        <f t="shared" si="879"/>
        <v>3.6784243971617441</v>
      </c>
      <c r="FD283" s="5">
        <f t="shared" si="880"/>
        <v>10.72</v>
      </c>
      <c r="FE283" s="173">
        <f t="shared" si="881"/>
        <v>0.74452590813430641</v>
      </c>
      <c r="FF283" s="5">
        <f t="shared" si="882"/>
        <v>74.452590813430646</v>
      </c>
      <c r="FI283" s="562">
        <f t="shared" si="836"/>
        <v>-50</v>
      </c>
      <c r="FJ283">
        <f t="shared" si="837"/>
        <v>-50</v>
      </c>
      <c r="FL283">
        <f t="shared" si="838"/>
        <v>0.58580776002654422</v>
      </c>
    </row>
    <row r="284" spans="5:168">
      <c r="E284" s="170">
        <v>68</v>
      </c>
      <c r="F284" s="217">
        <f t="shared" si="839"/>
        <v>0.68</v>
      </c>
      <c r="G284" s="217"/>
      <c r="H284" s="217">
        <f t="shared" si="764"/>
        <v>10.88</v>
      </c>
      <c r="I284" s="541">
        <f t="shared" si="765"/>
        <v>59.943095736204612</v>
      </c>
      <c r="J284" s="172">
        <f t="shared" si="766"/>
        <v>16.434142558277234</v>
      </c>
      <c r="K284" s="172">
        <f t="shared" si="767"/>
        <v>76.377238294481842</v>
      </c>
      <c r="L284" s="443"/>
      <c r="M284" s="217">
        <f t="shared" si="768"/>
        <v>0.21517504176302357</v>
      </c>
      <c r="N284" s="172">
        <f t="shared" si="769"/>
        <v>33.213014680740081</v>
      </c>
      <c r="O284" s="172">
        <f t="shared" si="762"/>
        <v>10.88</v>
      </c>
      <c r="P284" s="217">
        <f t="shared" si="770"/>
        <v>2.075813417546255</v>
      </c>
      <c r="Q284" s="217">
        <f t="shared" si="771"/>
        <v>16</v>
      </c>
      <c r="R284" s="217"/>
      <c r="S284" s="172">
        <f t="shared" si="772"/>
        <v>160.58487364502844</v>
      </c>
      <c r="T284" s="172">
        <f t="shared" si="773"/>
        <v>16</v>
      </c>
      <c r="U284" s="217">
        <f t="shared" si="774"/>
        <v>1.687049505701524</v>
      </c>
      <c r="V284" s="217">
        <f t="shared" si="775"/>
        <v>0.33773020595249137</v>
      </c>
      <c r="W284" s="217">
        <f t="shared" si="776"/>
        <v>1.2318618994954429</v>
      </c>
      <c r="X284" s="197">
        <f t="shared" si="777"/>
        <v>350</v>
      </c>
      <c r="Y284" s="443">
        <f t="shared" si="840"/>
        <v>350</v>
      </c>
      <c r="AA284" s="217">
        <f t="shared" si="778"/>
        <v>3.0709516364991609</v>
      </c>
      <c r="AB284" s="173">
        <f t="shared" si="779"/>
        <v>2.2423694760655044</v>
      </c>
      <c r="AC284" s="173">
        <f t="shared" si="780"/>
        <v>1.2050864371278471</v>
      </c>
      <c r="AD284" s="173"/>
      <c r="AE284" s="173">
        <f t="shared" si="781"/>
        <v>0.73018716720064414</v>
      </c>
      <c r="AF284" s="545">
        <f t="shared" si="782"/>
        <v>1862.5361566047534</v>
      </c>
      <c r="AG284" s="528">
        <f t="shared" si="783"/>
        <v>0.12778275426011274</v>
      </c>
      <c r="AI284" s="173">
        <f t="shared" si="784"/>
        <v>2.3068445712734049</v>
      </c>
      <c r="AJ284" s="173">
        <f t="shared" si="785"/>
        <v>2.3068445712734049</v>
      </c>
      <c r="AK284" s="173">
        <f t="shared" si="786"/>
        <v>2.1680330157580778</v>
      </c>
      <c r="AM284" s="545">
        <f t="shared" si="787"/>
        <v>680</v>
      </c>
      <c r="AN284" s="460">
        <f t="shared" si="788"/>
        <v>350</v>
      </c>
      <c r="AP284">
        <f t="shared" si="789"/>
        <v>680</v>
      </c>
      <c r="AQ284">
        <f t="shared" si="790"/>
        <v>350</v>
      </c>
      <c r="AS284" s="5">
        <f t="shared" si="763"/>
        <v>2.8571428571428572</v>
      </c>
      <c r="AT284" s="5">
        <f t="shared" si="791"/>
        <v>0.46180689394327229</v>
      </c>
      <c r="AU284" s="5">
        <f t="shared" si="722"/>
        <v>2.3953359631995848</v>
      </c>
      <c r="AV284" s="5"/>
      <c r="AW284" s="173">
        <f t="shared" si="723"/>
        <v>0.16163241288014529</v>
      </c>
      <c r="AX284" s="173">
        <f t="shared" si="792"/>
        <v>11.175216939628516</v>
      </c>
      <c r="AY284" s="173">
        <f t="shared" si="793"/>
        <v>0.96699185853951009</v>
      </c>
      <c r="AZ284" s="173">
        <f t="shared" si="794"/>
        <v>11.556681517988096</v>
      </c>
      <c r="BA284" s="460">
        <f t="shared" si="724"/>
        <v>1.9626792992589073</v>
      </c>
      <c r="BB284" s="5">
        <f t="shared" si="725"/>
        <v>0.36230549100406972</v>
      </c>
      <c r="BD284" s="173">
        <f t="shared" si="841"/>
        <v>0.53545371332440461</v>
      </c>
      <c r="BE284" s="173">
        <f t="shared" si="842"/>
        <v>1.2194807417742601</v>
      </c>
      <c r="BG284" s="528">
        <f t="shared" si="843"/>
        <v>5.7342135822578731E-3</v>
      </c>
      <c r="BH284" s="528">
        <f t="shared" si="795"/>
        <v>1.1254162919631703</v>
      </c>
      <c r="BI284" s="528">
        <f t="shared" si="796"/>
        <v>0.48254192067644713</v>
      </c>
      <c r="BJ284" s="528">
        <f t="shared" si="844"/>
        <v>1.0055465510211945</v>
      </c>
      <c r="BK284">
        <f t="shared" si="845"/>
        <v>2.6974393081292073E-2</v>
      </c>
      <c r="BL284" s="460">
        <f t="shared" si="846"/>
        <v>509.51631375773923</v>
      </c>
      <c r="BM284" s="528">
        <f t="shared" si="797"/>
        <v>2.1411625192821258</v>
      </c>
      <c r="BN284" s="460">
        <f t="shared" si="847"/>
        <v>2141.1625192821257</v>
      </c>
      <c r="BO284" s="528">
        <f t="shared" si="798"/>
        <v>0.47599999999999998</v>
      </c>
      <c r="BR284" s="460">
        <f t="shared" si="848"/>
        <v>476</v>
      </c>
      <c r="BS284" s="528">
        <f t="shared" si="849"/>
        <v>8.6013203733868102E-3</v>
      </c>
      <c r="BT284" s="528">
        <f t="shared" si="850"/>
        <v>4.4613998386748989E-2</v>
      </c>
      <c r="BU284" s="528">
        <f t="shared" si="851"/>
        <v>0.92615985036035509</v>
      </c>
      <c r="BV284" s="528"/>
      <c r="BW284" s="528">
        <f t="shared" si="852"/>
        <v>9.3126807830237641E-3</v>
      </c>
      <c r="BX284" s="460">
        <f t="shared" si="853"/>
        <v>988.68784990351458</v>
      </c>
      <c r="BY284" s="173">
        <f t="shared" si="854"/>
        <v>4.110901220227877</v>
      </c>
      <c r="BZ284" s="5">
        <f t="shared" si="855"/>
        <v>10.88</v>
      </c>
      <c r="CA284" s="173">
        <f t="shared" si="856"/>
        <v>0.72577357692939382</v>
      </c>
      <c r="CB284" s="5">
        <f t="shared" si="857"/>
        <v>72.577357692939387</v>
      </c>
      <c r="CE284" s="562">
        <f t="shared" si="799"/>
        <v>-50</v>
      </c>
      <c r="CF284">
        <f t="shared" si="800"/>
        <v>-50</v>
      </c>
      <c r="CG284" s="173">
        <f t="shared" si="801"/>
        <v>0.59749476985158623</v>
      </c>
      <c r="CI284" s="170">
        <v>68</v>
      </c>
      <c r="CJ284" s="217">
        <f t="shared" si="858"/>
        <v>0.68</v>
      </c>
      <c r="CK284" s="217"/>
      <c r="CL284" s="217">
        <f t="shared" si="802"/>
        <v>10.88</v>
      </c>
      <c r="CM284" s="541">
        <f t="shared" si="803"/>
        <v>60</v>
      </c>
      <c r="CN284" s="443">
        <f t="shared" si="804"/>
        <v>16.399999999999999</v>
      </c>
      <c r="CO284" s="443">
        <f t="shared" si="805"/>
        <v>76.400000000000006</v>
      </c>
      <c r="CP284" s="443"/>
      <c r="CQ284" s="217">
        <f t="shared" si="806"/>
        <v>0.21465968586387432</v>
      </c>
      <c r="CR284" s="172">
        <f t="shared" si="807"/>
        <v>33.164921465968582</v>
      </c>
      <c r="CS284" s="172">
        <f t="shared" si="808"/>
        <v>10.88</v>
      </c>
      <c r="CT284" s="217">
        <f t="shared" si="809"/>
        <v>2.0728075916230364</v>
      </c>
      <c r="CU284" s="217">
        <f t="shared" si="810"/>
        <v>16</v>
      </c>
      <c r="CV284" s="217"/>
      <c r="CW284" s="172">
        <f t="shared" si="811"/>
        <v>160.73717671464718</v>
      </c>
      <c r="CX284" s="172">
        <f t="shared" si="812"/>
        <v>16</v>
      </c>
      <c r="CY284" s="217">
        <f t="shared" si="813"/>
        <v>1.6894959349593499</v>
      </c>
      <c r="CZ284" s="217">
        <f t="shared" si="814"/>
        <v>0.33789918699186994</v>
      </c>
      <c r="DA284" s="217">
        <f t="shared" si="815"/>
        <v>1.2362165377751342</v>
      </c>
      <c r="DB284" s="197">
        <f t="shared" si="816"/>
        <v>350</v>
      </c>
      <c r="DC284" s="443">
        <f t="shared" si="817"/>
        <v>350</v>
      </c>
      <c r="DE284" s="217">
        <f t="shared" si="818"/>
        <v>3.06656694091249</v>
      </c>
      <c r="DF284" s="173">
        <f t="shared" si="819"/>
        <v>2.2438294689603588</v>
      </c>
      <c r="DG284" s="173">
        <f t="shared" si="820"/>
        <v>1.2041493223478366</v>
      </c>
      <c r="DH284" s="173"/>
      <c r="DI284" s="173">
        <f t="shared" si="821"/>
        <v>0.73170731707317083</v>
      </c>
      <c r="DJ284" s="545">
        <f t="shared" si="822"/>
        <v>1858.6666666666665</v>
      </c>
      <c r="DK284" s="528">
        <f t="shared" si="823"/>
        <v>0.12804878048780488</v>
      </c>
      <c r="DM284" s="173">
        <f t="shared" si="824"/>
        <v>2.3044470465767248</v>
      </c>
      <c r="DN284" s="173">
        <f t="shared" si="825"/>
        <v>2.3044470465767248</v>
      </c>
      <c r="DO284" s="173">
        <f t="shared" si="826"/>
        <v>2.1662570715383147</v>
      </c>
      <c r="DQ284" s="545">
        <f t="shared" si="827"/>
        <v>680</v>
      </c>
      <c r="DR284" s="460">
        <f t="shared" si="828"/>
        <v>350</v>
      </c>
      <c r="DT284">
        <f t="shared" si="829"/>
        <v>680</v>
      </c>
      <c r="DU284">
        <f t="shared" si="830"/>
        <v>350</v>
      </c>
      <c r="DW284" s="5">
        <f t="shared" si="859"/>
        <v>2.8571428571428572</v>
      </c>
      <c r="DX284" s="5">
        <f t="shared" si="831"/>
        <v>0.46088940931534494</v>
      </c>
      <c r="DY284" s="5">
        <f t="shared" si="832"/>
        <v>2.3962534478275122</v>
      </c>
      <c r="DZ284" s="5"/>
      <c r="EA284" s="173">
        <f t="shared" si="833"/>
        <v>0.16131129326037072</v>
      </c>
      <c r="EB284" s="173">
        <f t="shared" si="860"/>
        <v>11.151999999999999</v>
      </c>
      <c r="EC284" s="173">
        <f t="shared" si="861"/>
        <v>0.96635685662169579</v>
      </c>
      <c r="ED284" s="173">
        <f t="shared" si="862"/>
        <v>11.540250295306514</v>
      </c>
      <c r="EE284" s="460">
        <f t="shared" si="834"/>
        <v>1.958779989590216</v>
      </c>
      <c r="EF284" s="5">
        <f t="shared" si="835"/>
        <v>0.36210052100504625</v>
      </c>
      <c r="EH284" s="173">
        <f t="shared" si="863"/>
        <v>0.534365599602033</v>
      </c>
      <c r="EI284" s="173">
        <f t="shared" si="864"/>
        <v>1.2184466078251808</v>
      </c>
      <c r="EK284" s="528">
        <f t="shared" si="865"/>
        <v>5.7109318807608061E-3</v>
      </c>
      <c r="EL284" s="528">
        <f t="shared" si="866"/>
        <v>1.170797366483771</v>
      </c>
      <c r="EM284" s="528">
        <f t="shared" si="867"/>
        <v>4.0250000000000001E-2</v>
      </c>
      <c r="EN284" s="528">
        <f t="shared" si="868"/>
        <v>1.0061459800000001</v>
      </c>
      <c r="EO284">
        <f t="shared" si="869"/>
        <v>2.7E-2</v>
      </c>
      <c r="EP284" s="460">
        <f t="shared" si="870"/>
        <v>67.25</v>
      </c>
      <c r="EQ284" s="460"/>
      <c r="ER284" s="460">
        <f t="shared" si="871"/>
        <v>2249.9042783645323</v>
      </c>
      <c r="ES284" s="528">
        <f t="shared" si="872"/>
        <v>0.47599999999999998</v>
      </c>
      <c r="EV284" s="460">
        <f t="shared" si="873"/>
        <v>476</v>
      </c>
      <c r="EW284" s="528">
        <f t="shared" si="874"/>
        <v>8.5663978211412087E-3</v>
      </c>
      <c r="EX284" s="528">
        <f t="shared" si="875"/>
        <v>4.4538364083620698E-2</v>
      </c>
      <c r="EY284" s="528">
        <f t="shared" si="876"/>
        <v>0.92375530974974718</v>
      </c>
      <c r="EZ284" s="528"/>
      <c r="FA284" s="528">
        <f t="shared" si="877"/>
        <v>9.2933333333333323E-3</v>
      </c>
      <c r="FB284" s="460">
        <f t="shared" si="878"/>
        <v>986.15340498784246</v>
      </c>
      <c r="FC284" s="173">
        <f t="shared" si="879"/>
        <v>3.7120576833523744</v>
      </c>
      <c r="FD284" s="5">
        <f t="shared" si="880"/>
        <v>10.88</v>
      </c>
      <c r="FE284" s="173">
        <f t="shared" si="881"/>
        <v>0.74561108762698036</v>
      </c>
      <c r="FF284" s="5">
        <f t="shared" si="882"/>
        <v>74.561108762698041</v>
      </c>
      <c r="FI284" s="562">
        <f t="shared" si="836"/>
        <v>-50</v>
      </c>
      <c r="FJ284">
        <f t="shared" si="837"/>
        <v>-50</v>
      </c>
      <c r="FL284">
        <f t="shared" si="838"/>
        <v>0.5901632680257467</v>
      </c>
    </row>
    <row r="285" spans="5:168">
      <c r="E285" s="170">
        <v>69</v>
      </c>
      <c r="F285" s="217">
        <f t="shared" si="839"/>
        <v>0.69</v>
      </c>
      <c r="G285" s="217"/>
      <c r="H285" s="217">
        <f t="shared" si="764"/>
        <v>11.04</v>
      </c>
      <c r="I285" s="541">
        <f t="shared" si="765"/>
        <v>59.942678849577888</v>
      </c>
      <c r="J285" s="172">
        <f t="shared" si="766"/>
        <v>16.434392690253265</v>
      </c>
      <c r="K285" s="172">
        <f t="shared" si="767"/>
        <v>76.377071539831149</v>
      </c>
      <c r="L285" s="443"/>
      <c r="M285" s="217">
        <f t="shared" si="768"/>
        <v>0.21517881842688785</v>
      </c>
      <c r="N285" s="172">
        <f t="shared" si="769"/>
        <v>33.213366631101024</v>
      </c>
      <c r="O285" s="172">
        <f t="shared" si="762"/>
        <v>11.04</v>
      </c>
      <c r="P285" s="217">
        <f t="shared" si="770"/>
        <v>2.075835414443814</v>
      </c>
      <c r="Q285" s="217">
        <f t="shared" si="771"/>
        <v>16</v>
      </c>
      <c r="R285" s="217"/>
      <c r="S285" s="172">
        <f t="shared" si="772"/>
        <v>157.39289296830725</v>
      </c>
      <c r="T285" s="172">
        <f t="shared" si="773"/>
        <v>16</v>
      </c>
      <c r="U285" s="217">
        <f t="shared" si="774"/>
        <v>1.7118409172878006</v>
      </c>
      <c r="V285" s="217">
        <f t="shared" si="775"/>
        <v>0.34269557853766597</v>
      </c>
      <c r="W285" s="217">
        <f t="shared" si="776"/>
        <v>1.2499452455968447</v>
      </c>
      <c r="X285" s="197">
        <f t="shared" si="777"/>
        <v>350</v>
      </c>
      <c r="Y285" s="443">
        <f t="shared" si="840"/>
        <v>350</v>
      </c>
      <c r="AA285" s="217">
        <f t="shared" si="778"/>
        <v>3.0709837241875424</v>
      </c>
      <c r="AB285" s="173">
        <f t="shared" si="779"/>
        <v>2.2423587767929014</v>
      </c>
      <c r="AC285" s="173">
        <f t="shared" si="780"/>
        <v>1.2050932787810151</v>
      </c>
      <c r="AD285" s="173"/>
      <c r="AE285" s="173">
        <f t="shared" si="781"/>
        <v>0.73017605372888728</v>
      </c>
      <c r="AF285" s="545">
        <f t="shared" si="782"/>
        <v>1889.9551593791252</v>
      </c>
      <c r="AG285" s="528">
        <f t="shared" si="783"/>
        <v>0.12778080940255526</v>
      </c>
      <c r="AI285" s="173">
        <f t="shared" si="784"/>
        <v>2.3237624413739795</v>
      </c>
      <c r="AJ285" s="173">
        <f t="shared" si="785"/>
        <v>2.3237624413739795</v>
      </c>
      <c r="AK285" s="173">
        <f t="shared" si="786"/>
        <v>2.1805647713881329</v>
      </c>
      <c r="AM285" s="545">
        <f t="shared" si="787"/>
        <v>690</v>
      </c>
      <c r="AN285" s="460">
        <f t="shared" si="788"/>
        <v>350</v>
      </c>
      <c r="AP285">
        <f t="shared" si="789"/>
        <v>690</v>
      </c>
      <c r="AQ285">
        <f t="shared" si="790"/>
        <v>350</v>
      </c>
      <c r="AS285" s="5">
        <f t="shared" si="763"/>
        <v>2.8571428571428572</v>
      </c>
      <c r="AT285" s="5">
        <f t="shared" si="791"/>
        <v>0.46519691531410629</v>
      </c>
      <c r="AU285" s="5">
        <f t="shared" si="722"/>
        <v>2.3919459418287508</v>
      </c>
      <c r="AV285" s="5"/>
      <c r="AW285" s="173">
        <f t="shared" si="723"/>
        <v>0.1628189203599372</v>
      </c>
      <c r="AX285" s="173">
        <f t="shared" si="792"/>
        <v>11.339730956274751</v>
      </c>
      <c r="AY285" s="173">
        <f t="shared" si="793"/>
        <v>0.97270497474824813</v>
      </c>
      <c r="AZ285" s="173">
        <f t="shared" si="794"/>
        <v>11.657934574879354</v>
      </c>
      <c r="BA285" s="460">
        <f t="shared" si="724"/>
        <v>2.0061616972920833</v>
      </c>
      <c r="BB285" s="5">
        <f t="shared" si="725"/>
        <v>0.36711576938439527</v>
      </c>
      <c r="BD285" s="173">
        <f t="shared" si="841"/>
        <v>0.54135672472814356</v>
      </c>
      <c r="BE285" s="173">
        <f t="shared" si="842"/>
        <v>1.2275545573368227</v>
      </c>
      <c r="BG285" s="528">
        <f t="shared" si="843"/>
        <v>5.8613420681676602E-3</v>
      </c>
      <c r="BH285" s="528">
        <f t="shared" si="795"/>
        <v>1.1336673623210862</v>
      </c>
      <c r="BI285" s="528">
        <f t="shared" si="796"/>
        <v>0.482538564739102</v>
      </c>
      <c r="BJ285" s="528">
        <f t="shared" si="844"/>
        <v>1.0055421602004586</v>
      </c>
      <c r="BK285">
        <f t="shared" si="845"/>
        <v>2.6974205482310047E-2</v>
      </c>
      <c r="BL285" s="460">
        <f t="shared" si="846"/>
        <v>509.51277022141204</v>
      </c>
      <c r="BM285" s="528">
        <f t="shared" si="797"/>
        <v>2.1496471435229276</v>
      </c>
      <c r="BN285" s="460">
        <f t="shared" si="847"/>
        <v>2149.6471435229278</v>
      </c>
      <c r="BO285" s="528">
        <f t="shared" si="798"/>
        <v>0.48299999999999993</v>
      </c>
      <c r="BR285" s="460">
        <f t="shared" si="848"/>
        <v>482.99999999999994</v>
      </c>
      <c r="BS285" s="528">
        <f t="shared" si="849"/>
        <v>8.7920131022514898E-3</v>
      </c>
      <c r="BT285" s="528">
        <f t="shared" si="850"/>
        <v>4.5206705737152082E-2</v>
      </c>
      <c r="BU285" s="528">
        <f t="shared" si="851"/>
        <v>0.94323397426561806</v>
      </c>
      <c r="BV285" s="528"/>
      <c r="BW285" s="528">
        <f t="shared" si="852"/>
        <v>9.4497757968956264E-3</v>
      </c>
      <c r="BX285" s="460">
        <f t="shared" si="853"/>
        <v>1006.6824689019171</v>
      </c>
      <c r="BY285" s="173">
        <f t="shared" si="854"/>
        <v>4.1442661037130417</v>
      </c>
      <c r="BZ285" s="5">
        <f t="shared" si="855"/>
        <v>11.04</v>
      </c>
      <c r="CA285" s="173">
        <f t="shared" si="856"/>
        <v>0.7270683959694545</v>
      </c>
      <c r="CB285" s="5">
        <f t="shared" si="857"/>
        <v>72.706839596945443</v>
      </c>
      <c r="CE285" s="562">
        <f t="shared" si="799"/>
        <v>-50</v>
      </c>
      <c r="CF285">
        <f t="shared" si="800"/>
        <v>-50</v>
      </c>
      <c r="CG285" s="173">
        <f t="shared" si="801"/>
        <v>0.60187207943216636</v>
      </c>
      <c r="CI285" s="170">
        <v>69</v>
      </c>
      <c r="CJ285" s="217">
        <f t="shared" si="858"/>
        <v>0.69</v>
      </c>
      <c r="CK285" s="217"/>
      <c r="CL285" s="217">
        <f t="shared" si="802"/>
        <v>11.04</v>
      </c>
      <c r="CM285" s="541">
        <f t="shared" si="803"/>
        <v>60</v>
      </c>
      <c r="CN285" s="443">
        <f t="shared" si="804"/>
        <v>16.399999999999999</v>
      </c>
      <c r="CO285" s="443">
        <f t="shared" si="805"/>
        <v>76.400000000000006</v>
      </c>
      <c r="CP285" s="443"/>
      <c r="CQ285" s="217">
        <f t="shared" si="806"/>
        <v>0.21465968586387432</v>
      </c>
      <c r="CR285" s="172">
        <f t="shared" si="807"/>
        <v>33.164921465968582</v>
      </c>
      <c r="CS285" s="172">
        <f t="shared" si="808"/>
        <v>11.04</v>
      </c>
      <c r="CT285" s="217">
        <f t="shared" si="809"/>
        <v>2.0728075916230364</v>
      </c>
      <c r="CU285" s="217">
        <f t="shared" si="810"/>
        <v>16</v>
      </c>
      <c r="CV285" s="217"/>
      <c r="CW285" s="172">
        <f t="shared" si="811"/>
        <v>157.54325765280831</v>
      </c>
      <c r="CX285" s="172">
        <f t="shared" si="812"/>
        <v>16</v>
      </c>
      <c r="CY285" s="217">
        <f t="shared" si="813"/>
        <v>1.7143414634146341</v>
      </c>
      <c r="CZ285" s="217">
        <f t="shared" si="814"/>
        <v>0.34286829268292685</v>
      </c>
      <c r="DA285" s="217">
        <f t="shared" si="815"/>
        <v>1.2543961927424154</v>
      </c>
      <c r="DB285" s="197">
        <f t="shared" si="816"/>
        <v>350</v>
      </c>
      <c r="DC285" s="443">
        <f t="shared" si="817"/>
        <v>350</v>
      </c>
      <c r="DE285" s="217">
        <f t="shared" si="818"/>
        <v>3.06656694091249</v>
      </c>
      <c r="DF285" s="173">
        <f t="shared" si="819"/>
        <v>2.2438294689603588</v>
      </c>
      <c r="DG285" s="173">
        <f t="shared" si="820"/>
        <v>1.2041493223478366</v>
      </c>
      <c r="DH285" s="173"/>
      <c r="DI285" s="173">
        <f t="shared" si="821"/>
        <v>0.73170731707317083</v>
      </c>
      <c r="DJ285" s="545">
        <f t="shared" si="822"/>
        <v>1885.9999999999995</v>
      </c>
      <c r="DK285" s="528">
        <f t="shared" si="823"/>
        <v>0.12804878048780488</v>
      </c>
      <c r="DM285" s="173">
        <f t="shared" si="824"/>
        <v>2.3213296682228113</v>
      </c>
      <c r="DN285" s="173">
        <f t="shared" si="825"/>
        <v>2.3213296682228113</v>
      </c>
      <c r="DO285" s="173">
        <f t="shared" si="826"/>
        <v>2.1787627172020825</v>
      </c>
      <c r="DQ285" s="545">
        <f t="shared" si="827"/>
        <v>690</v>
      </c>
      <c r="DR285" s="460">
        <f t="shared" si="828"/>
        <v>350</v>
      </c>
      <c r="DT285">
        <f t="shared" si="829"/>
        <v>690</v>
      </c>
      <c r="DU285">
        <f t="shared" si="830"/>
        <v>350</v>
      </c>
      <c r="DW285" s="5">
        <f t="shared" si="859"/>
        <v>2.8571428571428572</v>
      </c>
      <c r="DX285" s="5">
        <f t="shared" si="831"/>
        <v>0.46426593364456231</v>
      </c>
      <c r="DY285" s="5">
        <f t="shared" si="832"/>
        <v>2.3928769234982949</v>
      </c>
      <c r="DZ285" s="5"/>
      <c r="EA285" s="173">
        <f t="shared" si="833"/>
        <v>0.1624930767755968</v>
      </c>
      <c r="EB285" s="173">
        <f t="shared" si="860"/>
        <v>11.315999999999995</v>
      </c>
      <c r="EC285" s="173">
        <f t="shared" si="861"/>
        <v>0.97206483411140576</v>
      </c>
      <c r="ED285" s="173">
        <f t="shared" si="862"/>
        <v>11.641198820183941</v>
      </c>
      <c r="EE285" s="460">
        <f t="shared" si="834"/>
        <v>2.0021468388421746</v>
      </c>
      <c r="EF285" s="5">
        <f t="shared" si="835"/>
        <v>0.36690779493640518</v>
      </c>
      <c r="EH285" s="173">
        <f t="shared" si="863"/>
        <v>0.54024856959663925</v>
      </c>
      <c r="EI285" s="173">
        <f t="shared" si="864"/>
        <v>1.2265080347226678</v>
      </c>
      <c r="EK285" s="528">
        <f t="shared" si="865"/>
        <v>5.8373703390242953E-3</v>
      </c>
      <c r="EL285" s="528">
        <f t="shared" si="866"/>
        <v>1.1793747512372816</v>
      </c>
      <c r="EM285" s="528">
        <f t="shared" si="867"/>
        <v>4.0250000000000001E-2</v>
      </c>
      <c r="EN285" s="528">
        <f t="shared" si="868"/>
        <v>1.0061459800000001</v>
      </c>
      <c r="EO285">
        <f t="shared" si="869"/>
        <v>2.7E-2</v>
      </c>
      <c r="EP285" s="460">
        <f t="shared" si="870"/>
        <v>67.25</v>
      </c>
      <c r="EQ285" s="460"/>
      <c r="ER285" s="460">
        <f t="shared" si="871"/>
        <v>2258.6081015763061</v>
      </c>
      <c r="ES285" s="528">
        <f t="shared" si="872"/>
        <v>0.48299999999999993</v>
      </c>
      <c r="EV285" s="460">
        <f t="shared" si="873"/>
        <v>482.99999999999994</v>
      </c>
      <c r="EW285" s="528">
        <f t="shared" si="874"/>
        <v>8.7560555085364426E-3</v>
      </c>
      <c r="EX285" s="528">
        <f t="shared" si="875"/>
        <v>4.5129658777177825E-2</v>
      </c>
      <c r="EY285" s="528">
        <f t="shared" si="876"/>
        <v>0.94076720655613633</v>
      </c>
      <c r="EZ285" s="528"/>
      <c r="FA285" s="528">
        <f t="shared" si="877"/>
        <v>9.4299999999999974E-3</v>
      </c>
      <c r="FB285" s="460">
        <f t="shared" si="878"/>
        <v>1004.0829208418506</v>
      </c>
      <c r="FC285" s="173">
        <f t="shared" si="879"/>
        <v>3.745691022418157</v>
      </c>
      <c r="FD285" s="5">
        <f t="shared" si="880"/>
        <v>11.04</v>
      </c>
      <c r="FE285" s="173">
        <f t="shared" si="881"/>
        <v>0.74666784144623899</v>
      </c>
      <c r="FF285" s="5">
        <f t="shared" si="882"/>
        <v>74.666784144623904</v>
      </c>
      <c r="FI285" s="562">
        <f t="shared" si="836"/>
        <v>-50</v>
      </c>
      <c r="FJ285">
        <f t="shared" si="837"/>
        <v>-50</v>
      </c>
      <c r="FL285">
        <f t="shared" si="838"/>
        <v>0.5944868662521835</v>
      </c>
    </row>
    <row r="286" spans="5:168">
      <c r="E286" s="170">
        <v>70</v>
      </c>
      <c r="F286" s="217">
        <f t="shared" si="839"/>
        <v>0.7</v>
      </c>
      <c r="G286" s="217"/>
      <c r="H286" s="217">
        <f t="shared" si="764"/>
        <v>11.2</v>
      </c>
      <c r="I286" s="541">
        <f t="shared" si="765"/>
        <v>59.942264973081038</v>
      </c>
      <c r="J286" s="172">
        <f t="shared" si="766"/>
        <v>16.434641016151375</v>
      </c>
      <c r="K286" s="172">
        <f t="shared" si="767"/>
        <v>76.376905989232412</v>
      </c>
      <c r="L286" s="443"/>
      <c r="M286" s="217">
        <f t="shared" si="768"/>
        <v>0.21518256783735984</v>
      </c>
      <c r="N286" s="172">
        <f t="shared" si="769"/>
        <v>33.213716034654652</v>
      </c>
      <c r="O286" s="172">
        <f t="shared" si="762"/>
        <v>11.2</v>
      </c>
      <c r="P286" s="217">
        <f t="shared" si="770"/>
        <v>2.0758572521659158</v>
      </c>
      <c r="Q286" s="217">
        <f t="shared" si="771"/>
        <v>16</v>
      </c>
      <c r="R286" s="217"/>
      <c r="S286" s="172">
        <f t="shared" si="772"/>
        <v>154.29225024869194</v>
      </c>
      <c r="T286" s="172">
        <f t="shared" si="773"/>
        <v>16</v>
      </c>
      <c r="U286" s="217">
        <f t="shared" si="774"/>
        <v>1.7366319366317706</v>
      </c>
      <c r="V286" s="217">
        <f t="shared" si="775"/>
        <v>0.3476609242066499</v>
      </c>
      <c r="W286" s="217">
        <f t="shared" si="776"/>
        <v>1.2680278941962198</v>
      </c>
      <c r="X286" s="197">
        <f t="shared" si="777"/>
        <v>350</v>
      </c>
      <c r="Y286" s="443">
        <f t="shared" si="840"/>
        <v>350</v>
      </c>
      <c r="AA286" s="217">
        <f t="shared" si="778"/>
        <v>3.0710155796822574</v>
      </c>
      <c r="AB286" s="173">
        <f t="shared" si="779"/>
        <v>2.2423481547281794</v>
      </c>
      <c r="AC286" s="173">
        <f t="shared" si="780"/>
        <v>1.20510007069235</v>
      </c>
      <c r="AD286" s="173"/>
      <c r="AE286" s="173">
        <f t="shared" si="781"/>
        <v>0.7301650208365873</v>
      </c>
      <c r="AF286" s="545">
        <f t="shared" si="782"/>
        <v>1917.37478521766</v>
      </c>
      <c r="AG286" s="528">
        <f t="shared" si="783"/>
        <v>0.12777887864640278</v>
      </c>
      <c r="AI286" s="173">
        <f t="shared" si="784"/>
        <v>2.3405584103052113</v>
      </c>
      <c r="AJ286" s="173">
        <f t="shared" si="785"/>
        <v>2.3405584103052113</v>
      </c>
      <c r="AK286" s="173">
        <f t="shared" si="786"/>
        <v>2.1930062298557118</v>
      </c>
      <c r="AM286" s="545">
        <f t="shared" si="787"/>
        <v>700</v>
      </c>
      <c r="AN286" s="460">
        <f t="shared" si="788"/>
        <v>350</v>
      </c>
      <c r="AP286">
        <f t="shared" si="789"/>
        <v>700</v>
      </c>
      <c r="AQ286">
        <f t="shared" si="790"/>
        <v>350</v>
      </c>
      <c r="AS286" s="5">
        <f t="shared" si="763"/>
        <v>2.8571428571428572</v>
      </c>
      <c r="AT286" s="5">
        <f t="shared" si="791"/>
        <v>0.4685625565913426</v>
      </c>
      <c r="AU286" s="5">
        <f t="shared" si="722"/>
        <v>2.3885803005515145</v>
      </c>
      <c r="AV286" s="5"/>
      <c r="AW286" s="173">
        <f t="shared" si="723"/>
        <v>0.16399689480696991</v>
      </c>
      <c r="AX286" s="173">
        <f t="shared" si="792"/>
        <v>11.504248711305964</v>
      </c>
      <c r="AY286" s="173">
        <f t="shared" si="793"/>
        <v>0.97835704945040947</v>
      </c>
      <c r="AZ286" s="173">
        <f t="shared" si="794"/>
        <v>11.75874259583294</v>
      </c>
      <c r="BA286" s="460">
        <f t="shared" si="724"/>
        <v>2.049961185087124</v>
      </c>
      <c r="BB286" s="5">
        <f t="shared" si="725"/>
        <v>0.37191481083493194</v>
      </c>
      <c r="BD286" s="173">
        <f t="shared" si="841"/>
        <v>0.5472385315702113</v>
      </c>
      <c r="BE286" s="173">
        <f t="shared" si="842"/>
        <v>1.2355570458629979</v>
      </c>
      <c r="BG286" s="528">
        <f t="shared" si="843"/>
        <v>5.9894002087024232E-3</v>
      </c>
      <c r="BH286" s="528">
        <f t="shared" si="795"/>
        <v>1.1418589442427785</v>
      </c>
      <c r="BI286" s="528">
        <f t="shared" si="796"/>
        <v>0.48253523303330237</v>
      </c>
      <c r="BJ286" s="528">
        <f t="shared" si="844"/>
        <v>1.0055378010931268</v>
      </c>
      <c r="BK286">
        <f t="shared" si="845"/>
        <v>2.6974019237886466E-2</v>
      </c>
      <c r="BL286" s="460">
        <f t="shared" si="846"/>
        <v>509.50925227118881</v>
      </c>
      <c r="BM286" s="528">
        <f t="shared" si="797"/>
        <v>2.1580743993317997</v>
      </c>
      <c r="BN286" s="460">
        <f t="shared" si="847"/>
        <v>2158.0743993317997</v>
      </c>
      <c r="BO286" s="528">
        <f t="shared" si="798"/>
        <v>0.48999999999999994</v>
      </c>
      <c r="BR286" s="460">
        <f t="shared" si="848"/>
        <v>489.99999999999994</v>
      </c>
      <c r="BS286" s="528">
        <f t="shared" si="849"/>
        <v>8.9841003130536352E-3</v>
      </c>
      <c r="BT286" s="528">
        <f t="shared" si="850"/>
        <v>4.5798036407450941E-2</v>
      </c>
      <c r="BU286" s="528">
        <f t="shared" si="851"/>
        <v>0.96037052940911483</v>
      </c>
      <c r="BV286" s="528"/>
      <c r="BW286" s="528">
        <f t="shared" si="852"/>
        <v>9.5868739260883025E-3</v>
      </c>
      <c r="BX286" s="460">
        <f t="shared" si="853"/>
        <v>1024.7395400557075</v>
      </c>
      <c r="BY286" s="173">
        <f t="shared" si="854"/>
        <v>4.1776349378715043</v>
      </c>
      <c r="BZ286" s="5">
        <f t="shared" si="855"/>
        <v>11.2</v>
      </c>
      <c r="CA286" s="173">
        <f t="shared" si="856"/>
        <v>0.72833046468134244</v>
      </c>
      <c r="CB286" s="5">
        <f t="shared" si="857"/>
        <v>72.833046468134242</v>
      </c>
      <c r="CE286" s="562">
        <f t="shared" si="799"/>
        <v>-50</v>
      </c>
      <c r="CF286">
        <f t="shared" si="800"/>
        <v>-50</v>
      </c>
      <c r="CG286" s="173">
        <f t="shared" si="801"/>
        <v>0.60621778264910708</v>
      </c>
      <c r="CI286" s="170">
        <v>70</v>
      </c>
      <c r="CJ286" s="217">
        <f t="shared" si="858"/>
        <v>0.7</v>
      </c>
      <c r="CK286" s="217"/>
      <c r="CL286" s="217">
        <f t="shared" si="802"/>
        <v>11.2</v>
      </c>
      <c r="CM286" s="541">
        <f t="shared" si="803"/>
        <v>60</v>
      </c>
      <c r="CN286" s="443">
        <f t="shared" si="804"/>
        <v>16.399999999999999</v>
      </c>
      <c r="CO286" s="443">
        <f t="shared" si="805"/>
        <v>76.400000000000006</v>
      </c>
      <c r="CP286" s="443"/>
      <c r="CQ286" s="217">
        <f t="shared" si="806"/>
        <v>0.21465968586387432</v>
      </c>
      <c r="CR286" s="172">
        <f t="shared" si="807"/>
        <v>33.164921465968582</v>
      </c>
      <c r="CS286" s="172">
        <f t="shared" si="808"/>
        <v>11.2</v>
      </c>
      <c r="CT286" s="217">
        <f t="shared" si="809"/>
        <v>2.0728075916230364</v>
      </c>
      <c r="CU286" s="217">
        <f t="shared" si="810"/>
        <v>16</v>
      </c>
      <c r="CV286" s="217"/>
      <c r="CW286" s="172">
        <f t="shared" si="811"/>
        <v>154.44071228105054</v>
      </c>
      <c r="CX286" s="172">
        <f t="shared" si="812"/>
        <v>16</v>
      </c>
      <c r="CY286" s="217">
        <f t="shared" si="813"/>
        <v>1.7391869918699188</v>
      </c>
      <c r="CZ286" s="217">
        <f t="shared" si="814"/>
        <v>0.34783739837398375</v>
      </c>
      <c r="DA286" s="217">
        <f t="shared" si="815"/>
        <v>1.2725758477096967</v>
      </c>
      <c r="DB286" s="197">
        <f t="shared" si="816"/>
        <v>350</v>
      </c>
      <c r="DC286" s="443">
        <f t="shared" si="817"/>
        <v>350</v>
      </c>
      <c r="DE286" s="217">
        <f t="shared" si="818"/>
        <v>3.06656694091249</v>
      </c>
      <c r="DF286" s="173">
        <f t="shared" si="819"/>
        <v>2.2438294689603588</v>
      </c>
      <c r="DG286" s="173">
        <f t="shared" si="820"/>
        <v>1.2041493223478366</v>
      </c>
      <c r="DH286" s="173"/>
      <c r="DI286" s="173">
        <f t="shared" si="821"/>
        <v>0.73170731707317083</v>
      </c>
      <c r="DJ286" s="545">
        <f t="shared" si="822"/>
        <v>1913.333333333333</v>
      </c>
      <c r="DK286" s="528">
        <f t="shared" si="823"/>
        <v>0.12804878048780488</v>
      </c>
      <c r="DM286" s="173">
        <f t="shared" si="824"/>
        <v>2.338090388900024</v>
      </c>
      <c r="DN286" s="173">
        <f t="shared" si="825"/>
        <v>2.338090388900024</v>
      </c>
      <c r="DO286" s="173">
        <f t="shared" si="826"/>
        <v>2.1911780658518696</v>
      </c>
      <c r="DQ286" s="545">
        <f t="shared" si="827"/>
        <v>700</v>
      </c>
      <c r="DR286" s="460">
        <f t="shared" si="828"/>
        <v>350</v>
      </c>
      <c r="DT286">
        <f t="shared" si="829"/>
        <v>700</v>
      </c>
      <c r="DU286">
        <f t="shared" si="830"/>
        <v>350</v>
      </c>
      <c r="DW286" s="5">
        <f t="shared" si="859"/>
        <v>2.8571428571428572</v>
      </c>
      <c r="DX286" s="5">
        <f t="shared" si="831"/>
        <v>0.4676180777800048</v>
      </c>
      <c r="DY286" s="5">
        <f t="shared" si="832"/>
        <v>2.3895247793628522</v>
      </c>
      <c r="DZ286" s="5"/>
      <c r="EA286" s="173">
        <f t="shared" si="833"/>
        <v>0.16366632722300167</v>
      </c>
      <c r="EB286" s="173">
        <f t="shared" si="860"/>
        <v>11.479999999999997</v>
      </c>
      <c r="EC286" s="173">
        <f t="shared" si="861"/>
        <v>0.97771186111667874</v>
      </c>
      <c r="ED286" s="173">
        <f t="shared" si="862"/>
        <v>11.741700654923312</v>
      </c>
      <c r="EE286" s="460">
        <f t="shared" si="834"/>
        <v>2.0458290902875209</v>
      </c>
      <c r="EF286" s="5">
        <f t="shared" si="835"/>
        <v>0.37170385456755473</v>
      </c>
      <c r="EH286" s="173">
        <f t="shared" si="863"/>
        <v>0.54611026221382009</v>
      </c>
      <c r="EI286" s="173">
        <f t="shared" si="864"/>
        <v>1.2344981991590651</v>
      </c>
      <c r="EK286" s="528">
        <f t="shared" si="865"/>
        <v>5.9647283699049468E-3</v>
      </c>
      <c r="EL286" s="528">
        <f t="shared" si="866"/>
        <v>1.1878902029845464</v>
      </c>
      <c r="EM286" s="528">
        <f t="shared" si="867"/>
        <v>4.0250000000000001E-2</v>
      </c>
      <c r="EN286" s="528">
        <f t="shared" si="868"/>
        <v>1.0061459800000001</v>
      </c>
      <c r="EO286">
        <f t="shared" si="869"/>
        <v>2.7E-2</v>
      </c>
      <c r="EP286" s="460">
        <f t="shared" si="870"/>
        <v>67.25</v>
      </c>
      <c r="EQ286" s="460"/>
      <c r="ER286" s="460">
        <f t="shared" si="871"/>
        <v>2267.2509113544511</v>
      </c>
      <c r="ES286" s="528">
        <f t="shared" si="872"/>
        <v>0.48999999999999994</v>
      </c>
      <c r="EV286" s="460">
        <f t="shared" si="873"/>
        <v>489.99999999999994</v>
      </c>
      <c r="EW286" s="528">
        <f t="shared" si="874"/>
        <v>8.9470925548574207E-3</v>
      </c>
      <c r="EX286" s="528">
        <f t="shared" si="875"/>
        <v>4.5719574111809248E-2</v>
      </c>
      <c r="EY286" s="528">
        <f t="shared" si="876"/>
        <v>0.95784085436155808</v>
      </c>
      <c r="EZ286" s="528"/>
      <c r="FA286" s="528">
        <f t="shared" si="877"/>
        <v>9.5666666666666643E-3</v>
      </c>
      <c r="FB286" s="460">
        <f t="shared" si="878"/>
        <v>1022.0741876948915</v>
      </c>
      <c r="FC286" s="173">
        <f t="shared" si="879"/>
        <v>3.7793250990493426</v>
      </c>
      <c r="FD286" s="5">
        <f t="shared" si="880"/>
        <v>11.2</v>
      </c>
      <c r="FE286" s="173">
        <f t="shared" si="881"/>
        <v>0.74769723775544494</v>
      </c>
      <c r="FF286" s="5">
        <f t="shared" si="882"/>
        <v>74.769723775544492</v>
      </c>
      <c r="FI286" s="562">
        <f t="shared" si="836"/>
        <v>-50</v>
      </c>
      <c r="FJ286">
        <f t="shared" si="837"/>
        <v>-50</v>
      </c>
      <c r="FL286">
        <f t="shared" si="838"/>
        <v>0.59877924593781107</v>
      </c>
    </row>
    <row r="287" spans="5:168">
      <c r="E287" s="170">
        <v>71</v>
      </c>
      <c r="F287" s="217">
        <f t="shared" si="839"/>
        <v>0.71</v>
      </c>
      <c r="G287" s="217"/>
      <c r="H287" s="217">
        <f t="shared" si="764"/>
        <v>11.36</v>
      </c>
      <c r="I287" s="541">
        <f t="shared" si="765"/>
        <v>59.941854042436709</v>
      </c>
      <c r="J287" s="172">
        <f t="shared" si="766"/>
        <v>16.434887574537974</v>
      </c>
      <c r="K287" s="172">
        <f t="shared" si="767"/>
        <v>76.376741616974684</v>
      </c>
      <c r="L287" s="443"/>
      <c r="M287" s="217">
        <f t="shared" si="768"/>
        <v>0.21518629057639987</v>
      </c>
      <c r="N287" s="172">
        <f t="shared" si="769"/>
        <v>33.214062945784633</v>
      </c>
      <c r="O287" s="172">
        <f t="shared" si="762"/>
        <v>11.36</v>
      </c>
      <c r="P287" s="217">
        <f t="shared" si="770"/>
        <v>2.0758789341115396</v>
      </c>
      <c r="Q287" s="217">
        <f t="shared" si="771"/>
        <v>16</v>
      </c>
      <c r="R287" s="217"/>
      <c r="S287" s="172">
        <f t="shared" si="772"/>
        <v>151.27908776447617</v>
      </c>
      <c r="T287" s="172">
        <f t="shared" si="773"/>
        <v>16</v>
      </c>
      <c r="U287" s="217">
        <f t="shared" si="774"/>
        <v>1.7614225665645353</v>
      </c>
      <c r="V287" s="217">
        <f t="shared" si="775"/>
        <v>0.35262624315574437</v>
      </c>
      <c r="W287" s="217">
        <f t="shared" si="776"/>
        <v>1.2861098503357813</v>
      </c>
      <c r="X287" s="197">
        <f t="shared" si="777"/>
        <v>350</v>
      </c>
      <c r="Y287" s="443">
        <f t="shared" si="840"/>
        <v>350</v>
      </c>
      <c r="AA287" s="217">
        <f t="shared" si="778"/>
        <v>3.0710472079414943</v>
      </c>
      <c r="AB287" s="173">
        <f t="shared" si="779"/>
        <v>2.2423376082226687</v>
      </c>
      <c r="AC287" s="173">
        <f t="shared" si="780"/>
        <v>1.2051068139240262</v>
      </c>
      <c r="AD287" s="173"/>
      <c r="AE287" s="173">
        <f t="shared" si="781"/>
        <v>0.73015406680306116</v>
      </c>
      <c r="AF287" s="545">
        <f t="shared" si="782"/>
        <v>1944.7950296536603</v>
      </c>
      <c r="AG287" s="528">
        <f t="shared" si="783"/>
        <v>0.12777696169053571</v>
      </c>
      <c r="AI287" s="173">
        <f t="shared" si="784"/>
        <v>2.3572350811028344</v>
      </c>
      <c r="AJ287" s="173">
        <f t="shared" si="785"/>
        <v>2.3572350811028344</v>
      </c>
      <c r="AK287" s="173">
        <f t="shared" si="786"/>
        <v>2.2053593193354328</v>
      </c>
      <c r="AM287" s="545">
        <f t="shared" si="787"/>
        <v>710</v>
      </c>
      <c r="AN287" s="460">
        <f t="shared" si="788"/>
        <v>350</v>
      </c>
      <c r="AP287">
        <f t="shared" si="789"/>
        <v>710</v>
      </c>
      <c r="AQ287">
        <f t="shared" si="790"/>
        <v>350</v>
      </c>
      <c r="AS287" s="5">
        <f t="shared" si="763"/>
        <v>2.8571428571428572</v>
      </c>
      <c r="AT287" s="5">
        <f t="shared" si="791"/>
        <v>0.47190433838112428</v>
      </c>
      <c r="AU287" s="5">
        <f t="shared" si="722"/>
        <v>2.3852385187617329</v>
      </c>
      <c r="AV287" s="5"/>
      <c r="AW287" s="173">
        <f t="shared" si="723"/>
        <v>0.1651665184333935</v>
      </c>
      <c r="AX287" s="173">
        <f t="shared" si="792"/>
        <v>11.668770177921962</v>
      </c>
      <c r="AY287" s="173">
        <f t="shared" si="793"/>
        <v>0.98394938481401073</v>
      </c>
      <c r="AZ287" s="173">
        <f t="shared" si="794"/>
        <v>11.859116289937647</v>
      </c>
      <c r="BA287" s="460">
        <f t="shared" si="724"/>
        <v>2.0940755015662389</v>
      </c>
      <c r="BB287" s="5">
        <f t="shared" si="725"/>
        <v>0.37670269527574246</v>
      </c>
      <c r="BD287" s="173">
        <f t="shared" si="841"/>
        <v>0.55309951237114929</v>
      </c>
      <c r="BE287" s="173">
        <f t="shared" si="842"/>
        <v>1.2434897152538467</v>
      </c>
      <c r="BG287" s="528">
        <f t="shared" si="843"/>
        <v>6.1183814117040623E-3</v>
      </c>
      <c r="BH287" s="528">
        <f t="shared" si="795"/>
        <v>1.1499923080231029</v>
      </c>
      <c r="BI287" s="528">
        <f t="shared" si="796"/>
        <v>0.48253192504161552</v>
      </c>
      <c r="BJ287" s="528">
        <f t="shared" si="844"/>
        <v>1.0055334730220011</v>
      </c>
      <c r="BK287">
        <f t="shared" si="845"/>
        <v>2.6973834319096519E-2</v>
      </c>
      <c r="BL287" s="460">
        <f t="shared" si="846"/>
        <v>509.50575936071209</v>
      </c>
      <c r="BM287" s="528">
        <f t="shared" si="797"/>
        <v>2.1664455467406132</v>
      </c>
      <c r="BN287" s="460">
        <f t="shared" si="847"/>
        <v>2166.4455467406133</v>
      </c>
      <c r="BO287" s="528">
        <f t="shared" si="798"/>
        <v>0.49699999999999994</v>
      </c>
      <c r="BR287" s="460">
        <f t="shared" si="848"/>
        <v>496.99999999999994</v>
      </c>
      <c r="BS287" s="528">
        <f t="shared" si="849"/>
        <v>9.1775721175560935E-3</v>
      </c>
      <c r="BT287" s="528">
        <f t="shared" si="850"/>
        <v>4.6388000158262777E-2</v>
      </c>
      <c r="BU287" s="528">
        <f t="shared" si="851"/>
        <v>0.97756885050472186</v>
      </c>
      <c r="BV287" s="528"/>
      <c r="BW287" s="528">
        <f t="shared" si="852"/>
        <v>9.7239751482683014E-3</v>
      </c>
      <c r="BX287" s="460">
        <f t="shared" si="853"/>
        <v>1042.8583979288092</v>
      </c>
      <c r="BY287" s="173">
        <f t="shared" si="854"/>
        <v>4.2110083197463286</v>
      </c>
      <c r="BZ287" s="5">
        <f t="shared" si="855"/>
        <v>11.36</v>
      </c>
      <c r="CA287" s="173">
        <f t="shared" si="856"/>
        <v>0.72956097426226718</v>
      </c>
      <c r="CB287" s="5">
        <f t="shared" si="857"/>
        <v>72.956097426226719</v>
      </c>
      <c r="CE287" s="562">
        <f t="shared" si="799"/>
        <v>-50</v>
      </c>
      <c r="CF287">
        <f t="shared" si="800"/>
        <v>-50</v>
      </c>
      <c r="CG287" s="173">
        <f t="shared" si="801"/>
        <v>0.61053255441458643</v>
      </c>
      <c r="CI287" s="170">
        <v>71</v>
      </c>
      <c r="CJ287" s="217">
        <f t="shared" si="858"/>
        <v>0.71</v>
      </c>
      <c r="CK287" s="217"/>
      <c r="CL287" s="217">
        <f t="shared" si="802"/>
        <v>11.36</v>
      </c>
      <c r="CM287" s="541">
        <f t="shared" si="803"/>
        <v>60</v>
      </c>
      <c r="CN287" s="443">
        <f t="shared" si="804"/>
        <v>16.399999999999999</v>
      </c>
      <c r="CO287" s="443">
        <f t="shared" si="805"/>
        <v>76.400000000000006</v>
      </c>
      <c r="CP287" s="443"/>
      <c r="CQ287" s="217">
        <f t="shared" si="806"/>
        <v>0.21465968586387432</v>
      </c>
      <c r="CR287" s="172">
        <f t="shared" si="807"/>
        <v>33.164921465968582</v>
      </c>
      <c r="CS287" s="172">
        <f t="shared" si="808"/>
        <v>11.36</v>
      </c>
      <c r="CT287" s="217">
        <f t="shared" si="809"/>
        <v>2.0728075916230364</v>
      </c>
      <c r="CU287" s="217">
        <f t="shared" si="810"/>
        <v>16</v>
      </c>
      <c r="CV287" s="217"/>
      <c r="CW287" s="172">
        <f t="shared" si="811"/>
        <v>151.42568165716096</v>
      </c>
      <c r="CX287" s="172">
        <f t="shared" si="812"/>
        <v>16</v>
      </c>
      <c r="CY287" s="217">
        <f t="shared" si="813"/>
        <v>1.7640325203252034</v>
      </c>
      <c r="CZ287" s="217">
        <f t="shared" si="814"/>
        <v>0.35280650406504066</v>
      </c>
      <c r="DA287" s="217">
        <f t="shared" si="815"/>
        <v>1.2907555026769781</v>
      </c>
      <c r="DB287" s="197">
        <f t="shared" si="816"/>
        <v>350</v>
      </c>
      <c r="DC287" s="443">
        <f t="shared" si="817"/>
        <v>350</v>
      </c>
      <c r="DE287" s="217">
        <f t="shared" si="818"/>
        <v>3.06656694091249</v>
      </c>
      <c r="DF287" s="173">
        <f t="shared" si="819"/>
        <v>2.2438294689603588</v>
      </c>
      <c r="DG287" s="173">
        <f t="shared" si="820"/>
        <v>1.2041493223478366</v>
      </c>
      <c r="DH287" s="173"/>
      <c r="DI287" s="173">
        <f t="shared" si="821"/>
        <v>0.73170731707317083</v>
      </c>
      <c r="DJ287" s="545">
        <f t="shared" si="822"/>
        <v>1940.6666666666663</v>
      </c>
      <c r="DK287" s="528">
        <f t="shared" si="823"/>
        <v>0.12804878048780488</v>
      </c>
      <c r="DM287" s="173">
        <f t="shared" si="824"/>
        <v>2.3547318116426559</v>
      </c>
      <c r="DN287" s="173">
        <f t="shared" si="825"/>
        <v>2.3547318116426559</v>
      </c>
      <c r="DO287" s="173">
        <f t="shared" si="826"/>
        <v>2.2035050456612266</v>
      </c>
      <c r="DQ287" s="545">
        <f t="shared" si="827"/>
        <v>710</v>
      </c>
      <c r="DR287" s="460">
        <f t="shared" si="828"/>
        <v>350</v>
      </c>
      <c r="DT287">
        <f t="shared" si="829"/>
        <v>710</v>
      </c>
      <c r="DU287">
        <f t="shared" si="830"/>
        <v>350</v>
      </c>
      <c r="DW287" s="5">
        <f t="shared" si="859"/>
        <v>2.8571428571428572</v>
      </c>
      <c r="DX287" s="5">
        <f t="shared" si="831"/>
        <v>0.47094636232853121</v>
      </c>
      <c r="DY287" s="5">
        <f t="shared" si="832"/>
        <v>2.3861964948143259</v>
      </c>
      <c r="DZ287" s="5"/>
      <c r="EA287" s="173">
        <f t="shared" si="833"/>
        <v>0.16483122681498591</v>
      </c>
      <c r="EB287" s="173">
        <f t="shared" si="860"/>
        <v>11.644</v>
      </c>
      <c r="EC287" s="173">
        <f t="shared" si="861"/>
        <v>0.98329923915466133</v>
      </c>
      <c r="ED287" s="173">
        <f t="shared" si="862"/>
        <v>11.84176651047783</v>
      </c>
      <c r="EE287" s="460">
        <f t="shared" si="834"/>
        <v>2.0898244828328569</v>
      </c>
      <c r="EF287" s="5">
        <f t="shared" si="835"/>
        <v>0.37648878029292687</v>
      </c>
      <c r="EH287" s="173">
        <f t="shared" si="863"/>
        <v>0.55195105675500578</v>
      </c>
      <c r="EI287" s="173">
        <f t="shared" si="864"/>
        <v>1.2424186086826776</v>
      </c>
      <c r="EK287" s="528">
        <f t="shared" si="865"/>
        <v>6.0929993810593525E-3</v>
      </c>
      <c r="EL287" s="528">
        <f t="shared" si="866"/>
        <v>1.1963450442231678</v>
      </c>
      <c r="EM287" s="528">
        <f t="shared" si="867"/>
        <v>4.0250000000000001E-2</v>
      </c>
      <c r="EN287" s="528">
        <f t="shared" si="868"/>
        <v>1.0061459800000001</v>
      </c>
      <c r="EO287">
        <f t="shared" si="869"/>
        <v>2.7E-2</v>
      </c>
      <c r="EP287" s="460">
        <f t="shared" si="870"/>
        <v>67.25</v>
      </c>
      <c r="EQ287" s="460"/>
      <c r="ER287" s="460">
        <f t="shared" si="871"/>
        <v>2275.8340236042277</v>
      </c>
      <c r="ES287" s="528">
        <f t="shared" si="872"/>
        <v>0.49699999999999994</v>
      </c>
      <c r="EV287" s="460">
        <f t="shared" si="873"/>
        <v>496.99999999999994</v>
      </c>
      <c r="EW287" s="528">
        <f t="shared" si="874"/>
        <v>9.139499071589027E-3</v>
      </c>
      <c r="EX287" s="528">
        <f t="shared" si="875"/>
        <v>4.6308119976030009E-2</v>
      </c>
      <c r="EY287" s="528">
        <f t="shared" si="876"/>
        <v>0.97497559031980197</v>
      </c>
      <c r="EZ287" s="528"/>
      <c r="FA287" s="528">
        <f t="shared" si="877"/>
        <v>9.7033333333333329E-3</v>
      </c>
      <c r="FB287" s="460">
        <f t="shared" si="878"/>
        <v>1040.1265427007545</v>
      </c>
      <c r="FC287" s="173">
        <f t="shared" si="879"/>
        <v>3.8129605663049819</v>
      </c>
      <c r="FD287" s="5">
        <f t="shared" si="880"/>
        <v>11.36</v>
      </c>
      <c r="FE287" s="173">
        <f t="shared" si="881"/>
        <v>0.7487002915718024</v>
      </c>
      <c r="FF287" s="5">
        <f t="shared" si="882"/>
        <v>74.870029157180241</v>
      </c>
      <c r="FI287" s="562">
        <f t="shared" si="836"/>
        <v>-50</v>
      </c>
      <c r="FJ287">
        <f t="shared" si="837"/>
        <v>-50</v>
      </c>
      <c r="FL287">
        <f t="shared" si="838"/>
        <v>0.60304107371336313</v>
      </c>
    </row>
    <row r="288" spans="5:168">
      <c r="E288" s="170">
        <v>72</v>
      </c>
      <c r="F288" s="217">
        <f t="shared" si="839"/>
        <v>0.72</v>
      </c>
      <c r="G288" s="217"/>
      <c r="H288" s="217">
        <f t="shared" si="764"/>
        <v>11.52</v>
      </c>
      <c r="I288" s="541">
        <f t="shared" si="765"/>
        <v>59.941445995623091</v>
      </c>
      <c r="J288" s="172">
        <f t="shared" si="766"/>
        <v>16.435132402626145</v>
      </c>
      <c r="K288" s="172">
        <f t="shared" si="767"/>
        <v>76.376578398249237</v>
      </c>
      <c r="L288" s="443"/>
      <c r="M288" s="217">
        <f t="shared" si="768"/>
        <v>0.21518998720554688</v>
      </c>
      <c r="N288" s="172">
        <f t="shared" si="769"/>
        <v>33.214407416966289</v>
      </c>
      <c r="O288" s="172">
        <f t="shared" si="762"/>
        <v>11.52</v>
      </c>
      <c r="P288" s="217">
        <f t="shared" si="770"/>
        <v>2.075900463560393</v>
      </c>
      <c r="Q288" s="217">
        <f t="shared" si="771"/>
        <v>16</v>
      </c>
      <c r="R288" s="217"/>
      <c r="S288" s="172">
        <f t="shared" si="772"/>
        <v>148.34976216190583</v>
      </c>
      <c r="T288" s="172">
        <f t="shared" si="773"/>
        <v>16</v>
      </c>
      <c r="U288" s="217">
        <f t="shared" si="774"/>
        <v>1.7862128098571644</v>
      </c>
      <c r="V288" s="217">
        <f t="shared" si="775"/>
        <v>0.35759153557708834</v>
      </c>
      <c r="W288" s="217">
        <f t="shared" si="776"/>
        <v>1.3041911189508262</v>
      </c>
      <c r="X288" s="197">
        <f t="shared" si="777"/>
        <v>350</v>
      </c>
      <c r="Y288" s="443">
        <f t="shared" si="840"/>
        <v>350</v>
      </c>
      <c r="AA288" s="217">
        <f t="shared" si="778"/>
        <v>3.0710786137494503</v>
      </c>
      <c r="AB288" s="173">
        <f t="shared" si="779"/>
        <v>2.2423271356855468</v>
      </c>
      <c r="AC288" s="173">
        <f t="shared" si="780"/>
        <v>1.2051135095009404</v>
      </c>
      <c r="AD288" s="173"/>
      <c r="AE288" s="173">
        <f t="shared" si="781"/>
        <v>0.73014318996800653</v>
      </c>
      <c r="AF288" s="545">
        <f t="shared" si="782"/>
        <v>1972.2158883151371</v>
      </c>
      <c r="AG288" s="528">
        <f t="shared" si="783"/>
        <v>0.12777505824440114</v>
      </c>
      <c r="AI288" s="173">
        <f t="shared" si="784"/>
        <v>2.3737949654600015</v>
      </c>
      <c r="AJ288" s="173">
        <f t="shared" si="785"/>
        <v>2.3737949654600015</v>
      </c>
      <c r="AK288" s="173">
        <f t="shared" si="786"/>
        <v>2.2176259003407419</v>
      </c>
      <c r="AM288" s="545">
        <f t="shared" si="787"/>
        <v>720</v>
      </c>
      <c r="AN288" s="460">
        <f t="shared" si="788"/>
        <v>350</v>
      </c>
      <c r="AP288">
        <f t="shared" si="789"/>
        <v>720</v>
      </c>
      <c r="AQ288">
        <f t="shared" si="790"/>
        <v>350</v>
      </c>
      <c r="AS288" s="5">
        <f t="shared" si="763"/>
        <v>2.8571428571428572</v>
      </c>
      <c r="AT288" s="5">
        <f t="shared" si="791"/>
        <v>0.47522276302109939</v>
      </c>
      <c r="AU288" s="5">
        <f t="shared" si="722"/>
        <v>2.381920094121758</v>
      </c>
      <c r="AV288" s="5"/>
      <c r="AW288" s="173">
        <f t="shared" si="723"/>
        <v>0.16632796705738478</v>
      </c>
      <c r="AX288" s="173">
        <f t="shared" si="792"/>
        <v>11.833295329890825</v>
      </c>
      <c r="AY288" s="173">
        <f t="shared" si="793"/>
        <v>0.98948323732199228</v>
      </c>
      <c r="AZ288" s="173">
        <f t="shared" si="794"/>
        <v>11.959065988745092</v>
      </c>
      <c r="BA288" s="460">
        <f t="shared" si="724"/>
        <v>2.1385024335949474</v>
      </c>
      <c r="BB288" s="5">
        <f t="shared" si="725"/>
        <v>0.38147950093226934</v>
      </c>
      <c r="BD288" s="173">
        <f t="shared" si="841"/>
        <v>0.55894003367064682</v>
      </c>
      <c r="BE288" s="173">
        <f t="shared" si="842"/>
        <v>1.2513540205611973</v>
      </c>
      <c r="BG288" s="528">
        <f t="shared" si="843"/>
        <v>6.2482792247948761E-3</v>
      </c>
      <c r="BH288" s="528">
        <f t="shared" si="795"/>
        <v>1.1580686793812707</v>
      </c>
      <c r="BI288" s="528">
        <f t="shared" si="796"/>
        <v>0.48252864026476588</v>
      </c>
      <c r="BJ288" s="528">
        <f t="shared" si="844"/>
        <v>1.0055291753336468</v>
      </c>
      <c r="BK288">
        <f t="shared" si="845"/>
        <v>2.6973650698030389E-2</v>
      </c>
      <c r="BL288" s="460">
        <f t="shared" si="846"/>
        <v>509.50229096279634</v>
      </c>
      <c r="BM288" s="528">
        <f t="shared" si="797"/>
        <v>2.1747618014407251</v>
      </c>
      <c r="BN288" s="460">
        <f t="shared" si="847"/>
        <v>2174.7618014407249</v>
      </c>
      <c r="BO288" s="528">
        <f t="shared" si="798"/>
        <v>0.504</v>
      </c>
      <c r="BR288" s="460">
        <f t="shared" si="848"/>
        <v>504</v>
      </c>
      <c r="BS288" s="528">
        <f t="shared" si="849"/>
        <v>9.3724188371923142E-3</v>
      </c>
      <c r="BT288" s="528">
        <f t="shared" si="850"/>
        <v>4.69766065432402E-2</v>
      </c>
      <c r="BU288" s="528">
        <f t="shared" si="851"/>
        <v>0.99482828867778639</v>
      </c>
      <c r="BV288" s="528"/>
      <c r="BW288" s="528">
        <f t="shared" si="852"/>
        <v>9.8610794415756875E-3</v>
      </c>
      <c r="BX288" s="460">
        <f t="shared" si="853"/>
        <v>1061.0383934997947</v>
      </c>
      <c r="BY288" s="173">
        <f t="shared" si="854"/>
        <v>4.2443868184023037</v>
      </c>
      <c r="BZ288" s="5">
        <f t="shared" si="855"/>
        <v>11.52</v>
      </c>
      <c r="CA288" s="173">
        <f t="shared" si="856"/>
        <v>0.73076105862565566</v>
      </c>
      <c r="CB288" s="5">
        <f t="shared" si="857"/>
        <v>73.076105862565569</v>
      </c>
      <c r="CE288" s="562">
        <f t="shared" si="799"/>
        <v>-50</v>
      </c>
      <c r="CF288">
        <f t="shared" si="800"/>
        <v>-50</v>
      </c>
      <c r="CG288" s="173">
        <f t="shared" si="801"/>
        <v>0.61481704595757591</v>
      </c>
      <c r="CI288" s="170">
        <v>72</v>
      </c>
      <c r="CJ288" s="217">
        <f t="shared" si="858"/>
        <v>0.72</v>
      </c>
      <c r="CK288" s="217"/>
      <c r="CL288" s="217">
        <f t="shared" si="802"/>
        <v>11.52</v>
      </c>
      <c r="CM288" s="541">
        <f t="shared" si="803"/>
        <v>60</v>
      </c>
      <c r="CN288" s="443">
        <f t="shared" si="804"/>
        <v>16.399999999999999</v>
      </c>
      <c r="CO288" s="443">
        <f t="shared" si="805"/>
        <v>76.400000000000006</v>
      </c>
      <c r="CP288" s="443"/>
      <c r="CQ288" s="217">
        <f t="shared" si="806"/>
        <v>0.21465968586387432</v>
      </c>
      <c r="CR288" s="172">
        <f t="shared" si="807"/>
        <v>33.164921465968582</v>
      </c>
      <c r="CS288" s="172">
        <f t="shared" si="808"/>
        <v>11.52</v>
      </c>
      <c r="CT288" s="217">
        <f t="shared" si="809"/>
        <v>2.0728075916230364</v>
      </c>
      <c r="CU288" s="217">
        <f t="shared" si="810"/>
        <v>16</v>
      </c>
      <c r="CV288" s="217"/>
      <c r="CW288" s="172">
        <f t="shared" si="811"/>
        <v>148.49452126554209</v>
      </c>
      <c r="CX288" s="172">
        <f t="shared" si="812"/>
        <v>16</v>
      </c>
      <c r="CY288" s="217">
        <f t="shared" si="813"/>
        <v>1.7888780487804878</v>
      </c>
      <c r="CZ288" s="217">
        <f t="shared" si="814"/>
        <v>0.35777560975609757</v>
      </c>
      <c r="DA288" s="217">
        <f t="shared" si="815"/>
        <v>1.3089351576442596</v>
      </c>
      <c r="DB288" s="197">
        <f t="shared" si="816"/>
        <v>350</v>
      </c>
      <c r="DC288" s="443">
        <f t="shared" si="817"/>
        <v>350</v>
      </c>
      <c r="DE288" s="217">
        <f t="shared" si="818"/>
        <v>3.06656694091249</v>
      </c>
      <c r="DF288" s="173">
        <f t="shared" si="819"/>
        <v>2.2438294689603588</v>
      </c>
      <c r="DG288" s="173">
        <f t="shared" si="820"/>
        <v>1.2041493223478366</v>
      </c>
      <c r="DH288" s="173"/>
      <c r="DI288" s="173">
        <f t="shared" si="821"/>
        <v>0.73170731707317083</v>
      </c>
      <c r="DJ288" s="545">
        <f t="shared" si="822"/>
        <v>1967.9999999999998</v>
      </c>
      <c r="DK288" s="528">
        <f t="shared" si="823"/>
        <v>0.12804878048780488</v>
      </c>
      <c r="DM288" s="173">
        <f t="shared" si="824"/>
        <v>2.3712564481424492</v>
      </c>
      <c r="DN288" s="173">
        <f t="shared" si="825"/>
        <v>2.3712564481424492</v>
      </c>
      <c r="DO288" s="173">
        <f t="shared" si="826"/>
        <v>2.2157455171425546</v>
      </c>
      <c r="DQ288" s="545">
        <f t="shared" si="827"/>
        <v>720</v>
      </c>
      <c r="DR288" s="460">
        <f t="shared" si="828"/>
        <v>350</v>
      </c>
      <c r="DT288">
        <f t="shared" si="829"/>
        <v>720</v>
      </c>
      <c r="DU288">
        <f t="shared" si="830"/>
        <v>350</v>
      </c>
      <c r="DW288" s="5">
        <f t="shared" si="859"/>
        <v>2.8571428571428572</v>
      </c>
      <c r="DX288" s="5">
        <f t="shared" si="831"/>
        <v>0.47425128962848984</v>
      </c>
      <c r="DY288" s="5">
        <f t="shared" si="832"/>
        <v>2.3828915675143674</v>
      </c>
      <c r="DZ288" s="5"/>
      <c r="EA288" s="173">
        <f t="shared" si="833"/>
        <v>0.16598795136997144</v>
      </c>
      <c r="EB288" s="173">
        <f t="shared" si="860"/>
        <v>11.808000000000003</v>
      </c>
      <c r="EC288" s="173">
        <f t="shared" si="861"/>
        <v>0.9888282240712245</v>
      </c>
      <c r="ED288" s="173">
        <f t="shared" si="862"/>
        <v>11.941406720151914</v>
      </c>
      <c r="EE288" s="460">
        <f t="shared" si="834"/>
        <v>2.1341308033282038</v>
      </c>
      <c r="EF288" s="5">
        <f t="shared" si="835"/>
        <v>0.38126265080229876</v>
      </c>
      <c r="EH288" s="173">
        <f t="shared" si="863"/>
        <v>0.55777132052149236</v>
      </c>
      <c r="EI288" s="173">
        <f t="shared" si="864"/>
        <v>1.2502707180004757</v>
      </c>
      <c r="EK288" s="528">
        <f t="shared" si="865"/>
        <v>6.2221769199257869E-3</v>
      </c>
      <c r="EL288" s="528">
        <f t="shared" si="866"/>
        <v>1.2047405510432529</v>
      </c>
      <c r="EM288" s="528">
        <f t="shared" si="867"/>
        <v>4.0250000000000001E-2</v>
      </c>
      <c r="EN288" s="528">
        <f t="shared" si="868"/>
        <v>1.0061459800000001</v>
      </c>
      <c r="EO288">
        <f t="shared" si="869"/>
        <v>2.7E-2</v>
      </c>
      <c r="EP288" s="460">
        <f t="shared" si="870"/>
        <v>67.25</v>
      </c>
      <c r="EQ288" s="460"/>
      <c r="ER288" s="460">
        <f t="shared" si="871"/>
        <v>2284.3587079631789</v>
      </c>
      <c r="ES288" s="528">
        <f t="shared" si="872"/>
        <v>0.504</v>
      </c>
      <c r="EV288" s="460">
        <f t="shared" si="873"/>
        <v>504</v>
      </c>
      <c r="EW288" s="528">
        <f t="shared" si="874"/>
        <v>9.3332653798886799E-3</v>
      </c>
      <c r="EX288" s="528">
        <f t="shared" si="875"/>
        <v>4.689530604868275E-2</v>
      </c>
      <c r="EY288" s="528">
        <f t="shared" si="876"/>
        <v>0.99217076795292924</v>
      </c>
      <c r="EZ288" s="528"/>
      <c r="FA288" s="528">
        <f t="shared" si="877"/>
        <v>9.8400000000000015E-3</v>
      </c>
      <c r="FB288" s="460">
        <f t="shared" si="878"/>
        <v>1058.2393393815009</v>
      </c>
      <c r="FC288" s="173">
        <f t="shared" si="879"/>
        <v>3.8465980473446799</v>
      </c>
      <c r="FD288" s="5">
        <f t="shared" si="880"/>
        <v>11.52</v>
      </c>
      <c r="FE288" s="173">
        <f t="shared" si="881"/>
        <v>0.7496779680516622</v>
      </c>
      <c r="FF288" s="5">
        <f t="shared" si="882"/>
        <v>74.967796805166216</v>
      </c>
      <c r="FI288" s="562">
        <f t="shared" si="836"/>
        <v>-50</v>
      </c>
      <c r="FJ288">
        <f t="shared" si="837"/>
        <v>-50</v>
      </c>
      <c r="FL288">
        <f t="shared" si="838"/>
        <v>0.60727299281696867</v>
      </c>
    </row>
    <row r="289" spans="5:168">
      <c r="E289" s="170">
        <v>73</v>
      </c>
      <c r="F289" s="217">
        <f t="shared" si="839"/>
        <v>0.73</v>
      </c>
      <c r="G289" s="217"/>
      <c r="H289" s="217">
        <f t="shared" si="764"/>
        <v>11.68</v>
      </c>
      <c r="I289" s="541">
        <f t="shared" si="765"/>
        <v>59.941040772764644</v>
      </c>
      <c r="J289" s="172">
        <f t="shared" si="766"/>
        <v>16.435375536341212</v>
      </c>
      <c r="K289" s="172">
        <f t="shared" si="767"/>
        <v>76.376416309105849</v>
      </c>
      <c r="L289" s="443"/>
      <c r="M289" s="217">
        <f t="shared" si="768"/>
        <v>0.21519365826690767</v>
      </c>
      <c r="N289" s="172">
        <f t="shared" si="769"/>
        <v>33.214749498859021</v>
      </c>
      <c r="O289" s="172">
        <f t="shared" si="762"/>
        <v>11.68</v>
      </c>
      <c r="P289" s="217">
        <f t="shared" si="770"/>
        <v>2.0759218436786888</v>
      </c>
      <c r="Q289" s="217">
        <f t="shared" si="771"/>
        <v>16</v>
      </c>
      <c r="R289" s="217"/>
      <c r="S289" s="172">
        <f t="shared" si="772"/>
        <v>145.50082977310566</v>
      </c>
      <c r="T289" s="172">
        <f t="shared" si="773"/>
        <v>16</v>
      </c>
      <c r="U289" s="217">
        <f t="shared" si="774"/>
        <v>1.8110026692227899</v>
      </c>
      <c r="V289" s="217">
        <f t="shared" si="775"/>
        <v>0.36255680165880333</v>
      </c>
      <c r="W289" s="217">
        <f t="shared" si="776"/>
        <v>1.3222717048734616</v>
      </c>
      <c r="X289" s="197">
        <f t="shared" si="777"/>
        <v>350</v>
      </c>
      <c r="Y289" s="443">
        <f t="shared" si="840"/>
        <v>350</v>
      </c>
      <c r="AA289" s="217">
        <f t="shared" si="778"/>
        <v>3.0711098017247687</v>
      </c>
      <c r="AB289" s="173">
        <f t="shared" si="779"/>
        <v>2.2423167355810474</v>
      </c>
      <c r="AC289" s="173">
        <f t="shared" si="780"/>
        <v>1.2051201584125273</v>
      </c>
      <c r="AD289" s="173"/>
      <c r="AE289" s="173">
        <f t="shared" si="781"/>
        <v>0.73013238872857533</v>
      </c>
      <c r="AF289" s="545">
        <f t="shared" si="782"/>
        <v>1999.6373569215143</v>
      </c>
      <c r="AG289" s="528">
        <f t="shared" si="783"/>
        <v>0.12777316802750069</v>
      </c>
      <c r="AI289" s="173">
        <f t="shared" si="784"/>
        <v>2.3902404881526724</v>
      </c>
      <c r="AJ289" s="173">
        <f t="shared" si="785"/>
        <v>2.3902404881526724</v>
      </c>
      <c r="AK289" s="173">
        <f t="shared" si="786"/>
        <v>2.2298077690019795</v>
      </c>
      <c r="AM289" s="545">
        <f t="shared" si="787"/>
        <v>730</v>
      </c>
      <c r="AN289" s="460">
        <f t="shared" si="788"/>
        <v>350</v>
      </c>
      <c r="AP289">
        <f t="shared" si="789"/>
        <v>730</v>
      </c>
      <c r="AQ289">
        <f t="shared" si="790"/>
        <v>350</v>
      </c>
      <c r="AS289" s="5">
        <f t="shared" si="763"/>
        <v>2.8571428571428572</v>
      </c>
      <c r="AT289" s="5">
        <f t="shared" si="791"/>
        <v>0.47851831546549795</v>
      </c>
      <c r="AU289" s="5">
        <f t="shared" si="722"/>
        <v>2.3786245416773593</v>
      </c>
      <c r="AV289" s="5"/>
      <c r="AW289" s="173">
        <f t="shared" si="723"/>
        <v>0.16748141041292428</v>
      </c>
      <c r="AX289" s="173">
        <f t="shared" si="792"/>
        <v>11.997824141529085</v>
      </c>
      <c r="AY289" s="173">
        <f t="shared" si="793"/>
        <v>0.99495981998539307</v>
      </c>
      <c r="AZ289" s="173">
        <f t="shared" si="794"/>
        <v>12.058601664643327</v>
      </c>
      <c r="BA289" s="460">
        <f t="shared" si="724"/>
        <v>2.1832398143113347</v>
      </c>
      <c r="BB289" s="5">
        <f t="shared" si="725"/>
        <v>0.38624530439438898</v>
      </c>
      <c r="BD289" s="173">
        <f t="shared" si="841"/>
        <v>0.56476045056760238</v>
      </c>
      <c r="BE289" s="173">
        <f t="shared" si="842"/>
        <v>1.2591513665465803</v>
      </c>
      <c r="BG289" s="528">
        <f t="shared" si="843"/>
        <v>6.3790873305064255E-3</v>
      </c>
      <c r="BH289" s="528">
        <f t="shared" si="795"/>
        <v>1.1660892416204596</v>
      </c>
      <c r="BI289" s="528">
        <f t="shared" si="796"/>
        <v>0.48252537822075536</v>
      </c>
      <c r="BJ289" s="528">
        <f t="shared" si="844"/>
        <v>1.0055249073972417</v>
      </c>
      <c r="BK289">
        <f t="shared" si="845"/>
        <v>2.6973468347744091E-2</v>
      </c>
      <c r="BL289" s="460">
        <f t="shared" si="846"/>
        <v>509.4988465684994</v>
      </c>
      <c r="BM289" s="528">
        <f t="shared" si="797"/>
        <v>2.18302433693409</v>
      </c>
      <c r="BN289" s="460">
        <f t="shared" si="847"/>
        <v>2183.0243369340901</v>
      </c>
      <c r="BO289" s="528">
        <f t="shared" si="798"/>
        <v>0.51100000000000001</v>
      </c>
      <c r="BR289" s="460">
        <f t="shared" si="848"/>
        <v>511</v>
      </c>
      <c r="BS289" s="528">
        <f t="shared" si="849"/>
        <v>9.5686309957596378E-3</v>
      </c>
      <c r="BT289" s="528">
        <f t="shared" si="850"/>
        <v>4.7563864916283616E-2</v>
      </c>
      <c r="BU289" s="528">
        <f t="shared" si="851"/>
        <v>1.0121482108374227</v>
      </c>
      <c r="BV289" s="528"/>
      <c r="BW289" s="528">
        <f t="shared" si="852"/>
        <v>9.9981867846075691E-3</v>
      </c>
      <c r="BX289" s="460">
        <f t="shared" si="853"/>
        <v>1079.2788935340734</v>
      </c>
      <c r="BY289" s="173">
        <f t="shared" si="854"/>
        <v>4.277770976450781</v>
      </c>
      <c r="BZ289" s="5">
        <f t="shared" si="855"/>
        <v>11.68</v>
      </c>
      <c r="CA289" s="173">
        <f t="shared" si="856"/>
        <v>0.73193179782041118</v>
      </c>
      <c r="CB289" s="5">
        <f t="shared" si="857"/>
        <v>73.193179782041113</v>
      </c>
      <c r="CE289" s="562">
        <f t="shared" si="799"/>
        <v>-50</v>
      </c>
      <c r="CF289">
        <f t="shared" si="800"/>
        <v>-50</v>
      </c>
      <c r="CG289" s="173">
        <f t="shared" si="801"/>
        <v>0.61907188597124974</v>
      </c>
      <c r="CI289" s="170">
        <v>73</v>
      </c>
      <c r="CJ289" s="217">
        <f t="shared" si="858"/>
        <v>0.73</v>
      </c>
      <c r="CK289" s="217"/>
      <c r="CL289" s="217">
        <f t="shared" si="802"/>
        <v>11.68</v>
      </c>
      <c r="CM289" s="541">
        <f t="shared" si="803"/>
        <v>60</v>
      </c>
      <c r="CN289" s="443">
        <f t="shared" si="804"/>
        <v>16.399999999999999</v>
      </c>
      <c r="CO289" s="443">
        <f t="shared" si="805"/>
        <v>76.400000000000006</v>
      </c>
      <c r="CP289" s="443"/>
      <c r="CQ289" s="217">
        <f t="shared" si="806"/>
        <v>0.21465968586387432</v>
      </c>
      <c r="CR289" s="172">
        <f t="shared" si="807"/>
        <v>33.164921465968582</v>
      </c>
      <c r="CS289" s="172">
        <f t="shared" si="808"/>
        <v>11.68</v>
      </c>
      <c r="CT289" s="217">
        <f t="shared" si="809"/>
        <v>2.0728075916230364</v>
      </c>
      <c r="CU289" s="217">
        <f t="shared" si="810"/>
        <v>16</v>
      </c>
      <c r="CV289" s="217"/>
      <c r="CW289" s="172">
        <f t="shared" si="811"/>
        <v>145.64378633154024</v>
      </c>
      <c r="CX289" s="172">
        <f t="shared" si="812"/>
        <v>16</v>
      </c>
      <c r="CY289" s="217">
        <f t="shared" si="813"/>
        <v>1.8137235772357725</v>
      </c>
      <c r="CZ289" s="217">
        <f t="shared" si="814"/>
        <v>0.36274471544715448</v>
      </c>
      <c r="DA289" s="217">
        <f t="shared" si="815"/>
        <v>1.3271148126115411</v>
      </c>
      <c r="DB289" s="197">
        <f t="shared" si="816"/>
        <v>350</v>
      </c>
      <c r="DC289" s="443">
        <f t="shared" si="817"/>
        <v>350</v>
      </c>
      <c r="DE289" s="217">
        <f t="shared" si="818"/>
        <v>3.06656694091249</v>
      </c>
      <c r="DF289" s="173">
        <f t="shared" si="819"/>
        <v>2.2438294689603588</v>
      </c>
      <c r="DG289" s="173">
        <f t="shared" si="820"/>
        <v>1.2041493223478366</v>
      </c>
      <c r="DH289" s="173"/>
      <c r="DI289" s="173">
        <f t="shared" si="821"/>
        <v>0.73170731707317083</v>
      </c>
      <c r="DJ289" s="545">
        <f t="shared" si="822"/>
        <v>1995.333333333333</v>
      </c>
      <c r="DK289" s="528">
        <f t="shared" si="823"/>
        <v>0.12804878048780488</v>
      </c>
      <c r="DM289" s="173">
        <f t="shared" si="824"/>
        <v>2.3876667231739819</v>
      </c>
      <c r="DN289" s="173">
        <f t="shared" si="825"/>
        <v>2.3876667231739819</v>
      </c>
      <c r="DO289" s="173">
        <f t="shared" si="826"/>
        <v>2.2279012764251718</v>
      </c>
      <c r="DQ289" s="545">
        <f t="shared" si="827"/>
        <v>730</v>
      </c>
      <c r="DR289" s="460">
        <f t="shared" si="828"/>
        <v>350</v>
      </c>
      <c r="DT289">
        <f t="shared" si="829"/>
        <v>730</v>
      </c>
      <c r="DU289">
        <f t="shared" si="830"/>
        <v>350</v>
      </c>
      <c r="DW289" s="5">
        <f t="shared" si="859"/>
        <v>2.8571428571428572</v>
      </c>
      <c r="DX289" s="5">
        <f t="shared" si="831"/>
        <v>0.47753334463479635</v>
      </c>
      <c r="DY289" s="5">
        <f t="shared" si="832"/>
        <v>2.3796095125080607</v>
      </c>
      <c r="DZ289" s="5"/>
      <c r="EA289" s="173">
        <f t="shared" si="833"/>
        <v>0.16713667062217871</v>
      </c>
      <c r="EB289" s="173">
        <f t="shared" si="860"/>
        <v>11.971999999999996</v>
      </c>
      <c r="EC289" s="173">
        <f t="shared" si="861"/>
        <v>0.9943000282536576</v>
      </c>
      <c r="ED289" s="173">
        <f t="shared" si="862"/>
        <v>12.040631257978601</v>
      </c>
      <c r="EE289" s="460">
        <f t="shared" si="834"/>
        <v>2.1787458848962586</v>
      </c>
      <c r="EF289" s="5">
        <f t="shared" si="835"/>
        <v>0.38602554314019644</v>
      </c>
      <c r="EH289" s="173">
        <f t="shared" si="863"/>
        <v>0.56357140935524264</v>
      </c>
      <c r="EI289" s="173">
        <f t="shared" si="864"/>
        <v>1.2580559315367523</v>
      </c>
      <c r="EK289" s="528">
        <f t="shared" si="865"/>
        <v>6.3522546688530891E-3</v>
      </c>
      <c r="EL289" s="528">
        <f t="shared" si="866"/>
        <v>1.2130779553757733</v>
      </c>
      <c r="EM289" s="528">
        <f t="shared" si="867"/>
        <v>4.0250000000000001E-2</v>
      </c>
      <c r="EN289" s="528">
        <f t="shared" si="868"/>
        <v>1.0061459800000001</v>
      </c>
      <c r="EO289">
        <f t="shared" si="869"/>
        <v>2.7E-2</v>
      </c>
      <c r="EP289" s="460">
        <f t="shared" si="870"/>
        <v>67.25</v>
      </c>
      <c r="EQ289" s="460"/>
      <c r="ER289" s="460">
        <f t="shared" si="871"/>
        <v>2292.8261900446264</v>
      </c>
      <c r="ES289" s="528">
        <f t="shared" si="872"/>
        <v>0.51100000000000001</v>
      </c>
      <c r="EV289" s="460">
        <f t="shared" si="873"/>
        <v>511</v>
      </c>
      <c r="EW289" s="528">
        <f t="shared" si="874"/>
        <v>9.5283820032796337E-3</v>
      </c>
      <c r="EX289" s="528">
        <f t="shared" si="875"/>
        <v>4.7481141806244166E-2</v>
      </c>
      <c r="EY289" s="528">
        <f t="shared" si="876"/>
        <v>1.0094257565249269</v>
      </c>
      <c r="EZ289" s="528"/>
      <c r="FA289" s="528">
        <f t="shared" si="877"/>
        <v>9.9766666666666649E-3</v>
      </c>
      <c r="FB289" s="460">
        <f t="shared" si="878"/>
        <v>1076.4119470011176</v>
      </c>
      <c r="FC289" s="173">
        <f t="shared" si="879"/>
        <v>3.8802381370457439</v>
      </c>
      <c r="FD289" s="5">
        <f t="shared" si="880"/>
        <v>11.68</v>
      </c>
      <c r="FE289" s="173">
        <f t="shared" si="881"/>
        <v>0.75063118553387109</v>
      </c>
      <c r="FF289" s="5">
        <f t="shared" si="882"/>
        <v>75.063118553387113</v>
      </c>
      <c r="FI289" s="562">
        <f t="shared" si="836"/>
        <v>-50</v>
      </c>
      <c r="FJ289">
        <f t="shared" si="837"/>
        <v>-50</v>
      </c>
      <c r="FL289">
        <f t="shared" si="838"/>
        <v>0.61147562422748325</v>
      </c>
    </row>
    <row r="290" spans="5:168">
      <c r="E290" s="170">
        <v>74</v>
      </c>
      <c r="F290" s="217">
        <f t="shared" si="839"/>
        <v>0.74</v>
      </c>
      <c r="G290" s="217"/>
      <c r="H290" s="217">
        <f t="shared" si="764"/>
        <v>11.84</v>
      </c>
      <c r="I290" s="541">
        <f t="shared" si="765"/>
        <v>59.940638316029535</v>
      </c>
      <c r="J290" s="172">
        <f t="shared" si="766"/>
        <v>16.435617010382277</v>
      </c>
      <c r="K290" s="172">
        <f t="shared" si="767"/>
        <v>76.376255326411808</v>
      </c>
      <c r="L290" s="443"/>
      <c r="M290" s="217">
        <f t="shared" si="768"/>
        <v>0.21519730428408551</v>
      </c>
      <c r="N290" s="172">
        <f t="shared" si="769"/>
        <v>33.215089240393077</v>
      </c>
      <c r="O290" s="172">
        <f t="shared" si="762"/>
        <v>11.84</v>
      </c>
      <c r="P290" s="217">
        <f t="shared" si="770"/>
        <v>2.0759430775245673</v>
      </c>
      <c r="Q290" s="217">
        <f t="shared" si="771"/>
        <v>16</v>
      </c>
      <c r="R290" s="217"/>
      <c r="S290" s="172">
        <f t="shared" si="772"/>
        <v>142.72903312450308</v>
      </c>
      <c r="T290" s="172">
        <f t="shared" si="773"/>
        <v>16</v>
      </c>
      <c r="U290" s="217">
        <f t="shared" si="774"/>
        <v>1.8357921473185961</v>
      </c>
      <c r="V290" s="217">
        <f t="shared" si="775"/>
        <v>0.36752204158513185</v>
      </c>
      <c r="W290" s="217">
        <f t="shared" si="776"/>
        <v>1.3403516128361503</v>
      </c>
      <c r="X290" s="197">
        <f t="shared" si="777"/>
        <v>350</v>
      </c>
      <c r="Y290" s="443">
        <f t="shared" si="840"/>
        <v>350</v>
      </c>
      <c r="AA290" s="217">
        <f t="shared" si="778"/>
        <v>3.0711407763284448</v>
      </c>
      <c r="AB290" s="173">
        <f t="shared" si="779"/>
        <v>2.2423064064258185</v>
      </c>
      <c r="AC290" s="173">
        <f t="shared" si="780"/>
        <v>1.2051267616144457</v>
      </c>
      <c r="AD290" s="173"/>
      <c r="AE290" s="173">
        <f t="shared" si="781"/>
        <v>0.73012166153662961</v>
      </c>
      <c r="AF290" s="545">
        <f t="shared" si="782"/>
        <v>2027.0594312804808</v>
      </c>
      <c r="AG290" s="528">
        <f t="shared" si="783"/>
        <v>0.1277712907689102</v>
      </c>
      <c r="AI290" s="173">
        <f t="shared" si="784"/>
        <v>2.4065739911931003</v>
      </c>
      <c r="AJ290" s="173">
        <f t="shared" si="785"/>
        <v>2.4065739911931003</v>
      </c>
      <c r="AK290" s="173">
        <f t="shared" si="786"/>
        <v>2.2419066601430373</v>
      </c>
      <c r="AM290" s="545">
        <f t="shared" si="787"/>
        <v>740</v>
      </c>
      <c r="AN290" s="460">
        <f t="shared" si="788"/>
        <v>350</v>
      </c>
      <c r="AP290">
        <f t="shared" si="789"/>
        <v>740</v>
      </c>
      <c r="AQ290">
        <f t="shared" si="790"/>
        <v>350</v>
      </c>
      <c r="AS290" s="5">
        <f t="shared" si="763"/>
        <v>2.8571428571428572</v>
      </c>
      <c r="AT290" s="5">
        <f t="shared" si="791"/>
        <v>0.48179146411582863</v>
      </c>
      <c r="AU290" s="5">
        <f t="shared" si="722"/>
        <v>2.3753513930270285</v>
      </c>
      <c r="AV290" s="5"/>
      <c r="AW290" s="173">
        <f t="shared" si="723"/>
        <v>0.16862701244054001</v>
      </c>
      <c r="AX290" s="173">
        <f t="shared" si="792"/>
        <v>12.162356587682886</v>
      </c>
      <c r="AY290" s="173">
        <f t="shared" si="793"/>
        <v>1.0003803044205506</v>
      </c>
      <c r="AZ290" s="173">
        <f t="shared" si="794"/>
        <v>12.15773294809885</v>
      </c>
      <c r="BA290" s="460">
        <f t="shared" si="724"/>
        <v>2.2282855215357076</v>
      </c>
      <c r="BB290" s="5">
        <f t="shared" si="725"/>
        <v>0.39100018067262488</v>
      </c>
      <c r="BD290" s="173">
        <f t="shared" si="841"/>
        <v>0.57056110722878806</v>
      </c>
      <c r="BE290" s="173">
        <f t="shared" si="842"/>
        <v>1.2668831100829923</v>
      </c>
      <c r="BG290" s="528">
        <f t="shared" si="843"/>
        <v>6.5107995416428125E-3</v>
      </c>
      <c r="BH290" s="528">
        <f t="shared" si="795"/>
        <v>1.1740551376547375</v>
      </c>
      <c r="BI290" s="528">
        <f t="shared" si="796"/>
        <v>0.4825221384440378</v>
      </c>
      <c r="BJ290" s="528">
        <f t="shared" si="844"/>
        <v>1.0055206686034945</v>
      </c>
      <c r="BK290">
        <f t="shared" si="845"/>
        <v>2.697328724221329E-2</v>
      </c>
      <c r="BL290" s="460">
        <f t="shared" si="846"/>
        <v>509.49542568625105</v>
      </c>
      <c r="BM290" s="528">
        <f t="shared" si="797"/>
        <v>2.1912342865521097</v>
      </c>
      <c r="BN290" s="460">
        <f t="shared" si="847"/>
        <v>2191.2342865521096</v>
      </c>
      <c r="BO290" s="528">
        <f t="shared" si="798"/>
        <v>0.51800000000000002</v>
      </c>
      <c r="BR290" s="460">
        <f t="shared" si="848"/>
        <v>518</v>
      </c>
      <c r="BS290" s="528">
        <f t="shared" si="849"/>
        <v>9.7661993124642174E-3</v>
      </c>
      <c r="BT290" s="528">
        <f t="shared" si="850"/>
        <v>4.8149784438406652E-2</v>
      </c>
      <c r="BU290" s="528">
        <f t="shared" si="851"/>
        <v>1.0295279990810957</v>
      </c>
      <c r="BV290" s="528"/>
      <c r="BW290" s="528">
        <f t="shared" si="852"/>
        <v>1.0135297156402405E-2</v>
      </c>
      <c r="BX290" s="460">
        <f t="shared" si="853"/>
        <v>1097.5792799883691</v>
      </c>
      <c r="BY290" s="173">
        <f t="shared" si="854"/>
        <v>4.3111613114744953</v>
      </c>
      <c r="BZ290" s="5">
        <f t="shared" si="855"/>
        <v>11.84</v>
      </c>
      <c r="CA290" s="173">
        <f t="shared" si="856"/>
        <v>0.7330742212071365</v>
      </c>
      <c r="CB290" s="5">
        <f t="shared" si="857"/>
        <v>73.307422120713653</v>
      </c>
      <c r="CE290" s="562">
        <f t="shared" si="799"/>
        <v>-50</v>
      </c>
      <c r="CF290">
        <f t="shared" si="800"/>
        <v>-50</v>
      </c>
      <c r="CG290" s="173">
        <f t="shared" si="801"/>
        <v>0.62329768168989685</v>
      </c>
      <c r="CI290" s="170">
        <v>74</v>
      </c>
      <c r="CJ290" s="217">
        <f t="shared" si="858"/>
        <v>0.74</v>
      </c>
      <c r="CK290" s="217"/>
      <c r="CL290" s="217">
        <f t="shared" si="802"/>
        <v>11.84</v>
      </c>
      <c r="CM290" s="541">
        <f t="shared" si="803"/>
        <v>60</v>
      </c>
      <c r="CN290" s="443">
        <f t="shared" si="804"/>
        <v>16.399999999999999</v>
      </c>
      <c r="CO290" s="443">
        <f t="shared" si="805"/>
        <v>76.400000000000006</v>
      </c>
      <c r="CP290" s="443"/>
      <c r="CQ290" s="217">
        <f t="shared" si="806"/>
        <v>0.21465968586387432</v>
      </c>
      <c r="CR290" s="172">
        <f t="shared" si="807"/>
        <v>33.164921465968582</v>
      </c>
      <c r="CS290" s="172">
        <f t="shared" si="808"/>
        <v>11.84</v>
      </c>
      <c r="CT290" s="217">
        <f t="shared" si="809"/>
        <v>2.0728075916230364</v>
      </c>
      <c r="CU290" s="217">
        <f t="shared" si="810"/>
        <v>16</v>
      </c>
      <c r="CV290" s="217"/>
      <c r="CW290" s="172">
        <f t="shared" si="811"/>
        <v>142.87021832653807</v>
      </c>
      <c r="CX290" s="172">
        <f t="shared" si="812"/>
        <v>16</v>
      </c>
      <c r="CY290" s="217">
        <f t="shared" si="813"/>
        <v>1.8385691056910571</v>
      </c>
      <c r="CZ290" s="217">
        <f t="shared" si="814"/>
        <v>0.36771382113821144</v>
      </c>
      <c r="DA290" s="217">
        <f t="shared" si="815"/>
        <v>1.3452944675788225</v>
      </c>
      <c r="DB290" s="197">
        <f t="shared" si="816"/>
        <v>350</v>
      </c>
      <c r="DC290" s="443">
        <f t="shared" si="817"/>
        <v>350</v>
      </c>
      <c r="DE290" s="217">
        <f t="shared" si="818"/>
        <v>3.06656694091249</v>
      </c>
      <c r="DF290" s="173">
        <f t="shared" si="819"/>
        <v>2.2438294689603588</v>
      </c>
      <c r="DG290" s="173">
        <f t="shared" si="820"/>
        <v>1.2041493223478366</v>
      </c>
      <c r="DH290" s="173"/>
      <c r="DI290" s="173">
        <f t="shared" si="821"/>
        <v>0.73170731707317083</v>
      </c>
      <c r="DJ290" s="545">
        <f t="shared" si="822"/>
        <v>2022.6666666666663</v>
      </c>
      <c r="DK290" s="528">
        <f t="shared" si="823"/>
        <v>0.12804878048780488</v>
      </c>
      <c r="DM290" s="173">
        <f t="shared" si="824"/>
        <v>2.4039649787481552</v>
      </c>
      <c r="DN290" s="173">
        <f t="shared" si="825"/>
        <v>2.4039649787481552</v>
      </c>
      <c r="DO290" s="173">
        <f t="shared" si="826"/>
        <v>2.2399740583319669</v>
      </c>
      <c r="DQ290" s="545">
        <f t="shared" si="827"/>
        <v>740</v>
      </c>
      <c r="DR290" s="460">
        <f t="shared" si="828"/>
        <v>350</v>
      </c>
      <c r="DT290">
        <f t="shared" si="829"/>
        <v>740</v>
      </c>
      <c r="DU290">
        <f t="shared" si="830"/>
        <v>350</v>
      </c>
      <c r="DW290" s="5">
        <f t="shared" si="859"/>
        <v>2.8571428571428572</v>
      </c>
      <c r="DX290" s="5">
        <f t="shared" si="831"/>
        <v>0.48079299574963108</v>
      </c>
      <c r="DY290" s="5">
        <f t="shared" si="832"/>
        <v>2.3763498613932263</v>
      </c>
      <c r="DZ290" s="5"/>
      <c r="EA290" s="173">
        <f t="shared" si="833"/>
        <v>0.16827754851237087</v>
      </c>
      <c r="EB290" s="173">
        <f t="shared" si="860"/>
        <v>12.135999999999997</v>
      </c>
      <c r="EC290" s="173">
        <f t="shared" si="861"/>
        <v>0.99971582270741099</v>
      </c>
      <c r="ED290" s="173">
        <f t="shared" si="862"/>
        <v>12.139449755965169</v>
      </c>
      <c r="EE290" s="460">
        <f t="shared" si="834"/>
        <v>2.2236676053420439</v>
      </c>
      <c r="EF290" s="5">
        <f t="shared" si="835"/>
        <v>0.39077753276244165</v>
      </c>
      <c r="EH290" s="173">
        <f t="shared" si="863"/>
        <v>0.56935166814825056</v>
      </c>
      <c r="EI290" s="173">
        <f t="shared" si="864"/>
        <v>1.2657756058346246</v>
      </c>
      <c r="EK290" s="528">
        <f t="shared" si="865"/>
        <v>6.4832264404639127E-3</v>
      </c>
      <c r="EL290" s="528">
        <f t="shared" si="866"/>
        <v>1.2213584471027878</v>
      </c>
      <c r="EM290" s="528">
        <f t="shared" si="867"/>
        <v>4.0250000000000001E-2</v>
      </c>
      <c r="EN290" s="528">
        <f t="shared" si="868"/>
        <v>1.0061459800000001</v>
      </c>
      <c r="EO290">
        <f t="shared" si="869"/>
        <v>2.7E-2</v>
      </c>
      <c r="EP290" s="460">
        <f t="shared" si="870"/>
        <v>67.25</v>
      </c>
      <c r="EQ290" s="460"/>
      <c r="ER290" s="460">
        <f t="shared" si="871"/>
        <v>2301.2376535432518</v>
      </c>
      <c r="ES290" s="528">
        <f t="shared" si="872"/>
        <v>0.51800000000000002</v>
      </c>
      <c r="EV290" s="460">
        <f t="shared" si="873"/>
        <v>518</v>
      </c>
      <c r="EW290" s="528">
        <f t="shared" si="874"/>
        <v>9.7248396606958686E-3</v>
      </c>
      <c r="EX290" s="528">
        <f t="shared" si="875"/>
        <v>4.8065636529780326E-2</v>
      </c>
      <c r="EY290" s="528">
        <f t="shared" si="876"/>
        <v>1.0267399404475883</v>
      </c>
      <c r="EZ290" s="528"/>
      <c r="FA290" s="528">
        <f t="shared" si="877"/>
        <v>1.0113333333333332E-2</v>
      </c>
      <c r="FB290" s="460">
        <f t="shared" si="878"/>
        <v>1094.6437499713979</v>
      </c>
      <c r="FC290" s="173">
        <f t="shared" si="879"/>
        <v>3.9138814035146496</v>
      </c>
      <c r="FD290" s="5">
        <f t="shared" si="880"/>
        <v>11.84</v>
      </c>
      <c r="FE290" s="173">
        <f t="shared" si="881"/>
        <v>0.75156081836178656</v>
      </c>
      <c r="FF290" s="5">
        <f t="shared" si="882"/>
        <v>75.156081836178657</v>
      </c>
      <c r="FI290" s="562">
        <f t="shared" si="836"/>
        <v>-50</v>
      </c>
      <c r="FJ290">
        <f t="shared" si="837"/>
        <v>-50</v>
      </c>
      <c r="FL290">
        <f t="shared" si="838"/>
        <v>0.61564956772818613</v>
      </c>
    </row>
    <row r="291" spans="5:168">
      <c r="E291" s="170">
        <v>75</v>
      </c>
      <c r="F291" s="217">
        <f t="shared" si="839"/>
        <v>0.75</v>
      </c>
      <c r="G291" s="217"/>
      <c r="H291" s="217">
        <f t="shared" si="764"/>
        <v>12</v>
      </c>
      <c r="I291" s="541">
        <f t="shared" si="765"/>
        <v>59.940238569533278</v>
      </c>
      <c r="J291" s="172">
        <f t="shared" si="766"/>
        <v>16.43585685828003</v>
      </c>
      <c r="K291" s="172">
        <f t="shared" si="767"/>
        <v>76.376095427813311</v>
      </c>
      <c r="L291" s="443"/>
      <c r="M291" s="217">
        <f t="shared" si="768"/>
        <v>0.21520092576305253</v>
      </c>
      <c r="N291" s="172">
        <f t="shared" si="769"/>
        <v>33.215426688851103</v>
      </c>
      <c r="O291" s="172">
        <f t="shared" si="762"/>
        <v>12</v>
      </c>
      <c r="P291" s="217">
        <f t="shared" si="770"/>
        <v>2.0759641680531939</v>
      </c>
      <c r="Q291" s="217">
        <f t="shared" si="771"/>
        <v>16</v>
      </c>
      <c r="R291" s="217"/>
      <c r="S291" s="172">
        <f t="shared" si="772"/>
        <v>140.03128852463556</v>
      </c>
      <c r="T291" s="172">
        <f t="shared" si="773"/>
        <v>16</v>
      </c>
      <c r="U291" s="217">
        <f t="shared" si="774"/>
        <v>1.8605812467477176</v>
      </c>
      <c r="V291" s="217">
        <f t="shared" si="775"/>
        <v>0.37248725553656836</v>
      </c>
      <c r="W291" s="217">
        <f t="shared" si="776"/>
        <v>1.3584308474750899</v>
      </c>
      <c r="X291" s="197">
        <f t="shared" si="777"/>
        <v>350</v>
      </c>
      <c r="Y291" s="443">
        <f t="shared" si="840"/>
        <v>350</v>
      </c>
      <c r="AA291" s="217">
        <f t="shared" si="778"/>
        <v>3.0711715418712613</v>
      </c>
      <c r="AB291" s="173">
        <f t="shared" si="779"/>
        <v>2.2422961467864608</v>
      </c>
      <c r="AC291" s="173">
        <f t="shared" si="780"/>
        <v>1.2051333200301786</v>
      </c>
      <c r="AD291" s="173"/>
      <c r="AE291" s="173">
        <f t="shared" si="781"/>
        <v>0.73011100689616071</v>
      </c>
      <c r="AF291" s="545">
        <f t="shared" si="782"/>
        <v>2054.4821072850036</v>
      </c>
      <c r="AG291" s="528">
        <f t="shared" si="783"/>
        <v>0.12776942620682813</v>
      </c>
      <c r="AI291" s="173">
        <f t="shared" si="784"/>
        <v>2.4227977377315577</v>
      </c>
      <c r="AJ291" s="173">
        <f t="shared" si="785"/>
        <v>2.4227977377315577</v>
      </c>
      <c r="AK291" s="173">
        <f t="shared" si="786"/>
        <v>2.253924250171524</v>
      </c>
      <c r="AM291" s="545">
        <f t="shared" si="787"/>
        <v>750</v>
      </c>
      <c r="AN291" s="460">
        <f t="shared" si="788"/>
        <v>350</v>
      </c>
      <c r="AP291">
        <f t="shared" si="789"/>
        <v>750</v>
      </c>
      <c r="AQ291">
        <f t="shared" si="790"/>
        <v>350</v>
      </c>
      <c r="AS291" s="5">
        <f t="shared" si="763"/>
        <v>2.8571428571428572</v>
      </c>
      <c r="AT291" s="5">
        <f t="shared" si="791"/>
        <v>0.48504266160122278</v>
      </c>
      <c r="AU291" s="5">
        <f t="shared" si="722"/>
        <v>2.3721001955416345</v>
      </c>
      <c r="AV291" s="5"/>
      <c r="AW291" s="173">
        <f t="shared" si="723"/>
        <v>0.16976493156042796</v>
      </c>
      <c r="AX291" s="173">
        <f t="shared" si="792"/>
        <v>12.326892643710023</v>
      </c>
      <c r="AY291" s="173">
        <f t="shared" si="793"/>
        <v>1.0057458228004001</v>
      </c>
      <c r="AZ291" s="173">
        <f t="shared" si="794"/>
        <v>12.256469143850884</v>
      </c>
      <c r="BA291" s="460">
        <f t="shared" si="724"/>
        <v>2.2736374762557321</v>
      </c>
      <c r="BB291" s="5">
        <f t="shared" si="725"/>
        <v>0.39574420325169291</v>
      </c>
      <c r="BD291" s="173">
        <f t="shared" si="841"/>
        <v>0.57634233736834084</v>
      </c>
      <c r="BE291" s="173">
        <f t="shared" si="842"/>
        <v>1.2745505624111251</v>
      </c>
      <c r="BG291" s="528">
        <f t="shared" si="843"/>
        <v>6.6434097968640481E-3</v>
      </c>
      <c r="BH291" s="528">
        <f t="shared" si="795"/>
        <v>1.1819674719131235</v>
      </c>
      <c r="BI291" s="528">
        <f t="shared" si="796"/>
        <v>0.48251892048474293</v>
      </c>
      <c r="BJ291" s="528">
        <f t="shared" si="844"/>
        <v>1.005516458363632</v>
      </c>
      <c r="BK291">
        <f t="shared" si="845"/>
        <v>2.6973107356289973E-2</v>
      </c>
      <c r="BL291" s="460">
        <f t="shared" si="846"/>
        <v>509.49202784103289</v>
      </c>
      <c r="BM291" s="528">
        <f t="shared" si="797"/>
        <v>2.1993927453520148</v>
      </c>
      <c r="BN291" s="460">
        <f t="shared" si="847"/>
        <v>2199.3927453520146</v>
      </c>
      <c r="BO291" s="528">
        <f t="shared" si="798"/>
        <v>0.52499999999999991</v>
      </c>
      <c r="BR291" s="460">
        <f t="shared" si="848"/>
        <v>524.99999999999989</v>
      </c>
      <c r="BS291" s="528">
        <f t="shared" si="849"/>
        <v>9.9651146952960713E-3</v>
      </c>
      <c r="BT291" s="528">
        <f t="shared" si="850"/>
        <v>4.8734374084275459E-2</v>
      </c>
      <c r="BU291" s="528">
        <f t="shared" si="851"/>
        <v>1.0469670501294328</v>
      </c>
      <c r="BV291" s="528"/>
      <c r="BW291" s="528">
        <f t="shared" si="852"/>
        <v>1.027241053642502E-2</v>
      </c>
      <c r="BX291" s="460">
        <f t="shared" si="853"/>
        <v>1115.9389494454292</v>
      </c>
      <c r="BY291" s="173">
        <f t="shared" si="854"/>
        <v>4.3445583173600815</v>
      </c>
      <c r="BZ291" s="5">
        <f t="shared" si="855"/>
        <v>12</v>
      </c>
      <c r="CA291" s="173">
        <f t="shared" si="856"/>
        <v>0.73418931041130753</v>
      </c>
      <c r="CB291" s="5">
        <f t="shared" si="857"/>
        <v>73.418931041130747</v>
      </c>
      <c r="CE291" s="562">
        <f t="shared" si="799"/>
        <v>-50</v>
      </c>
      <c r="CF291">
        <f t="shared" si="800"/>
        <v>-50</v>
      </c>
      <c r="CG291" s="173">
        <f t="shared" si="801"/>
        <v>0.62749501990055667</v>
      </c>
      <c r="CI291" s="170">
        <v>75</v>
      </c>
      <c r="CJ291" s="217">
        <f t="shared" si="858"/>
        <v>0.75</v>
      </c>
      <c r="CK291" s="217"/>
      <c r="CL291" s="217">
        <f t="shared" si="802"/>
        <v>12</v>
      </c>
      <c r="CM291" s="541">
        <f t="shared" si="803"/>
        <v>60</v>
      </c>
      <c r="CN291" s="443">
        <f t="shared" si="804"/>
        <v>16.399999999999999</v>
      </c>
      <c r="CO291" s="443">
        <f t="shared" si="805"/>
        <v>76.400000000000006</v>
      </c>
      <c r="CP291" s="443"/>
      <c r="CQ291" s="217">
        <f t="shared" si="806"/>
        <v>0.21465968586387432</v>
      </c>
      <c r="CR291" s="172">
        <f t="shared" si="807"/>
        <v>33.164921465968582</v>
      </c>
      <c r="CS291" s="172">
        <f t="shared" si="808"/>
        <v>12</v>
      </c>
      <c r="CT291" s="217">
        <f t="shared" si="809"/>
        <v>2.0728075916230364</v>
      </c>
      <c r="CU291" s="217">
        <f t="shared" si="810"/>
        <v>16</v>
      </c>
      <c r="CV291" s="217"/>
      <c r="CW291" s="172">
        <f t="shared" si="811"/>
        <v>140.1707325526742</v>
      </c>
      <c r="CX291" s="172">
        <f t="shared" si="812"/>
        <v>16</v>
      </c>
      <c r="CY291" s="217">
        <f t="shared" si="813"/>
        <v>1.8634146341463416</v>
      </c>
      <c r="CZ291" s="217">
        <f t="shared" si="814"/>
        <v>0.37268292682926829</v>
      </c>
      <c r="DA291" s="217">
        <f t="shared" si="815"/>
        <v>1.3634741225461036</v>
      </c>
      <c r="DB291" s="197">
        <f t="shared" si="816"/>
        <v>350</v>
      </c>
      <c r="DC291" s="443">
        <f t="shared" si="817"/>
        <v>350</v>
      </c>
      <c r="DE291" s="217">
        <f t="shared" si="818"/>
        <v>3.06656694091249</v>
      </c>
      <c r="DF291" s="173">
        <f t="shared" si="819"/>
        <v>2.2438294689603588</v>
      </c>
      <c r="DG291" s="173">
        <f t="shared" si="820"/>
        <v>1.2041493223478366</v>
      </c>
      <c r="DH291" s="173"/>
      <c r="DI291" s="173">
        <f t="shared" si="821"/>
        <v>0.73170731707317083</v>
      </c>
      <c r="DJ291" s="545">
        <f t="shared" si="822"/>
        <v>2049.9999999999995</v>
      </c>
      <c r="DK291" s="528">
        <f t="shared" si="823"/>
        <v>0.12804878048780488</v>
      </c>
      <c r="DM291" s="173">
        <f t="shared" si="824"/>
        <v>2.4201534780139164</v>
      </c>
      <c r="DN291" s="173">
        <f t="shared" si="825"/>
        <v>2.4201534780139164</v>
      </c>
      <c r="DO291" s="173">
        <f t="shared" si="826"/>
        <v>2.2519655392695679</v>
      </c>
      <c r="DQ291" s="545">
        <f t="shared" si="827"/>
        <v>750</v>
      </c>
      <c r="DR291" s="460">
        <f t="shared" si="828"/>
        <v>350</v>
      </c>
      <c r="DT291">
        <f t="shared" si="829"/>
        <v>750</v>
      </c>
      <c r="DU291">
        <f t="shared" si="830"/>
        <v>350</v>
      </c>
      <c r="DW291" s="5">
        <f t="shared" si="859"/>
        <v>2.8571428571428572</v>
      </c>
      <c r="DX291" s="5">
        <f t="shared" si="831"/>
        <v>0.48403069560278328</v>
      </c>
      <c r="DY291" s="5">
        <f t="shared" si="832"/>
        <v>2.3731121615400741</v>
      </c>
      <c r="DZ291" s="5"/>
      <c r="EA291" s="173">
        <f t="shared" si="833"/>
        <v>0.16941074346097415</v>
      </c>
      <c r="EB291" s="173">
        <f t="shared" si="860"/>
        <v>12.3</v>
      </c>
      <c r="EC291" s="173">
        <f t="shared" si="861"/>
        <v>1.0050767390069582</v>
      </c>
      <c r="ED291" s="173">
        <f t="shared" si="862"/>
        <v>12.237871520290797</v>
      </c>
      <c r="EE291" s="460">
        <f t="shared" si="834"/>
        <v>2.2688938856380467</v>
      </c>
      <c r="EF291" s="5">
        <f t="shared" si="835"/>
        <v>0.39551869359001229</v>
      </c>
      <c r="EH291" s="173">
        <f t="shared" si="863"/>
        <v>0.57511243132269529</v>
      </c>
      <c r="EI291" s="173">
        <f t="shared" si="864"/>
        <v>1.2734310518120133</v>
      </c>
      <c r="EK291" s="528">
        <f t="shared" si="865"/>
        <v>6.6150861732380386E-3</v>
      </c>
      <c r="EL291" s="528">
        <f t="shared" si="866"/>
        <v>1.2295831760397506</v>
      </c>
      <c r="EM291" s="528">
        <f t="shared" si="867"/>
        <v>4.0250000000000001E-2</v>
      </c>
      <c r="EN291" s="528">
        <f t="shared" si="868"/>
        <v>1.0061459800000001</v>
      </c>
      <c r="EO291">
        <f t="shared" si="869"/>
        <v>2.7E-2</v>
      </c>
      <c r="EP291" s="460">
        <f t="shared" si="870"/>
        <v>67.25</v>
      </c>
      <c r="EQ291" s="460"/>
      <c r="ER291" s="460">
        <f t="shared" si="871"/>
        <v>2309.5942422129888</v>
      </c>
      <c r="ES291" s="528">
        <f t="shared" si="872"/>
        <v>0.52499999999999991</v>
      </c>
      <c r="EV291" s="460">
        <f t="shared" si="873"/>
        <v>524.99999999999989</v>
      </c>
      <c r="EW291" s="528">
        <f t="shared" si="874"/>
        <v>9.9226292598570565E-3</v>
      </c>
      <c r="EX291" s="528">
        <f t="shared" si="875"/>
        <v>4.8648799311571511E-2</v>
      </c>
      <c r="EY291" s="528">
        <f t="shared" si="876"/>
        <v>1.0441127187165655</v>
      </c>
      <c r="EZ291" s="528"/>
      <c r="FA291" s="528">
        <f t="shared" si="877"/>
        <v>1.025E-2</v>
      </c>
      <c r="FB291" s="460">
        <f t="shared" si="878"/>
        <v>1112.9341472879942</v>
      </c>
      <c r="FC291" s="173">
        <f t="shared" si="879"/>
        <v>3.9475283895009832</v>
      </c>
      <c r="FD291" s="5">
        <f t="shared" si="880"/>
        <v>12</v>
      </c>
      <c r="FE291" s="173">
        <f t="shared" si="881"/>
        <v>0.75246769950258696</v>
      </c>
      <c r="FF291" s="5">
        <f t="shared" si="882"/>
        <v>75.246769950258695</v>
      </c>
      <c r="FI291" s="562">
        <f t="shared" si="836"/>
        <v>-50</v>
      </c>
      <c r="FJ291">
        <f t="shared" si="837"/>
        <v>-50</v>
      </c>
      <c r="FL291">
        <f t="shared" si="838"/>
        <v>0.6197954029060031</v>
      </c>
    </row>
    <row r="292" spans="5:168">
      <c r="E292" s="170">
        <v>76</v>
      </c>
      <c r="F292" s="217">
        <f t="shared" si="839"/>
        <v>0.76</v>
      </c>
      <c r="G292" s="217"/>
      <c r="H292" s="217">
        <f t="shared" si="764"/>
        <v>12.16</v>
      </c>
      <c r="I292" s="541">
        <f t="shared" si="765"/>
        <v>59.939841479248173</v>
      </c>
      <c r="J292" s="172">
        <f t="shared" si="766"/>
        <v>16.436095112451092</v>
      </c>
      <c r="K292" s="172">
        <f t="shared" si="767"/>
        <v>76.375936591699258</v>
      </c>
      <c r="L292" s="443"/>
      <c r="M292" s="217">
        <f t="shared" si="768"/>
        <v>0.2152045231929699</v>
      </c>
      <c r="N292" s="172">
        <f t="shared" si="769"/>
        <v>33.215761889944794</v>
      </c>
      <c r="O292" s="172">
        <f t="shared" si="762"/>
        <v>12.16</v>
      </c>
      <c r="P292" s="217">
        <f t="shared" si="770"/>
        <v>2.0759851181215496</v>
      </c>
      <c r="Q292" s="217">
        <f t="shared" si="771"/>
        <v>16</v>
      </c>
      <c r="R292" s="217"/>
      <c r="S292" s="172">
        <f t="shared" si="772"/>
        <v>137.40467463192459</v>
      </c>
      <c r="T292" s="172">
        <f t="shared" si="773"/>
        <v>16</v>
      </c>
      <c r="U292" s="217">
        <f t="shared" si="774"/>
        <v>1.8853699700610447</v>
      </c>
      <c r="V292" s="217">
        <f t="shared" si="775"/>
        <v>0.37745244368998476</v>
      </c>
      <c r="W292" s="217">
        <f t="shared" si="776"/>
        <v>1.3765094133334317</v>
      </c>
      <c r="X292" s="197">
        <f t="shared" si="777"/>
        <v>350</v>
      </c>
      <c r="Y292" s="443">
        <f t="shared" si="840"/>
        <v>350</v>
      </c>
      <c r="AA292" s="217">
        <f t="shared" si="778"/>
        <v>3.0712021025207732</v>
      </c>
      <c r="AB292" s="173">
        <f t="shared" si="779"/>
        <v>2.2422859552771977</v>
      </c>
      <c r="AC292" s="173">
        <f t="shared" si="780"/>
        <v>1.2051398345525228</v>
      </c>
      <c r="AD292" s="173"/>
      <c r="AE292" s="173">
        <f t="shared" si="781"/>
        <v>0.73010042336086589</v>
      </c>
      <c r="AF292" s="545">
        <f t="shared" si="782"/>
        <v>2081.9053809104716</v>
      </c>
      <c r="AG292" s="528">
        <f t="shared" si="783"/>
        <v>0.12776757408815151</v>
      </c>
      <c r="AI292" s="173">
        <f t="shared" si="784"/>
        <v>2.4389139157247088</v>
      </c>
      <c r="AJ292" s="173">
        <f t="shared" si="785"/>
        <v>2.4389139157247088</v>
      </c>
      <c r="AK292" s="173">
        <f t="shared" si="786"/>
        <v>2.2658621597960806</v>
      </c>
      <c r="AM292" s="545">
        <f t="shared" si="787"/>
        <v>760</v>
      </c>
      <c r="AN292" s="460">
        <f t="shared" si="788"/>
        <v>350</v>
      </c>
      <c r="AP292">
        <f t="shared" si="789"/>
        <v>760</v>
      </c>
      <c r="AQ292">
        <f t="shared" si="790"/>
        <v>350</v>
      </c>
      <c r="AS292" s="5">
        <f t="shared" si="763"/>
        <v>2.8571428571428572</v>
      </c>
      <c r="AT292" s="5">
        <f t="shared" si="791"/>
        <v>0.48827234551210902</v>
      </c>
      <c r="AU292" s="5">
        <f t="shared" si="722"/>
        <v>2.3688705116307482</v>
      </c>
      <c r="AV292" s="5"/>
      <c r="AW292" s="173">
        <f t="shared" si="723"/>
        <v>0.17089532092923815</v>
      </c>
      <c r="AX292" s="173">
        <f t="shared" si="792"/>
        <v>12.491432285462826</v>
      </c>
      <c r="AY292" s="173">
        <f t="shared" si="793"/>
        <v>1.0110574696890751</v>
      </c>
      <c r="AZ292" s="173">
        <f t="shared" si="794"/>
        <v>12.35481924613469</v>
      </c>
      <c r="BA292" s="460">
        <f t="shared" si="724"/>
        <v>2.3192936411825178</v>
      </c>
      <c r="BB292" s="5">
        <f t="shared" si="725"/>
        <v>0.40047744414153791</v>
      </c>
      <c r="BD292" s="173">
        <f t="shared" si="841"/>
        <v>0.58210446470011912</v>
      </c>
      <c r="BE292" s="173">
        <f t="shared" si="842"/>
        <v>1.2821549912607026</v>
      </c>
      <c r="BG292" s="528">
        <f t="shared" si="843"/>
        <v>6.7769121564762447E-3</v>
      </c>
      <c r="BH292" s="528">
        <f t="shared" si="795"/>
        <v>1.1898273121297713</v>
      </c>
      <c r="BI292" s="528">
        <f t="shared" si="796"/>
        <v>0.48251572390794778</v>
      </c>
      <c r="BJ292" s="528">
        <f t="shared" si="844"/>
        <v>1.005512276108441</v>
      </c>
      <c r="BK292">
        <f t="shared" si="845"/>
        <v>2.6972928665661679E-2</v>
      </c>
      <c r="BL292" s="460">
        <f t="shared" si="846"/>
        <v>509.48865257360944</v>
      </c>
      <c r="BM292" s="528">
        <f t="shared" si="797"/>
        <v>2.2075007718997419</v>
      </c>
      <c r="BN292" s="460">
        <f t="shared" si="847"/>
        <v>2207.5007718997417</v>
      </c>
      <c r="BO292" s="528">
        <f t="shared" si="798"/>
        <v>0.53199999999999992</v>
      </c>
      <c r="BR292" s="460">
        <f t="shared" si="848"/>
        <v>531.99999999999989</v>
      </c>
      <c r="BS292" s="528">
        <f t="shared" si="849"/>
        <v>1.0165368234714367E-2</v>
      </c>
      <c r="BT292" s="528">
        <f t="shared" si="850"/>
        <v>4.9317642648441969E-2</v>
      </c>
      <c r="BU292" s="528">
        <f t="shared" si="851"/>
        <v>1.0644647747893357</v>
      </c>
      <c r="BV292" s="528"/>
      <c r="BW292" s="528">
        <f t="shared" si="852"/>
        <v>1.0409526904552357E-2</v>
      </c>
      <c r="BX292" s="460">
        <f t="shared" si="853"/>
        <v>1134.3573125770442</v>
      </c>
      <c r="BY292" s="173">
        <f t="shared" si="854"/>
        <v>4.377962465545342</v>
      </c>
      <c r="BZ292" s="5">
        <f t="shared" si="855"/>
        <v>12.16</v>
      </c>
      <c r="CA292" s="173">
        <f t="shared" si="856"/>
        <v>0.73527800207152194</v>
      </c>
      <c r="CB292" s="5">
        <f t="shared" si="857"/>
        <v>73.527800207152197</v>
      </c>
      <c r="CE292" s="562">
        <f t="shared" si="799"/>
        <v>-50</v>
      </c>
      <c r="CF292">
        <f t="shared" si="800"/>
        <v>-50</v>
      </c>
      <c r="CG292" s="173">
        <f t="shared" si="801"/>
        <v>0.63166446789415032</v>
      </c>
      <c r="CI292" s="170">
        <v>76</v>
      </c>
      <c r="CJ292" s="217">
        <f t="shared" si="858"/>
        <v>0.76</v>
      </c>
      <c r="CK292" s="217"/>
      <c r="CL292" s="217">
        <f t="shared" si="802"/>
        <v>12.16</v>
      </c>
      <c r="CM292" s="541">
        <f t="shared" si="803"/>
        <v>60</v>
      </c>
      <c r="CN292" s="443">
        <f t="shared" si="804"/>
        <v>16.399999999999999</v>
      </c>
      <c r="CO292" s="443">
        <f t="shared" si="805"/>
        <v>76.400000000000006</v>
      </c>
      <c r="CP292" s="443"/>
      <c r="CQ292" s="217">
        <f t="shared" si="806"/>
        <v>0.21465968586387432</v>
      </c>
      <c r="CR292" s="172">
        <f t="shared" si="807"/>
        <v>33.164921465968582</v>
      </c>
      <c r="CS292" s="172">
        <f t="shared" si="808"/>
        <v>12.16</v>
      </c>
      <c r="CT292" s="217">
        <f t="shared" si="809"/>
        <v>2.0728075916230364</v>
      </c>
      <c r="CU292" s="217">
        <f t="shared" si="810"/>
        <v>16</v>
      </c>
      <c r="CV292" s="217"/>
      <c r="CW292" s="172">
        <f t="shared" si="811"/>
        <v>137.54240670775246</v>
      </c>
      <c r="CX292" s="172">
        <f t="shared" si="812"/>
        <v>16</v>
      </c>
      <c r="CY292" s="217">
        <f t="shared" si="813"/>
        <v>1.8882601626016262</v>
      </c>
      <c r="CZ292" s="217">
        <f t="shared" si="814"/>
        <v>0.37765203252032525</v>
      </c>
      <c r="DA292" s="217">
        <f t="shared" si="815"/>
        <v>1.3816537775133853</v>
      </c>
      <c r="DB292" s="197">
        <f t="shared" si="816"/>
        <v>350</v>
      </c>
      <c r="DC292" s="443">
        <f t="shared" si="817"/>
        <v>350</v>
      </c>
      <c r="DE292" s="217">
        <f t="shared" si="818"/>
        <v>3.06656694091249</v>
      </c>
      <c r="DF292" s="173">
        <f t="shared" si="819"/>
        <v>2.2438294689603588</v>
      </c>
      <c r="DG292" s="173">
        <f t="shared" si="820"/>
        <v>1.2041493223478366</v>
      </c>
      <c r="DH292" s="173"/>
      <c r="DI292" s="173">
        <f t="shared" si="821"/>
        <v>0.73170731707317083</v>
      </c>
      <c r="DJ292" s="545">
        <f t="shared" si="822"/>
        <v>2077.333333333333</v>
      </c>
      <c r="DK292" s="528">
        <f t="shared" si="823"/>
        <v>0.12804878048780488</v>
      </c>
      <c r="DM292" s="173">
        <f t="shared" si="824"/>
        <v>2.4362344089266319</v>
      </c>
      <c r="DN292" s="173">
        <f t="shared" si="825"/>
        <v>2.4362344089266319</v>
      </c>
      <c r="DO292" s="173">
        <f t="shared" si="826"/>
        <v>2.2638773399456533</v>
      </c>
      <c r="DQ292" s="545">
        <f t="shared" si="827"/>
        <v>760</v>
      </c>
      <c r="DR292" s="460">
        <f t="shared" si="828"/>
        <v>350</v>
      </c>
      <c r="DT292">
        <f t="shared" si="829"/>
        <v>760</v>
      </c>
      <c r="DU292">
        <f t="shared" si="830"/>
        <v>350</v>
      </c>
      <c r="DW292" s="5">
        <f t="shared" si="859"/>
        <v>2.8571428571428572</v>
      </c>
      <c r="DX292" s="5">
        <f t="shared" si="831"/>
        <v>0.48724688178532638</v>
      </c>
      <c r="DY292" s="5">
        <f t="shared" si="832"/>
        <v>2.3698959753575308</v>
      </c>
      <c r="DZ292" s="5"/>
      <c r="EA292" s="173">
        <f t="shared" si="833"/>
        <v>0.17053640862486422</v>
      </c>
      <c r="EB292" s="173">
        <f t="shared" si="860"/>
        <v>12.464000000000002</v>
      </c>
      <c r="EC292" s="173">
        <f t="shared" si="861"/>
        <v>1.0103838711299826</v>
      </c>
      <c r="ED292" s="173">
        <f t="shared" si="862"/>
        <v>12.335905546533164</v>
      </c>
      <c r="EE292" s="460">
        <f t="shared" si="834"/>
        <v>2.3144226884803003</v>
      </c>
      <c r="EF292" s="5">
        <f t="shared" si="835"/>
        <v>0.40024909806038295</v>
      </c>
      <c r="EH292" s="173">
        <f t="shared" si="863"/>
        <v>0.58085402328392999</v>
      </c>
      <c r="EI292" s="173">
        <f t="shared" si="864"/>
        <v>1.2810235368827421</v>
      </c>
      <c r="EK292" s="528">
        <f t="shared" si="865"/>
        <v>6.747827927302566E-3</v>
      </c>
      <c r="EL292" s="528">
        <f t="shared" si="866"/>
        <v>1.2377532537992648</v>
      </c>
      <c r="EM292" s="528">
        <f t="shared" si="867"/>
        <v>4.0250000000000001E-2</v>
      </c>
      <c r="EN292" s="528">
        <f t="shared" si="868"/>
        <v>1.0061459800000001</v>
      </c>
      <c r="EO292">
        <f t="shared" si="869"/>
        <v>2.7E-2</v>
      </c>
      <c r="EP292" s="460">
        <f t="shared" si="870"/>
        <v>67.25</v>
      </c>
      <c r="EQ292" s="460"/>
      <c r="ER292" s="460">
        <f t="shared" si="871"/>
        <v>2317.8970617265672</v>
      </c>
      <c r="ES292" s="528">
        <f t="shared" si="872"/>
        <v>0.53199999999999992</v>
      </c>
      <c r="EV292" s="460">
        <f t="shared" si="873"/>
        <v>531.99999999999989</v>
      </c>
      <c r="EW292" s="528">
        <f t="shared" si="874"/>
        <v>1.0121741890953847E-2</v>
      </c>
      <c r="EX292" s="528">
        <f t="shared" si="875"/>
        <v>4.9230639061427092E-2</v>
      </c>
      <c r="EY292" s="528">
        <f t="shared" si="876"/>
        <v>1.061543504375662</v>
      </c>
      <c r="EZ292" s="528"/>
      <c r="FA292" s="528">
        <f t="shared" si="877"/>
        <v>1.0386666666666669E-2</v>
      </c>
      <c r="FB292" s="460">
        <f t="shared" si="878"/>
        <v>1131.2825519947098</v>
      </c>
      <c r="FC292" s="173">
        <f t="shared" si="879"/>
        <v>3.9811796137212769</v>
      </c>
      <c r="FD292" s="5">
        <f t="shared" si="880"/>
        <v>12.16</v>
      </c>
      <c r="FE292" s="173">
        <f t="shared" si="881"/>
        <v>0.75335262298072936</v>
      </c>
      <c r="FF292" s="5">
        <f t="shared" si="882"/>
        <v>75.335262298072934</v>
      </c>
      <c r="FI292" s="562">
        <f t="shared" si="836"/>
        <v>-50</v>
      </c>
      <c r="FJ292">
        <f t="shared" si="837"/>
        <v>-50</v>
      </c>
      <c r="FL292">
        <f t="shared" si="838"/>
        <v>0.62391369009096675</v>
      </c>
    </row>
    <row r="293" spans="5:168">
      <c r="E293" s="170">
        <v>77</v>
      </c>
      <c r="F293" s="217">
        <f t="shared" si="839"/>
        <v>0.77</v>
      </c>
      <c r="G293" s="217"/>
      <c r="H293" s="217">
        <f t="shared" si="764"/>
        <v>12.32</v>
      </c>
      <c r="I293" s="541">
        <f t="shared" si="765"/>
        <v>59.93944699291805</v>
      </c>
      <c r="J293" s="172">
        <f t="shared" si="766"/>
        <v>16.436331804249168</v>
      </c>
      <c r="K293" s="172">
        <f t="shared" si="767"/>
        <v>76.375778797167214</v>
      </c>
      <c r="L293" s="443"/>
      <c r="M293" s="217">
        <f t="shared" si="768"/>
        <v>0.21520809704695945</v>
      </c>
      <c r="N293" s="172">
        <f t="shared" si="769"/>
        <v>33.216094887886953</v>
      </c>
      <c r="O293" s="172">
        <f t="shared" si="762"/>
        <v>12.32</v>
      </c>
      <c r="P293" s="217">
        <f t="shared" si="770"/>
        <v>2.0760059304929346</v>
      </c>
      <c r="Q293" s="217">
        <f t="shared" si="771"/>
        <v>16</v>
      </c>
      <c r="R293" s="217"/>
      <c r="S293" s="172">
        <f t="shared" si="772"/>
        <v>134.84642191332776</v>
      </c>
      <c r="T293" s="172">
        <f t="shared" si="773"/>
        <v>16</v>
      </c>
      <c r="U293" s="217">
        <f t="shared" si="774"/>
        <v>1.9101583197589507</v>
      </c>
      <c r="V293" s="217">
        <f t="shared" si="775"/>
        <v>0.38241760621875054</v>
      </c>
      <c r="W293" s="217">
        <f t="shared" si="776"/>
        <v>1.3945873148643526</v>
      </c>
      <c r="X293" s="197">
        <f t="shared" si="777"/>
        <v>350</v>
      </c>
      <c r="Y293" s="443">
        <f t="shared" si="840"/>
        <v>350</v>
      </c>
      <c r="AA293" s="217">
        <f t="shared" si="778"/>
        <v>3.071232462307885</v>
      </c>
      <c r="AB293" s="173">
        <f t="shared" si="779"/>
        <v>2.2422758305576926</v>
      </c>
      <c r="AC293" s="173">
        <f t="shared" si="780"/>
        <v>1.2051463060450029</v>
      </c>
      <c r="AD293" s="173"/>
      <c r="AE293" s="173">
        <f t="shared" si="781"/>
        <v>0.73008990953186559</v>
      </c>
      <c r="AF293" s="545">
        <f t="shared" si="782"/>
        <v>2109.3292482119764</v>
      </c>
      <c r="AG293" s="528">
        <f t="shared" si="783"/>
        <v>0.12776573416807646</v>
      </c>
      <c r="AI293" s="173">
        <f t="shared" si="784"/>
        <v>2.4549246413874624</v>
      </c>
      <c r="AJ293" s="173">
        <f t="shared" si="785"/>
        <v>2.4549246413874624</v>
      </c>
      <c r="AK293" s="173">
        <f t="shared" si="786"/>
        <v>2.2777219565833056</v>
      </c>
      <c r="AM293" s="545">
        <f t="shared" si="787"/>
        <v>770</v>
      </c>
      <c r="AN293" s="460">
        <f t="shared" si="788"/>
        <v>350</v>
      </c>
      <c r="AP293">
        <f t="shared" si="789"/>
        <v>770</v>
      </c>
      <c r="AQ293">
        <f t="shared" si="790"/>
        <v>350</v>
      </c>
      <c r="AS293" s="5">
        <f t="shared" si="763"/>
        <v>2.8571428571428572</v>
      </c>
      <c r="AT293" s="5">
        <f t="shared" si="791"/>
        <v>0.49148093909058244</v>
      </c>
      <c r="AU293" s="5">
        <f t="shared" si="722"/>
        <v>2.3656619180522749</v>
      </c>
      <c r="AV293" s="5"/>
      <c r="AW293" s="173">
        <f t="shared" si="723"/>
        <v>0.17201832868170386</v>
      </c>
      <c r="AX293" s="173">
        <f t="shared" si="792"/>
        <v>12.655975489271858</v>
      </c>
      <c r="AY293" s="173">
        <f t="shared" si="793"/>
        <v>1.0163163037682299</v>
      </c>
      <c r="AZ293" s="173">
        <f t="shared" si="794"/>
        <v>12.452791953004075</v>
      </c>
      <c r="BA293" s="460">
        <f t="shared" si="724"/>
        <v>2.3652520193734281</v>
      </c>
      <c r="BB293" s="5">
        <f t="shared" si="725"/>
        <v>0.40519997392601276</v>
      </c>
      <c r="BD293" s="173">
        <f t="shared" si="841"/>
        <v>0.58784780336479792</v>
      </c>
      <c r="BE293" s="173">
        <f t="shared" si="842"/>
        <v>1.289697622846651</v>
      </c>
      <c r="BG293" s="528">
        <f t="shared" si="843"/>
        <v>6.9113007984163621E-3</v>
      </c>
      <c r="BH293" s="528">
        <f t="shared" si="795"/>
        <v>1.1976356910284938</v>
      </c>
      <c r="BI293" s="528">
        <f t="shared" si="796"/>
        <v>0.48251254829299034</v>
      </c>
      <c r="BJ293" s="528">
        <f t="shared" si="844"/>
        <v>1.0055081212873742</v>
      </c>
      <c r="BK293">
        <f t="shared" si="845"/>
        <v>2.697275114681312E-2</v>
      </c>
      <c r="BL293" s="460">
        <f t="shared" si="846"/>
        <v>509.4852994398035</v>
      </c>
      <c r="BM293" s="528">
        <f t="shared" si="797"/>
        <v>2.215559389947507</v>
      </c>
      <c r="BN293" s="460">
        <f t="shared" si="847"/>
        <v>2215.559389947507</v>
      </c>
      <c r="BO293" s="528">
        <f t="shared" si="798"/>
        <v>0.53899999999999992</v>
      </c>
      <c r="BR293" s="460">
        <f t="shared" si="848"/>
        <v>538.99999999999989</v>
      </c>
      <c r="BS293" s="528">
        <f t="shared" si="849"/>
        <v>1.0366951197624543E-2</v>
      </c>
      <c r="BT293" s="528">
        <f t="shared" si="850"/>
        <v>4.9899598751289076E-2</v>
      </c>
      <c r="BU293" s="528">
        <f t="shared" si="851"/>
        <v>1.0820205974436217</v>
      </c>
      <c r="BV293" s="528"/>
      <c r="BW293" s="528">
        <f t="shared" si="852"/>
        <v>1.054664624105988E-2</v>
      </c>
      <c r="BX293" s="460">
        <f t="shared" si="853"/>
        <v>1152.8337936335952</v>
      </c>
      <c r="BY293" s="173">
        <f t="shared" si="854"/>
        <v>4.4113742061876824</v>
      </c>
      <c r="BZ293" s="5">
        <f t="shared" si="855"/>
        <v>12.32</v>
      </c>
      <c r="CA293" s="173">
        <f t="shared" si="856"/>
        <v>0.73634119039927726</v>
      </c>
      <c r="CB293" s="5">
        <f t="shared" si="857"/>
        <v>73.634119039927725</v>
      </c>
      <c r="CE293" s="562">
        <f t="shared" si="799"/>
        <v>-50</v>
      </c>
      <c r="CF293">
        <f t="shared" si="800"/>
        <v>-50</v>
      </c>
      <c r="CG293" s="173">
        <f t="shared" si="801"/>
        <v>0.63580657436047328</v>
      </c>
      <c r="CI293" s="170">
        <v>77</v>
      </c>
      <c r="CJ293" s="217">
        <f t="shared" si="858"/>
        <v>0.77</v>
      </c>
      <c r="CK293" s="217"/>
      <c r="CL293" s="217">
        <f t="shared" si="802"/>
        <v>12.32</v>
      </c>
      <c r="CM293" s="541">
        <f t="shared" si="803"/>
        <v>60</v>
      </c>
      <c r="CN293" s="443">
        <f t="shared" si="804"/>
        <v>16.399999999999999</v>
      </c>
      <c r="CO293" s="443">
        <f t="shared" si="805"/>
        <v>76.400000000000006</v>
      </c>
      <c r="CP293" s="443"/>
      <c r="CQ293" s="217">
        <f t="shared" si="806"/>
        <v>0.21465968586387432</v>
      </c>
      <c r="CR293" s="172">
        <f t="shared" si="807"/>
        <v>33.164921465968582</v>
      </c>
      <c r="CS293" s="172">
        <f t="shared" si="808"/>
        <v>12.32</v>
      </c>
      <c r="CT293" s="217">
        <f t="shared" si="809"/>
        <v>2.0728075916230364</v>
      </c>
      <c r="CU293" s="217">
        <f t="shared" si="810"/>
        <v>16</v>
      </c>
      <c r="CV293" s="217"/>
      <c r="CW293" s="172">
        <f t="shared" si="811"/>
        <v>134.98247034123361</v>
      </c>
      <c r="CX293" s="172">
        <f t="shared" si="812"/>
        <v>16</v>
      </c>
      <c r="CY293" s="217">
        <f t="shared" si="813"/>
        <v>1.9131056910569109</v>
      </c>
      <c r="CZ293" s="217">
        <f t="shared" si="814"/>
        <v>0.38262113821138216</v>
      </c>
      <c r="DA293" s="217">
        <f t="shared" si="815"/>
        <v>1.3998334324806667</v>
      </c>
      <c r="DB293" s="197">
        <f t="shared" si="816"/>
        <v>350</v>
      </c>
      <c r="DC293" s="443">
        <f t="shared" si="817"/>
        <v>350</v>
      </c>
      <c r="DE293" s="217">
        <f t="shared" si="818"/>
        <v>3.06656694091249</v>
      </c>
      <c r="DF293" s="173">
        <f t="shared" si="819"/>
        <v>2.2438294689603588</v>
      </c>
      <c r="DG293" s="173">
        <f t="shared" si="820"/>
        <v>1.2041493223478366</v>
      </c>
      <c r="DH293" s="173"/>
      <c r="DI293" s="173">
        <f t="shared" si="821"/>
        <v>0.73170731707317083</v>
      </c>
      <c r="DJ293" s="545">
        <f t="shared" si="822"/>
        <v>2104.6666666666665</v>
      </c>
      <c r="DK293" s="528">
        <f t="shared" si="823"/>
        <v>0.12804878048780488</v>
      </c>
      <c r="DM293" s="173">
        <f t="shared" si="824"/>
        <v>2.4522098876999361</v>
      </c>
      <c r="DN293" s="173">
        <f t="shared" si="825"/>
        <v>2.4522098876999361</v>
      </c>
      <c r="DO293" s="173">
        <f t="shared" si="826"/>
        <v>2.2757110279258788</v>
      </c>
      <c r="DQ293" s="545">
        <f t="shared" si="827"/>
        <v>770</v>
      </c>
      <c r="DR293" s="460">
        <f t="shared" si="828"/>
        <v>350</v>
      </c>
      <c r="DT293">
        <f t="shared" si="829"/>
        <v>770</v>
      </c>
      <c r="DU293">
        <f t="shared" si="830"/>
        <v>350</v>
      </c>
      <c r="DW293" s="5">
        <f t="shared" si="859"/>
        <v>2.8571428571428572</v>
      </c>
      <c r="DX293" s="5">
        <f t="shared" si="831"/>
        <v>0.49044197753998725</v>
      </c>
      <c r="DY293" s="5">
        <f t="shared" si="832"/>
        <v>2.3667008796028699</v>
      </c>
      <c r="DZ293" s="5"/>
      <c r="EA293" s="173">
        <f t="shared" si="833"/>
        <v>0.17165469213899553</v>
      </c>
      <c r="EB293" s="173">
        <f t="shared" si="860"/>
        <v>12.628</v>
      </c>
      <c r="EC293" s="173">
        <f t="shared" si="861"/>
        <v>1.0156382771833015</v>
      </c>
      <c r="ED293" s="173">
        <f t="shared" si="862"/>
        <v>12.433560533994044</v>
      </c>
      <c r="EE293" s="460">
        <f t="shared" si="834"/>
        <v>2.3602520169111889</v>
      </c>
      <c r="EF293" s="5">
        <f t="shared" si="835"/>
        <v>0.40496881717649102</v>
      </c>
      <c r="EH293" s="173">
        <f t="shared" si="863"/>
        <v>0.58657675884817584</v>
      </c>
      <c r="EI293" s="173">
        <f t="shared" si="864"/>
        <v>1.2885542869524795</v>
      </c>
      <c r="EK293" s="528">
        <f t="shared" si="865"/>
        <v>6.8814458804166215E-3</v>
      </c>
      <c r="EL293" s="528">
        <f t="shared" si="866"/>
        <v>1.2458697555448297</v>
      </c>
      <c r="EM293" s="528">
        <f t="shared" si="867"/>
        <v>4.0250000000000001E-2</v>
      </c>
      <c r="EN293" s="528">
        <f t="shared" si="868"/>
        <v>1.0061459800000001</v>
      </c>
      <c r="EO293">
        <f t="shared" si="869"/>
        <v>2.7E-2</v>
      </c>
      <c r="EP293" s="460">
        <f t="shared" si="870"/>
        <v>67.25</v>
      </c>
      <c r="EQ293" s="460"/>
      <c r="ER293" s="460">
        <f t="shared" si="871"/>
        <v>2326.1471814252463</v>
      </c>
      <c r="ES293" s="528">
        <f t="shared" si="872"/>
        <v>0.53899999999999992</v>
      </c>
      <c r="EV293" s="460">
        <f t="shared" si="873"/>
        <v>538.99999999999989</v>
      </c>
      <c r="EW293" s="528">
        <f t="shared" si="874"/>
        <v>1.0322168820624932E-2</v>
      </c>
      <c r="EX293" s="528">
        <f t="shared" si="875"/>
        <v>4.9811164512708381E-2</v>
      </c>
      <c r="EY293" s="528">
        <f t="shared" si="876"/>
        <v>1.0790317240076137</v>
      </c>
      <c r="EZ293" s="528"/>
      <c r="FA293" s="528">
        <f t="shared" si="877"/>
        <v>1.0523333333333332E-2</v>
      </c>
      <c r="FB293" s="460">
        <f t="shared" si="878"/>
        <v>1149.6883906742805</v>
      </c>
      <c r="FC293" s="173">
        <f t="shared" si="879"/>
        <v>4.0148355720995275</v>
      </c>
      <c r="FD293" s="5">
        <f t="shared" si="880"/>
        <v>12.32</v>
      </c>
      <c r="FE293" s="173">
        <f t="shared" si="881"/>
        <v>0.75421634614082012</v>
      </c>
      <c r="FF293" s="5">
        <f t="shared" si="882"/>
        <v>75.421634614082009</v>
      </c>
      <c r="FI293" s="562">
        <f t="shared" si="836"/>
        <v>-50</v>
      </c>
      <c r="FJ293">
        <f t="shared" si="837"/>
        <v>-50</v>
      </c>
      <c r="FL293">
        <f t="shared" si="838"/>
        <v>0.62800497124022758</v>
      </c>
    </row>
    <row r="294" spans="5:168">
      <c r="E294" s="170">
        <v>78</v>
      </c>
      <c r="F294" s="217">
        <f t="shared" si="839"/>
        <v>0.78</v>
      </c>
      <c r="G294" s="217"/>
      <c r="H294" s="217">
        <f t="shared" si="764"/>
        <v>12.48</v>
      </c>
      <c r="I294" s="541">
        <f t="shared" si="765"/>
        <v>59.939055059977996</v>
      </c>
      <c r="J294" s="172">
        <f t="shared" si="766"/>
        <v>16.436566964013203</v>
      </c>
      <c r="K294" s="172">
        <f t="shared" si="767"/>
        <v>76.375622023991198</v>
      </c>
      <c r="L294" s="443"/>
      <c r="M294" s="217">
        <f t="shared" si="768"/>
        <v>0.2152116477828305</v>
      </c>
      <c r="N294" s="172">
        <f t="shared" si="769"/>
        <v>33.216425725459445</v>
      </c>
      <c r="O294" s="172">
        <f t="shared" si="762"/>
        <v>12.48</v>
      </c>
      <c r="P294" s="217">
        <f t="shared" si="770"/>
        <v>2.0760266078412153</v>
      </c>
      <c r="Q294" s="217">
        <f t="shared" si="771"/>
        <v>16</v>
      </c>
      <c r="R294" s="217"/>
      <c r="S294" s="172">
        <f t="shared" si="772"/>
        <v>132.35390291391843</v>
      </c>
      <c r="T294" s="172">
        <f t="shared" si="773"/>
        <v>16</v>
      </c>
      <c r="U294" s="217">
        <f t="shared" si="774"/>
        <v>1.934946298292936</v>
      </c>
      <c r="V294" s="217">
        <f t="shared" si="775"/>
        <v>0.38738274329284628</v>
      </c>
      <c r="W294" s="217">
        <f t="shared" si="776"/>
        <v>1.4126645564339868</v>
      </c>
      <c r="X294" s="197">
        <f t="shared" si="777"/>
        <v>350</v>
      </c>
      <c r="Y294" s="443">
        <f t="shared" si="840"/>
        <v>350</v>
      </c>
      <c r="AA294" s="217">
        <f t="shared" si="778"/>
        <v>3.0712626251330404</v>
      </c>
      <c r="AB294" s="173">
        <f t="shared" si="779"/>
        <v>2.2422657713309873</v>
      </c>
      <c r="AC294" s="173">
        <f t="shared" si="780"/>
        <v>1.2051527353431946</v>
      </c>
      <c r="AD294" s="173"/>
      <c r="AE294" s="173">
        <f t="shared" si="781"/>
        <v>0.73007946405555502</v>
      </c>
      <c r="AF294" s="545">
        <f t="shared" si="782"/>
        <v>2136.7537053217161</v>
      </c>
      <c r="AG294" s="528">
        <f t="shared" si="783"/>
        <v>0.12776390620972211</v>
      </c>
      <c r="AI294" s="173">
        <f t="shared" si="784"/>
        <v>2.4708319624437181</v>
      </c>
      <c r="AJ294" s="173">
        <f t="shared" si="785"/>
        <v>2.4708319624437181</v>
      </c>
      <c r="AK294" s="173">
        <f t="shared" si="786"/>
        <v>2.289505157365717</v>
      </c>
      <c r="AM294" s="545">
        <f t="shared" si="787"/>
        <v>780</v>
      </c>
      <c r="AN294" s="460">
        <f t="shared" si="788"/>
        <v>350</v>
      </c>
      <c r="AP294">
        <f t="shared" si="789"/>
        <v>780</v>
      </c>
      <c r="AQ294">
        <f t="shared" si="790"/>
        <v>350</v>
      </c>
      <c r="AS294" s="5">
        <f t="shared" si="763"/>
        <v>2.8571428571428572</v>
      </c>
      <c r="AT294" s="5">
        <f t="shared" si="791"/>
        <v>0.49466885188055382</v>
      </c>
      <c r="AU294" s="5">
        <f t="shared" si="722"/>
        <v>2.3624740052623032</v>
      </c>
      <c r="AV294" s="5"/>
      <c r="AW294" s="173">
        <f t="shared" si="723"/>
        <v>0.17313409815819383</v>
      </c>
      <c r="AX294" s="173">
        <f t="shared" si="792"/>
        <v>12.820522231930298</v>
      </c>
      <c r="AY294" s="173">
        <f t="shared" si="793"/>
        <v>1.0215233494627924</v>
      </c>
      <c r="AZ294" s="173">
        <f t="shared" si="794"/>
        <v>12.550395679817271</v>
      </c>
      <c r="BA294" s="460">
        <f t="shared" si="724"/>
        <v>2.4115106529176997</v>
      </c>
      <c r="BB294" s="5">
        <f t="shared" si="725"/>
        <v>0.40991186180933709</v>
      </c>
      <c r="BD294" s="173">
        <f t="shared" si="841"/>
        <v>0.59357265833342099</v>
      </c>
      <c r="BE294" s="173">
        <f t="shared" si="842"/>
        <v>1.2971796437490148</v>
      </c>
      <c r="BG294" s="528">
        <f t="shared" si="843"/>
        <v>7.0465700144200826E-3</v>
      </c>
      <c r="BH294" s="528">
        <f t="shared" si="795"/>
        <v>1.2053936079091412</v>
      </c>
      <c r="BI294" s="528">
        <f t="shared" si="796"/>
        <v>0.48250939323282288</v>
      </c>
      <c r="BJ294" s="528">
        <f t="shared" si="844"/>
        <v>1.0055039933677017</v>
      </c>
      <c r="BK294">
        <f t="shared" si="845"/>
        <v>2.6972574776990096E-2</v>
      </c>
      <c r="BL294" s="460">
        <f t="shared" si="846"/>
        <v>509.48196800981293</v>
      </c>
      <c r="BM294" s="528">
        <f t="shared" si="797"/>
        <v>2.223569590013553</v>
      </c>
      <c r="BN294" s="460">
        <f t="shared" si="847"/>
        <v>2223.5695900135529</v>
      </c>
      <c r="BO294" s="528">
        <f t="shared" si="798"/>
        <v>0.54599999999999993</v>
      </c>
      <c r="BR294" s="460">
        <f t="shared" si="848"/>
        <v>545.99999999999989</v>
      </c>
      <c r="BS294" s="528">
        <f t="shared" si="849"/>
        <v>1.0569855021630124E-2</v>
      </c>
      <c r="BT294" s="528">
        <f t="shared" si="850"/>
        <v>5.048025084470463E-2</v>
      </c>
      <c r="BU294" s="528">
        <f t="shared" si="851"/>
        <v>1.0996339555655634</v>
      </c>
      <c r="BV294" s="528"/>
      <c r="BW294" s="528">
        <f t="shared" si="852"/>
        <v>1.0683768526608583E-2</v>
      </c>
      <c r="BX294" s="460">
        <f t="shared" si="853"/>
        <v>1171.3678299585069</v>
      </c>
      <c r="BY294" s="173">
        <f t="shared" si="854"/>
        <v>4.4447939692595826</v>
      </c>
      <c r="BZ294" s="5">
        <f t="shared" si="855"/>
        <v>12.48</v>
      </c>
      <c r="CA294" s="173">
        <f t="shared" si="856"/>
        <v>0.7373797295652379</v>
      </c>
      <c r="CB294" s="5">
        <f t="shared" si="857"/>
        <v>73.737972956523791</v>
      </c>
      <c r="CE294" s="562">
        <f t="shared" si="799"/>
        <v>-50</v>
      </c>
      <c r="CF294">
        <f t="shared" si="800"/>
        <v>-50</v>
      </c>
      <c r="CG294" s="173">
        <f t="shared" si="801"/>
        <v>0.6399218702310463</v>
      </c>
      <c r="CI294" s="170">
        <v>78</v>
      </c>
      <c r="CJ294" s="217">
        <f t="shared" si="858"/>
        <v>0.78</v>
      </c>
      <c r="CK294" s="217"/>
      <c r="CL294" s="217">
        <f t="shared" si="802"/>
        <v>12.48</v>
      </c>
      <c r="CM294" s="541">
        <f t="shared" si="803"/>
        <v>60</v>
      </c>
      <c r="CN294" s="443">
        <f t="shared" si="804"/>
        <v>16.399999999999999</v>
      </c>
      <c r="CO294" s="443">
        <f t="shared" si="805"/>
        <v>76.400000000000006</v>
      </c>
      <c r="CP294" s="443"/>
      <c r="CQ294" s="217">
        <f t="shared" si="806"/>
        <v>0.21465968586387432</v>
      </c>
      <c r="CR294" s="172">
        <f t="shared" si="807"/>
        <v>33.164921465968582</v>
      </c>
      <c r="CS294" s="172">
        <f t="shared" si="808"/>
        <v>12.48</v>
      </c>
      <c r="CT294" s="217">
        <f t="shared" si="809"/>
        <v>2.0728075916230364</v>
      </c>
      <c r="CU294" s="217">
        <f t="shared" si="810"/>
        <v>16</v>
      </c>
      <c r="CV294" s="217"/>
      <c r="CW294" s="172">
        <f t="shared" si="811"/>
        <v>132.48829512134179</v>
      </c>
      <c r="CX294" s="172">
        <f t="shared" si="812"/>
        <v>16</v>
      </c>
      <c r="CY294" s="217">
        <f t="shared" si="813"/>
        <v>1.9379512195121953</v>
      </c>
      <c r="CZ294" s="217">
        <f t="shared" si="814"/>
        <v>0.38759024390243901</v>
      </c>
      <c r="DA294" s="217">
        <f t="shared" si="815"/>
        <v>1.4180130874479477</v>
      </c>
      <c r="DB294" s="197">
        <f t="shared" si="816"/>
        <v>350</v>
      </c>
      <c r="DC294" s="443">
        <f t="shared" si="817"/>
        <v>350</v>
      </c>
      <c r="DE294" s="217">
        <f t="shared" si="818"/>
        <v>3.06656694091249</v>
      </c>
      <c r="DF294" s="173">
        <f t="shared" si="819"/>
        <v>2.2438294689603588</v>
      </c>
      <c r="DG294" s="173">
        <f t="shared" si="820"/>
        <v>1.2041493223478366</v>
      </c>
      <c r="DH294" s="173"/>
      <c r="DI294" s="173">
        <f t="shared" si="821"/>
        <v>0.73170731707317083</v>
      </c>
      <c r="DJ294" s="545">
        <f t="shared" si="822"/>
        <v>2132</v>
      </c>
      <c r="DK294" s="528">
        <f t="shared" si="823"/>
        <v>0.12804878048780488</v>
      </c>
      <c r="DM294" s="173">
        <f t="shared" si="824"/>
        <v>2.4680819620564813</v>
      </c>
      <c r="DN294" s="173">
        <f t="shared" si="825"/>
        <v>2.4680819620564813</v>
      </c>
      <c r="DO294" s="173">
        <f t="shared" si="826"/>
        <v>2.2874681200418379</v>
      </c>
      <c r="DQ294" s="545">
        <f t="shared" si="827"/>
        <v>780</v>
      </c>
      <c r="DR294" s="460">
        <f t="shared" si="828"/>
        <v>350</v>
      </c>
      <c r="DT294">
        <f t="shared" si="829"/>
        <v>780</v>
      </c>
      <c r="DU294">
        <f t="shared" si="830"/>
        <v>350</v>
      </c>
      <c r="DW294" s="5">
        <f t="shared" si="859"/>
        <v>2.8571428571428572</v>
      </c>
      <c r="DX294" s="5">
        <f t="shared" si="831"/>
        <v>0.49361639241129623</v>
      </c>
      <c r="DY294" s="5">
        <f t="shared" si="832"/>
        <v>2.363526464731561</v>
      </c>
      <c r="DZ294" s="5"/>
      <c r="EA294" s="173">
        <f t="shared" si="833"/>
        <v>0.17276573734395367</v>
      </c>
      <c r="EB294" s="173">
        <f t="shared" si="860"/>
        <v>12.791999999999998</v>
      </c>
      <c r="EC294" s="173">
        <f t="shared" si="861"/>
        <v>1.0208409810282406</v>
      </c>
      <c r="ED294" s="173">
        <f t="shared" si="862"/>
        <v>12.530844899188191</v>
      </c>
      <c r="EE294" s="460">
        <f t="shared" si="834"/>
        <v>2.4063799130050691</v>
      </c>
      <c r="EF294" s="5">
        <f t="shared" si="835"/>
        <v>0.40967792055347058</v>
      </c>
      <c r="EH294" s="173">
        <f t="shared" si="863"/>
        <v>0.59228094364664574</v>
      </c>
      <c r="EI294" s="173">
        <f t="shared" si="864"/>
        <v>1.2960244882984382</v>
      </c>
      <c r="EK294" s="528">
        <f t="shared" si="865"/>
        <v>7.015934324139223E-3</v>
      </c>
      <c r="EL294" s="528">
        <f t="shared" si="866"/>
        <v>1.2539337216424162</v>
      </c>
      <c r="EM294" s="528">
        <f t="shared" si="867"/>
        <v>4.0250000000000001E-2</v>
      </c>
      <c r="EN294" s="528">
        <f t="shared" si="868"/>
        <v>1.0061459800000001</v>
      </c>
      <c r="EO294">
        <f t="shared" si="869"/>
        <v>2.7E-2</v>
      </c>
      <c r="EP294" s="460">
        <f t="shared" si="870"/>
        <v>67.25</v>
      </c>
      <c r="EQ294" s="460"/>
      <c r="ER294" s="460">
        <f t="shared" si="871"/>
        <v>2334.3456359665556</v>
      </c>
      <c r="ES294" s="528">
        <f t="shared" si="872"/>
        <v>0.54599999999999993</v>
      </c>
      <c r="EV294" s="460">
        <f t="shared" si="873"/>
        <v>545.99999999999989</v>
      </c>
      <c r="EW294" s="528">
        <f t="shared" si="874"/>
        <v>1.0523901486208834E-2</v>
      </c>
      <c r="EX294" s="528">
        <f t="shared" si="875"/>
        <v>5.0390384228076852E-2</v>
      </c>
      <c r="EY294" s="528">
        <f t="shared" si="876"/>
        <v>1.0965768172497103</v>
      </c>
      <c r="EZ294" s="528"/>
      <c r="FA294" s="528">
        <f t="shared" si="877"/>
        <v>1.0659999999999998E-2</v>
      </c>
      <c r="FB294" s="460">
        <f t="shared" si="878"/>
        <v>1168.151102963996</v>
      </c>
      <c r="FC294" s="173">
        <f t="shared" si="879"/>
        <v>4.0484967389305515</v>
      </c>
      <c r="FD294" s="5">
        <f t="shared" si="880"/>
        <v>12.48</v>
      </c>
      <c r="FE294" s="173">
        <f t="shared" si="881"/>
        <v>0.75505959175374449</v>
      </c>
      <c r="FF294" s="5">
        <f t="shared" si="882"/>
        <v>75.505959175374443</v>
      </c>
      <c r="FI294" s="562">
        <f t="shared" si="836"/>
        <v>-50</v>
      </c>
      <c r="FJ294">
        <f t="shared" si="837"/>
        <v>-50</v>
      </c>
      <c r="FL294">
        <f t="shared" si="838"/>
        <v>0.63206977077056248</v>
      </c>
    </row>
    <row r="295" spans="5:168">
      <c r="E295" s="170">
        <v>79</v>
      </c>
      <c r="F295" s="217">
        <f t="shared" si="839"/>
        <v>0.79</v>
      </c>
      <c r="G295" s="217"/>
      <c r="H295" s="217">
        <f t="shared" si="764"/>
        <v>12.64</v>
      </c>
      <c r="I295" s="541">
        <f t="shared" si="765"/>
        <v>59.938665631478713</v>
      </c>
      <c r="J295" s="172">
        <f t="shared" si="766"/>
        <v>16.43680062111277</v>
      </c>
      <c r="K295" s="172">
        <f t="shared" si="767"/>
        <v>76.37546625259148</v>
      </c>
      <c r="L295" s="443"/>
      <c r="M295" s="217">
        <f t="shared" si="768"/>
        <v>0.21521517584376476</v>
      </c>
      <c r="N295" s="172">
        <f t="shared" si="769"/>
        <v>33.216754444077225</v>
      </c>
      <c r="O295" s="172">
        <f t="shared" si="762"/>
        <v>12.64</v>
      </c>
      <c r="P295" s="217">
        <f t="shared" si="770"/>
        <v>2.0760471527548265</v>
      </c>
      <c r="Q295" s="217">
        <f t="shared" si="771"/>
        <v>16</v>
      </c>
      <c r="R295" s="217"/>
      <c r="S295" s="172">
        <f t="shared" si="772"/>
        <v>129.92462326553957</v>
      </c>
      <c r="T295" s="172">
        <f t="shared" si="773"/>
        <v>16</v>
      </c>
      <c r="U295" s="217">
        <f t="shared" si="774"/>
        <v>1.9597339080672003</v>
      </c>
      <c r="V295" s="217">
        <f t="shared" si="775"/>
        <v>0.39234785507897257</v>
      </c>
      <c r="W295" s="217">
        <f t="shared" si="776"/>
        <v>1.4307411423242244</v>
      </c>
      <c r="X295" s="197">
        <f t="shared" si="777"/>
        <v>350</v>
      </c>
      <c r="Y295" s="443">
        <f t="shared" si="840"/>
        <v>350</v>
      </c>
      <c r="AA295" s="217">
        <f t="shared" si="778"/>
        <v>3.0712925947720597</v>
      </c>
      <c r="AB295" s="173">
        <f t="shared" si="779"/>
        <v>2.242255776341564</v>
      </c>
      <c r="AC295" s="173">
        <f t="shared" si="780"/>
        <v>1.2051591232559762</v>
      </c>
      <c r="AD295" s="173"/>
      <c r="AE295" s="173">
        <f t="shared" si="781"/>
        <v>0.73006908562157891</v>
      </c>
      <c r="AF295" s="545">
        <f t="shared" si="782"/>
        <v>2164.1787484465149</v>
      </c>
      <c r="AG295" s="528">
        <f t="shared" si="783"/>
        <v>0.12776208998377631</v>
      </c>
      <c r="AI295" s="173">
        <f t="shared" si="784"/>
        <v>2.4866378611901507</v>
      </c>
      <c r="AJ295" s="173">
        <f t="shared" si="785"/>
        <v>2.4866378611901507</v>
      </c>
      <c r="AK295" s="173">
        <f t="shared" si="786"/>
        <v>2.3012132305112227</v>
      </c>
      <c r="AM295" s="545">
        <f t="shared" si="787"/>
        <v>790</v>
      </c>
      <c r="AN295" s="460">
        <f t="shared" si="788"/>
        <v>350</v>
      </c>
      <c r="AP295">
        <f t="shared" si="789"/>
        <v>790</v>
      </c>
      <c r="AQ295">
        <f t="shared" si="790"/>
        <v>350</v>
      </c>
      <c r="AS295" s="5">
        <f t="shared" si="763"/>
        <v>2.8571428571428572</v>
      </c>
      <c r="AT295" s="5">
        <f t="shared" si="791"/>
        <v>0.49783648034050587</v>
      </c>
      <c r="AU295" s="5">
        <f t="shared" si="722"/>
        <v>2.3593063768023512</v>
      </c>
      <c r="AV295" s="5"/>
      <c r="AW295" s="173">
        <f t="shared" si="723"/>
        <v>0.17424276811917705</v>
      </c>
      <c r="AX295" s="173">
        <f t="shared" si="792"/>
        <v>12.985072490679087</v>
      </c>
      <c r="AY295" s="173">
        <f t="shared" si="793"/>
        <v>1.0266795984732144</v>
      </c>
      <c r="AZ295" s="173">
        <f t="shared" si="794"/>
        <v>12.647638571945249</v>
      </c>
      <c r="BA295" s="460">
        <f t="shared" si="724"/>
        <v>2.4580676216812476</v>
      </c>
      <c r="BB295" s="5">
        <f t="shared" si="725"/>
        <v>0.41461317566046396</v>
      </c>
      <c r="BD295" s="173">
        <f t="shared" si="841"/>
        <v>0.59927932578899401</v>
      </c>
      <c r="BE295" s="173">
        <f t="shared" si="842"/>
        <v>1.3046022026847868</v>
      </c>
      <c r="BG295" s="528">
        <f t="shared" si="843"/>
        <v>7.1827142063622239E-3</v>
      </c>
      <c r="BH295" s="528">
        <f t="shared" si="795"/>
        <v>1.2131020301427438</v>
      </c>
      <c r="BI295" s="528">
        <f t="shared" si="796"/>
        <v>0.48250625833340366</v>
      </c>
      <c r="BJ295" s="528">
        <f t="shared" si="844"/>
        <v>1.0054998918337152</v>
      </c>
      <c r="BK295">
        <f t="shared" si="845"/>
        <v>2.6972399534165421E-2</v>
      </c>
      <c r="BL295" s="460">
        <f t="shared" si="846"/>
        <v>509.4786578675691</v>
      </c>
      <c r="BM295" s="528">
        <f t="shared" si="797"/>
        <v>2.2315323308709765</v>
      </c>
      <c r="BN295" s="460">
        <f t="shared" si="847"/>
        <v>2231.5323308709767</v>
      </c>
      <c r="BO295" s="528">
        <f t="shared" si="798"/>
        <v>0.55299999999999994</v>
      </c>
      <c r="BR295" s="460">
        <f t="shared" si="848"/>
        <v>552.99999999999989</v>
      </c>
      <c r="BS295" s="528">
        <f t="shared" si="849"/>
        <v>1.0774071309543335E-2</v>
      </c>
      <c r="BT295" s="528">
        <f t="shared" si="850"/>
        <v>5.1059607217499928E-2</v>
      </c>
      <c r="BU295" s="528">
        <f t="shared" si="851"/>
        <v>1.1173042992567921</v>
      </c>
      <c r="BV295" s="528"/>
      <c r="BW295" s="528">
        <f t="shared" si="852"/>
        <v>1.0820893742232572E-2</v>
      </c>
      <c r="BX295" s="460">
        <f t="shared" si="853"/>
        <v>1189.9588715260679</v>
      </c>
      <c r="BY295" s="173">
        <f t="shared" si="854"/>
        <v>4.478222165576458</v>
      </c>
      <c r="BZ295" s="5">
        <f t="shared" si="855"/>
        <v>12.64</v>
      </c>
      <c r="CA295" s="173">
        <f t="shared" si="856"/>
        <v>0.73839443592560405</v>
      </c>
      <c r="CB295" s="5">
        <f t="shared" si="857"/>
        <v>73.8394435925604</v>
      </c>
      <c r="CE295" s="562">
        <f t="shared" si="799"/>
        <v>-50</v>
      </c>
      <c r="CF295">
        <f t="shared" si="800"/>
        <v>-50</v>
      </c>
      <c r="CG295" s="173">
        <f t="shared" si="801"/>
        <v>0.64401086947348962</v>
      </c>
      <c r="CI295" s="170">
        <v>79</v>
      </c>
      <c r="CJ295" s="217">
        <f t="shared" si="858"/>
        <v>0.79</v>
      </c>
      <c r="CK295" s="217"/>
      <c r="CL295" s="217">
        <f t="shared" si="802"/>
        <v>12.64</v>
      </c>
      <c r="CM295" s="541">
        <f t="shared" si="803"/>
        <v>60</v>
      </c>
      <c r="CN295" s="443">
        <f t="shared" si="804"/>
        <v>16.399999999999999</v>
      </c>
      <c r="CO295" s="443">
        <f t="shared" si="805"/>
        <v>76.400000000000006</v>
      </c>
      <c r="CP295" s="443"/>
      <c r="CQ295" s="217">
        <f t="shared" si="806"/>
        <v>0.21465968586387432</v>
      </c>
      <c r="CR295" s="172">
        <f t="shared" si="807"/>
        <v>33.164921465968582</v>
      </c>
      <c r="CS295" s="172">
        <f t="shared" si="808"/>
        <v>12.64</v>
      </c>
      <c r="CT295" s="217">
        <f t="shared" si="809"/>
        <v>2.0728075916230364</v>
      </c>
      <c r="CU295" s="217">
        <f t="shared" si="810"/>
        <v>16</v>
      </c>
      <c r="CV295" s="217"/>
      <c r="CW295" s="172">
        <f t="shared" si="811"/>
        <v>130.05738584141656</v>
      </c>
      <c r="CX295" s="172">
        <f t="shared" si="812"/>
        <v>16</v>
      </c>
      <c r="CY295" s="217">
        <f t="shared" si="813"/>
        <v>1.9627967479674799</v>
      </c>
      <c r="CZ295" s="217">
        <f t="shared" si="814"/>
        <v>0.39255934959349598</v>
      </c>
      <c r="DA295" s="217">
        <f t="shared" si="815"/>
        <v>1.4361927424152294</v>
      </c>
      <c r="DB295" s="197">
        <f t="shared" si="816"/>
        <v>350</v>
      </c>
      <c r="DC295" s="443">
        <f t="shared" si="817"/>
        <v>350</v>
      </c>
      <c r="DE295" s="217">
        <f t="shared" si="818"/>
        <v>3.06656694091249</v>
      </c>
      <c r="DF295" s="173">
        <f t="shared" si="819"/>
        <v>2.2438294689603588</v>
      </c>
      <c r="DG295" s="173">
        <f t="shared" si="820"/>
        <v>1.2041493223478366</v>
      </c>
      <c r="DH295" s="173"/>
      <c r="DI295" s="173">
        <f t="shared" si="821"/>
        <v>0.73170731707317083</v>
      </c>
      <c r="DJ295" s="545">
        <f t="shared" si="822"/>
        <v>2159.333333333333</v>
      </c>
      <c r="DK295" s="528">
        <f t="shared" si="823"/>
        <v>0.12804878048780488</v>
      </c>
      <c r="DM295" s="173">
        <f t="shared" si="824"/>
        <v>2.4838526142917194</v>
      </c>
      <c r="DN295" s="173">
        <f t="shared" si="825"/>
        <v>2.4838526142917194</v>
      </c>
      <c r="DO295" s="173">
        <f t="shared" si="826"/>
        <v>2.2991500846605328</v>
      </c>
      <c r="DQ295" s="545">
        <f t="shared" si="827"/>
        <v>790</v>
      </c>
      <c r="DR295" s="460">
        <f t="shared" si="828"/>
        <v>350</v>
      </c>
      <c r="DT295">
        <f t="shared" si="829"/>
        <v>790</v>
      </c>
      <c r="DU295">
        <f t="shared" si="830"/>
        <v>350</v>
      </c>
      <c r="DW295" s="5">
        <f t="shared" si="859"/>
        <v>2.8571428571428572</v>
      </c>
      <c r="DX295" s="5">
        <f t="shared" si="831"/>
        <v>0.49677052285834394</v>
      </c>
      <c r="DY295" s="5">
        <f t="shared" si="832"/>
        <v>2.3603723342845133</v>
      </c>
      <c r="DZ295" s="5"/>
      <c r="EA295" s="173">
        <f t="shared" si="833"/>
        <v>0.17386968300042038</v>
      </c>
      <c r="EB295" s="173">
        <f t="shared" si="860"/>
        <v>12.956</v>
      </c>
      <c r="EC295" s="173">
        <f t="shared" si="861"/>
        <v>1.0259929738125264</v>
      </c>
      <c r="ED295" s="173">
        <f t="shared" si="862"/>
        <v>12.627766788554414</v>
      </c>
      <c r="EE295" s="460">
        <f t="shared" si="834"/>
        <v>2.4528044566130736</v>
      </c>
      <c r="EF295" s="5">
        <f t="shared" si="835"/>
        <v>0.41437647646328118</v>
      </c>
      <c r="EH295" s="173">
        <f t="shared" si="863"/>
        <v>0.59796687450768005</v>
      </c>
      <c r="EI295" s="173">
        <f t="shared" si="864"/>
        <v>1.3034352893409986</v>
      </c>
      <c r="EK295" s="528">
        <f t="shared" si="865"/>
        <v>7.1512876601696716E-3</v>
      </c>
      <c r="EL295" s="528">
        <f t="shared" si="866"/>
        <v>1.2619461592170511</v>
      </c>
      <c r="EM295" s="528">
        <f t="shared" si="867"/>
        <v>4.0250000000000001E-2</v>
      </c>
      <c r="EN295" s="528">
        <f t="shared" si="868"/>
        <v>1.0061459800000001</v>
      </c>
      <c r="EO295">
        <f t="shared" si="869"/>
        <v>2.7E-2</v>
      </c>
      <c r="EP295" s="460">
        <f t="shared" si="870"/>
        <v>67.25</v>
      </c>
      <c r="EQ295" s="460"/>
      <c r="ER295" s="460">
        <f t="shared" si="871"/>
        <v>2342.4934268772208</v>
      </c>
      <c r="ES295" s="528">
        <f t="shared" si="872"/>
        <v>0.55299999999999994</v>
      </c>
      <c r="EV295" s="460">
        <f t="shared" si="873"/>
        <v>552.99999999999989</v>
      </c>
      <c r="EW295" s="528">
        <f t="shared" si="874"/>
        <v>1.0726931490254507E-2</v>
      </c>
      <c r="EX295" s="528">
        <f t="shared" si="875"/>
        <v>5.0968306604983582E-2</v>
      </c>
      <c r="EY295" s="528">
        <f t="shared" si="876"/>
        <v>1.1141782363327448</v>
      </c>
      <c r="EZ295" s="528"/>
      <c r="FA295" s="528">
        <f t="shared" si="877"/>
        <v>1.0796666666666664E-2</v>
      </c>
      <c r="FB295" s="460">
        <f t="shared" si="878"/>
        <v>1186.6701410946494</v>
      </c>
      <c r="FC295" s="173">
        <f t="shared" si="879"/>
        <v>4.0821635679718709</v>
      </c>
      <c r="FD295" s="5">
        <f t="shared" si="880"/>
        <v>12.64</v>
      </c>
      <c r="FE295" s="173">
        <f t="shared" si="881"/>
        <v>0.75588304997862354</v>
      </c>
      <c r="FF295" s="5">
        <f t="shared" si="882"/>
        <v>75.588304997862352</v>
      </c>
      <c r="FI295" s="562">
        <f t="shared" si="836"/>
        <v>-50</v>
      </c>
      <c r="FJ295">
        <f t="shared" si="837"/>
        <v>-50</v>
      </c>
      <c r="FL295">
        <f t="shared" si="838"/>
        <v>0.63610859634300143</v>
      </c>
    </row>
    <row r="296" spans="5:168">
      <c r="E296" s="170">
        <v>80</v>
      </c>
      <c r="F296" s="217">
        <f t="shared" si="839"/>
        <v>0.8</v>
      </c>
      <c r="G296" s="217"/>
      <c r="H296" s="217">
        <f t="shared" si="764"/>
        <v>12.8</v>
      </c>
      <c r="I296" s="541">
        <f t="shared" si="765"/>
        <v>59.938278660015165</v>
      </c>
      <c r="J296" s="172">
        <f t="shared" si="766"/>
        <v>16.437032803990899</v>
      </c>
      <c r="K296" s="172">
        <f t="shared" si="767"/>
        <v>76.37531146400606</v>
      </c>
      <c r="L296" s="443"/>
      <c r="M296" s="217">
        <f t="shared" si="768"/>
        <v>0.21521868165896255</v>
      </c>
      <c r="N296" s="172">
        <f t="shared" si="769"/>
        <v>33.217081083848683</v>
      </c>
      <c r="O296" s="172">
        <f t="shared" si="762"/>
        <v>12.8</v>
      </c>
      <c r="P296" s="217">
        <f t="shared" si="770"/>
        <v>2.0760675677405427</v>
      </c>
      <c r="Q296" s="217">
        <f t="shared" si="771"/>
        <v>16</v>
      </c>
      <c r="R296" s="217"/>
      <c r="S296" s="172">
        <f t="shared" si="772"/>
        <v>127.55621336986189</v>
      </c>
      <c r="T296" s="172">
        <f t="shared" si="773"/>
        <v>16</v>
      </c>
      <c r="U296" s="217">
        <f t="shared" si="774"/>
        <v>1.984521151440144</v>
      </c>
      <c r="V296" s="217">
        <f t="shared" si="775"/>
        <v>0.39731294174065462</v>
      </c>
      <c r="W296" s="217">
        <f t="shared" si="776"/>
        <v>1.4488170767353854</v>
      </c>
      <c r="X296" s="197">
        <f t="shared" si="777"/>
        <v>350</v>
      </c>
      <c r="Y296" s="443">
        <f t="shared" si="840"/>
        <v>350</v>
      </c>
      <c r="AA296" s="217">
        <f t="shared" si="778"/>
        <v>3.0713223748816447</v>
      </c>
      <c r="AB296" s="173">
        <f t="shared" si="779"/>
        <v>2.2422458443735152</v>
      </c>
      <c r="AC296" s="173">
        <f t="shared" si="780"/>
        <v>1.2051654705667085</v>
      </c>
      <c r="AD296" s="173"/>
      <c r="AE296" s="173">
        <f t="shared" si="781"/>
        <v>0.73005877296092081</v>
      </c>
      <c r="AF296" s="545">
        <f t="shared" si="782"/>
        <v>2191.6043738654535</v>
      </c>
      <c r="AG296" s="528">
        <f t="shared" si="783"/>
        <v>0.12776028526816116</v>
      </c>
      <c r="AI296" s="173">
        <f t="shared" si="784"/>
        <v>2.5023442573860066</v>
      </c>
      <c r="AJ296" s="173">
        <f t="shared" si="785"/>
        <v>2.5023442573860066</v>
      </c>
      <c r="AK296" s="173">
        <f t="shared" si="786"/>
        <v>2.3128475980637084</v>
      </c>
      <c r="AM296" s="545">
        <f t="shared" si="787"/>
        <v>800</v>
      </c>
      <c r="AN296" s="460">
        <f t="shared" si="788"/>
        <v>350</v>
      </c>
      <c r="AP296">
        <f t="shared" si="789"/>
        <v>800</v>
      </c>
      <c r="AQ296">
        <f t="shared" si="790"/>
        <v>350</v>
      </c>
      <c r="AS296" s="5">
        <f t="shared" si="763"/>
        <v>2.8571428571428572</v>
      </c>
      <c r="AT296" s="5">
        <f t="shared" si="791"/>
        <v>0.50098420842145153</v>
      </c>
      <c r="AU296" s="5">
        <f t="shared" si="722"/>
        <v>2.3561586487214057</v>
      </c>
      <c r="AV296" s="5"/>
      <c r="AW296" s="173">
        <f t="shared" si="723"/>
        <v>0.17534447294750802</v>
      </c>
      <c r="AX296" s="173">
        <f t="shared" si="792"/>
        <v>13.149626243192724</v>
      </c>
      <c r="AY296" s="173">
        <f t="shared" si="793"/>
        <v>1.0317860112207171</v>
      </c>
      <c r="AZ296" s="173">
        <f t="shared" si="794"/>
        <v>12.744528516756358</v>
      </c>
      <c r="BA296" s="460">
        <f t="shared" si="724"/>
        <v>2.5049210421072581</v>
      </c>
      <c r="BB296" s="5">
        <f t="shared" si="725"/>
        <v>0.41930398205547387</v>
      </c>
      <c r="BD296" s="173">
        <f t="shared" si="841"/>
        <v>0.6049680934875753</v>
      </c>
      <c r="BE296" s="173">
        <f t="shared" si="842"/>
        <v>1.311966412179157</v>
      </c>
      <c r="BG296" s="528">
        <f t="shared" si="843"/>
        <v>7.3197278827598338E-3</v>
      </c>
      <c r="BH296" s="528">
        <f t="shared" si="795"/>
        <v>1.220761894581748</v>
      </c>
      <c r="BI296" s="528">
        <f t="shared" si="796"/>
        <v>0.4825031432131221</v>
      </c>
      <c r="BJ296" s="528">
        <f t="shared" si="844"/>
        <v>1.0054958161859759</v>
      </c>
      <c r="BK296">
        <f t="shared" si="845"/>
        <v>2.6972225397006822E-2</v>
      </c>
      <c r="BL296" s="460">
        <f t="shared" si="846"/>
        <v>509.4753686101289</v>
      </c>
      <c r="BM296" s="528">
        <f t="shared" si="797"/>
        <v>2.2394485409519347</v>
      </c>
      <c r="BN296" s="460">
        <f t="shared" si="847"/>
        <v>2239.4485409519348</v>
      </c>
      <c r="BO296" s="528">
        <f t="shared" si="798"/>
        <v>0.55999999999999994</v>
      </c>
      <c r="BR296" s="460">
        <f t="shared" si="848"/>
        <v>559.99999999999989</v>
      </c>
      <c r="BS296" s="528">
        <f t="shared" si="849"/>
        <v>1.097959182413975E-2</v>
      </c>
      <c r="BT296" s="528">
        <f t="shared" si="850"/>
        <v>5.1637676000587489E-2</v>
      </c>
      <c r="BU296" s="528">
        <f t="shared" si="851"/>
        <v>1.1350310908071792</v>
      </c>
      <c r="BV296" s="528"/>
      <c r="BW296" s="528">
        <f t="shared" si="852"/>
        <v>1.0958021869327268E-2</v>
      </c>
      <c r="BX296" s="460">
        <f t="shared" si="853"/>
        <v>1208.6063805012336</v>
      </c>
      <c r="BY296" s="173">
        <f t="shared" si="854"/>
        <v>4.5116591877618459</v>
      </c>
      <c r="BZ296" s="5">
        <f t="shared" si="855"/>
        <v>12.8</v>
      </c>
      <c r="CA296" s="173">
        <f t="shared" si="856"/>
        <v>0.73938609010098355</v>
      </c>
      <c r="CB296" s="5">
        <f t="shared" si="857"/>
        <v>73.938609010098361</v>
      </c>
      <c r="CE296" s="562">
        <f t="shared" si="799"/>
        <v>-50</v>
      </c>
      <c r="CF296">
        <f t="shared" si="800"/>
        <v>-50</v>
      </c>
      <c r="CG296" s="173">
        <f t="shared" si="801"/>
        <v>0.64807406984078608</v>
      </c>
      <c r="CI296" s="170">
        <v>80</v>
      </c>
      <c r="CJ296" s="217">
        <f t="shared" si="858"/>
        <v>0.8</v>
      </c>
      <c r="CK296" s="217"/>
      <c r="CL296" s="217">
        <f t="shared" si="802"/>
        <v>12.8</v>
      </c>
      <c r="CM296" s="541">
        <f t="shared" si="803"/>
        <v>60</v>
      </c>
      <c r="CN296" s="443">
        <f t="shared" si="804"/>
        <v>16.399999999999999</v>
      </c>
      <c r="CO296" s="443">
        <f t="shared" si="805"/>
        <v>76.400000000000006</v>
      </c>
      <c r="CP296" s="443"/>
      <c r="CQ296" s="217">
        <f t="shared" si="806"/>
        <v>0.21465968586387432</v>
      </c>
      <c r="CR296" s="172">
        <f t="shared" si="807"/>
        <v>33.164921465968582</v>
      </c>
      <c r="CS296" s="172">
        <f t="shared" si="808"/>
        <v>12.8</v>
      </c>
      <c r="CT296" s="217">
        <f t="shared" si="809"/>
        <v>2.0728075916230364</v>
      </c>
      <c r="CU296" s="217">
        <f t="shared" si="810"/>
        <v>16</v>
      </c>
      <c r="CV296" s="217"/>
      <c r="CW296" s="172">
        <f t="shared" si="811"/>
        <v>127.68737210082745</v>
      </c>
      <c r="CX296" s="172">
        <f t="shared" si="812"/>
        <v>16</v>
      </c>
      <c r="CY296" s="217">
        <f t="shared" si="813"/>
        <v>1.9876422764227646</v>
      </c>
      <c r="CZ296" s="217">
        <f t="shared" si="814"/>
        <v>0.39752845528455294</v>
      </c>
      <c r="DA296" s="217">
        <f t="shared" si="815"/>
        <v>1.4543723973825109</v>
      </c>
      <c r="DB296" s="197">
        <f t="shared" si="816"/>
        <v>350</v>
      </c>
      <c r="DC296" s="443">
        <f t="shared" si="817"/>
        <v>350</v>
      </c>
      <c r="DE296" s="217">
        <f t="shared" si="818"/>
        <v>3.06656694091249</v>
      </c>
      <c r="DF296" s="173">
        <f t="shared" si="819"/>
        <v>2.2438294689603588</v>
      </c>
      <c r="DG296" s="173">
        <f t="shared" si="820"/>
        <v>1.2041493223478366</v>
      </c>
      <c r="DH296" s="173"/>
      <c r="DI296" s="173">
        <f t="shared" si="821"/>
        <v>0.73170731707317083</v>
      </c>
      <c r="DJ296" s="545">
        <f t="shared" si="822"/>
        <v>2186.6666666666665</v>
      </c>
      <c r="DK296" s="528">
        <f t="shared" si="823"/>
        <v>0.12804878048780488</v>
      </c>
      <c r="DM296" s="173">
        <f t="shared" si="824"/>
        <v>2.4995237641636954</v>
      </c>
      <c r="DN296" s="173">
        <f t="shared" si="825"/>
        <v>2.4995237641636954</v>
      </c>
      <c r="DO296" s="173">
        <f t="shared" si="826"/>
        <v>2.3107583438249595</v>
      </c>
      <c r="DQ296" s="545">
        <f t="shared" si="827"/>
        <v>800</v>
      </c>
      <c r="DR296" s="460">
        <f t="shared" si="828"/>
        <v>350</v>
      </c>
      <c r="DT296">
        <f t="shared" si="829"/>
        <v>800</v>
      </c>
      <c r="DU296">
        <f t="shared" si="830"/>
        <v>350</v>
      </c>
      <c r="DW296" s="5">
        <f t="shared" si="859"/>
        <v>2.8571428571428572</v>
      </c>
      <c r="DX296" s="5">
        <f t="shared" si="831"/>
        <v>0.49990475283273911</v>
      </c>
      <c r="DY296" s="5">
        <f t="shared" si="832"/>
        <v>2.357238104310118</v>
      </c>
      <c r="DZ296" s="5"/>
      <c r="EA296" s="173">
        <f t="shared" si="833"/>
        <v>0.17496666349145867</v>
      </c>
      <c r="EB296" s="173">
        <f t="shared" si="860"/>
        <v>13.120000000000003</v>
      </c>
      <c r="EC296" s="173">
        <f t="shared" si="861"/>
        <v>1.0310952154151811</v>
      </c>
      <c r="ED296" s="173">
        <f t="shared" si="862"/>
        <v>12.724334090442946</v>
      </c>
      <c r="EE296" s="460">
        <f t="shared" si="834"/>
        <v>2.4995237641636954</v>
      </c>
      <c r="EF296" s="5">
        <f t="shared" si="835"/>
        <v>0.41906455187735431</v>
      </c>
      <c r="EH296" s="173">
        <f t="shared" si="863"/>
        <v>0.60363483981835397</v>
      </c>
      <c r="EI296" s="173">
        <f t="shared" si="864"/>
        <v>1.3107878023147579</v>
      </c>
      <c r="EK296" s="528">
        <f t="shared" si="865"/>
        <v>7.2875003968505972E-3</v>
      </c>
      <c r="EL296" s="528">
        <f t="shared" si="866"/>
        <v>1.2699080436210071</v>
      </c>
      <c r="EM296" s="528">
        <f t="shared" si="867"/>
        <v>4.0250000000000001E-2</v>
      </c>
      <c r="EN296" s="528">
        <f t="shared" si="868"/>
        <v>1.0061459800000001</v>
      </c>
      <c r="EO296">
        <f t="shared" si="869"/>
        <v>2.7E-2</v>
      </c>
      <c r="EP296" s="460">
        <f t="shared" si="870"/>
        <v>67.25</v>
      </c>
      <c r="EQ296" s="460"/>
      <c r="ER296" s="460">
        <f t="shared" si="871"/>
        <v>2350.5915240178583</v>
      </c>
      <c r="ES296" s="528">
        <f t="shared" si="872"/>
        <v>0.55999999999999994</v>
      </c>
      <c r="EV296" s="460">
        <f t="shared" si="873"/>
        <v>559.99999999999989</v>
      </c>
      <c r="EW296" s="528">
        <f t="shared" si="874"/>
        <v>1.0931250595275895E-2</v>
      </c>
      <c r="EX296" s="528">
        <f t="shared" si="875"/>
        <v>5.1544939880914582E-2</v>
      </c>
      <c r="EY296" s="528">
        <f t="shared" si="876"/>
        <v>1.1318354456418878</v>
      </c>
      <c r="EZ296" s="528"/>
      <c r="FA296" s="528">
        <f t="shared" si="877"/>
        <v>1.0933333333333335E-2</v>
      </c>
      <c r="FB296" s="460">
        <f t="shared" si="878"/>
        <v>1205.2449694514116</v>
      </c>
      <c r="FC296" s="173">
        <f t="shared" si="879"/>
        <v>4.1158364934692697</v>
      </c>
      <c r="FD296" s="5">
        <f t="shared" si="880"/>
        <v>12.8</v>
      </c>
      <c r="FE296" s="173">
        <f t="shared" si="881"/>
        <v>0.75668738019203019</v>
      </c>
      <c r="FF296" s="5">
        <f t="shared" si="882"/>
        <v>75.668738019203019</v>
      </c>
      <c r="FI296" s="562">
        <f t="shared" si="836"/>
        <v>-50</v>
      </c>
      <c r="FJ296">
        <f t="shared" si="837"/>
        <v>-50</v>
      </c>
      <c r="FL296">
        <f t="shared" si="838"/>
        <v>0.64012193960289754</v>
      </c>
    </row>
    <row r="297" spans="5:168">
      <c r="E297" s="170">
        <v>81</v>
      </c>
      <c r="F297" s="217">
        <f t="shared" si="839"/>
        <v>0.81</v>
      </c>
      <c r="G297" s="217"/>
      <c r="H297" s="217">
        <f t="shared" si="764"/>
        <v>12.96</v>
      </c>
      <c r="I297" s="541">
        <f t="shared" si="765"/>
        <v>59.937894099659189</v>
      </c>
      <c r="J297" s="172">
        <f t="shared" si="766"/>
        <v>16.437263540204487</v>
      </c>
      <c r="K297" s="172">
        <f t="shared" si="767"/>
        <v>76.375157639863673</v>
      </c>
      <c r="L297" s="443"/>
      <c r="M297" s="217">
        <f t="shared" si="768"/>
        <v>0.21522216564425237</v>
      </c>
      <c r="N297" s="172">
        <f t="shared" si="769"/>
        <v>33.217405683632606</v>
      </c>
      <c r="O297" s="172">
        <f t="shared" si="762"/>
        <v>12.96</v>
      </c>
      <c r="P297" s="217">
        <f t="shared" si="770"/>
        <v>2.0760878552270379</v>
      </c>
      <c r="Q297" s="217">
        <f t="shared" si="771"/>
        <v>16</v>
      </c>
      <c r="R297" s="217"/>
      <c r="S297" s="172">
        <f t="shared" si="772"/>
        <v>125.24642069756582</v>
      </c>
      <c r="T297" s="172">
        <f t="shared" si="773"/>
        <v>16</v>
      </c>
      <c r="U297" s="217">
        <f t="shared" si="774"/>
        <v>2.0093080307258053</v>
      </c>
      <c r="V297" s="217">
        <f t="shared" si="775"/>
        <v>0.40227800343834175</v>
      </c>
      <c r="W297" s="217">
        <f t="shared" si="776"/>
        <v>1.4668923637887785</v>
      </c>
      <c r="X297" s="197">
        <f t="shared" si="777"/>
        <v>350</v>
      </c>
      <c r="Y297" s="443">
        <f t="shared" si="840"/>
        <v>350</v>
      </c>
      <c r="AA297" s="217">
        <f t="shared" si="778"/>
        <v>3.0713519690045725</v>
      </c>
      <c r="AB297" s="173">
        <f t="shared" si="779"/>
        <v>2.2422359742488109</v>
      </c>
      <c r="AC297" s="173">
        <f t="shared" si="780"/>
        <v>1.2051717780343452</v>
      </c>
      <c r="AD297" s="173"/>
      <c r="AE297" s="173">
        <f t="shared" si="781"/>
        <v>0.73004852484410032</v>
      </c>
      <c r="AF297" s="545">
        <f t="shared" si="782"/>
        <v>2219.0305779276059</v>
      </c>
      <c r="AG297" s="528">
        <f t="shared" si="783"/>
        <v>0.12775849184771756</v>
      </c>
      <c r="AI297" s="173">
        <f t="shared" si="784"/>
        <v>2.5179530109808335</v>
      </c>
      <c r="AJ297" s="173">
        <f t="shared" si="785"/>
        <v>2.5179530109808335</v>
      </c>
      <c r="AK297" s="173">
        <f t="shared" si="786"/>
        <v>2.3244096377635803</v>
      </c>
      <c r="AM297" s="545">
        <f t="shared" si="787"/>
        <v>810</v>
      </c>
      <c r="AN297" s="460">
        <f t="shared" si="788"/>
        <v>350</v>
      </c>
      <c r="AP297">
        <f t="shared" si="789"/>
        <v>810</v>
      </c>
      <c r="AQ297">
        <f t="shared" si="790"/>
        <v>350</v>
      </c>
      <c r="AS297" s="5">
        <f t="shared" si="763"/>
        <v>2.8571428571428572</v>
      </c>
      <c r="AT297" s="5">
        <f t="shared" si="791"/>
        <v>0.50411240811248004</v>
      </c>
      <c r="AU297" s="5">
        <f t="shared" si="722"/>
        <v>2.3530304490303773</v>
      </c>
      <c r="AV297" s="5"/>
      <c r="AW297" s="173">
        <f t="shared" si="723"/>
        <v>0.17643934283936802</v>
      </c>
      <c r="AX297" s="173">
        <f t="shared" si="792"/>
        <v>13.314183467565636</v>
      </c>
      <c r="AY297" s="173">
        <f t="shared" si="793"/>
        <v>1.0368435182114837</v>
      </c>
      <c r="AZ297" s="173">
        <f t="shared" si="794"/>
        <v>12.841073154927086</v>
      </c>
      <c r="BA297" s="460">
        <f t="shared" si="724"/>
        <v>2.5520690660694303</v>
      </c>
      <c r="BB297" s="5">
        <f t="shared" si="725"/>
        <v>0.42398434631810955</v>
      </c>
      <c r="BD297" s="173">
        <f t="shared" si="841"/>
        <v>0.61063924110020795</v>
      </c>
      <c r="BE297" s="173">
        <f t="shared" si="842"/>
        <v>1.3192733501430665</v>
      </c>
      <c r="BG297" s="528">
        <f t="shared" si="843"/>
        <v>7.457605655428759E-3</v>
      </c>
      <c r="BH297" s="528">
        <f t="shared" si="795"/>
        <v>1.2283741088911626</v>
      </c>
      <c r="BI297" s="528">
        <f t="shared" si="796"/>
        <v>0.4825000475022565</v>
      </c>
      <c r="BJ297" s="528">
        <f t="shared" si="844"/>
        <v>1.0054917659406053</v>
      </c>
      <c r="BK297">
        <f t="shared" si="845"/>
        <v>2.6972052344846634E-2</v>
      </c>
      <c r="BL297" s="460">
        <f t="shared" si="846"/>
        <v>509.47209984710315</v>
      </c>
      <c r="BM297" s="528">
        <f t="shared" si="797"/>
        <v>2.2473191196730409</v>
      </c>
      <c r="BN297" s="460">
        <f t="shared" si="847"/>
        <v>2247.3191196730409</v>
      </c>
      <c r="BO297" s="528">
        <f t="shared" si="798"/>
        <v>0.56699999999999995</v>
      </c>
      <c r="BR297" s="460">
        <f t="shared" si="848"/>
        <v>567</v>
      </c>
      <c r="BS297" s="528">
        <f t="shared" si="849"/>
        <v>1.1186408483143137E-2</v>
      </c>
      <c r="BT297" s="528">
        <f t="shared" si="850"/>
        <v>5.2214465171931297E-2</v>
      </c>
      <c r="BU297" s="528">
        <f t="shared" si="851"/>
        <v>1.1528138042753677</v>
      </c>
      <c r="BV297" s="528"/>
      <c r="BW297" s="528">
        <f t="shared" si="852"/>
        <v>1.1095152889638029E-2</v>
      </c>
      <c r="BX297" s="460">
        <f t="shared" si="853"/>
        <v>1227.3098308200804</v>
      </c>
      <c r="BY297" s="173">
        <f t="shared" si="854"/>
        <v>4.5451054111543803</v>
      </c>
      <c r="BZ297" s="5">
        <f t="shared" si="855"/>
        <v>12.96</v>
      </c>
      <c r="CA297" s="173">
        <f t="shared" si="856"/>
        <v>0.74035543891908207</v>
      </c>
      <c r="CB297" s="5">
        <f t="shared" si="857"/>
        <v>74.035543891908205</v>
      </c>
      <c r="CE297" s="562">
        <f t="shared" si="799"/>
        <v>-50</v>
      </c>
      <c r="CF297">
        <f t="shared" si="800"/>
        <v>-50</v>
      </c>
      <c r="CG297" s="173">
        <f t="shared" si="801"/>
        <v>0.65211195357852481</v>
      </c>
      <c r="CI297" s="170">
        <v>81</v>
      </c>
      <c r="CJ297" s="217">
        <f t="shared" si="858"/>
        <v>0.81</v>
      </c>
      <c r="CK297" s="217"/>
      <c r="CL297" s="217">
        <f t="shared" si="802"/>
        <v>12.96</v>
      </c>
      <c r="CM297" s="541">
        <f t="shared" si="803"/>
        <v>60</v>
      </c>
      <c r="CN297" s="443">
        <f t="shared" si="804"/>
        <v>16.399999999999999</v>
      </c>
      <c r="CO297" s="443">
        <f t="shared" si="805"/>
        <v>76.400000000000006</v>
      </c>
      <c r="CP297" s="443"/>
      <c r="CQ297" s="217">
        <f t="shared" si="806"/>
        <v>0.21465968586387432</v>
      </c>
      <c r="CR297" s="172">
        <f t="shared" si="807"/>
        <v>33.164921465968582</v>
      </c>
      <c r="CS297" s="172">
        <f t="shared" si="808"/>
        <v>12.96</v>
      </c>
      <c r="CT297" s="217">
        <f t="shared" si="809"/>
        <v>2.0728075916230364</v>
      </c>
      <c r="CU297" s="217">
        <f t="shared" si="810"/>
        <v>16</v>
      </c>
      <c r="CV297" s="217"/>
      <c r="CW297" s="172">
        <f t="shared" si="811"/>
        <v>125.37600060215739</v>
      </c>
      <c r="CX297" s="172">
        <f t="shared" si="812"/>
        <v>16</v>
      </c>
      <c r="CY297" s="217">
        <f t="shared" si="813"/>
        <v>2.0124878048780492</v>
      </c>
      <c r="CZ297" s="217">
        <f t="shared" si="814"/>
        <v>0.40249756097560985</v>
      </c>
      <c r="DA297" s="217">
        <f t="shared" si="815"/>
        <v>1.4725520523497921</v>
      </c>
      <c r="DB297" s="197">
        <f t="shared" si="816"/>
        <v>350</v>
      </c>
      <c r="DC297" s="443">
        <f t="shared" si="817"/>
        <v>350</v>
      </c>
      <c r="DE297" s="217">
        <f t="shared" si="818"/>
        <v>3.06656694091249</v>
      </c>
      <c r="DF297" s="173">
        <f t="shared" si="819"/>
        <v>2.2438294689603588</v>
      </c>
      <c r="DG297" s="173">
        <f t="shared" si="820"/>
        <v>1.2041493223478366</v>
      </c>
      <c r="DH297" s="173"/>
      <c r="DI297" s="173">
        <f t="shared" si="821"/>
        <v>0.73170731707317083</v>
      </c>
      <c r="DJ297" s="545">
        <f t="shared" si="822"/>
        <v>2214</v>
      </c>
      <c r="DK297" s="528">
        <f t="shared" si="823"/>
        <v>0.12804878048780488</v>
      </c>
      <c r="DM297" s="173">
        <f t="shared" si="824"/>
        <v>2.5150972716207787</v>
      </c>
      <c r="DN297" s="173">
        <f t="shared" si="825"/>
        <v>2.5150972716207787</v>
      </c>
      <c r="DO297" s="173">
        <f t="shared" si="826"/>
        <v>2.3222942752746509</v>
      </c>
      <c r="DQ297" s="545">
        <f t="shared" si="827"/>
        <v>810</v>
      </c>
      <c r="DR297" s="460">
        <f t="shared" si="828"/>
        <v>350</v>
      </c>
      <c r="DT297">
        <f t="shared" si="829"/>
        <v>810</v>
      </c>
      <c r="DU297">
        <f t="shared" si="830"/>
        <v>350</v>
      </c>
      <c r="DW297" s="5">
        <f t="shared" si="859"/>
        <v>2.8571428571428572</v>
      </c>
      <c r="DX297" s="5">
        <f t="shared" si="831"/>
        <v>0.50301945432415573</v>
      </c>
      <c r="DY297" s="5">
        <f t="shared" si="832"/>
        <v>2.3541234028187015</v>
      </c>
      <c r="DZ297" s="5"/>
      <c r="EA297" s="173">
        <f t="shared" si="833"/>
        <v>0.1760568090134545</v>
      </c>
      <c r="EB297" s="173">
        <f t="shared" si="860"/>
        <v>13.283999999999999</v>
      </c>
      <c r="EC297" s="173">
        <f t="shared" si="861"/>
        <v>1.0361486358103895</v>
      </c>
      <c r="ED297" s="173">
        <f t="shared" si="862"/>
        <v>12.820554446428774</v>
      </c>
      <c r="EE297" s="460">
        <f t="shared" si="834"/>
        <v>2.5465359875160387</v>
      </c>
      <c r="EF297" s="5">
        <f t="shared" si="835"/>
        <v>0.42374221250736627</v>
      </c>
      <c r="EH297" s="173">
        <f t="shared" si="863"/>
        <v>0.60928511986690348</v>
      </c>
      <c r="EI297" s="173">
        <f t="shared" si="864"/>
        <v>1.3180831048458976</v>
      </c>
      <c r="EK297" s="528">
        <f t="shared" si="865"/>
        <v>7.424567145824539E-3</v>
      </c>
      <c r="EL297" s="528">
        <f t="shared" si="866"/>
        <v>1.2778203198196532</v>
      </c>
      <c r="EM297" s="528">
        <f t="shared" si="867"/>
        <v>4.0250000000000001E-2</v>
      </c>
      <c r="EN297" s="528">
        <f t="shared" si="868"/>
        <v>1.0061459800000001</v>
      </c>
      <c r="EO297">
        <f t="shared" si="869"/>
        <v>2.7E-2</v>
      </c>
      <c r="EP297" s="460">
        <f t="shared" si="870"/>
        <v>67.25</v>
      </c>
      <c r="EQ297" s="460"/>
      <c r="ER297" s="460">
        <f t="shared" si="871"/>
        <v>2358.6408669654779</v>
      </c>
      <c r="ES297" s="528">
        <f t="shared" si="872"/>
        <v>0.56699999999999995</v>
      </c>
      <c r="EV297" s="460">
        <f t="shared" si="873"/>
        <v>567</v>
      </c>
      <c r="EW297" s="528">
        <f t="shared" si="874"/>
        <v>1.1136850718736808E-2</v>
      </c>
      <c r="EX297" s="528">
        <f t="shared" si="875"/>
        <v>5.2120292138406049E-2</v>
      </c>
      <c r="EY297" s="528">
        <f t="shared" si="876"/>
        <v>1.149547921298177</v>
      </c>
      <c r="EZ297" s="528"/>
      <c r="FA297" s="528">
        <f t="shared" si="877"/>
        <v>1.1069999999999998E-2</v>
      </c>
      <c r="FB297" s="460">
        <f t="shared" si="878"/>
        <v>1223.8750641553197</v>
      </c>
      <c r="FC297" s="173">
        <f t="shared" si="879"/>
        <v>4.1495159311207974</v>
      </c>
      <c r="FD297" s="5">
        <f t="shared" si="880"/>
        <v>12.96</v>
      </c>
      <c r="FE297" s="173">
        <f t="shared" si="881"/>
        <v>0.75747321269486245</v>
      </c>
      <c r="FF297" s="5">
        <f t="shared" si="882"/>
        <v>75.74732126948625</v>
      </c>
      <c r="FI297" s="562">
        <f t="shared" si="836"/>
        <v>-50</v>
      </c>
      <c r="FJ297">
        <f t="shared" si="837"/>
        <v>-50</v>
      </c>
      <c r="FL297">
        <f t="shared" si="838"/>
        <v>0.64411027687849221</v>
      </c>
    </row>
    <row r="298" spans="5:168">
      <c r="E298" s="170">
        <v>82</v>
      </c>
      <c r="F298" s="217">
        <f t="shared" si="839"/>
        <v>0.82</v>
      </c>
      <c r="G298" s="217"/>
      <c r="H298" s="217">
        <f t="shared" si="764"/>
        <v>13.12</v>
      </c>
      <c r="I298" s="541">
        <f t="shared" si="765"/>
        <v>59.93751190589591</v>
      </c>
      <c r="J298" s="172">
        <f t="shared" si="766"/>
        <v>16.437492856462455</v>
      </c>
      <c r="K298" s="172">
        <f t="shared" si="767"/>
        <v>76.375004762358373</v>
      </c>
      <c r="L298" s="443"/>
      <c r="M298" s="217">
        <f t="shared" si="768"/>
        <v>0.21522562820266739</v>
      </c>
      <c r="N298" s="172">
        <f t="shared" si="769"/>
        <v>33.217728281092107</v>
      </c>
      <c r="O298" s="172">
        <f t="shared" si="762"/>
        <v>13.12</v>
      </c>
      <c r="P298" s="217">
        <f t="shared" si="770"/>
        <v>2.0761080175682567</v>
      </c>
      <c r="Q298" s="217">
        <f t="shared" si="771"/>
        <v>16</v>
      </c>
      <c r="R298" s="217"/>
      <c r="S298" s="172">
        <f t="shared" si="772"/>
        <v>122.99310265105187</v>
      </c>
      <c r="T298" s="172">
        <f t="shared" si="773"/>
        <v>16</v>
      </c>
      <c r="U298" s="217">
        <f t="shared" si="774"/>
        <v>2.0340945481952311</v>
      </c>
      <c r="V298" s="217">
        <f t="shared" si="775"/>
        <v>0.40724304032950198</v>
      </c>
      <c r="W298" s="217">
        <f t="shared" si="776"/>
        <v>1.4849670075291463</v>
      </c>
      <c r="X298" s="197">
        <f t="shared" si="777"/>
        <v>350</v>
      </c>
      <c r="Y298" s="443">
        <f t="shared" si="840"/>
        <v>350</v>
      </c>
      <c r="AA298" s="217">
        <f t="shared" si="778"/>
        <v>3.0713813805746031</v>
      </c>
      <c r="AB298" s="173">
        <f t="shared" si="779"/>
        <v>2.2422261648256745</v>
      </c>
      <c r="AC298" s="173">
        <f t="shared" si="780"/>
        <v>1.2051780463944861</v>
      </c>
      <c r="AD298" s="173"/>
      <c r="AE298" s="173">
        <f t="shared" si="781"/>
        <v>0.73003834007947022</v>
      </c>
      <c r="AF298" s="545">
        <f t="shared" si="782"/>
        <v>2246.4573570498687</v>
      </c>
      <c r="AG298" s="528">
        <f t="shared" si="783"/>
        <v>0.1277567095139073</v>
      </c>
      <c r="AI298" s="173">
        <f t="shared" si="784"/>
        <v>2.5334659246911246</v>
      </c>
      <c r="AJ298" s="173">
        <f t="shared" si="785"/>
        <v>2.5334659246911246</v>
      </c>
      <c r="AK298" s="173">
        <f t="shared" si="786"/>
        <v>2.3359006849563886</v>
      </c>
      <c r="AM298" s="545">
        <f t="shared" si="787"/>
        <v>820</v>
      </c>
      <c r="AN298" s="460">
        <f t="shared" si="788"/>
        <v>350</v>
      </c>
      <c r="AP298">
        <f t="shared" si="789"/>
        <v>820</v>
      </c>
      <c r="AQ298">
        <f t="shared" si="790"/>
        <v>350</v>
      </c>
      <c r="AS298" s="5">
        <f t="shared" si="763"/>
        <v>2.8571428571428572</v>
      </c>
      <c r="AT298" s="5">
        <f t="shared" si="791"/>
        <v>0.50722143995608482</v>
      </c>
      <c r="AU298" s="5">
        <f t="shared" ref="AU298:AU316" si="883">AS298-AT298</f>
        <v>2.3499214171867724</v>
      </c>
      <c r="AV298" s="5"/>
      <c r="AW298" s="173">
        <f t="shared" ref="AW298:AW315" si="884">AT298/AS298</f>
        <v>0.17752750398462969</v>
      </c>
      <c r="AX298" s="173">
        <f t="shared" si="792"/>
        <v>13.478744142299217</v>
      </c>
      <c r="AY298" s="173">
        <f t="shared" si="793"/>
        <v>1.0418530213252988</v>
      </c>
      <c r="AZ298" s="173">
        <f t="shared" si="794"/>
        <v>12.93727989112462</v>
      </c>
      <c r="BA298" s="460">
        <f t="shared" si="724"/>
        <v>2.5995098797749345</v>
      </c>
      <c r="BB298" s="5">
        <f t="shared" si="725"/>
        <v>0.42865433255855134</v>
      </c>
      <c r="BD298" s="173">
        <f t="shared" si="841"/>
        <v>0.61629304053693357</v>
      </c>
      <c r="BE298" s="173">
        <f t="shared" si="842"/>
        <v>1.3265240613634166</v>
      </c>
      <c r="BG298" s="528">
        <f t="shared" si="843"/>
        <v>7.5963422362851684E-3</v>
      </c>
      <c r="BH298" s="528">
        <f t="shared" si="795"/>
        <v>1.2359395528059722</v>
      </c>
      <c r="BI298" s="528">
        <f t="shared" si="796"/>
        <v>0.48249697084246207</v>
      </c>
      <c r="BJ298" s="528">
        <f t="shared" si="844"/>
        <v>1.0054877406286145</v>
      </c>
      <c r="BK298">
        <f t="shared" si="845"/>
        <v>2.6971880357653157E-2</v>
      </c>
      <c r="BL298" s="460">
        <f t="shared" si="846"/>
        <v>509.46885120011518</v>
      </c>
      <c r="BM298" s="528">
        <f t="shared" si="797"/>
        <v>2.2551449386872835</v>
      </c>
      <c r="BN298" s="460">
        <f t="shared" si="847"/>
        <v>2255.1449386872837</v>
      </c>
      <c r="BO298" s="528">
        <f t="shared" si="798"/>
        <v>0.57399999999999995</v>
      </c>
      <c r="BR298" s="460">
        <f t="shared" si="848"/>
        <v>574</v>
      </c>
      <c r="BS298" s="528">
        <f t="shared" si="849"/>
        <v>1.1394513354427753E-2</v>
      </c>
      <c r="BT298" s="528">
        <f t="shared" si="850"/>
        <v>5.2789982561282804E-2</v>
      </c>
      <c r="BU298" s="528">
        <f t="shared" si="851"/>
        <v>1.1706519250887575</v>
      </c>
      <c r="BV298" s="528"/>
      <c r="BW298" s="528">
        <f t="shared" si="852"/>
        <v>1.1232286785249346E-2</v>
      </c>
      <c r="BX298" s="460">
        <f t="shared" si="853"/>
        <v>1246.0687077897173</v>
      </c>
      <c r="BY298" s="173">
        <f t="shared" si="854"/>
        <v>4.5785611946607041</v>
      </c>
      <c r="BZ298" s="5">
        <f t="shared" si="855"/>
        <v>13.12</v>
      </c>
      <c r="CA298" s="173">
        <f t="shared" si="856"/>
        <v>0.74130319723153737</v>
      </c>
      <c r="CB298" s="5">
        <f t="shared" si="857"/>
        <v>74.130319723153733</v>
      </c>
      <c r="CE298" s="562">
        <f t="shared" si="799"/>
        <v>-50</v>
      </c>
      <c r="CF298">
        <f t="shared" si="800"/>
        <v>-50</v>
      </c>
      <c r="CG298" s="173">
        <f t="shared" si="801"/>
        <v>0.65612498809296993</v>
      </c>
      <c r="CI298" s="170">
        <v>82</v>
      </c>
      <c r="CJ298" s="217">
        <f t="shared" si="858"/>
        <v>0.82</v>
      </c>
      <c r="CK298" s="217"/>
      <c r="CL298" s="217">
        <f t="shared" si="802"/>
        <v>13.12</v>
      </c>
      <c r="CM298" s="541">
        <f t="shared" si="803"/>
        <v>60</v>
      </c>
      <c r="CN298" s="443">
        <f t="shared" si="804"/>
        <v>16.399999999999999</v>
      </c>
      <c r="CO298" s="443">
        <f t="shared" si="805"/>
        <v>76.400000000000006</v>
      </c>
      <c r="CP298" s="443"/>
      <c r="CQ298" s="217">
        <f t="shared" si="806"/>
        <v>0.21465968586387432</v>
      </c>
      <c r="CR298" s="172">
        <f t="shared" si="807"/>
        <v>33.164921465968582</v>
      </c>
      <c r="CS298" s="172">
        <f t="shared" si="808"/>
        <v>13.12</v>
      </c>
      <c r="CT298" s="217">
        <f t="shared" si="809"/>
        <v>2.0728075916230364</v>
      </c>
      <c r="CU298" s="217">
        <f t="shared" si="810"/>
        <v>16</v>
      </c>
      <c r="CV298" s="217"/>
      <c r="CW298" s="172">
        <f t="shared" si="811"/>
        <v>123.12112801204816</v>
      </c>
      <c r="CX298" s="172">
        <f t="shared" si="812"/>
        <v>16</v>
      </c>
      <c r="CY298" s="217">
        <f t="shared" si="813"/>
        <v>2.0373333333333332</v>
      </c>
      <c r="CZ298" s="217">
        <f t="shared" si="814"/>
        <v>0.40746666666666664</v>
      </c>
      <c r="DA298" s="217">
        <f t="shared" si="815"/>
        <v>1.4907317073170734</v>
      </c>
      <c r="DB298" s="197">
        <f t="shared" si="816"/>
        <v>350</v>
      </c>
      <c r="DC298" s="443">
        <f t="shared" si="817"/>
        <v>350</v>
      </c>
      <c r="DE298" s="217">
        <f t="shared" si="818"/>
        <v>3.06656694091249</v>
      </c>
      <c r="DF298" s="173">
        <f t="shared" si="819"/>
        <v>2.2438294689603588</v>
      </c>
      <c r="DG298" s="173">
        <f t="shared" si="820"/>
        <v>1.2041493223478366</v>
      </c>
      <c r="DH298" s="173"/>
      <c r="DI298" s="173">
        <f t="shared" si="821"/>
        <v>0.73170731707317083</v>
      </c>
      <c r="DJ298" s="545">
        <f t="shared" si="822"/>
        <v>2241.333333333333</v>
      </c>
      <c r="DK298" s="528">
        <f t="shared" si="823"/>
        <v>0.12804878048780488</v>
      </c>
      <c r="DM298" s="173">
        <f t="shared" si="824"/>
        <v>2.5305749393783072</v>
      </c>
      <c r="DN298" s="173">
        <f t="shared" si="825"/>
        <v>2.5305749393783072</v>
      </c>
      <c r="DO298" s="173">
        <f t="shared" si="826"/>
        <v>2.3337592143543016</v>
      </c>
      <c r="DQ298" s="545">
        <f t="shared" si="827"/>
        <v>820</v>
      </c>
      <c r="DR298" s="460">
        <f t="shared" si="828"/>
        <v>350</v>
      </c>
      <c r="DT298">
        <f t="shared" si="829"/>
        <v>820</v>
      </c>
      <c r="DU298">
        <f t="shared" si="830"/>
        <v>350</v>
      </c>
      <c r="DW298" s="5">
        <f t="shared" si="859"/>
        <v>2.8571428571428572</v>
      </c>
      <c r="DX298" s="5">
        <f t="shared" si="831"/>
        <v>0.50611498787566145</v>
      </c>
      <c r="DY298" s="5">
        <f t="shared" si="832"/>
        <v>2.3510278692671958</v>
      </c>
      <c r="DZ298" s="5"/>
      <c r="EA298" s="173">
        <f t="shared" si="833"/>
        <v>0.17714024575648149</v>
      </c>
      <c r="EB298" s="173">
        <f t="shared" si="860"/>
        <v>13.448</v>
      </c>
      <c r="EC298" s="173">
        <f t="shared" si="861"/>
        <v>1.0411541363558203</v>
      </c>
      <c r="ED298" s="173">
        <f t="shared" si="862"/>
        <v>12.916435261996664</v>
      </c>
      <c r="EE298" s="460">
        <f t="shared" si="834"/>
        <v>2.593839312862765</v>
      </c>
      <c r="EF298" s="5">
        <f t="shared" si="835"/>
        <v>0.42840952284424449</v>
      </c>
      <c r="EH298" s="173">
        <f t="shared" si="863"/>
        <v>0.61491798716720902</v>
      </c>
      <c r="EI298" s="173">
        <f t="shared" si="864"/>
        <v>1.3253222414422097</v>
      </c>
      <c r="EK298" s="528">
        <f t="shared" si="865"/>
        <v>7.5624826188354366E-3</v>
      </c>
      <c r="EL298" s="528">
        <f t="shared" si="866"/>
        <v>1.285683903700543</v>
      </c>
      <c r="EM298" s="528">
        <f t="shared" si="867"/>
        <v>4.0250000000000001E-2</v>
      </c>
      <c r="EN298" s="528">
        <f t="shared" si="868"/>
        <v>1.0061459800000001</v>
      </c>
      <c r="EO298">
        <f t="shared" si="869"/>
        <v>2.7E-2</v>
      </c>
      <c r="EP298" s="460">
        <f t="shared" si="870"/>
        <v>67.25</v>
      </c>
      <c r="EQ298" s="460"/>
      <c r="ER298" s="460">
        <f t="shared" si="871"/>
        <v>2366.6423663193787</v>
      </c>
      <c r="ES298" s="528">
        <f t="shared" si="872"/>
        <v>0.57399999999999995</v>
      </c>
      <c r="EV298" s="460">
        <f t="shared" si="873"/>
        <v>574</v>
      </c>
      <c r="EW298" s="528">
        <f t="shared" si="874"/>
        <v>1.1343723928253155E-2</v>
      </c>
      <c r="EX298" s="528">
        <f t="shared" si="875"/>
        <v>5.2694371309842079E-2</v>
      </c>
      <c r="EY298" s="528">
        <f t="shared" si="876"/>
        <v>1.1673151507594226</v>
      </c>
      <c r="EZ298" s="528"/>
      <c r="FA298" s="528">
        <f t="shared" si="877"/>
        <v>1.1206666666666667E-2</v>
      </c>
      <c r="FB298" s="460">
        <f t="shared" si="878"/>
        <v>1242.5599126641844</v>
      </c>
      <c r="FC298" s="173">
        <f t="shared" si="879"/>
        <v>4.183202278983563</v>
      </c>
      <c r="FD298" s="5">
        <f t="shared" si="880"/>
        <v>13.12</v>
      </c>
      <c r="FE298" s="173">
        <f t="shared" si="881"/>
        <v>0.75824115030635264</v>
      </c>
      <c r="FF298" s="5">
        <f t="shared" si="882"/>
        <v>75.824115030635269</v>
      </c>
      <c r="FI298" s="562">
        <f t="shared" si="836"/>
        <v>-50</v>
      </c>
      <c r="FJ298">
        <f t="shared" si="837"/>
        <v>-50</v>
      </c>
      <c r="FL298">
        <f t="shared" si="838"/>
        <v>0.64807406984078597</v>
      </c>
    </row>
    <row r="299" spans="5:168">
      <c r="E299" s="170">
        <v>83</v>
      </c>
      <c r="F299" s="217">
        <f t="shared" si="839"/>
        <v>0.83</v>
      </c>
      <c r="G299" s="217"/>
      <c r="H299" s="217">
        <f t="shared" si="764"/>
        <v>13.28</v>
      </c>
      <c r="I299" s="541">
        <f t="shared" si="765"/>
        <v>59.937132035563565</v>
      </c>
      <c r="J299" s="172">
        <f t="shared" si="766"/>
        <v>16.437720778661859</v>
      </c>
      <c r="K299" s="172">
        <f t="shared" si="767"/>
        <v>76.37485281422542</v>
      </c>
      <c r="L299" s="443"/>
      <c r="M299" s="217">
        <f t="shared" si="768"/>
        <v>0.21522906972498948</v>
      </c>
      <c r="N299" s="172">
        <f t="shared" si="769"/>
        <v>33.218048912745395</v>
      </c>
      <c r="O299" s="172">
        <f t="shared" si="762"/>
        <v>13.28</v>
      </c>
      <c r="P299" s="217">
        <f t="shared" si="770"/>
        <v>2.0761280570465872</v>
      </c>
      <c r="Q299" s="217">
        <f t="shared" si="771"/>
        <v>16</v>
      </c>
      <c r="R299" s="217"/>
      <c r="S299" s="172">
        <f t="shared" si="772"/>
        <v>120.794219943153</v>
      </c>
      <c r="T299" s="172">
        <f t="shared" si="773"/>
        <v>16</v>
      </c>
      <c r="U299" s="217">
        <f t="shared" si="774"/>
        <v>2.0588807060777956</v>
      </c>
      <c r="V299" s="217">
        <f t="shared" si="775"/>
        <v>0.41220805256871418</v>
      </c>
      <c r="W299" s="217">
        <f t="shared" si="776"/>
        <v>1.5030410119270095</v>
      </c>
      <c r="X299" s="197">
        <f t="shared" si="777"/>
        <v>350</v>
      </c>
      <c r="Y299" s="443">
        <f t="shared" si="840"/>
        <v>350</v>
      </c>
      <c r="AA299" s="217">
        <f t="shared" si="778"/>
        <v>3.0714106129211216</v>
      </c>
      <c r="AB299" s="173">
        <f t="shared" si="779"/>
        <v>2.2422164149970349</v>
      </c>
      <c r="AC299" s="173">
        <f t="shared" si="780"/>
        <v>1.2051842763603724</v>
      </c>
      <c r="AD299" s="173"/>
      <c r="AE299" s="173">
        <f t="shared" si="781"/>
        <v>0.73002821751160574</v>
      </c>
      <c r="AF299" s="545">
        <f t="shared" si="782"/>
        <v>2273.8847077148903</v>
      </c>
      <c r="AG299" s="528">
        <f t="shared" si="783"/>
        <v>0.127754938064531</v>
      </c>
      <c r="AI299" s="173">
        <f t="shared" si="784"/>
        <v>2.5488847464359727</v>
      </c>
      <c r="AJ299" s="173">
        <f t="shared" si="785"/>
        <v>2.5488847464359727</v>
      </c>
      <c r="AK299" s="173">
        <f t="shared" si="786"/>
        <v>2.3473220343970169</v>
      </c>
      <c r="AM299" s="545">
        <f t="shared" si="787"/>
        <v>830</v>
      </c>
      <c r="AN299" s="460">
        <f t="shared" si="788"/>
        <v>350</v>
      </c>
      <c r="AP299">
        <f t="shared" si="789"/>
        <v>830</v>
      </c>
      <c r="AQ299">
        <f t="shared" si="790"/>
        <v>350</v>
      </c>
      <c r="AS299" s="5">
        <f t="shared" si="763"/>
        <v>2.8571428571428572</v>
      </c>
      <c r="AT299" s="5">
        <f t="shared" si="791"/>
        <v>0.51031165353529384</v>
      </c>
      <c r="AU299" s="5">
        <f t="shared" si="883"/>
        <v>2.3468312036075636</v>
      </c>
      <c r="AV299" s="5"/>
      <c r="AW299" s="173">
        <f t="shared" si="884"/>
        <v>0.17860907873735285</v>
      </c>
      <c r="AX299" s="173">
        <f t="shared" si="792"/>
        <v>13.643308246289344</v>
      </c>
      <c r="AY299" s="173">
        <f t="shared" si="793"/>
        <v>1.0468153950336763</v>
      </c>
      <c r="AZ299" s="173">
        <f t="shared" si="794"/>
        <v>13.033155904103259</v>
      </c>
      <c r="BA299" s="460">
        <f t="shared" si="724"/>
        <v>2.6472417027143367</v>
      </c>
      <c r="BB299" s="5">
        <f t="shared" si="725"/>
        <v>0.43331400371053524</v>
      </c>
      <c r="BD299" s="173">
        <f t="shared" si="841"/>
        <v>0.62192975625403346</v>
      </c>
      <c r="BE299" s="173">
        <f t="shared" si="842"/>
        <v>1.3337195589117639</v>
      </c>
      <c r="BG299" s="528">
        <f t="shared" si="843"/>
        <v>7.7359324342840298E-3</v>
      </c>
      <c r="BH299" s="528">
        <f t="shared" si="795"/>
        <v>1.2434590793197506</v>
      </c>
      <c r="BI299" s="528">
        <f t="shared" si="796"/>
        <v>0.48249391288628674</v>
      </c>
      <c r="BJ299" s="528">
        <f t="shared" si="844"/>
        <v>1.0054837397952685</v>
      </c>
      <c r="BK299">
        <f t="shared" si="845"/>
        <v>2.6971709416003603E-2</v>
      </c>
      <c r="BL299" s="460">
        <f t="shared" si="846"/>
        <v>509.46562230229029</v>
      </c>
      <c r="BM299" s="528">
        <f t="shared" si="797"/>
        <v>2.2629268430673788</v>
      </c>
      <c r="BN299" s="460">
        <f t="shared" si="847"/>
        <v>2262.9268430673787</v>
      </c>
      <c r="BO299" s="528">
        <f t="shared" si="798"/>
        <v>0.58099999999999996</v>
      </c>
      <c r="BR299" s="460">
        <f t="shared" si="848"/>
        <v>581</v>
      </c>
      <c r="BS299" s="528">
        <f t="shared" si="849"/>
        <v>1.1603898651426045E-2</v>
      </c>
      <c r="BT299" s="528">
        <f t="shared" si="850"/>
        <v>5.3364235854713699E-2</v>
      </c>
      <c r="BU299" s="528">
        <f t="shared" si="851"/>
        <v>1.1885449496618017</v>
      </c>
      <c r="BV299" s="528"/>
      <c r="BW299" s="528">
        <f t="shared" si="852"/>
        <v>1.1369423538574454E-2</v>
      </c>
      <c r="BX299" s="460">
        <f t="shared" si="853"/>
        <v>1264.8825077065158</v>
      </c>
      <c r="BY299" s="173">
        <f t="shared" si="854"/>
        <v>4.6120268815581094</v>
      </c>
      <c r="BZ299" s="5">
        <f t="shared" si="855"/>
        <v>13.28</v>
      </c>
      <c r="CA299" s="173">
        <f t="shared" si="856"/>
        <v>0.74223004961434103</v>
      </c>
      <c r="CB299" s="5">
        <f t="shared" si="857"/>
        <v>74.2230049614341</v>
      </c>
      <c r="CE299" s="562">
        <f t="shared" si="799"/>
        <v>-50</v>
      </c>
      <c r="CF299">
        <f t="shared" si="800"/>
        <v>-50</v>
      </c>
      <c r="CG299" s="173">
        <f t="shared" si="801"/>
        <v>0.66011362658257555</v>
      </c>
      <c r="CI299" s="170">
        <v>83</v>
      </c>
      <c r="CJ299" s="217">
        <f t="shared" si="858"/>
        <v>0.83</v>
      </c>
      <c r="CK299" s="217"/>
      <c r="CL299" s="217">
        <f t="shared" si="802"/>
        <v>13.28</v>
      </c>
      <c r="CM299" s="541">
        <f t="shared" si="803"/>
        <v>60</v>
      </c>
      <c r="CN299" s="443">
        <f t="shared" si="804"/>
        <v>16.399999999999999</v>
      </c>
      <c r="CO299" s="443">
        <f t="shared" si="805"/>
        <v>76.400000000000006</v>
      </c>
      <c r="CP299" s="443"/>
      <c r="CQ299" s="217">
        <f t="shared" si="806"/>
        <v>0.21465968586387432</v>
      </c>
      <c r="CR299" s="172">
        <f t="shared" si="807"/>
        <v>33.164921465968582</v>
      </c>
      <c r="CS299" s="172">
        <f t="shared" si="808"/>
        <v>13.28</v>
      </c>
      <c r="CT299" s="217">
        <f t="shared" si="809"/>
        <v>2.0728075916230364</v>
      </c>
      <c r="CU299" s="217">
        <f t="shared" si="810"/>
        <v>16</v>
      </c>
      <c r="CV299" s="217"/>
      <c r="CW299" s="172">
        <f t="shared" si="811"/>
        <v>120.92071433817114</v>
      </c>
      <c r="CX299" s="172">
        <f t="shared" si="812"/>
        <v>16</v>
      </c>
      <c r="CY299" s="217">
        <f t="shared" si="813"/>
        <v>2.0621788617886181</v>
      </c>
      <c r="CZ299" s="217">
        <f t="shared" si="814"/>
        <v>0.41243577235772361</v>
      </c>
      <c r="DA299" s="217">
        <f t="shared" si="815"/>
        <v>1.5089113622843549</v>
      </c>
      <c r="DB299" s="197">
        <f t="shared" si="816"/>
        <v>350</v>
      </c>
      <c r="DC299" s="443">
        <f t="shared" si="817"/>
        <v>350</v>
      </c>
      <c r="DE299" s="217">
        <f t="shared" si="818"/>
        <v>3.06656694091249</v>
      </c>
      <c r="DF299" s="173">
        <f t="shared" si="819"/>
        <v>2.2438294689603588</v>
      </c>
      <c r="DG299" s="173">
        <f t="shared" si="820"/>
        <v>1.2041493223478366</v>
      </c>
      <c r="DH299" s="173"/>
      <c r="DI299" s="173">
        <f t="shared" si="821"/>
        <v>0.73170731707317083</v>
      </c>
      <c r="DJ299" s="545">
        <f t="shared" si="822"/>
        <v>2268.6666666666661</v>
      </c>
      <c r="DK299" s="528">
        <f t="shared" si="823"/>
        <v>0.12804878048780488</v>
      </c>
      <c r="DM299" s="173">
        <f t="shared" si="824"/>
        <v>2.545958515354239</v>
      </c>
      <c r="DN299" s="173">
        <f t="shared" si="825"/>
        <v>2.545958515354239</v>
      </c>
      <c r="DO299" s="173">
        <f t="shared" si="826"/>
        <v>2.3451544558179549</v>
      </c>
      <c r="DQ299" s="545">
        <f t="shared" si="827"/>
        <v>830</v>
      </c>
      <c r="DR299" s="460">
        <f t="shared" si="828"/>
        <v>350</v>
      </c>
      <c r="DT299">
        <f t="shared" si="829"/>
        <v>830</v>
      </c>
      <c r="DU299">
        <f t="shared" si="830"/>
        <v>350</v>
      </c>
      <c r="DW299" s="5">
        <f t="shared" si="859"/>
        <v>2.8571428571428572</v>
      </c>
      <c r="DX299" s="5">
        <f t="shared" si="831"/>
        <v>0.50919170307084782</v>
      </c>
      <c r="DY299" s="5">
        <f t="shared" si="832"/>
        <v>2.3479511540720095</v>
      </c>
      <c r="DZ299" s="5"/>
      <c r="EA299" s="173">
        <f t="shared" si="833"/>
        <v>0.17821709607479674</v>
      </c>
      <c r="EB299" s="173">
        <f t="shared" si="860"/>
        <v>13.611999999999998</v>
      </c>
      <c r="EC299" s="173">
        <f t="shared" si="861"/>
        <v>1.046112591010453</v>
      </c>
      <c r="ED299" s="173">
        <f t="shared" si="862"/>
        <v>13.011983716639909</v>
      </c>
      <c r="EE299" s="460">
        <f t="shared" si="834"/>
        <v>2.6414319596800229</v>
      </c>
      <c r="EF299" s="5">
        <f t="shared" si="835"/>
        <v>0.43306654619550389</v>
      </c>
      <c r="EH299" s="173">
        <f t="shared" si="863"/>
        <v>0.62053370676648545</v>
      </c>
      <c r="EI299" s="173">
        <f t="shared" si="864"/>
        <v>1.3325062249016197</v>
      </c>
      <c r="EK299" s="528">
        <f t="shared" si="865"/>
        <v>7.7012416246670917E-3</v>
      </c>
      <c r="EL299" s="528">
        <f t="shared" si="866"/>
        <v>1.2934996833108749</v>
      </c>
      <c r="EM299" s="528">
        <f t="shared" si="867"/>
        <v>4.0250000000000001E-2</v>
      </c>
      <c r="EN299" s="528">
        <f t="shared" si="868"/>
        <v>1.0061459800000001</v>
      </c>
      <c r="EO299">
        <f t="shared" si="869"/>
        <v>2.7E-2</v>
      </c>
      <c r="EP299" s="460">
        <f t="shared" si="870"/>
        <v>67.25</v>
      </c>
      <c r="EQ299" s="460"/>
      <c r="ER299" s="460">
        <f t="shared" si="871"/>
        <v>2374.5969049355422</v>
      </c>
      <c r="ES299" s="528">
        <f t="shared" si="872"/>
        <v>0.58099999999999996</v>
      </c>
      <c r="EV299" s="460">
        <f t="shared" si="873"/>
        <v>581</v>
      </c>
      <c r="EW299" s="528">
        <f t="shared" si="874"/>
        <v>1.1551862437000637E-2</v>
      </c>
      <c r="EX299" s="528">
        <f t="shared" si="875"/>
        <v>5.3267185182046976E-2</v>
      </c>
      <c r="EY299" s="528">
        <f t="shared" si="876"/>
        <v>1.1851366324393855</v>
      </c>
      <c r="EZ299" s="528"/>
      <c r="FA299" s="528">
        <f t="shared" si="877"/>
        <v>1.134333333333333E-2</v>
      </c>
      <c r="FB299" s="460">
        <f t="shared" si="878"/>
        <v>1261.2990133917663</v>
      </c>
      <c r="FC299" s="173">
        <f t="shared" si="879"/>
        <v>4.2168959183273085</v>
      </c>
      <c r="FD299" s="5">
        <f t="shared" si="880"/>
        <v>13.28</v>
      </c>
      <c r="FE299" s="173">
        <f t="shared" si="881"/>
        <v>0.75899176985385863</v>
      </c>
      <c r="FF299" s="5">
        <f t="shared" si="882"/>
        <v>75.899176985385864</v>
      </c>
      <c r="FI299" s="562">
        <f t="shared" si="836"/>
        <v>-50</v>
      </c>
      <c r="FJ299">
        <f t="shared" si="837"/>
        <v>-50</v>
      </c>
      <c r="FL299">
        <f t="shared" si="838"/>
        <v>0.65201376612730511</v>
      </c>
    </row>
    <row r="300" spans="5:168">
      <c r="E300" s="170">
        <v>84</v>
      </c>
      <c r="F300" s="217">
        <f t="shared" si="839"/>
        <v>0.84</v>
      </c>
      <c r="G300" s="217"/>
      <c r="H300" s="217">
        <f t="shared" si="764"/>
        <v>13.44</v>
      </c>
      <c r="I300" s="541">
        <f t="shared" si="765"/>
        <v>59.936754446796634</v>
      </c>
      <c r="J300" s="172">
        <f t="shared" si="766"/>
        <v>16.437947331922018</v>
      </c>
      <c r="K300" s="172">
        <f t="shared" si="767"/>
        <v>76.374701778718645</v>
      </c>
      <c r="L300" s="443"/>
      <c r="M300" s="217">
        <f t="shared" si="768"/>
        <v>0.21523249059026475</v>
      </c>
      <c r="N300" s="172">
        <f t="shared" si="769"/>
        <v>33.218367614014007</v>
      </c>
      <c r="O300" s="172">
        <f t="shared" si="762"/>
        <v>13.44</v>
      </c>
      <c r="P300" s="217">
        <f t="shared" si="770"/>
        <v>2.0761479758758754</v>
      </c>
      <c r="Q300" s="217">
        <f t="shared" si="771"/>
        <v>16</v>
      </c>
      <c r="R300" s="217"/>
      <c r="S300" s="172">
        <f t="shared" si="772"/>
        <v>118.64783044885061</v>
      </c>
      <c r="T300" s="172">
        <f t="shared" si="773"/>
        <v>16</v>
      </c>
      <c r="U300" s="217">
        <f t="shared" si="774"/>
        <v>2.0836665065624564</v>
      </c>
      <c r="V300" s="217">
        <f t="shared" si="775"/>
        <v>0.41717304030775454</v>
      </c>
      <c r="W300" s="217">
        <f t="shared" si="776"/>
        <v>1.5211143808809044</v>
      </c>
      <c r="X300" s="197">
        <f t="shared" si="777"/>
        <v>350</v>
      </c>
      <c r="Y300" s="443">
        <f t="shared" si="840"/>
        <v>350</v>
      </c>
      <c r="AA300" s="217">
        <f t="shared" si="778"/>
        <v>3.0714396692735271</v>
      </c>
      <c r="AB300" s="173">
        <f t="shared" si="779"/>
        <v>2.2422067236890681</v>
      </c>
      <c r="AC300" s="173">
        <f t="shared" si="780"/>
        <v>1.2051904686238253</v>
      </c>
      <c r="AD300" s="173"/>
      <c r="AE300" s="173">
        <f t="shared" si="781"/>
        <v>0.73001815601978159</v>
      </c>
      <c r="AF300" s="545">
        <f t="shared" si="782"/>
        <v>2301.3126264690823</v>
      </c>
      <c r="AG300" s="528">
        <f t="shared" si="783"/>
        <v>0.12775317730346178</v>
      </c>
      <c r="AI300" s="173">
        <f t="shared" si="784"/>
        <v>2.5642111716410576</v>
      </c>
      <c r="AJ300" s="173">
        <f t="shared" si="785"/>
        <v>2.5642111716410576</v>
      </c>
      <c r="AK300" s="173">
        <f t="shared" si="786"/>
        <v>2.3586749419563389</v>
      </c>
      <c r="AM300" s="545">
        <f t="shared" si="787"/>
        <v>840</v>
      </c>
      <c r="AN300" s="460">
        <f t="shared" si="788"/>
        <v>350</v>
      </c>
      <c r="AP300">
        <f t="shared" si="789"/>
        <v>840</v>
      </c>
      <c r="AQ300">
        <f t="shared" si="790"/>
        <v>350</v>
      </c>
      <c r="AS300" s="5">
        <f t="shared" si="763"/>
        <v>2.8571428571428572</v>
      </c>
      <c r="AT300" s="5">
        <f t="shared" si="791"/>
        <v>0.51338338793446714</v>
      </c>
      <c r="AU300" s="5">
        <f t="shared" si="883"/>
        <v>2.3437594692083898</v>
      </c>
      <c r="AV300" s="5"/>
      <c r="AW300" s="173">
        <f t="shared" si="884"/>
        <v>0.17968418577706349</v>
      </c>
      <c r="AX300" s="173">
        <f t="shared" si="792"/>
        <v>13.807875758814491</v>
      </c>
      <c r="AY300" s="173">
        <f t="shared" si="793"/>
        <v>1.0517314875521422</v>
      </c>
      <c r="AZ300" s="173">
        <f t="shared" si="794"/>
        <v>13.128708156253554</v>
      </c>
      <c r="BA300" s="460">
        <f t="shared" si="724"/>
        <v>2.6952627866559524</v>
      </c>
      <c r="BB300" s="5">
        <f t="shared" si="725"/>
        <v>0.4379634215668966</v>
      </c>
      <c r="BD300" s="173">
        <f t="shared" si="841"/>
        <v>0.62754964554555737</v>
      </c>
      <c r="BE300" s="173">
        <f t="shared" si="842"/>
        <v>1.3408608254768952</v>
      </c>
      <c r="BG300" s="528">
        <f t="shared" si="843"/>
        <v>7.8763711524870942E-3</v>
      </c>
      <c r="BH300" s="528">
        <f t="shared" si="795"/>
        <v>1.2509335158090182</v>
      </c>
      <c r="BI300" s="528">
        <f t="shared" si="796"/>
        <v>0.48249087329671297</v>
      </c>
      <c r="BJ300" s="528">
        <f t="shared" si="844"/>
        <v>1.0054797629994925</v>
      </c>
      <c r="BK300">
        <f t="shared" si="845"/>
        <v>2.6971539501058486E-2</v>
      </c>
      <c r="BL300" s="460">
        <f t="shared" si="846"/>
        <v>509.46241279777149</v>
      </c>
      <c r="BM300" s="528">
        <f t="shared" si="797"/>
        <v>2.2706656524251185</v>
      </c>
      <c r="BN300" s="460">
        <f t="shared" si="847"/>
        <v>2270.6656524251184</v>
      </c>
      <c r="BO300" s="528">
        <f t="shared" si="798"/>
        <v>0.58799999999999997</v>
      </c>
      <c r="BR300" s="460">
        <f t="shared" si="848"/>
        <v>588</v>
      </c>
      <c r="BS300" s="528">
        <f t="shared" si="849"/>
        <v>1.181455672873064E-2</v>
      </c>
      <c r="BT300" s="528">
        <f t="shared" si="850"/>
        <v>5.393723259895742E-2</v>
      </c>
      <c r="BU300" s="528">
        <f t="shared" si="851"/>
        <v>1.2064923850315799</v>
      </c>
      <c r="BV300" s="528"/>
      <c r="BW300" s="528">
        <f t="shared" si="852"/>
        <v>1.150656313234541E-2</v>
      </c>
      <c r="BX300" s="460">
        <f t="shared" si="853"/>
        <v>1283.7507374916133</v>
      </c>
      <c r="BY300" s="173">
        <f t="shared" si="854"/>
        <v>4.645502800250382</v>
      </c>
      <c r="BZ300" s="5">
        <f t="shared" si="855"/>
        <v>13.44</v>
      </c>
      <c r="CA300" s="173">
        <f t="shared" si="856"/>
        <v>0.74313665196048251</v>
      </c>
      <c r="CB300" s="5">
        <f t="shared" si="857"/>
        <v>74.313665196048248</v>
      </c>
      <c r="CE300" s="562">
        <f t="shared" si="799"/>
        <v>-50</v>
      </c>
      <c r="CF300">
        <f t="shared" si="800"/>
        <v>-50</v>
      </c>
      <c r="CG300" s="173">
        <f t="shared" si="801"/>
        <v>0.66407830863535966</v>
      </c>
      <c r="CI300" s="170">
        <v>84</v>
      </c>
      <c r="CJ300" s="217">
        <f t="shared" si="858"/>
        <v>0.84</v>
      </c>
      <c r="CK300" s="217"/>
      <c r="CL300" s="217">
        <f t="shared" si="802"/>
        <v>13.44</v>
      </c>
      <c r="CM300" s="541">
        <f t="shared" si="803"/>
        <v>60</v>
      </c>
      <c r="CN300" s="443">
        <f t="shared" si="804"/>
        <v>16.399999999999999</v>
      </c>
      <c r="CO300" s="443">
        <f t="shared" si="805"/>
        <v>76.400000000000006</v>
      </c>
      <c r="CP300" s="443"/>
      <c r="CQ300" s="217">
        <f t="shared" si="806"/>
        <v>0.21465968586387432</v>
      </c>
      <c r="CR300" s="172">
        <f t="shared" si="807"/>
        <v>33.164921465968582</v>
      </c>
      <c r="CS300" s="172">
        <f t="shared" si="808"/>
        <v>13.44</v>
      </c>
      <c r="CT300" s="217">
        <f t="shared" si="809"/>
        <v>2.0728075916230364</v>
      </c>
      <c r="CU300" s="217">
        <f t="shared" si="810"/>
        <v>16</v>
      </c>
      <c r="CV300" s="217"/>
      <c r="CW300" s="172">
        <f t="shared" si="811"/>
        <v>118.77281677931531</v>
      </c>
      <c r="CX300" s="172">
        <f t="shared" si="812"/>
        <v>16</v>
      </c>
      <c r="CY300" s="217">
        <f t="shared" si="813"/>
        <v>2.0870243902439025</v>
      </c>
      <c r="CZ300" s="217">
        <f t="shared" si="814"/>
        <v>0.41740487804878051</v>
      </c>
      <c r="DA300" s="217">
        <f t="shared" si="815"/>
        <v>1.5270910172516363</v>
      </c>
      <c r="DB300" s="197">
        <f t="shared" si="816"/>
        <v>350</v>
      </c>
      <c r="DC300" s="443">
        <f t="shared" si="817"/>
        <v>350</v>
      </c>
      <c r="DE300" s="217">
        <f t="shared" si="818"/>
        <v>3.06656694091249</v>
      </c>
      <c r="DF300" s="173">
        <f t="shared" si="819"/>
        <v>2.2438294689603588</v>
      </c>
      <c r="DG300" s="173">
        <f t="shared" si="820"/>
        <v>1.2041493223478366</v>
      </c>
      <c r="DH300" s="173"/>
      <c r="DI300" s="173">
        <f t="shared" si="821"/>
        <v>0.73170731707317083</v>
      </c>
      <c r="DJ300" s="545">
        <f t="shared" si="822"/>
        <v>2295.9999999999995</v>
      </c>
      <c r="DK300" s="528">
        <f t="shared" si="823"/>
        <v>0.12804878048780488</v>
      </c>
      <c r="DM300" s="173">
        <f t="shared" si="824"/>
        <v>2.5612496949731396</v>
      </c>
      <c r="DN300" s="173">
        <f t="shared" si="825"/>
        <v>2.5612496949731396</v>
      </c>
      <c r="DO300" s="173">
        <f t="shared" si="826"/>
        <v>2.3564812555356589</v>
      </c>
      <c r="DQ300" s="545">
        <f t="shared" si="827"/>
        <v>840</v>
      </c>
      <c r="DR300" s="460">
        <f t="shared" si="828"/>
        <v>350</v>
      </c>
      <c r="DT300">
        <f t="shared" si="829"/>
        <v>840</v>
      </c>
      <c r="DU300">
        <f t="shared" si="830"/>
        <v>350</v>
      </c>
      <c r="DW300" s="5">
        <f t="shared" si="859"/>
        <v>2.8571428571428572</v>
      </c>
      <c r="DX300" s="5">
        <f t="shared" si="831"/>
        <v>0.5122499389946279</v>
      </c>
      <c r="DY300" s="5">
        <f t="shared" si="832"/>
        <v>2.3448929181482292</v>
      </c>
      <c r="DZ300" s="5"/>
      <c r="EA300" s="173">
        <f t="shared" si="833"/>
        <v>0.17928747864811975</v>
      </c>
      <c r="EB300" s="173">
        <f t="shared" si="860"/>
        <v>13.776</v>
      </c>
      <c r="EC300" s="173">
        <f t="shared" si="861"/>
        <v>1.0510248474865698</v>
      </c>
      <c r="ED300" s="173">
        <f t="shared" si="862"/>
        <v>13.107206773411733</v>
      </c>
      <c r="EE300" s="460">
        <f t="shared" si="834"/>
        <v>2.6893121797217967</v>
      </c>
      <c r="EF300" s="5">
        <f t="shared" si="835"/>
        <v>0.43771334472100271</v>
      </c>
      <c r="EH300" s="173">
        <f t="shared" si="863"/>
        <v>0.62613253653723755</v>
      </c>
      <c r="EI300" s="173">
        <f t="shared" si="864"/>
        <v>1.3396360376445955</v>
      </c>
      <c r="EK300" s="528">
        <f t="shared" si="865"/>
        <v>7.8408390662111031E-3</v>
      </c>
      <c r="EL300" s="528">
        <f t="shared" si="866"/>
        <v>1.3012685200280534</v>
      </c>
      <c r="EM300" s="528">
        <f t="shared" si="867"/>
        <v>4.0250000000000001E-2</v>
      </c>
      <c r="EN300" s="528">
        <f t="shared" si="868"/>
        <v>1.0061459800000001</v>
      </c>
      <c r="EO300">
        <f t="shared" si="869"/>
        <v>2.7E-2</v>
      </c>
      <c r="EP300" s="460">
        <f t="shared" si="870"/>
        <v>67.25</v>
      </c>
      <c r="EQ300" s="460"/>
      <c r="ER300" s="460">
        <f t="shared" si="871"/>
        <v>2382.5053390942649</v>
      </c>
      <c r="ES300" s="528">
        <f t="shared" si="872"/>
        <v>0.58799999999999997</v>
      </c>
      <c r="EV300" s="460">
        <f t="shared" si="873"/>
        <v>588</v>
      </c>
      <c r="EW300" s="528">
        <f t="shared" si="874"/>
        <v>1.1761258599316654E-2</v>
      </c>
      <c r="EX300" s="528">
        <f t="shared" si="875"/>
        <v>5.3838741400683357E-2</v>
      </c>
      <c r="EY300" s="528">
        <f t="shared" si="876"/>
        <v>1.2030118753441956</v>
      </c>
      <c r="EZ300" s="528"/>
      <c r="FA300" s="528">
        <f t="shared" si="877"/>
        <v>1.1480000000000001E-2</v>
      </c>
      <c r="FB300" s="460">
        <f t="shared" si="878"/>
        <v>1280.0918753441956</v>
      </c>
      <c r="FC300" s="173">
        <f t="shared" si="879"/>
        <v>4.2505972144384598</v>
      </c>
      <c r="FD300" s="5">
        <f t="shared" si="880"/>
        <v>13.44</v>
      </c>
      <c r="FE300" s="173">
        <f t="shared" si="881"/>
        <v>0.75972562356632778</v>
      </c>
      <c r="FF300" s="5">
        <f t="shared" si="882"/>
        <v>75.972562356632778</v>
      </c>
      <c r="FI300" s="562">
        <f t="shared" si="836"/>
        <v>-50</v>
      </c>
      <c r="FJ300">
        <f t="shared" si="837"/>
        <v>-50</v>
      </c>
      <c r="FL300">
        <f t="shared" si="838"/>
        <v>0.65592979993214551</v>
      </c>
    </row>
    <row r="301" spans="5:168">
      <c r="E301" s="170">
        <v>85</v>
      </c>
      <c r="F301" s="217">
        <f t="shared" si="839"/>
        <v>0.85</v>
      </c>
      <c r="G301" s="217"/>
      <c r="H301" s="217">
        <f t="shared" si="764"/>
        <v>13.6</v>
      </c>
      <c r="I301" s="541">
        <f t="shared" si="765"/>
        <v>59.936379098971962</v>
      </c>
      <c r="J301" s="172">
        <f t="shared" si="766"/>
        <v>16.438172540616819</v>
      </c>
      <c r="K301" s="172">
        <f t="shared" si="767"/>
        <v>76.374551639588788</v>
      </c>
      <c r="L301" s="443"/>
      <c r="M301" s="217">
        <f t="shared" si="768"/>
        <v>0.21523589116629077</v>
      </c>
      <c r="N301" s="172">
        <f t="shared" si="769"/>
        <v>33.218684419268278</v>
      </c>
      <c r="O301" s="172">
        <f t="shared" si="762"/>
        <v>13.6</v>
      </c>
      <c r="P301" s="217">
        <f t="shared" si="770"/>
        <v>2.0761677762042674</v>
      </c>
      <c r="Q301" s="217">
        <f t="shared" si="771"/>
        <v>16</v>
      </c>
      <c r="R301" s="217"/>
      <c r="S301" s="172">
        <f t="shared" si="772"/>
        <v>116.55208349104123</v>
      </c>
      <c r="T301" s="172">
        <f t="shared" si="773"/>
        <v>16</v>
      </c>
      <c r="U301" s="217">
        <f t="shared" si="774"/>
        <v>2.1084519517989628</v>
      </c>
      <c r="V301" s="217">
        <f t="shared" si="775"/>
        <v>0.42213800369568083</v>
      </c>
      <c r="W301" s="217">
        <f t="shared" si="776"/>
        <v>1.5391871182195387</v>
      </c>
      <c r="X301" s="197">
        <f t="shared" si="777"/>
        <v>350</v>
      </c>
      <c r="Y301" s="443">
        <f t="shared" si="840"/>
        <v>350</v>
      </c>
      <c r="AA301" s="217">
        <f t="shared" si="778"/>
        <v>3.07146855276538</v>
      </c>
      <c r="AB301" s="173">
        <f t="shared" si="779"/>
        <v>2.2421970898598156</v>
      </c>
      <c r="AC301" s="173">
        <f t="shared" si="780"/>
        <v>1.2051966238561329</v>
      </c>
      <c r="AD301" s="173"/>
      <c r="AE301" s="173">
        <f t="shared" si="781"/>
        <v>0.730008154516531</v>
      </c>
      <c r="AF301" s="545">
        <f t="shared" si="782"/>
        <v>2328.7411099207161</v>
      </c>
      <c r="AG301" s="528">
        <f t="shared" si="783"/>
        <v>0.12775142704039294</v>
      </c>
      <c r="AI301" s="173">
        <f t="shared" si="784"/>
        <v>2.5794468454195569</v>
      </c>
      <c r="AJ301" s="173">
        <f t="shared" si="785"/>
        <v>2.5794468454195569</v>
      </c>
      <c r="AK301" s="173">
        <f t="shared" si="786"/>
        <v>2.3699606262367086</v>
      </c>
      <c r="AM301" s="545">
        <f t="shared" si="787"/>
        <v>850</v>
      </c>
      <c r="AN301" s="460">
        <f t="shared" si="788"/>
        <v>350</v>
      </c>
      <c r="AP301">
        <f t="shared" si="789"/>
        <v>850</v>
      </c>
      <c r="AQ301">
        <f t="shared" si="790"/>
        <v>350</v>
      </c>
      <c r="AS301" s="5">
        <f t="shared" si="763"/>
        <v>2.8571428571428572</v>
      </c>
      <c r="AT301" s="5">
        <f t="shared" si="791"/>
        <v>0.51643697217547802</v>
      </c>
      <c r="AU301" s="5">
        <f t="shared" si="883"/>
        <v>2.3407058849673792</v>
      </c>
      <c r="AV301" s="5"/>
      <c r="AW301" s="173">
        <f t="shared" si="884"/>
        <v>0.18075294026141731</v>
      </c>
      <c r="AX301" s="173">
        <f t="shared" si="792"/>
        <v>13.9724466595243</v>
      </c>
      <c r="AY301" s="173">
        <f t="shared" si="793"/>
        <v>1.0566021219309671</v>
      </c>
      <c r="AZ301" s="173">
        <f t="shared" si="794"/>
        <v>13.22394340263987</v>
      </c>
      <c r="BA301" s="460">
        <f t="shared" si="724"/>
        <v>2.743571414682227</v>
      </c>
      <c r="BB301" s="5">
        <f t="shared" si="725"/>
        <v>0.44260264681363287</v>
      </c>
      <c r="BD301" s="173">
        <f t="shared" si="841"/>
        <v>0.63315295882011979</v>
      </c>
      <c r="BE301" s="173">
        <f t="shared" si="842"/>
        <v>1.3479488146262437</v>
      </c>
      <c r="BG301" s="528">
        <f t="shared" si="843"/>
        <v>8.0176533852534468E-3</v>
      </c>
      <c r="BH301" s="528">
        <f t="shared" si="795"/>
        <v>1.2583636650975372</v>
      </c>
      <c r="BI301" s="528">
        <f t="shared" si="796"/>
        <v>0.48248785174672432</v>
      </c>
      <c r="BJ301" s="528">
        <f t="shared" si="844"/>
        <v>1.0054758098132985</v>
      </c>
      <c r="BK301">
        <f t="shared" si="845"/>
        <v>2.6971370594537383E-2</v>
      </c>
      <c r="BL301" s="460">
        <f t="shared" si="846"/>
        <v>509.45922234126175</v>
      </c>
      <c r="BM301" s="528">
        <f t="shared" si="797"/>
        <v>2.2783621619708478</v>
      </c>
      <c r="BN301" s="460">
        <f t="shared" si="847"/>
        <v>2278.3621619708479</v>
      </c>
      <c r="BO301" s="528">
        <f t="shared" si="798"/>
        <v>0.59499999999999997</v>
      </c>
      <c r="BR301" s="460">
        <f t="shared" si="848"/>
        <v>595</v>
      </c>
      <c r="BS301" s="528">
        <f t="shared" si="849"/>
        <v>1.2026480077880168E-2</v>
      </c>
      <c r="BT301" s="528">
        <f t="shared" si="850"/>
        <v>5.4508980205568859E-2</v>
      </c>
      <c r="BU301" s="528">
        <f t="shared" si="851"/>
        <v>1.2244937485096563</v>
      </c>
      <c r="BV301" s="528"/>
      <c r="BW301" s="528">
        <f t="shared" si="852"/>
        <v>1.164370554960358E-2</v>
      </c>
      <c r="BX301" s="460">
        <f t="shared" si="853"/>
        <v>1302.672914342709</v>
      </c>
      <c r="BY301" s="173">
        <f t="shared" si="854"/>
        <v>4.6789892649800606</v>
      </c>
      <c r="BZ301" s="5">
        <f t="shared" si="855"/>
        <v>13.6</v>
      </c>
      <c r="CA301" s="173">
        <f t="shared" si="856"/>
        <v>0.74402363297273011</v>
      </c>
      <c r="CB301" s="5">
        <f t="shared" si="857"/>
        <v>74.402363297273013</v>
      </c>
      <c r="CE301" s="562">
        <f t="shared" si="799"/>
        <v>-50</v>
      </c>
      <c r="CF301">
        <f t="shared" si="800"/>
        <v>-50</v>
      </c>
      <c r="CG301" s="173">
        <f t="shared" si="801"/>
        <v>0.66801946079436936</v>
      </c>
      <c r="CI301" s="170">
        <v>85</v>
      </c>
      <c r="CJ301" s="217">
        <f t="shared" si="858"/>
        <v>0.85</v>
      </c>
      <c r="CK301" s="217"/>
      <c r="CL301" s="217">
        <f t="shared" si="802"/>
        <v>13.6</v>
      </c>
      <c r="CM301" s="541">
        <f t="shared" si="803"/>
        <v>60</v>
      </c>
      <c r="CN301" s="443">
        <f t="shared" si="804"/>
        <v>16.399999999999999</v>
      </c>
      <c r="CO301" s="443">
        <f t="shared" si="805"/>
        <v>76.400000000000006</v>
      </c>
      <c r="CP301" s="443"/>
      <c r="CQ301" s="217">
        <f t="shared" si="806"/>
        <v>0.21465968586387432</v>
      </c>
      <c r="CR301" s="172">
        <f t="shared" si="807"/>
        <v>33.164921465968582</v>
      </c>
      <c r="CS301" s="172">
        <f t="shared" si="808"/>
        <v>13.6</v>
      </c>
      <c r="CT301" s="217">
        <f t="shared" si="809"/>
        <v>2.0728075916230364</v>
      </c>
      <c r="CU301" s="217">
        <f t="shared" si="810"/>
        <v>16</v>
      </c>
      <c r="CV301" s="217"/>
      <c r="CW301" s="172">
        <f t="shared" si="811"/>
        <v>116.67558400963104</v>
      </c>
      <c r="CX301" s="172">
        <f t="shared" si="812"/>
        <v>16</v>
      </c>
      <c r="CY301" s="217">
        <f t="shared" si="813"/>
        <v>2.1118699186991869</v>
      </c>
      <c r="CZ301" s="217">
        <f t="shared" si="814"/>
        <v>0.42237398373983737</v>
      </c>
      <c r="DA301" s="217">
        <f t="shared" si="815"/>
        <v>1.5452706722189173</v>
      </c>
      <c r="DB301" s="197">
        <f t="shared" si="816"/>
        <v>350</v>
      </c>
      <c r="DC301" s="443">
        <f t="shared" si="817"/>
        <v>350</v>
      </c>
      <c r="DE301" s="217">
        <f t="shared" si="818"/>
        <v>3.06656694091249</v>
      </c>
      <c r="DF301" s="173">
        <f t="shared" si="819"/>
        <v>2.2438294689603588</v>
      </c>
      <c r="DG301" s="173">
        <f t="shared" si="820"/>
        <v>1.2041493223478366</v>
      </c>
      <c r="DH301" s="173"/>
      <c r="DI301" s="173">
        <f t="shared" si="821"/>
        <v>0.73170731707317083</v>
      </c>
      <c r="DJ301" s="545">
        <f t="shared" si="822"/>
        <v>2323.333333333333</v>
      </c>
      <c r="DK301" s="528">
        <f t="shared" si="823"/>
        <v>0.12804878048780488</v>
      </c>
      <c r="DM301" s="173">
        <f t="shared" si="824"/>
        <v>2.5764501233470907</v>
      </c>
      <c r="DN301" s="173">
        <f t="shared" si="825"/>
        <v>2.5764501233470907</v>
      </c>
      <c r="DO301" s="173">
        <f t="shared" si="826"/>
        <v>2.3677408321089559</v>
      </c>
      <c r="DQ301" s="545">
        <f t="shared" si="827"/>
        <v>850</v>
      </c>
      <c r="DR301" s="460">
        <f t="shared" si="828"/>
        <v>350</v>
      </c>
      <c r="DT301">
        <f t="shared" si="829"/>
        <v>850</v>
      </c>
      <c r="DU301">
        <f t="shared" si="830"/>
        <v>350</v>
      </c>
      <c r="DW301" s="5">
        <f t="shared" si="859"/>
        <v>2.8571428571428572</v>
      </c>
      <c r="DX301" s="5">
        <f t="shared" si="831"/>
        <v>0.5152900246694182</v>
      </c>
      <c r="DY301" s="5">
        <f t="shared" si="832"/>
        <v>2.3418528324734389</v>
      </c>
      <c r="DZ301" s="5"/>
      <c r="EA301" s="173">
        <f t="shared" si="833"/>
        <v>0.18035150863429636</v>
      </c>
      <c r="EB301" s="173">
        <f t="shared" si="860"/>
        <v>13.940000000000001</v>
      </c>
      <c r="EC301" s="173">
        <f t="shared" si="861"/>
        <v>1.0558917283402118</v>
      </c>
      <c r="ED301" s="173">
        <f t="shared" si="862"/>
        <v>13.202111187964992</v>
      </c>
      <c r="EE301" s="460">
        <f t="shared" si="834"/>
        <v>2.737478256056284</v>
      </c>
      <c r="EF301" s="5">
        <f t="shared" si="835"/>
        <v>0.442349979467205</v>
      </c>
      <c r="EH301" s="173">
        <f t="shared" si="863"/>
        <v>0.63171472745446711</v>
      </c>
      <c r="EI301" s="173">
        <f t="shared" si="864"/>
        <v>1.3467126329754024</v>
      </c>
      <c r="EK301" s="528">
        <f t="shared" si="865"/>
        <v>7.9812699376574335E-3</v>
      </c>
      <c r="EL301" s="528">
        <f t="shared" si="866"/>
        <v>1.308991249667723</v>
      </c>
      <c r="EM301" s="528">
        <f t="shared" si="867"/>
        <v>4.0250000000000001E-2</v>
      </c>
      <c r="EN301" s="528">
        <f t="shared" si="868"/>
        <v>1.0061459800000001</v>
      </c>
      <c r="EO301">
        <f t="shared" si="869"/>
        <v>2.7E-2</v>
      </c>
      <c r="EP301" s="460">
        <f t="shared" si="870"/>
        <v>67.25</v>
      </c>
      <c r="EQ301" s="460"/>
      <c r="ER301" s="460">
        <f t="shared" si="871"/>
        <v>2390.3684996053807</v>
      </c>
      <c r="ES301" s="528">
        <f t="shared" si="872"/>
        <v>0.59499999999999997</v>
      </c>
      <c r="EV301" s="460">
        <f t="shared" si="873"/>
        <v>595</v>
      </c>
      <c r="EW301" s="528">
        <f t="shared" si="874"/>
        <v>1.197190490648615E-2</v>
      </c>
      <c r="EX301" s="528">
        <f t="shared" si="875"/>
        <v>5.4409047474466225E-2</v>
      </c>
      <c r="EY301" s="528">
        <f t="shared" si="876"/>
        <v>1.2209403987250251</v>
      </c>
      <c r="EZ301" s="528"/>
      <c r="FA301" s="528">
        <f t="shared" si="877"/>
        <v>1.1616666666666668E-2</v>
      </c>
      <c r="FB301" s="460">
        <f t="shared" si="878"/>
        <v>1298.9380177726441</v>
      </c>
      <c r="FC301" s="173">
        <f t="shared" si="879"/>
        <v>4.2843065173780248</v>
      </c>
      <c r="FD301" s="5">
        <f t="shared" si="880"/>
        <v>13.6</v>
      </c>
      <c r="FE301" s="173">
        <f t="shared" si="881"/>
        <v>0.76044324037865252</v>
      </c>
      <c r="FF301" s="5">
        <f t="shared" si="882"/>
        <v>76.044324037865252</v>
      </c>
      <c r="FI301" s="562">
        <f t="shared" si="836"/>
        <v>-50</v>
      </c>
      <c r="FJ301">
        <f t="shared" si="837"/>
        <v>-50</v>
      </c>
      <c r="FL301">
        <f t="shared" si="838"/>
        <v>0.65982259256449882</v>
      </c>
    </row>
    <row r="302" spans="5:168">
      <c r="E302" s="170">
        <v>86</v>
      </c>
      <c r="F302" s="217">
        <f t="shared" si="839"/>
        <v>0.86</v>
      </c>
      <c r="G302" s="217"/>
      <c r="H302" s="217">
        <f t="shared" si="764"/>
        <v>13.76</v>
      </c>
      <c r="I302" s="541">
        <f t="shared" si="765"/>
        <v>59.93600595265778</v>
      </c>
      <c r="J302" s="172">
        <f t="shared" si="766"/>
        <v>16.43839642840533</v>
      </c>
      <c r="K302" s="172">
        <f t="shared" si="767"/>
        <v>76.374402381063106</v>
      </c>
      <c r="L302" s="443"/>
      <c r="M302" s="217">
        <f t="shared" si="768"/>
        <v>0.21523927181007876</v>
      </c>
      <c r="N302" s="172">
        <f t="shared" si="769"/>
        <v>33.218999361870615</v>
      </c>
      <c r="O302" s="172">
        <f t="shared" si="762"/>
        <v>13.76</v>
      </c>
      <c r="P302" s="217">
        <f t="shared" si="770"/>
        <v>2.0761874601169135</v>
      </c>
      <c r="Q302" s="217">
        <f t="shared" si="771"/>
        <v>16</v>
      </c>
      <c r="R302" s="217"/>
      <c r="S302" s="172">
        <f t="shared" si="772"/>
        <v>114.50521452502529</v>
      </c>
      <c r="T302" s="172">
        <f t="shared" si="773"/>
        <v>16</v>
      </c>
      <c r="U302" s="217">
        <f t="shared" si="774"/>
        <v>2.1332370438990109</v>
      </c>
      <c r="V302" s="217">
        <f t="shared" si="775"/>
        <v>0.42710294287891215</v>
      </c>
      <c r="W302" s="217">
        <f t="shared" si="776"/>
        <v>1.5572592277038453</v>
      </c>
      <c r="X302" s="197">
        <f t="shared" si="777"/>
        <v>350</v>
      </c>
      <c r="Y302" s="443">
        <f t="shared" si="840"/>
        <v>350</v>
      </c>
      <c r="AA302" s="217">
        <f t="shared" si="778"/>
        <v>3.071497266438346</v>
      </c>
      <c r="AB302" s="173">
        <f t="shared" si="779"/>
        <v>2.2421875124978783</v>
      </c>
      <c r="AC302" s="173">
        <f t="shared" si="780"/>
        <v>1.2052027427088998</v>
      </c>
      <c r="AD302" s="173"/>
      <c r="AE302" s="173">
        <f t="shared" si="781"/>
        <v>0.72999821194627967</v>
      </c>
      <c r="AF302" s="545">
        <f t="shared" si="782"/>
        <v>2356.1701547380972</v>
      </c>
      <c r="AG302" s="528">
        <f t="shared" si="783"/>
        <v>0.12774968709059895</v>
      </c>
      <c r="AI302" s="173">
        <f t="shared" si="784"/>
        <v>2.5945933646379222</v>
      </c>
      <c r="AJ302" s="173">
        <f t="shared" si="785"/>
        <v>2.5945933646379222</v>
      </c>
      <c r="AK302" s="173">
        <f t="shared" si="786"/>
        <v>2.3811802701021647</v>
      </c>
      <c r="AM302" s="545">
        <f t="shared" si="787"/>
        <v>860</v>
      </c>
      <c r="AN302" s="460">
        <f t="shared" si="788"/>
        <v>350</v>
      </c>
      <c r="AP302">
        <f t="shared" si="789"/>
        <v>860</v>
      </c>
      <c r="AQ302">
        <f t="shared" si="790"/>
        <v>350</v>
      </c>
      <c r="AS302" s="5">
        <f t="shared" si="763"/>
        <v>2.8571428571428572</v>
      </c>
      <c r="AT302" s="5">
        <f t="shared" si="791"/>
        <v>0.51947272563086799</v>
      </c>
      <c r="AU302" s="5">
        <f t="shared" si="883"/>
        <v>2.337670131511989</v>
      </c>
      <c r="AV302" s="5"/>
      <c r="AW302" s="173">
        <f t="shared" si="884"/>
        <v>0.18181545397080379</v>
      </c>
      <c r="AX302" s="173">
        <f t="shared" si="792"/>
        <v>14.137020928428582</v>
      </c>
      <c r="AY302" s="173">
        <f t="shared" si="793"/>
        <v>1.0614280970883216</v>
      </c>
      <c r="AZ302" s="173">
        <f t="shared" si="794"/>
        <v>13.318868199559482</v>
      </c>
      <c r="BA302" s="460">
        <f t="shared" si="724"/>
        <v>2.7921659002659158</v>
      </c>
      <c r="BB302" s="5">
        <f t="shared" si="725"/>
        <v>0.4472317390625552</v>
      </c>
      <c r="BD302" s="173">
        <f t="shared" si="841"/>
        <v>0.63873993986387056</v>
      </c>
      <c r="BE302" s="173">
        <f t="shared" si="842"/>
        <v>1.3549844520007392</v>
      </c>
      <c r="BG302" s="528">
        <f t="shared" si="843"/>
        <v>8.1597742155460201E-3</v>
      </c>
      <c r="BH302" s="528">
        <f t="shared" si="795"/>
        <v>1.2657503064644196</v>
      </c>
      <c r="BI302" s="528">
        <f t="shared" si="796"/>
        <v>0.48248484791889512</v>
      </c>
      <c r="BJ302" s="528">
        <f t="shared" si="844"/>
        <v>1.0054718798212496</v>
      </c>
      <c r="BK302">
        <f t="shared" si="845"/>
        <v>2.6971202678696002E-2</v>
      </c>
      <c r="BL302" s="460">
        <f t="shared" si="846"/>
        <v>509.45605059759112</v>
      </c>
      <c r="BM302" s="528">
        <f t="shared" si="797"/>
        <v>2.2860171435169794</v>
      </c>
      <c r="BN302" s="460">
        <f t="shared" si="847"/>
        <v>2286.0171435169796</v>
      </c>
      <c r="BO302" s="528">
        <f t="shared" si="798"/>
        <v>0.60199999999999998</v>
      </c>
      <c r="BR302" s="460">
        <f t="shared" si="848"/>
        <v>602</v>
      </c>
      <c r="BS302" s="528">
        <f t="shared" si="849"/>
        <v>1.2239661323319028E-2</v>
      </c>
      <c r="BT302" s="528">
        <f t="shared" si="850"/>
        <v>5.5079485954912306E-2</v>
      </c>
      <c r="BU302" s="528">
        <f t="shared" si="851"/>
        <v>1.242548567349318</v>
      </c>
      <c r="BV302" s="528"/>
      <c r="BW302" s="528">
        <f t="shared" si="852"/>
        <v>1.1780850773690484E-2</v>
      </c>
      <c r="BX302" s="460">
        <f t="shared" si="853"/>
        <v>1321.6485654012397</v>
      </c>
      <c r="BY302" s="173">
        <f t="shared" si="854"/>
        <v>4.7124865765000461</v>
      </c>
      <c r="BZ302" s="5">
        <f t="shared" si="855"/>
        <v>13.76</v>
      </c>
      <c r="CA302" s="173">
        <f t="shared" si="856"/>
        <v>0.74489159556380014</v>
      </c>
      <c r="CB302" s="5">
        <f t="shared" si="857"/>
        <v>74.489159556380017</v>
      </c>
      <c r="CE302" s="562">
        <f t="shared" si="799"/>
        <v>-50</v>
      </c>
      <c r="CF302">
        <f t="shared" si="800"/>
        <v>-50</v>
      </c>
      <c r="CG302" s="173">
        <f t="shared" si="801"/>
        <v>0.67193749709329365</v>
      </c>
      <c r="CI302" s="170">
        <v>86</v>
      </c>
      <c r="CJ302" s="217">
        <f t="shared" si="858"/>
        <v>0.86</v>
      </c>
      <c r="CK302" s="217"/>
      <c r="CL302" s="217">
        <f t="shared" si="802"/>
        <v>13.76</v>
      </c>
      <c r="CM302" s="541">
        <f t="shared" si="803"/>
        <v>60</v>
      </c>
      <c r="CN302" s="443">
        <f t="shared" si="804"/>
        <v>16.399999999999999</v>
      </c>
      <c r="CO302" s="443">
        <f t="shared" si="805"/>
        <v>76.400000000000006</v>
      </c>
      <c r="CP302" s="443"/>
      <c r="CQ302" s="217">
        <f t="shared" si="806"/>
        <v>0.21465968586387432</v>
      </c>
      <c r="CR302" s="172">
        <f t="shared" si="807"/>
        <v>33.164921465968582</v>
      </c>
      <c r="CS302" s="172">
        <f t="shared" si="808"/>
        <v>13.76</v>
      </c>
      <c r="CT302" s="217">
        <f t="shared" si="809"/>
        <v>2.0728075916230364</v>
      </c>
      <c r="CU302" s="217">
        <f t="shared" si="810"/>
        <v>16</v>
      </c>
      <c r="CV302" s="217"/>
      <c r="CW302" s="172">
        <f t="shared" si="811"/>
        <v>114.62725086169301</v>
      </c>
      <c r="CX302" s="172">
        <f t="shared" si="812"/>
        <v>16</v>
      </c>
      <c r="CY302" s="217">
        <f t="shared" si="813"/>
        <v>2.1367154471544718</v>
      </c>
      <c r="CZ302" s="217">
        <f t="shared" si="814"/>
        <v>0.42734308943089433</v>
      </c>
      <c r="DA302" s="217">
        <f t="shared" si="815"/>
        <v>1.5634503271861988</v>
      </c>
      <c r="DB302" s="197">
        <f t="shared" si="816"/>
        <v>350</v>
      </c>
      <c r="DC302" s="443">
        <f t="shared" si="817"/>
        <v>350</v>
      </c>
      <c r="DE302" s="217">
        <f t="shared" si="818"/>
        <v>3.06656694091249</v>
      </c>
      <c r="DF302" s="173">
        <f t="shared" si="819"/>
        <v>2.2438294689603588</v>
      </c>
      <c r="DG302" s="173">
        <f t="shared" si="820"/>
        <v>1.2041493223478366</v>
      </c>
      <c r="DH302" s="173"/>
      <c r="DI302" s="173">
        <f t="shared" si="821"/>
        <v>0.73170731707317083</v>
      </c>
      <c r="DJ302" s="545">
        <f t="shared" si="822"/>
        <v>2350.6666666666665</v>
      </c>
      <c r="DK302" s="528">
        <f t="shared" si="823"/>
        <v>0.12804878048780488</v>
      </c>
      <c r="DM302" s="173">
        <f t="shared" si="824"/>
        <v>2.5915613973414704</v>
      </c>
      <c r="DN302" s="173">
        <f t="shared" si="825"/>
        <v>2.5915613973414704</v>
      </c>
      <c r="DO302" s="173">
        <f t="shared" si="826"/>
        <v>2.3789343684010893</v>
      </c>
      <c r="DQ302" s="545">
        <f t="shared" si="827"/>
        <v>860</v>
      </c>
      <c r="DR302" s="460">
        <f t="shared" si="828"/>
        <v>350</v>
      </c>
      <c r="DT302">
        <f t="shared" si="829"/>
        <v>860</v>
      </c>
      <c r="DU302">
        <f t="shared" si="830"/>
        <v>350</v>
      </c>
      <c r="DW302" s="5">
        <f t="shared" si="859"/>
        <v>2.8571428571428572</v>
      </c>
      <c r="DX302" s="5">
        <f t="shared" si="831"/>
        <v>0.51831227946829417</v>
      </c>
      <c r="DY302" s="5">
        <f t="shared" si="832"/>
        <v>2.338830577674563</v>
      </c>
      <c r="DZ302" s="5"/>
      <c r="EA302" s="173">
        <f t="shared" si="833"/>
        <v>0.18140929781390294</v>
      </c>
      <c r="EB302" s="173">
        <f t="shared" si="860"/>
        <v>14.103999999999997</v>
      </c>
      <c r="EC302" s="173">
        <f t="shared" si="861"/>
        <v>1.0607140320040687</v>
      </c>
      <c r="ED302" s="173">
        <f t="shared" si="862"/>
        <v>13.296703517113365</v>
      </c>
      <c r="EE302" s="460">
        <f t="shared" si="834"/>
        <v>2.785928502142081</v>
      </c>
      <c r="EF302" s="5">
        <f t="shared" si="835"/>
        <v>0.4469765104000275</v>
      </c>
      <c r="EH302" s="173">
        <f t="shared" si="863"/>
        <v>0.63728052385903455</v>
      </c>
      <c r="EI302" s="173">
        <f t="shared" si="864"/>
        <v>1.3537369362768059</v>
      </c>
      <c r="EK302" s="528">
        <f t="shared" si="865"/>
        <v>8.1225293218009104E-3</v>
      </c>
      <c r="EL302" s="528">
        <f t="shared" si="866"/>
        <v>1.3166686835333077</v>
      </c>
      <c r="EM302" s="528">
        <f t="shared" si="867"/>
        <v>4.0250000000000001E-2</v>
      </c>
      <c r="EN302" s="528">
        <f t="shared" si="868"/>
        <v>1.0061459800000001</v>
      </c>
      <c r="EO302">
        <f t="shared" si="869"/>
        <v>2.7E-2</v>
      </c>
      <c r="EP302" s="460">
        <f t="shared" si="870"/>
        <v>67.25</v>
      </c>
      <c r="EQ302" s="460"/>
      <c r="ER302" s="460">
        <f t="shared" si="871"/>
        <v>2398.1871928551091</v>
      </c>
      <c r="ES302" s="528">
        <f t="shared" si="872"/>
        <v>0.60199999999999998</v>
      </c>
      <c r="EV302" s="460">
        <f t="shared" si="873"/>
        <v>602</v>
      </c>
      <c r="EW302" s="528">
        <f t="shared" si="874"/>
        <v>1.2183793982701365E-2</v>
      </c>
      <c r="EX302" s="528">
        <f t="shared" si="875"/>
        <v>5.4978110779203379E-2</v>
      </c>
      <c r="EY302" s="528">
        <f t="shared" si="876"/>
        <v>1.2389217317461092</v>
      </c>
      <c r="EZ302" s="528"/>
      <c r="FA302" s="528">
        <f t="shared" si="877"/>
        <v>1.1753333333333329E-2</v>
      </c>
      <c r="FB302" s="460">
        <f t="shared" si="878"/>
        <v>1317.8369698413471</v>
      </c>
      <c r="FC302" s="173">
        <f t="shared" si="879"/>
        <v>4.3180241626964557</v>
      </c>
      <c r="FD302" s="5">
        <f t="shared" si="880"/>
        <v>13.76</v>
      </c>
      <c r="FE302" s="173">
        <f t="shared" si="881"/>
        <v>0.76114512715352001</v>
      </c>
      <c r="FF302" s="5">
        <f t="shared" si="882"/>
        <v>76.114512715352006</v>
      </c>
      <c r="FI302" s="562">
        <f t="shared" si="836"/>
        <v>-50</v>
      </c>
      <c r="FJ302">
        <f t="shared" si="837"/>
        <v>-50</v>
      </c>
      <c r="FL302">
        <f t="shared" si="838"/>
        <v>0.66369255297769381</v>
      </c>
    </row>
    <row r="303" spans="5:168">
      <c r="E303" s="170">
        <v>87</v>
      </c>
      <c r="F303" s="217">
        <f t="shared" si="839"/>
        <v>0.87</v>
      </c>
      <c r="G303" s="217"/>
      <c r="H303" s="217">
        <f t="shared" si="764"/>
        <v>13.92</v>
      </c>
      <c r="I303" s="541">
        <f t="shared" si="765"/>
        <v>59.935634969565321</v>
      </c>
      <c r="J303" s="172">
        <f t="shared" si="766"/>
        <v>16.438619018260805</v>
      </c>
      <c r="K303" s="172">
        <f t="shared" si="767"/>
        <v>76.374253987826123</v>
      </c>
      <c r="L303" s="443"/>
      <c r="M303" s="217">
        <f t="shared" si="768"/>
        <v>0.21524263286829107</v>
      </c>
      <c r="N303" s="172">
        <f t="shared" si="769"/>
        <v>33.219312474216295</v>
      </c>
      <c r="O303" s="172">
        <f t="shared" si="762"/>
        <v>13.92</v>
      </c>
      <c r="P303" s="217">
        <f t="shared" si="770"/>
        <v>2.0762070296385184</v>
      </c>
      <c r="Q303" s="217">
        <f t="shared" si="771"/>
        <v>16</v>
      </c>
      <c r="R303" s="217"/>
      <c r="S303" s="172">
        <f t="shared" si="772"/>
        <v>112.50554018963857</v>
      </c>
      <c r="T303" s="172">
        <f t="shared" si="773"/>
        <v>16</v>
      </c>
      <c r="U303" s="217">
        <f t="shared" si="774"/>
        <v>2.1580217849373553</v>
      </c>
      <c r="V303" s="217">
        <f t="shared" si="775"/>
        <v>0.43206785800130609</v>
      </c>
      <c r="W303" s="217">
        <f t="shared" si="776"/>
        <v>1.5753307130289629</v>
      </c>
      <c r="X303" s="197">
        <f t="shared" si="777"/>
        <v>350</v>
      </c>
      <c r="Y303" s="443">
        <f t="shared" si="840"/>
        <v>350</v>
      </c>
      <c r="AA303" s="217">
        <f t="shared" si="778"/>
        <v>3.0715258132459193</v>
      </c>
      <c r="AB303" s="173">
        <f t="shared" si="779"/>
        <v>2.2421779906211738</v>
      </c>
      <c r="AC303" s="173">
        <f t="shared" si="780"/>
        <v>1.2052088258148403</v>
      </c>
      <c r="AD303" s="173"/>
      <c r="AE303" s="173">
        <f t="shared" si="781"/>
        <v>0.72998832728405139</v>
      </c>
      <c r="AF303" s="545">
        <f t="shared" si="782"/>
        <v>2383.5997576478171</v>
      </c>
      <c r="AG303" s="528">
        <f t="shared" si="783"/>
        <v>0.12774795727470897</v>
      </c>
      <c r="AI303" s="173">
        <f t="shared" si="784"/>
        <v>2.6096522798738735</v>
      </c>
      <c r="AJ303" s="173">
        <f t="shared" si="785"/>
        <v>2.6096522798738735</v>
      </c>
      <c r="AK303" s="173">
        <f t="shared" si="786"/>
        <v>2.3923350221287949</v>
      </c>
      <c r="AM303" s="545">
        <f t="shared" si="787"/>
        <v>870</v>
      </c>
      <c r="AN303" s="460">
        <f t="shared" si="788"/>
        <v>350</v>
      </c>
      <c r="AP303">
        <f t="shared" si="789"/>
        <v>870</v>
      </c>
      <c r="AQ303">
        <f t="shared" si="790"/>
        <v>350</v>
      </c>
      <c r="AS303" s="5">
        <f t="shared" si="763"/>
        <v>2.8571428571428572</v>
      </c>
      <c r="AT303" s="5">
        <f t="shared" si="791"/>
        <v>0.52249095841544557</v>
      </c>
      <c r="AU303" s="5">
        <f t="shared" si="883"/>
        <v>2.3346518987274116</v>
      </c>
      <c r="AV303" s="5"/>
      <c r="AW303" s="173">
        <f t="shared" si="884"/>
        <v>0.18287183544540594</v>
      </c>
      <c r="AX303" s="173">
        <f t="shared" si="792"/>
        <v>14.301598545886902</v>
      </c>
      <c r="AY303" s="173">
        <f t="shared" si="793"/>
        <v>1.066210188789525</v>
      </c>
      <c r="AZ303" s="173">
        <f t="shared" si="794"/>
        <v>13.413488912653888</v>
      </c>
      <c r="BA303" s="460">
        <f t="shared" si="724"/>
        <v>2.841044586383985</v>
      </c>
      <c r="BB303" s="5">
        <f t="shared" si="725"/>
        <v>0.45185075688261089</v>
      </c>
      <c r="BD303" s="173">
        <f t="shared" si="841"/>
        <v>0.64431082609049073</v>
      </c>
      <c r="BE303" s="173">
        <f t="shared" si="842"/>
        <v>1.3619686364473391</v>
      </c>
      <c r="BG303" s="528">
        <f t="shared" si="843"/>
        <v>8.3027288123482118E-3</v>
      </c>
      <c r="BH303" s="528">
        <f t="shared" si="795"/>
        <v>1.2730941965996416</v>
      </c>
      <c r="BI303" s="528">
        <f t="shared" si="796"/>
        <v>0.48248186150500089</v>
      </c>
      <c r="BJ303" s="528">
        <f t="shared" si="844"/>
        <v>1.0054679726199534</v>
      </c>
      <c r="BK303">
        <f t="shared" si="845"/>
        <v>2.6971035736304393E-2</v>
      </c>
      <c r="BL303" s="460">
        <f t="shared" si="846"/>
        <v>509.45289724130527</v>
      </c>
      <c r="BM303" s="528">
        <f t="shared" si="797"/>
        <v>2.2936313464290978</v>
      </c>
      <c r="BN303" s="460">
        <f t="shared" si="847"/>
        <v>2293.6313464290979</v>
      </c>
      <c r="BO303" s="528">
        <f t="shared" si="798"/>
        <v>0.60899999999999999</v>
      </c>
      <c r="BR303" s="460">
        <f t="shared" si="848"/>
        <v>609</v>
      </c>
      <c r="BS303" s="528">
        <f t="shared" si="849"/>
        <v>1.2454093218522316E-2</v>
      </c>
      <c r="BT303" s="528">
        <f t="shared" si="850"/>
        <v>5.5648756999986726E-2</v>
      </c>
      <c r="BU303" s="528">
        <f t="shared" si="851"/>
        <v>1.2606563784273408</v>
      </c>
      <c r="BV303" s="528"/>
      <c r="BW303" s="528">
        <f t="shared" si="852"/>
        <v>1.1917998788239086E-2</v>
      </c>
      <c r="BX303" s="460">
        <f t="shared" si="853"/>
        <v>1340.677227434089</v>
      </c>
      <c r="BY303" s="173">
        <f t="shared" si="854"/>
        <v>4.7459950227073371</v>
      </c>
      <c r="BZ303" s="5">
        <f t="shared" si="855"/>
        <v>13.92</v>
      </c>
      <c r="CA303" s="173">
        <f t="shared" si="856"/>
        <v>0.74574111817056665</v>
      </c>
      <c r="CB303" s="5">
        <f t="shared" si="857"/>
        <v>74.574111817056661</v>
      </c>
      <c r="CE303" s="562">
        <f t="shared" si="799"/>
        <v>-50</v>
      </c>
      <c r="CF303">
        <f t="shared" si="800"/>
        <v>-50</v>
      </c>
      <c r="CG303" s="173">
        <f t="shared" si="801"/>
        <v>0.67583281956412855</v>
      </c>
      <c r="CI303" s="170">
        <v>87</v>
      </c>
      <c r="CJ303" s="217">
        <f t="shared" si="858"/>
        <v>0.87</v>
      </c>
      <c r="CK303" s="217"/>
      <c r="CL303" s="217">
        <f t="shared" si="802"/>
        <v>13.92</v>
      </c>
      <c r="CM303" s="541">
        <f t="shared" si="803"/>
        <v>60</v>
      </c>
      <c r="CN303" s="443">
        <f t="shared" si="804"/>
        <v>16.399999999999999</v>
      </c>
      <c r="CO303" s="443">
        <f t="shared" si="805"/>
        <v>76.400000000000006</v>
      </c>
      <c r="CP303" s="443"/>
      <c r="CQ303" s="217">
        <f t="shared" si="806"/>
        <v>0.21465968586387432</v>
      </c>
      <c r="CR303" s="172">
        <f t="shared" si="807"/>
        <v>33.164921465968582</v>
      </c>
      <c r="CS303" s="172">
        <f t="shared" si="808"/>
        <v>13.92</v>
      </c>
      <c r="CT303" s="217">
        <f t="shared" si="809"/>
        <v>2.0728075916230364</v>
      </c>
      <c r="CU303" s="217">
        <f t="shared" si="810"/>
        <v>16</v>
      </c>
      <c r="CV303" s="217"/>
      <c r="CW303" s="172">
        <f t="shared" si="811"/>
        <v>112.62613337629558</v>
      </c>
      <c r="CX303" s="172">
        <f t="shared" si="812"/>
        <v>16</v>
      </c>
      <c r="CY303" s="217">
        <f t="shared" si="813"/>
        <v>2.1615609756097562</v>
      </c>
      <c r="CZ303" s="217">
        <f t="shared" si="814"/>
        <v>0.43231219512195124</v>
      </c>
      <c r="DA303" s="217">
        <f t="shared" si="815"/>
        <v>1.5816299821534805</v>
      </c>
      <c r="DB303" s="197">
        <f t="shared" si="816"/>
        <v>350</v>
      </c>
      <c r="DC303" s="443">
        <f t="shared" si="817"/>
        <v>350</v>
      </c>
      <c r="DE303" s="217">
        <f t="shared" si="818"/>
        <v>3.06656694091249</v>
      </c>
      <c r="DF303" s="173">
        <f t="shared" si="819"/>
        <v>2.2438294689603588</v>
      </c>
      <c r="DG303" s="173">
        <f t="shared" si="820"/>
        <v>1.2041493223478366</v>
      </c>
      <c r="DH303" s="173"/>
      <c r="DI303" s="173">
        <f t="shared" si="821"/>
        <v>0.73170731707317083</v>
      </c>
      <c r="DJ303" s="545">
        <f t="shared" si="822"/>
        <v>2377.9999999999995</v>
      </c>
      <c r="DK303" s="528">
        <f t="shared" si="823"/>
        <v>0.12804878048780488</v>
      </c>
      <c r="DM303" s="173">
        <f t="shared" si="824"/>
        <v>2.6065850675329427</v>
      </c>
      <c r="DN303" s="173">
        <f t="shared" si="825"/>
        <v>2.6065850675329427</v>
      </c>
      <c r="DO303" s="173">
        <f t="shared" si="826"/>
        <v>2.390063012987365</v>
      </c>
      <c r="DQ303" s="545">
        <f t="shared" si="827"/>
        <v>870</v>
      </c>
      <c r="DR303" s="460">
        <f t="shared" si="828"/>
        <v>350</v>
      </c>
      <c r="DT303">
        <f t="shared" si="829"/>
        <v>870</v>
      </c>
      <c r="DU303">
        <f t="shared" si="830"/>
        <v>350</v>
      </c>
      <c r="DW303" s="5">
        <f t="shared" si="859"/>
        <v>2.8571428571428572</v>
      </c>
      <c r="DX303" s="5">
        <f t="shared" si="831"/>
        <v>0.52131701350658854</v>
      </c>
      <c r="DY303" s="5">
        <f t="shared" si="832"/>
        <v>2.3358258436362687</v>
      </c>
      <c r="DZ303" s="5"/>
      <c r="EA303" s="173">
        <f t="shared" si="833"/>
        <v>0.18246095472730597</v>
      </c>
      <c r="EB303" s="173">
        <f t="shared" si="860"/>
        <v>14.268000000000002</v>
      </c>
      <c r="EC303" s="173">
        <f t="shared" si="861"/>
        <v>1.0654925337664714</v>
      </c>
      <c r="ED303" s="173">
        <f t="shared" si="862"/>
        <v>13.390990126944599</v>
      </c>
      <c r="EE303" s="460">
        <f t="shared" si="834"/>
        <v>2.8346612609420752</v>
      </c>
      <c r="EF303" s="5">
        <f t="shared" si="835"/>
        <v>0.45159299643634521</v>
      </c>
      <c r="EH303" s="173">
        <f t="shared" si="863"/>
        <v>0.64283016370802737</v>
      </c>
      <c r="EI303" s="173">
        <f t="shared" si="864"/>
        <v>1.3607098461424523</v>
      </c>
      <c r="EK303" s="528">
        <f t="shared" si="865"/>
        <v>8.2646123874577856E-3</v>
      </c>
      <c r="EL303" s="528">
        <f t="shared" si="866"/>
        <v>1.3243016094107873</v>
      </c>
      <c r="EM303" s="528">
        <f t="shared" si="867"/>
        <v>4.0250000000000001E-2</v>
      </c>
      <c r="EN303" s="528">
        <f t="shared" si="868"/>
        <v>1.0061459800000001</v>
      </c>
      <c r="EO303">
        <f t="shared" si="869"/>
        <v>2.7E-2</v>
      </c>
      <c r="EP303" s="460">
        <f t="shared" si="870"/>
        <v>67.25</v>
      </c>
      <c r="EQ303" s="460"/>
      <c r="ER303" s="460">
        <f t="shared" si="871"/>
        <v>2405.9622017982456</v>
      </c>
      <c r="ES303" s="528">
        <f t="shared" si="872"/>
        <v>0.60899999999999999</v>
      </c>
      <c r="EV303" s="460">
        <f t="shared" si="873"/>
        <v>609</v>
      </c>
      <c r="EW303" s="528">
        <f t="shared" si="874"/>
        <v>1.2396918581186677E-2</v>
      </c>
      <c r="EX303" s="528">
        <f t="shared" si="875"/>
        <v>5.5545938561670484E-2</v>
      </c>
      <c r="EY303" s="528">
        <f t="shared" si="876"/>
        <v>1.25695541316727</v>
      </c>
      <c r="EZ303" s="528"/>
      <c r="FA303" s="528">
        <f t="shared" si="877"/>
        <v>1.1890000000000003E-2</v>
      </c>
      <c r="FB303" s="460">
        <f t="shared" si="878"/>
        <v>1336.788270310127</v>
      </c>
      <c r="FC303" s="173">
        <f t="shared" si="879"/>
        <v>4.3517504721083728</v>
      </c>
      <c r="FD303" s="5">
        <f t="shared" si="880"/>
        <v>13.92</v>
      </c>
      <c r="FE303" s="173">
        <f t="shared" si="881"/>
        <v>0.76183176982680056</v>
      </c>
      <c r="FF303" s="5">
        <f t="shared" si="882"/>
        <v>76.183176982680052</v>
      </c>
      <c r="FI303" s="562">
        <f t="shared" si="836"/>
        <v>-50</v>
      </c>
      <c r="FJ303">
        <f t="shared" si="837"/>
        <v>-50</v>
      </c>
      <c r="FL303">
        <f t="shared" si="838"/>
        <v>0.66754007827063166</v>
      </c>
    </row>
    <row r="304" spans="5:168">
      <c r="E304" s="170">
        <v>88</v>
      </c>
      <c r="F304" s="217">
        <f t="shared" si="839"/>
        <v>0.88</v>
      </c>
      <c r="G304" s="217"/>
      <c r="H304" s="217">
        <f t="shared" si="764"/>
        <v>14.08</v>
      </c>
      <c r="I304" s="541">
        <f t="shared" si="765"/>
        <v>59.935266112502987</v>
      </c>
      <c r="J304" s="172">
        <f t="shared" si="766"/>
        <v>16.438840332498209</v>
      </c>
      <c r="K304" s="172">
        <f t="shared" si="767"/>
        <v>76.374106445001189</v>
      </c>
      <c r="L304" s="443"/>
      <c r="M304" s="217">
        <f t="shared" si="768"/>
        <v>0.21524597467765647</v>
      </c>
      <c r="N304" s="172">
        <f t="shared" si="769"/>
        <v>33.219623787772335</v>
      </c>
      <c r="O304" s="172">
        <f t="shared" si="762"/>
        <v>14.08</v>
      </c>
      <c r="P304" s="217">
        <f t="shared" si="770"/>
        <v>2.0762264867357709</v>
      </c>
      <c r="Q304" s="217">
        <f t="shared" si="771"/>
        <v>16</v>
      </c>
      <c r="R304" s="217"/>
      <c r="S304" s="172">
        <f t="shared" si="772"/>
        <v>110.55145369586214</v>
      </c>
      <c r="T304" s="172">
        <f t="shared" si="773"/>
        <v>16</v>
      </c>
      <c r="U304" s="217">
        <f t="shared" si="774"/>
        <v>2.1828061769528717</v>
      </c>
      <c r="V304" s="217">
        <f t="shared" si="775"/>
        <v>0.43703274920423263</v>
      </c>
      <c r="W304" s="217">
        <f t="shared" si="776"/>
        <v>1.5934015778261295</v>
      </c>
      <c r="X304" s="197">
        <f t="shared" si="777"/>
        <v>350</v>
      </c>
      <c r="Y304" s="443">
        <f t="shared" si="840"/>
        <v>350</v>
      </c>
      <c r="AA304" s="217">
        <f t="shared" si="778"/>
        <v>3.071554196056963</v>
      </c>
      <c r="AB304" s="173">
        <f t="shared" si="779"/>
        <v>2.2421685232757627</v>
      </c>
      <c r="AC304" s="173">
        <f t="shared" si="780"/>
        <v>1.2052148737885398</v>
      </c>
      <c r="AD304" s="173"/>
      <c r="AE304" s="173">
        <f t="shared" si="781"/>
        <v>0.72997849953424065</v>
      </c>
      <c r="AF304" s="545">
        <f t="shared" si="782"/>
        <v>2411.0299154330705</v>
      </c>
      <c r="AG304" s="528">
        <f t="shared" si="783"/>
        <v>0.12774623741849211</v>
      </c>
      <c r="AI304" s="173">
        <f t="shared" si="784"/>
        <v>2.6246250972733884</v>
      </c>
      <c r="AJ304" s="173">
        <f t="shared" si="785"/>
        <v>2.6246250972733884</v>
      </c>
      <c r="AK304" s="173">
        <f t="shared" si="786"/>
        <v>2.4034259979802877</v>
      </c>
      <c r="AM304" s="545">
        <f t="shared" si="787"/>
        <v>880</v>
      </c>
      <c r="AN304" s="460">
        <f t="shared" si="788"/>
        <v>350</v>
      </c>
      <c r="AP304">
        <f t="shared" si="789"/>
        <v>880</v>
      </c>
      <c r="AQ304">
        <f t="shared" si="790"/>
        <v>350</v>
      </c>
      <c r="AS304" s="5">
        <f t="shared" si="763"/>
        <v>2.8571428571428572</v>
      </c>
      <c r="AT304" s="5">
        <f t="shared" si="791"/>
        <v>0.52549197175768358</v>
      </c>
      <c r="AU304" s="5">
        <f t="shared" si="883"/>
        <v>2.3316508853851738</v>
      </c>
      <c r="AV304" s="5"/>
      <c r="AW304" s="173">
        <f t="shared" si="884"/>
        <v>0.18392219011518926</v>
      </c>
      <c r="AX304" s="173">
        <f t="shared" si="792"/>
        <v>14.466179492598421</v>
      </c>
      <c r="AY304" s="173">
        <f t="shared" si="793"/>
        <v>1.0709491505757875</v>
      </c>
      <c r="AZ304" s="173">
        <f t="shared" si="794"/>
        <v>13.507811724600362</v>
      </c>
      <c r="BA304" s="460">
        <f t="shared" si="724"/>
        <v>2.8902058446672596</v>
      </c>
      <c r="BB304" s="5">
        <f t="shared" si="725"/>
        <v>0.45645975782993853</v>
      </c>
      <c r="BD304" s="173">
        <f t="shared" si="841"/>
        <v>0.64986584877898335</v>
      </c>
      <c r="BE304" s="173">
        <f t="shared" si="842"/>
        <v>1.3689022410931637</v>
      </c>
      <c r="BG304" s="528">
        <f t="shared" si="843"/>
        <v>8.4465124281845692E-3</v>
      </c>
      <c r="BH304" s="528">
        <f t="shared" si="795"/>
        <v>1.2803960705102608</v>
      </c>
      <c r="BI304" s="528">
        <f t="shared" si="796"/>
        <v>0.48247889220564905</v>
      </c>
      <c r="BJ304" s="528">
        <f t="shared" si="844"/>
        <v>1.0054640878175749</v>
      </c>
      <c r="BK304">
        <f t="shared" si="845"/>
        <v>2.6970869750626344E-2</v>
      </c>
      <c r="BL304" s="460">
        <f t="shared" si="846"/>
        <v>509.44976195627532</v>
      </c>
      <c r="BM304" s="528">
        <f t="shared" si="797"/>
        <v>2.3012054985279562</v>
      </c>
      <c r="BN304" s="460">
        <f t="shared" si="847"/>
        <v>2301.205498527956</v>
      </c>
      <c r="BO304" s="528">
        <f t="shared" si="798"/>
        <v>0.61599999999999999</v>
      </c>
      <c r="BR304" s="460">
        <f t="shared" si="848"/>
        <v>616</v>
      </c>
      <c r="BS304" s="528">
        <f t="shared" si="849"/>
        <v>1.2669768642276853E-2</v>
      </c>
      <c r="BT304" s="528">
        <f t="shared" si="850"/>
        <v>5.6216800370096583E-2</v>
      </c>
      <c r="BU304" s="528">
        <f t="shared" si="851"/>
        <v>1.2788167279394942</v>
      </c>
      <c r="BV304" s="528"/>
      <c r="BW304" s="528">
        <f t="shared" si="852"/>
        <v>1.2055149577165351E-2</v>
      </c>
      <c r="BX304" s="460">
        <f t="shared" si="853"/>
        <v>1359.7584465290329</v>
      </c>
      <c r="BY304" s="173">
        <f t="shared" si="854"/>
        <v>4.7795148792413285</v>
      </c>
      <c r="BZ304" s="5">
        <f t="shared" si="855"/>
        <v>14.08</v>
      </c>
      <c r="CA304" s="173">
        <f t="shared" si="856"/>
        <v>0.74657275598842998</v>
      </c>
      <c r="CB304" s="5">
        <f t="shared" si="857"/>
        <v>74.657275598843</v>
      </c>
      <c r="CE304" s="562">
        <f t="shared" si="799"/>
        <v>-50</v>
      </c>
      <c r="CF304">
        <f t="shared" si="800"/>
        <v>-50</v>
      </c>
      <c r="CG304" s="173">
        <f t="shared" si="801"/>
        <v>0.67970581871865721</v>
      </c>
      <c r="CI304" s="170">
        <v>88</v>
      </c>
      <c r="CJ304" s="217">
        <f t="shared" si="858"/>
        <v>0.88</v>
      </c>
      <c r="CK304" s="217"/>
      <c r="CL304" s="217">
        <f t="shared" si="802"/>
        <v>14.08</v>
      </c>
      <c r="CM304" s="541">
        <f t="shared" si="803"/>
        <v>60</v>
      </c>
      <c r="CN304" s="443">
        <f t="shared" si="804"/>
        <v>16.399999999999999</v>
      </c>
      <c r="CO304" s="443">
        <f t="shared" si="805"/>
        <v>76.400000000000006</v>
      </c>
      <c r="CP304" s="443"/>
      <c r="CQ304" s="217">
        <f t="shared" si="806"/>
        <v>0.21465968586387432</v>
      </c>
      <c r="CR304" s="172">
        <f t="shared" si="807"/>
        <v>33.164921465968582</v>
      </c>
      <c r="CS304" s="172">
        <f t="shared" si="808"/>
        <v>14.08</v>
      </c>
      <c r="CT304" s="217">
        <f t="shared" si="809"/>
        <v>2.0728075916230364</v>
      </c>
      <c r="CU304" s="217">
        <f t="shared" si="810"/>
        <v>16</v>
      </c>
      <c r="CV304" s="217"/>
      <c r="CW304" s="172">
        <f t="shared" si="811"/>
        <v>110.67062418981021</v>
      </c>
      <c r="CX304" s="172">
        <f t="shared" si="812"/>
        <v>16</v>
      </c>
      <c r="CY304" s="217">
        <f t="shared" si="813"/>
        <v>2.1864065040650407</v>
      </c>
      <c r="CZ304" s="217">
        <f t="shared" si="814"/>
        <v>0.43728130081300814</v>
      </c>
      <c r="DA304" s="217">
        <f t="shared" si="815"/>
        <v>1.5998096371207615</v>
      </c>
      <c r="DB304" s="197">
        <f t="shared" si="816"/>
        <v>350</v>
      </c>
      <c r="DC304" s="443">
        <f t="shared" si="817"/>
        <v>350</v>
      </c>
      <c r="DE304" s="217">
        <f t="shared" si="818"/>
        <v>3.06656694091249</v>
      </c>
      <c r="DF304" s="173">
        <f t="shared" si="819"/>
        <v>2.2438294689603588</v>
      </c>
      <c r="DG304" s="173">
        <f t="shared" si="820"/>
        <v>1.2041493223478366</v>
      </c>
      <c r="DH304" s="173"/>
      <c r="DI304" s="173">
        <f t="shared" si="821"/>
        <v>0.73170731707317083</v>
      </c>
      <c r="DJ304" s="545">
        <f t="shared" si="822"/>
        <v>2405.333333333333</v>
      </c>
      <c r="DK304" s="528">
        <f t="shared" si="823"/>
        <v>0.12804878048780488</v>
      </c>
      <c r="DM304" s="173">
        <f t="shared" si="824"/>
        <v>2.6215226400664466</v>
      </c>
      <c r="DN304" s="173">
        <f t="shared" si="825"/>
        <v>2.6215226400664466</v>
      </c>
      <c r="DO304" s="173">
        <f t="shared" si="826"/>
        <v>2.4011278815307016</v>
      </c>
      <c r="DQ304" s="545">
        <f t="shared" si="827"/>
        <v>880</v>
      </c>
      <c r="DR304" s="460">
        <f t="shared" si="828"/>
        <v>350</v>
      </c>
      <c r="DT304">
        <f t="shared" si="829"/>
        <v>880</v>
      </c>
      <c r="DU304">
        <f t="shared" si="830"/>
        <v>350</v>
      </c>
      <c r="DW304" s="5">
        <f t="shared" si="859"/>
        <v>2.8571428571428572</v>
      </c>
      <c r="DX304" s="5">
        <f t="shared" si="831"/>
        <v>0.52430452801328931</v>
      </c>
      <c r="DY304" s="5">
        <f t="shared" si="832"/>
        <v>2.3328383291295678</v>
      </c>
      <c r="DZ304" s="5"/>
      <c r="EA304" s="173">
        <f t="shared" si="833"/>
        <v>0.18350658480465126</v>
      </c>
      <c r="EB304" s="173">
        <f t="shared" si="860"/>
        <v>14.432000000000002</v>
      </c>
      <c r="EC304" s="173">
        <f t="shared" si="861"/>
        <v>1.0702279866998898</v>
      </c>
      <c r="ED304" s="173">
        <f t="shared" si="862"/>
        <v>13.484977200513988</v>
      </c>
      <c r="EE304" s="460">
        <f t="shared" si="834"/>
        <v>2.8836749040730911</v>
      </c>
      <c r="EF304" s="5">
        <f t="shared" si="835"/>
        <v>0.4561994954742265</v>
      </c>
      <c r="EH304" s="173">
        <f t="shared" si="863"/>
        <v>0.64836387881290991</v>
      </c>
      <c r="EI304" s="173">
        <f t="shared" si="864"/>
        <v>1.3676322354508643</v>
      </c>
      <c r="EK304" s="528">
        <f t="shared" si="865"/>
        <v>8.4075143869864338E-3</v>
      </c>
      <c r="EL304" s="528">
        <f t="shared" si="866"/>
        <v>1.331890792512159</v>
      </c>
      <c r="EM304" s="528">
        <f t="shared" si="867"/>
        <v>4.0250000000000001E-2</v>
      </c>
      <c r="EN304" s="528">
        <f t="shared" si="868"/>
        <v>1.0061459800000001</v>
      </c>
      <c r="EO304">
        <f t="shared" si="869"/>
        <v>2.7E-2</v>
      </c>
      <c r="EP304" s="460">
        <f t="shared" si="870"/>
        <v>67.25</v>
      </c>
      <c r="EQ304" s="460"/>
      <c r="ER304" s="460">
        <f t="shared" si="871"/>
        <v>2413.6942868991459</v>
      </c>
      <c r="ES304" s="528">
        <f t="shared" si="872"/>
        <v>0.61599999999999999</v>
      </c>
      <c r="EV304" s="460">
        <f t="shared" si="873"/>
        <v>616</v>
      </c>
      <c r="EW304" s="528">
        <f t="shared" si="874"/>
        <v>1.2611271580479651E-2</v>
      </c>
      <c r="EX304" s="528">
        <f t="shared" si="875"/>
        <v>5.6112537943329849E-2</v>
      </c>
      <c r="EY304" s="528">
        <f t="shared" si="876"/>
        <v>1.2750409910401357</v>
      </c>
      <c r="EZ304" s="528"/>
      <c r="FA304" s="528">
        <f t="shared" si="877"/>
        <v>1.2026666666666666E-2</v>
      </c>
      <c r="FB304" s="460">
        <f t="shared" si="878"/>
        <v>1355.7914672306117</v>
      </c>
      <c r="FC304" s="173">
        <f t="shared" si="879"/>
        <v>4.3854857541297578</v>
      </c>
      <c r="FD304" s="5">
        <f t="shared" si="880"/>
        <v>14.08</v>
      </c>
      <c r="FE304" s="173">
        <f t="shared" si="881"/>
        <v>0.76250363448202518</v>
      </c>
      <c r="FF304" s="5">
        <f t="shared" si="882"/>
        <v>76.250363448202521</v>
      </c>
      <c r="FI304" s="562">
        <f t="shared" si="836"/>
        <v>-50</v>
      </c>
      <c r="FJ304">
        <f t="shared" si="837"/>
        <v>-50</v>
      </c>
      <c r="FL304">
        <f t="shared" si="838"/>
        <v>0.6713655541633583</v>
      </c>
    </row>
    <row r="305" spans="5:168">
      <c r="E305" s="170">
        <v>89</v>
      </c>
      <c r="F305" s="217">
        <f t="shared" si="839"/>
        <v>0.89</v>
      </c>
      <c r="G305" s="217"/>
      <c r="H305" s="217">
        <f t="shared" si="764"/>
        <v>14.24</v>
      </c>
      <c r="I305" s="541">
        <f t="shared" si="765"/>
        <v>59.934899345332823</v>
      </c>
      <c r="J305" s="172">
        <f t="shared" si="766"/>
        <v>16.439060392800307</v>
      </c>
      <c r="K305" s="172">
        <f t="shared" si="767"/>
        <v>76.373959738133124</v>
      </c>
      <c r="L305" s="443"/>
      <c r="M305" s="217">
        <f t="shared" si="768"/>
        <v>0.21524929756536418</v>
      </c>
      <c r="N305" s="172">
        <f t="shared" si="769"/>
        <v>33.21993333311427</v>
      </c>
      <c r="O305" s="172">
        <f t="shared" si="762"/>
        <v>14.24</v>
      </c>
      <c r="P305" s="217">
        <f t="shared" si="770"/>
        <v>2.0762458333196419</v>
      </c>
      <c r="Q305" s="217">
        <f t="shared" si="771"/>
        <v>16</v>
      </c>
      <c r="R305" s="217"/>
      <c r="S305" s="172">
        <f t="shared" si="772"/>
        <v>108.64142052636966</v>
      </c>
      <c r="T305" s="172">
        <f t="shared" si="773"/>
        <v>16</v>
      </c>
      <c r="U305" s="217">
        <f t="shared" si="774"/>
        <v>2.2075902219495807</v>
      </c>
      <c r="V305" s="217">
        <f t="shared" si="775"/>
        <v>0.44199761662664494</v>
      </c>
      <c r="W305" s="217">
        <f t="shared" si="776"/>
        <v>1.6114718256645053</v>
      </c>
      <c r="X305" s="197">
        <f t="shared" si="777"/>
        <v>350</v>
      </c>
      <c r="Y305" s="443">
        <f t="shared" si="840"/>
        <v>350</v>
      </c>
      <c r="AA305" s="217">
        <f t="shared" si="778"/>
        <v>3.0715824176590631</v>
      </c>
      <c r="AB305" s="173">
        <f t="shared" si="779"/>
        <v>2.2421591095347284</v>
      </c>
      <c r="AC305" s="173">
        <f t="shared" si="780"/>
        <v>1.2052208872271704</v>
      </c>
      <c r="AD305" s="173"/>
      <c r="AE305" s="173">
        <f t="shared" si="781"/>
        <v>0.72996872772944799</v>
      </c>
      <c r="AF305" s="545">
        <f t="shared" si="782"/>
        <v>2438.4606249320454</v>
      </c>
      <c r="AG305" s="528">
        <f t="shared" si="783"/>
        <v>0.1277445273526534</v>
      </c>
      <c r="AI305" s="173">
        <f t="shared" si="784"/>
        <v>2.6395132803130017</v>
      </c>
      <c r="AJ305" s="173">
        <f t="shared" si="785"/>
        <v>2.6395132803130017</v>
      </c>
      <c r="AK305" s="173">
        <f t="shared" si="786"/>
        <v>2.4144542817133345</v>
      </c>
      <c r="AM305" s="545">
        <f t="shared" si="787"/>
        <v>890</v>
      </c>
      <c r="AN305" s="460">
        <f t="shared" si="788"/>
        <v>350</v>
      </c>
      <c r="AP305">
        <f t="shared" si="789"/>
        <v>890</v>
      </c>
      <c r="AQ305">
        <f t="shared" si="790"/>
        <v>350</v>
      </c>
      <c r="AS305" s="5">
        <f t="shared" si="763"/>
        <v>2.8571428571428572</v>
      </c>
      <c r="AT305" s="5">
        <f t="shared" si="791"/>
        <v>0.52847605835217792</v>
      </c>
      <c r="AU305" s="5">
        <f t="shared" si="883"/>
        <v>2.3286667987906791</v>
      </c>
      <c r="AV305" s="5"/>
      <c r="AW305" s="173">
        <f t="shared" si="884"/>
        <v>0.18496662042326226</v>
      </c>
      <c r="AX305" s="173">
        <f t="shared" si="792"/>
        <v>14.630763749592274</v>
      </c>
      <c r="AY305" s="173">
        <f t="shared" si="793"/>
        <v>1.0756457146455933</v>
      </c>
      <c r="AZ305" s="173">
        <f t="shared" si="794"/>
        <v>13.601842642410245</v>
      </c>
      <c r="BA305" s="460">
        <f t="shared" si="724"/>
        <v>2.9396480745839897</v>
      </c>
      <c r="BB305" s="5">
        <f t="shared" si="725"/>
        <v>0.46105879847672698</v>
      </c>
      <c r="BD305" s="173">
        <f t="shared" si="841"/>
        <v>0.65540523329999834</v>
      </c>
      <c r="BE305" s="173">
        <f t="shared" si="842"/>
        <v>1.375786114364878</v>
      </c>
      <c r="BG305" s="528">
        <f t="shared" si="843"/>
        <v>8.5911203967405057E-3</v>
      </c>
      <c r="BH305" s="528">
        <f t="shared" si="795"/>
        <v>1.2876566423804283</v>
      </c>
      <c r="BI305" s="528">
        <f t="shared" si="796"/>
        <v>0.48247593972992925</v>
      </c>
      <c r="BJ305" s="528">
        <f t="shared" si="844"/>
        <v>1.0054602250333811</v>
      </c>
      <c r="BK305">
        <f t="shared" si="845"/>
        <v>2.6970704705399771E-2</v>
      </c>
      <c r="BL305" s="460">
        <f t="shared" si="846"/>
        <v>509.44664443532906</v>
      </c>
      <c r="BM305" s="528">
        <f t="shared" si="797"/>
        <v>2.308740306945436</v>
      </c>
      <c r="BN305" s="460">
        <f t="shared" si="847"/>
        <v>2308.7403069454358</v>
      </c>
      <c r="BO305" s="528">
        <f t="shared" si="798"/>
        <v>0.623</v>
      </c>
      <c r="BR305" s="460">
        <f t="shared" si="848"/>
        <v>623</v>
      </c>
      <c r="BS305" s="528">
        <f t="shared" si="849"/>
        <v>1.2886680595110757E-2</v>
      </c>
      <c r="BT305" s="528">
        <f t="shared" si="850"/>
        <v>5.6783622974376273E-2</v>
      </c>
      <c r="BU305" s="528">
        <f t="shared" si="851"/>
        <v>1.2970291711090303</v>
      </c>
      <c r="BV305" s="528"/>
      <c r="BW305" s="528">
        <f t="shared" si="852"/>
        <v>1.219230312466023E-2</v>
      </c>
      <c r="BX305" s="460">
        <f t="shared" si="853"/>
        <v>1378.8917778031775</v>
      </c>
      <c r="BY305" s="173">
        <f t="shared" si="854"/>
        <v>4.8130464100490569</v>
      </c>
      <c r="BZ305" s="5">
        <f t="shared" si="855"/>
        <v>14.24</v>
      </c>
      <c r="CA305" s="173">
        <f t="shared" si="856"/>
        <v>0.74738704213146023</v>
      </c>
      <c r="CB305" s="5">
        <f t="shared" si="857"/>
        <v>74.738704213146022</v>
      </c>
      <c r="CE305" s="562">
        <f t="shared" si="799"/>
        <v>-50</v>
      </c>
      <c r="CF305">
        <f t="shared" si="800"/>
        <v>-50</v>
      </c>
      <c r="CG305" s="173">
        <f t="shared" si="801"/>
        <v>0.6835568740053749</v>
      </c>
      <c r="CI305" s="170">
        <v>89</v>
      </c>
      <c r="CJ305" s="217">
        <f t="shared" si="858"/>
        <v>0.89</v>
      </c>
      <c r="CK305" s="217"/>
      <c r="CL305" s="217">
        <f t="shared" si="802"/>
        <v>14.24</v>
      </c>
      <c r="CM305" s="541">
        <f t="shared" si="803"/>
        <v>60</v>
      </c>
      <c r="CN305" s="443">
        <f t="shared" si="804"/>
        <v>16.399999999999999</v>
      </c>
      <c r="CO305" s="443">
        <f t="shared" si="805"/>
        <v>76.400000000000006</v>
      </c>
      <c r="CP305" s="443"/>
      <c r="CQ305" s="217">
        <f t="shared" si="806"/>
        <v>0.21465968586387432</v>
      </c>
      <c r="CR305" s="172">
        <f t="shared" si="807"/>
        <v>33.164921465968582</v>
      </c>
      <c r="CS305" s="172">
        <f t="shared" si="808"/>
        <v>14.24</v>
      </c>
      <c r="CT305" s="217">
        <f t="shared" si="809"/>
        <v>2.0728075916230364</v>
      </c>
      <c r="CU305" s="217">
        <f t="shared" si="810"/>
        <v>16</v>
      </c>
      <c r="CV305" s="217"/>
      <c r="CW305" s="172">
        <f t="shared" si="811"/>
        <v>108.75918823255675</v>
      </c>
      <c r="CX305" s="172">
        <f t="shared" si="812"/>
        <v>16</v>
      </c>
      <c r="CY305" s="217">
        <f t="shared" si="813"/>
        <v>2.2112520325203255</v>
      </c>
      <c r="CZ305" s="217">
        <f t="shared" si="814"/>
        <v>0.44225040650406511</v>
      </c>
      <c r="DA305" s="217">
        <f t="shared" si="815"/>
        <v>1.6179892920880432</v>
      </c>
      <c r="DB305" s="197">
        <f t="shared" si="816"/>
        <v>350</v>
      </c>
      <c r="DC305" s="443">
        <f t="shared" si="817"/>
        <v>350</v>
      </c>
      <c r="DE305" s="217">
        <f t="shared" si="818"/>
        <v>3.06656694091249</v>
      </c>
      <c r="DF305" s="173">
        <f t="shared" si="819"/>
        <v>2.2438294689603588</v>
      </c>
      <c r="DG305" s="173">
        <f t="shared" si="820"/>
        <v>1.2041493223478366</v>
      </c>
      <c r="DH305" s="173"/>
      <c r="DI305" s="173">
        <f t="shared" si="821"/>
        <v>0.73170731707317083</v>
      </c>
      <c r="DJ305" s="545">
        <f t="shared" si="822"/>
        <v>2432.6666666666665</v>
      </c>
      <c r="DK305" s="528">
        <f t="shared" si="823"/>
        <v>0.12804878048780488</v>
      </c>
      <c r="DM305" s="173">
        <f t="shared" si="824"/>
        <v>2.6363755784174967</v>
      </c>
      <c r="DN305" s="173">
        <f t="shared" si="825"/>
        <v>2.6363755784174967</v>
      </c>
      <c r="DO305" s="173">
        <f t="shared" si="826"/>
        <v>2.4121300580870346</v>
      </c>
      <c r="DQ305" s="545">
        <f t="shared" si="827"/>
        <v>890</v>
      </c>
      <c r="DR305" s="460">
        <f t="shared" si="828"/>
        <v>350</v>
      </c>
      <c r="DT305">
        <f t="shared" si="829"/>
        <v>890</v>
      </c>
      <c r="DU305">
        <f t="shared" si="830"/>
        <v>350</v>
      </c>
      <c r="DW305" s="5">
        <f t="shared" si="859"/>
        <v>2.8571428571428572</v>
      </c>
      <c r="DX305" s="5">
        <f t="shared" si="831"/>
        <v>0.52727511568349938</v>
      </c>
      <c r="DY305" s="5">
        <f t="shared" si="832"/>
        <v>2.329867741459358</v>
      </c>
      <c r="DZ305" s="5"/>
      <c r="EA305" s="173">
        <f t="shared" si="833"/>
        <v>0.18454629048922477</v>
      </c>
      <c r="EB305" s="173">
        <f t="shared" si="860"/>
        <v>14.596000000000002</v>
      </c>
      <c r="EC305" s="173">
        <f t="shared" si="861"/>
        <v>1.0749211225420816</v>
      </c>
      <c r="ED305" s="173">
        <f t="shared" si="862"/>
        <v>13.578670745144455</v>
      </c>
      <c r="EE305" s="460">
        <f t="shared" si="834"/>
        <v>2.9329678309894653</v>
      </c>
      <c r="EF305" s="5">
        <f t="shared" si="835"/>
        <v>0.46079606442196186</v>
      </c>
      <c r="EH305" s="173">
        <f t="shared" si="863"/>
        <v>0.65388189506619099</v>
      </c>
      <c r="EI305" s="173">
        <f t="shared" si="864"/>
        <v>1.3745049523846917</v>
      </c>
      <c r="EK305" s="528">
        <f t="shared" si="865"/>
        <v>8.5512306539070639E-3</v>
      </c>
      <c r="EL305" s="528">
        <f t="shared" si="866"/>
        <v>1.3394369763707938</v>
      </c>
      <c r="EM305" s="528">
        <f t="shared" si="867"/>
        <v>4.0250000000000001E-2</v>
      </c>
      <c r="EN305" s="528">
        <f t="shared" si="868"/>
        <v>1.0061459800000001</v>
      </c>
      <c r="EO305">
        <f t="shared" si="869"/>
        <v>2.7E-2</v>
      </c>
      <c r="EP305" s="460">
        <f t="shared" si="870"/>
        <v>67.25</v>
      </c>
      <c r="EQ305" s="460"/>
      <c r="ER305" s="460">
        <f t="shared" si="871"/>
        <v>2421.3841870247011</v>
      </c>
      <c r="ES305" s="528">
        <f t="shared" si="872"/>
        <v>0.623</v>
      </c>
      <c r="EV305" s="460">
        <f t="shared" si="873"/>
        <v>623</v>
      </c>
      <c r="EW305" s="528">
        <f t="shared" si="874"/>
        <v>1.2826845980860596E-2</v>
      </c>
      <c r="EX305" s="528">
        <f t="shared" si="875"/>
        <v>5.6677915923901305E-2</v>
      </c>
      <c r="EY305" s="528">
        <f t="shared" si="876"/>
        <v>1.2931780224173399</v>
      </c>
      <c r="EZ305" s="528"/>
      <c r="FA305" s="528">
        <f t="shared" si="877"/>
        <v>1.2163333333333333E-2</v>
      </c>
      <c r="FB305" s="460">
        <f t="shared" si="878"/>
        <v>1374.8461176554351</v>
      </c>
      <c r="FC305" s="173">
        <f t="shared" si="879"/>
        <v>4.4192303046801369</v>
      </c>
      <c r="FD305" s="5">
        <f t="shared" si="880"/>
        <v>14.24</v>
      </c>
      <c r="FE305" s="173">
        <f t="shared" si="881"/>
        <v>0.76316116835903469</v>
      </c>
      <c r="FF305" s="5">
        <f t="shared" si="882"/>
        <v>76.316116835903472</v>
      </c>
      <c r="FI305" s="562">
        <f t="shared" si="836"/>
        <v>-50</v>
      </c>
      <c r="FJ305">
        <f t="shared" si="837"/>
        <v>-50</v>
      </c>
      <c r="FL305">
        <f t="shared" si="838"/>
        <v>0.67516935544838341</v>
      </c>
    </row>
    <row r="306" spans="5:168">
      <c r="E306" s="170">
        <v>90</v>
      </c>
      <c r="F306" s="217">
        <f t="shared" si="839"/>
        <v>0.9</v>
      </c>
      <c r="G306" s="217"/>
      <c r="H306" s="217">
        <f t="shared" si="764"/>
        <v>14.4</v>
      </c>
      <c r="I306" s="541">
        <f t="shared" si="765"/>
        <v>59.9345346329292</v>
      </c>
      <c r="J306" s="172">
        <f t="shared" si="766"/>
        <v>16.439279220242476</v>
      </c>
      <c r="K306" s="172">
        <f t="shared" si="767"/>
        <v>76.373813853171669</v>
      </c>
      <c r="L306" s="443"/>
      <c r="M306" s="217">
        <f t="shared" si="768"/>
        <v>0.21525260184943795</v>
      </c>
      <c r="N306" s="172">
        <f t="shared" si="769"/>
        <v>33.220241139961146</v>
      </c>
      <c r="O306" s="172">
        <f t="shared" si="762"/>
        <v>14.4</v>
      </c>
      <c r="P306" s="217">
        <f t="shared" si="770"/>
        <v>2.0762650712475716</v>
      </c>
      <c r="Q306" s="217">
        <f t="shared" si="771"/>
        <v>16</v>
      </c>
      <c r="R306" s="217"/>
      <c r="S306" s="172">
        <f t="shared" si="772"/>
        <v>106.77397442182885</v>
      </c>
      <c r="T306" s="172">
        <f t="shared" si="773"/>
        <v>16</v>
      </c>
      <c r="U306" s="217">
        <f t="shared" si="774"/>
        <v>2.2323739218976284</v>
      </c>
      <c r="V306" s="217">
        <f t="shared" si="775"/>
        <v>0.4469624604051472</v>
      </c>
      <c r="W306" s="217">
        <f t="shared" si="776"/>
        <v>1.6295414600529192</v>
      </c>
      <c r="X306" s="197">
        <f t="shared" si="777"/>
        <v>350</v>
      </c>
      <c r="Y306" s="443">
        <f t="shared" si="840"/>
        <v>350</v>
      </c>
      <c r="AA306" s="217">
        <f t="shared" si="778"/>
        <v>3.0716104807617186</v>
      </c>
      <c r="AB306" s="173">
        <f t="shared" si="779"/>
        <v>2.2421497484971216</v>
      </c>
      <c r="AC306" s="173">
        <f t="shared" si="780"/>
        <v>1.205226866711177</v>
      </c>
      <c r="AD306" s="173"/>
      <c r="AE306" s="173">
        <f t="shared" si="781"/>
        <v>0.72995901092937354</v>
      </c>
      <c r="AF306" s="545">
        <f t="shared" si="782"/>
        <v>2465.8918830363714</v>
      </c>
      <c r="AG306" s="528">
        <f t="shared" si="783"/>
        <v>0.12774282691264036</v>
      </c>
      <c r="AI306" s="173">
        <f t="shared" si="784"/>
        <v>2.6543182514732324</v>
      </c>
      <c r="AJ306" s="173">
        <f t="shared" si="785"/>
        <v>2.6543182514732324</v>
      </c>
      <c r="AK306" s="173">
        <f t="shared" si="786"/>
        <v>2.4254209270172091</v>
      </c>
      <c r="AM306" s="545">
        <f t="shared" si="787"/>
        <v>900</v>
      </c>
      <c r="AN306" s="460">
        <f t="shared" si="788"/>
        <v>350</v>
      </c>
      <c r="AP306">
        <f t="shared" si="789"/>
        <v>900</v>
      </c>
      <c r="AQ306">
        <f t="shared" si="790"/>
        <v>350</v>
      </c>
      <c r="AS306" s="5">
        <f t="shared" si="763"/>
        <v>2.8571428571428572</v>
      </c>
      <c r="AT306" s="5">
        <f t="shared" si="791"/>
        <v>0.53144350269433449</v>
      </c>
      <c r="AU306" s="5">
        <f t="shared" si="883"/>
        <v>2.3256993544485227</v>
      </c>
      <c r="AV306" s="5"/>
      <c r="AW306" s="173">
        <f t="shared" si="884"/>
        <v>0.18600522594301708</v>
      </c>
      <c r="AX306" s="173">
        <f t="shared" si="792"/>
        <v>14.795351298218225</v>
      </c>
      <c r="AY306" s="173">
        <f t="shared" si="793"/>
        <v>1.08030059269164</v>
      </c>
      <c r="AZ306" s="173">
        <f t="shared" si="794"/>
        <v>13.695587504358054</v>
      </c>
      <c r="BA306" s="460">
        <f t="shared" si="724"/>
        <v>2.9893697026556314</v>
      </c>
      <c r="BB306" s="5">
        <f t="shared" si="725"/>
        <v>0.46564793443893454</v>
      </c>
      <c r="BD306" s="173">
        <f t="shared" si="841"/>
        <v>0.66092919933135985</v>
      </c>
      <c r="BE306" s="173">
        <f t="shared" si="842"/>
        <v>1.3826210809566903</v>
      </c>
      <c r="BG306" s="528">
        <f t="shared" si="843"/>
        <v>8.736548130575849E-3</v>
      </c>
      <c r="BH306" s="528">
        <f t="shared" si="795"/>
        <v>1.2948766063880301</v>
      </c>
      <c r="BI306" s="528">
        <f t="shared" si="796"/>
        <v>0.48247300379508012</v>
      </c>
      <c r="BJ306" s="528">
        <f t="shared" si="844"/>
        <v>1.0054563838973032</v>
      </c>
      <c r="BK306">
        <f t="shared" si="845"/>
        <v>2.697054058481814E-2</v>
      </c>
      <c r="BL306" s="460">
        <f t="shared" si="846"/>
        <v>509.44354437989824</v>
      </c>
      <c r="BM306" s="528">
        <f t="shared" si="797"/>
        <v>2.3162364589373041</v>
      </c>
      <c r="BN306" s="460">
        <f t="shared" si="847"/>
        <v>2316.2364589373042</v>
      </c>
      <c r="BO306" s="528">
        <f t="shared" si="798"/>
        <v>0.63</v>
      </c>
      <c r="BR306" s="460">
        <f t="shared" si="848"/>
        <v>630</v>
      </c>
      <c r="BS306" s="528">
        <f t="shared" si="849"/>
        <v>1.3104822195863772E-2</v>
      </c>
      <c r="BT306" s="528">
        <f t="shared" si="850"/>
        <v>5.7349231605175403E-2</v>
      </c>
      <c r="BU306" s="528">
        <f t="shared" si="851"/>
        <v>1.3152932719074764</v>
      </c>
      <c r="BV306" s="528"/>
      <c r="BW306" s="528">
        <f t="shared" si="852"/>
        <v>1.2329459415181855E-2</v>
      </c>
      <c r="BX306" s="460">
        <f t="shared" si="853"/>
        <v>1398.0767851236974</v>
      </c>
      <c r="BY306" s="173">
        <f t="shared" si="854"/>
        <v>4.846589867919505</v>
      </c>
      <c r="BZ306" s="5">
        <f t="shared" si="855"/>
        <v>14.4</v>
      </c>
      <c r="CA306" s="173">
        <f t="shared" si="856"/>
        <v>0.74818448872348708</v>
      </c>
      <c r="CB306" s="5">
        <f t="shared" si="857"/>
        <v>74.818448872348711</v>
      </c>
      <c r="CE306" s="562">
        <f t="shared" si="799"/>
        <v>-50</v>
      </c>
      <c r="CF306">
        <f t="shared" si="800"/>
        <v>-50</v>
      </c>
      <c r="CG306" s="173">
        <f t="shared" si="801"/>
        <v>0.68738635424337602</v>
      </c>
      <c r="CI306" s="170">
        <v>90</v>
      </c>
      <c r="CJ306" s="217">
        <f t="shared" si="858"/>
        <v>0.9</v>
      </c>
      <c r="CK306" s="217"/>
      <c r="CL306" s="217">
        <f t="shared" si="802"/>
        <v>14.4</v>
      </c>
      <c r="CM306" s="541">
        <f t="shared" si="803"/>
        <v>60</v>
      </c>
      <c r="CN306" s="443">
        <f t="shared" si="804"/>
        <v>16.399999999999999</v>
      </c>
      <c r="CO306" s="443">
        <f t="shared" si="805"/>
        <v>76.400000000000006</v>
      </c>
      <c r="CP306" s="443"/>
      <c r="CQ306" s="217">
        <f t="shared" si="806"/>
        <v>0.21465968586387432</v>
      </c>
      <c r="CR306" s="172">
        <f t="shared" si="807"/>
        <v>33.164921465968582</v>
      </c>
      <c r="CS306" s="172">
        <f t="shared" si="808"/>
        <v>14.4</v>
      </c>
      <c r="CT306" s="217">
        <f t="shared" si="809"/>
        <v>2.0728075916230364</v>
      </c>
      <c r="CU306" s="217">
        <f t="shared" si="810"/>
        <v>16</v>
      </c>
      <c r="CV306" s="217"/>
      <c r="CW306" s="172">
        <f t="shared" si="811"/>
        <v>106.89035871400128</v>
      </c>
      <c r="CX306" s="172">
        <f t="shared" si="812"/>
        <v>16</v>
      </c>
      <c r="CY306" s="217">
        <f t="shared" si="813"/>
        <v>2.23609756097561</v>
      </c>
      <c r="CZ306" s="217">
        <f t="shared" si="814"/>
        <v>0.44721951219512202</v>
      </c>
      <c r="DA306" s="217">
        <f t="shared" si="815"/>
        <v>1.6361689470553247</v>
      </c>
      <c r="DB306" s="197">
        <f t="shared" si="816"/>
        <v>350</v>
      </c>
      <c r="DC306" s="443">
        <f t="shared" si="817"/>
        <v>350</v>
      </c>
      <c r="DE306" s="217">
        <f t="shared" si="818"/>
        <v>3.06656694091249</v>
      </c>
      <c r="DF306" s="173">
        <f t="shared" si="819"/>
        <v>2.2438294689603588</v>
      </c>
      <c r="DG306" s="173">
        <f t="shared" si="820"/>
        <v>1.2041493223478366</v>
      </c>
      <c r="DH306" s="173"/>
      <c r="DI306" s="173">
        <f t="shared" si="821"/>
        <v>0.73170731707317083</v>
      </c>
      <c r="DJ306" s="545">
        <f t="shared" si="822"/>
        <v>2459.9999999999995</v>
      </c>
      <c r="DK306" s="528">
        <f t="shared" si="823"/>
        <v>0.12804878048780488</v>
      </c>
      <c r="DM306" s="173">
        <f t="shared" si="824"/>
        <v>2.6511453050656102</v>
      </c>
      <c r="DN306" s="173">
        <f t="shared" si="825"/>
        <v>2.6511453050656102</v>
      </c>
      <c r="DO306" s="173">
        <f t="shared" si="826"/>
        <v>2.4230705963448962</v>
      </c>
      <c r="DQ306" s="545">
        <f t="shared" si="827"/>
        <v>900</v>
      </c>
      <c r="DR306" s="460">
        <f t="shared" si="828"/>
        <v>350</v>
      </c>
      <c r="DT306">
        <f t="shared" si="829"/>
        <v>900</v>
      </c>
      <c r="DU306">
        <f t="shared" si="830"/>
        <v>350</v>
      </c>
      <c r="DW306" s="5">
        <f t="shared" si="859"/>
        <v>2.8571428571428572</v>
      </c>
      <c r="DX306" s="5">
        <f t="shared" si="831"/>
        <v>0.53022906101312206</v>
      </c>
      <c r="DY306" s="5">
        <f t="shared" si="832"/>
        <v>2.3269137961297353</v>
      </c>
      <c r="DZ306" s="5"/>
      <c r="EA306" s="173">
        <f t="shared" si="833"/>
        <v>0.1855801713545927</v>
      </c>
      <c r="EB306" s="173">
        <f t="shared" si="860"/>
        <v>14.759999999999998</v>
      </c>
      <c r="EC306" s="173">
        <f t="shared" si="861"/>
        <v>1.0795726525328051</v>
      </c>
      <c r="ED306" s="173">
        <f t="shared" si="862"/>
        <v>13.672076599357434</v>
      </c>
      <c r="EE306" s="460">
        <f t="shared" si="834"/>
        <v>2.9825384681988116</v>
      </c>
      <c r="EF306" s="5">
        <f t="shared" si="835"/>
        <v>0.46538275922594707</v>
      </c>
      <c r="EH306" s="173">
        <f t="shared" si="863"/>
        <v>0.65938443265727775</v>
      </c>
      <c r="EI306" s="173">
        <f t="shared" si="864"/>
        <v>1.3813288213985773</v>
      </c>
      <c r="EK306" s="528">
        <f t="shared" si="865"/>
        <v>8.6957566006152006E-3</v>
      </c>
      <c r="EL306" s="528">
        <f t="shared" si="866"/>
        <v>1.3469408836916339</v>
      </c>
      <c r="EM306" s="528">
        <f t="shared" si="867"/>
        <v>4.0250000000000001E-2</v>
      </c>
      <c r="EN306" s="528">
        <f t="shared" si="868"/>
        <v>1.0061459800000001</v>
      </c>
      <c r="EO306">
        <f t="shared" si="869"/>
        <v>2.7E-2</v>
      </c>
      <c r="EP306" s="460">
        <f t="shared" si="870"/>
        <v>67.25</v>
      </c>
      <c r="EQ306" s="460"/>
      <c r="ER306" s="460">
        <f t="shared" si="871"/>
        <v>2429.0326202922488</v>
      </c>
      <c r="ES306" s="528">
        <f t="shared" si="872"/>
        <v>0.63</v>
      </c>
      <c r="EV306" s="460">
        <f t="shared" si="873"/>
        <v>630</v>
      </c>
      <c r="EW306" s="528">
        <f t="shared" si="874"/>
        <v>1.3043634900922802E-2</v>
      </c>
      <c r="EX306" s="528">
        <f t="shared" si="875"/>
        <v>5.7242079384791478E-2</v>
      </c>
      <c r="EY306" s="528">
        <f t="shared" si="876"/>
        <v>1.3113660730739791</v>
      </c>
      <c r="EZ306" s="528"/>
      <c r="FA306" s="528">
        <f t="shared" si="877"/>
        <v>1.2299999999999998E-2</v>
      </c>
      <c r="FB306" s="460">
        <f t="shared" si="878"/>
        <v>1393.9517873596933</v>
      </c>
      <c r="FC306" s="173">
        <f t="shared" si="879"/>
        <v>4.4529844076519423</v>
      </c>
      <c r="FD306" s="5">
        <f t="shared" si="880"/>
        <v>14.4</v>
      </c>
      <c r="FE306" s="173">
        <f t="shared" si="881"/>
        <v>0.76380480080148005</v>
      </c>
      <c r="FF306" s="5">
        <f t="shared" si="882"/>
        <v>76.380480080148004</v>
      </c>
      <c r="FI306" s="562">
        <f t="shared" si="836"/>
        <v>-50</v>
      </c>
      <c r="FJ306">
        <f t="shared" si="837"/>
        <v>-50</v>
      </c>
      <c r="FL306">
        <f t="shared" si="838"/>
        <v>0.67895184641924167</v>
      </c>
    </row>
    <row r="307" spans="5:168">
      <c r="E307" s="170">
        <v>91</v>
      </c>
      <c r="F307" s="217">
        <f t="shared" si="839"/>
        <v>0.91</v>
      </c>
      <c r="G307" s="217"/>
      <c r="H307" s="217">
        <f t="shared" si="764"/>
        <v>14.56</v>
      </c>
      <c r="I307" s="541">
        <f t="shared" si="765"/>
        <v>59.93417194113956</v>
      </c>
      <c r="J307" s="172">
        <f t="shared" si="766"/>
        <v>16.439496835316262</v>
      </c>
      <c r="K307" s="172">
        <f t="shared" si="767"/>
        <v>76.373668776455816</v>
      </c>
      <c r="L307" s="443"/>
      <c r="M307" s="217">
        <f t="shared" si="768"/>
        <v>0.21525588783909133</v>
      </c>
      <c r="N307" s="172">
        <f t="shared" si="769"/>
        <v>33.220547237208692</v>
      </c>
      <c r="O307" s="172">
        <f t="shared" si="762"/>
        <v>14.56</v>
      </c>
      <c r="P307" s="217">
        <f t="shared" si="770"/>
        <v>2.0762842023255432</v>
      </c>
      <c r="Q307" s="217">
        <f t="shared" si="771"/>
        <v>16</v>
      </c>
      <c r="R307" s="217"/>
      <c r="S307" s="172">
        <f t="shared" si="772"/>
        <v>104.94771363190135</v>
      </c>
      <c r="T307" s="172">
        <f t="shared" si="773"/>
        <v>16</v>
      </c>
      <c r="U307" s="217">
        <f t="shared" si="774"/>
        <v>2.2571572787342329</v>
      </c>
      <c r="V307" s="217">
        <f t="shared" si="775"/>
        <v>0.45192728067406074</v>
      </c>
      <c r="W307" s="217">
        <f t="shared" si="776"/>
        <v>1.6476104844415524</v>
      </c>
      <c r="X307" s="197">
        <f t="shared" si="777"/>
        <v>350</v>
      </c>
      <c r="Y307" s="443">
        <f t="shared" si="840"/>
        <v>350</v>
      </c>
      <c r="AA307" s="217">
        <f t="shared" si="778"/>
        <v>3.0716383879993701</v>
      </c>
      <c r="AB307" s="173">
        <f t="shared" si="779"/>
        <v>2.2421404392869508</v>
      </c>
      <c r="AC307" s="173">
        <f t="shared" si="780"/>
        <v>1.2052328128049246</v>
      </c>
      <c r="AD307" s="173"/>
      <c r="AE307" s="173">
        <f t="shared" si="781"/>
        <v>0.72994934821976531</v>
      </c>
      <c r="AF307" s="545">
        <f t="shared" si="782"/>
        <v>2493.3236866896336</v>
      </c>
      <c r="AG307" s="528">
        <f t="shared" si="783"/>
        <v>0.12774113593845893</v>
      </c>
      <c r="AI307" s="173">
        <f t="shared" si="784"/>
        <v>2.6690413938285746</v>
      </c>
      <c r="AJ307" s="173">
        <f t="shared" si="785"/>
        <v>2.6690413938285746</v>
      </c>
      <c r="AK307" s="173">
        <f t="shared" si="786"/>
        <v>2.436326958391537</v>
      </c>
      <c r="AM307" s="545">
        <f t="shared" si="787"/>
        <v>910</v>
      </c>
      <c r="AN307" s="460">
        <f t="shared" si="788"/>
        <v>350</v>
      </c>
      <c r="AP307">
        <f t="shared" si="789"/>
        <v>910</v>
      </c>
      <c r="AQ307">
        <f t="shared" si="790"/>
        <v>350</v>
      </c>
      <c r="AS307" s="5">
        <f t="shared" si="763"/>
        <v>2.8571428571428572</v>
      </c>
      <c r="AT307" s="5">
        <f t="shared" si="791"/>
        <v>0.53439458139836471</v>
      </c>
      <c r="AU307" s="5">
        <f t="shared" si="883"/>
        <v>2.3227482757444924</v>
      </c>
      <c r="AV307" s="5"/>
      <c r="AW307" s="173">
        <f t="shared" si="884"/>
        <v>0.18703810348942765</v>
      </c>
      <c r="AX307" s="173">
        <f t="shared" si="792"/>
        <v>14.9599421201378</v>
      </c>
      <c r="AY307" s="173">
        <f t="shared" si="793"/>
        <v>1.0849144766960497</v>
      </c>
      <c r="AZ307" s="173">
        <f t="shared" si="794"/>
        <v>13.789051986564086</v>
      </c>
      <c r="BA307" s="460">
        <f t="shared" si="724"/>
        <v>3.0393691817031994</v>
      </c>
      <c r="BB307" s="5">
        <f t="shared" si="725"/>
        <v>0.47022722040292725</v>
      </c>
      <c r="BD307" s="173">
        <f t="shared" si="841"/>
        <v>0.66643796106342712</v>
      </c>
      <c r="BE307" s="173">
        <f t="shared" si="842"/>
        <v>1.389407942750106</v>
      </c>
      <c r="BG307" s="528">
        <f t="shared" si="843"/>
        <v>8.8827911189275598E-3</v>
      </c>
      <c r="BH307" s="528">
        <f t="shared" si="795"/>
        <v>1.3020566374806102</v>
      </c>
      <c r="BI307" s="528">
        <f t="shared" si="796"/>
        <v>0.48247008412617354</v>
      </c>
      <c r="BJ307" s="528">
        <f t="shared" si="844"/>
        <v>1.0054525640495253</v>
      </c>
      <c r="BK307">
        <f t="shared" si="845"/>
        <v>2.6970377373512801E-2</v>
      </c>
      <c r="BL307" s="460">
        <f t="shared" si="846"/>
        <v>509.44046149968636</v>
      </c>
      <c r="BM307" s="528">
        <f t="shared" si="797"/>
        <v>2.3236946226554096</v>
      </c>
      <c r="BN307" s="460">
        <f t="shared" si="847"/>
        <v>2323.6946226554096</v>
      </c>
      <c r="BO307" s="528">
        <f t="shared" si="798"/>
        <v>0.63700000000000001</v>
      </c>
      <c r="BR307" s="460">
        <f t="shared" si="848"/>
        <v>637</v>
      </c>
      <c r="BS307" s="528">
        <f t="shared" si="849"/>
        <v>1.332418667839134E-2</v>
      </c>
      <c r="BT307" s="528">
        <f t="shared" si="850"/>
        <v>5.7913632941312458E-2</v>
      </c>
      <c r="BU307" s="528">
        <f t="shared" si="851"/>
        <v>1.3336086027870737</v>
      </c>
      <c r="BV307" s="528"/>
      <c r="BW307" s="528">
        <f t="shared" si="852"/>
        <v>1.2466618433448167E-2</v>
      </c>
      <c r="BX307" s="460">
        <f t="shared" si="853"/>
        <v>1417.3130408402258</v>
      </c>
      <c r="BY307" s="173">
        <f t="shared" si="854"/>
        <v>4.8801454949889749</v>
      </c>
      <c r="BZ307" s="5">
        <f t="shared" si="855"/>
        <v>14.56</v>
      </c>
      <c r="CA307" s="173">
        <f t="shared" si="856"/>
        <v>0.74896558792489931</v>
      </c>
      <c r="CB307" s="5">
        <f t="shared" si="857"/>
        <v>74.896558792489927</v>
      </c>
      <c r="CE307" s="562">
        <f t="shared" si="799"/>
        <v>-50</v>
      </c>
      <c r="CF307">
        <f t="shared" si="800"/>
        <v>-50</v>
      </c>
      <c r="CG307" s="173">
        <f t="shared" si="801"/>
        <v>0.69119461803460247</v>
      </c>
      <c r="CI307" s="170">
        <v>91</v>
      </c>
      <c r="CJ307" s="217">
        <f t="shared" si="858"/>
        <v>0.91</v>
      </c>
      <c r="CK307" s="217"/>
      <c r="CL307" s="217">
        <f t="shared" si="802"/>
        <v>14.56</v>
      </c>
      <c r="CM307" s="541">
        <f t="shared" si="803"/>
        <v>60</v>
      </c>
      <c r="CN307" s="443">
        <f t="shared" si="804"/>
        <v>16.399999999999999</v>
      </c>
      <c r="CO307" s="443">
        <f t="shared" si="805"/>
        <v>76.400000000000006</v>
      </c>
      <c r="CP307" s="443"/>
      <c r="CQ307" s="217">
        <f t="shared" si="806"/>
        <v>0.21465968586387432</v>
      </c>
      <c r="CR307" s="172">
        <f t="shared" si="807"/>
        <v>33.164921465968582</v>
      </c>
      <c r="CS307" s="172">
        <f t="shared" si="808"/>
        <v>14.56</v>
      </c>
      <c r="CT307" s="217">
        <f t="shared" si="809"/>
        <v>2.0728075916230364</v>
      </c>
      <c r="CU307" s="217">
        <f t="shared" si="810"/>
        <v>16</v>
      </c>
      <c r="CV307" s="217"/>
      <c r="CW307" s="172">
        <f t="shared" si="811"/>
        <v>105.06273337271811</v>
      </c>
      <c r="CX307" s="172">
        <f t="shared" si="812"/>
        <v>16</v>
      </c>
      <c r="CY307" s="217">
        <f t="shared" si="813"/>
        <v>2.2609430894308944</v>
      </c>
      <c r="CZ307" s="217">
        <f t="shared" si="814"/>
        <v>0.45218861788617887</v>
      </c>
      <c r="DA307" s="217">
        <f t="shared" si="815"/>
        <v>1.6543486020226059</v>
      </c>
      <c r="DB307" s="197">
        <f t="shared" si="816"/>
        <v>350</v>
      </c>
      <c r="DC307" s="443">
        <f t="shared" si="817"/>
        <v>350</v>
      </c>
      <c r="DE307" s="217">
        <f t="shared" si="818"/>
        <v>3.06656694091249</v>
      </c>
      <c r="DF307" s="173">
        <f t="shared" si="819"/>
        <v>2.2438294689603588</v>
      </c>
      <c r="DG307" s="173">
        <f t="shared" si="820"/>
        <v>1.2041493223478366</v>
      </c>
      <c r="DH307" s="173"/>
      <c r="DI307" s="173">
        <f t="shared" si="821"/>
        <v>0.73170731707317083</v>
      </c>
      <c r="DJ307" s="545">
        <f t="shared" si="822"/>
        <v>2487.333333333333</v>
      </c>
      <c r="DK307" s="528">
        <f t="shared" si="823"/>
        <v>0.12804878048780488</v>
      </c>
      <c r="DM307" s="173">
        <f t="shared" si="824"/>
        <v>2.6658332030842939</v>
      </c>
      <c r="DN307" s="173">
        <f t="shared" si="825"/>
        <v>2.6658332030842939</v>
      </c>
      <c r="DO307" s="173">
        <f t="shared" si="826"/>
        <v>2.4339505208031804</v>
      </c>
      <c r="DQ307" s="545">
        <f t="shared" si="827"/>
        <v>910</v>
      </c>
      <c r="DR307" s="460">
        <f t="shared" si="828"/>
        <v>350</v>
      </c>
      <c r="DT307">
        <f t="shared" si="829"/>
        <v>910</v>
      </c>
      <c r="DU307">
        <f t="shared" si="830"/>
        <v>350</v>
      </c>
      <c r="DW307" s="5">
        <f t="shared" si="859"/>
        <v>2.8571428571428572</v>
      </c>
      <c r="DX307" s="5">
        <f t="shared" si="831"/>
        <v>0.53316664061685881</v>
      </c>
      <c r="DY307" s="5">
        <f t="shared" si="832"/>
        <v>2.3239762165259985</v>
      </c>
      <c r="DZ307" s="5"/>
      <c r="EA307" s="173">
        <f t="shared" si="833"/>
        <v>0.18660832421590057</v>
      </c>
      <c r="EB307" s="173">
        <f t="shared" si="860"/>
        <v>14.923999999999999</v>
      </c>
      <c r="EC307" s="173">
        <f t="shared" si="861"/>
        <v>1.0841832682088137</v>
      </c>
      <c r="ED307" s="173">
        <f t="shared" si="862"/>
        <v>13.765200439457102</v>
      </c>
      <c r="EE307" s="460">
        <f t="shared" si="834"/>
        <v>3.0323852685083845</v>
      </c>
      <c r="EF307" s="5">
        <f t="shared" si="835"/>
        <v>0.46995963489747961</v>
      </c>
      <c r="EH307" s="173">
        <f t="shared" si="863"/>
        <v>0.66487170627815273</v>
      </c>
      <c r="EI307" s="173">
        <f t="shared" si="864"/>
        <v>1.3881046441387861</v>
      </c>
      <c r="EK307" s="528">
        <f t="shared" si="865"/>
        <v>8.8410877161844443E-3</v>
      </c>
      <c r="EL307" s="528">
        <f t="shared" si="866"/>
        <v>1.3544032171590066</v>
      </c>
      <c r="EM307" s="528">
        <f t="shared" si="867"/>
        <v>4.0250000000000001E-2</v>
      </c>
      <c r="EN307" s="528">
        <f t="shared" si="868"/>
        <v>1.0061459800000001</v>
      </c>
      <c r="EO307">
        <f t="shared" si="869"/>
        <v>2.7E-2</v>
      </c>
      <c r="EP307" s="460">
        <f t="shared" si="870"/>
        <v>67.25</v>
      </c>
      <c r="EQ307" s="460"/>
      <c r="ER307" s="460">
        <f t="shared" si="871"/>
        <v>2436.6402848751914</v>
      </c>
      <c r="ES307" s="528">
        <f t="shared" si="872"/>
        <v>0.63700000000000001</v>
      </c>
      <c r="EV307" s="460">
        <f t="shared" si="873"/>
        <v>637</v>
      </c>
      <c r="EW307" s="528">
        <f t="shared" si="874"/>
        <v>1.3261631574276666E-2</v>
      </c>
      <c r="EX307" s="528">
        <f t="shared" si="875"/>
        <v>5.7805035092389982E-2</v>
      </c>
      <c r="EY307" s="528">
        <f t="shared" si="876"/>
        <v>1.3296047172407013</v>
      </c>
      <c r="EZ307" s="528"/>
      <c r="FA307" s="528">
        <f t="shared" si="877"/>
        <v>1.2436666666666667E-2</v>
      </c>
      <c r="FB307" s="460">
        <f t="shared" si="878"/>
        <v>1413.1080505740345</v>
      </c>
      <c r="FC307" s="173">
        <f t="shared" si="879"/>
        <v>4.4867483354492261</v>
      </c>
      <c r="FD307" s="5">
        <f t="shared" si="880"/>
        <v>14.56</v>
      </c>
      <c r="FE307" s="173">
        <f t="shared" si="881"/>
        <v>0.7644349441474676</v>
      </c>
      <c r="FF307" s="5">
        <f t="shared" si="882"/>
        <v>76.443494414746766</v>
      </c>
      <c r="FI307" s="562">
        <f t="shared" si="836"/>
        <v>-50</v>
      </c>
      <c r="FJ307">
        <f t="shared" si="837"/>
        <v>-50</v>
      </c>
      <c r="FL307">
        <f t="shared" si="838"/>
        <v>0.68271338127768511</v>
      </c>
    </row>
    <row r="308" spans="5:168">
      <c r="E308" s="170">
        <v>92</v>
      </c>
      <c r="F308" s="217">
        <f t="shared" si="839"/>
        <v>0.92</v>
      </c>
      <c r="G308" s="217"/>
      <c r="H308" s="217">
        <f t="shared" si="764"/>
        <v>14.72</v>
      </c>
      <c r="I308" s="541">
        <f t="shared" si="765"/>
        <v>59.933811236747069</v>
      </c>
      <c r="J308" s="172">
        <f t="shared" si="766"/>
        <v>16.439713257951755</v>
      </c>
      <c r="K308" s="172">
        <f t="shared" si="767"/>
        <v>76.373524494698827</v>
      </c>
      <c r="L308" s="443"/>
      <c r="M308" s="217">
        <f t="shared" si="768"/>
        <v>0.21525915583506613</v>
      </c>
      <c r="N308" s="172">
        <f t="shared" si="769"/>
        <v>33.220851652960967</v>
      </c>
      <c r="O308" s="172">
        <f t="shared" si="762"/>
        <v>14.72</v>
      </c>
      <c r="P308" s="217">
        <f t="shared" si="770"/>
        <v>2.0763032283100604</v>
      </c>
      <c r="Q308" s="217">
        <f t="shared" si="771"/>
        <v>16</v>
      </c>
      <c r="R308" s="217"/>
      <c r="S308" s="172">
        <f t="shared" si="772"/>
        <v>103.16129741080172</v>
      </c>
      <c r="T308" s="172">
        <f t="shared" si="773"/>
        <v>16</v>
      </c>
      <c r="U308" s="217">
        <f t="shared" si="774"/>
        <v>2.2819402943645861</v>
      </c>
      <c r="V308" s="217">
        <f t="shared" si="775"/>
        <v>0.45689207756548589</v>
      </c>
      <c r="W308" s="217">
        <f t="shared" si="776"/>
        <v>1.6656789022235508</v>
      </c>
      <c r="X308" s="197">
        <f t="shared" si="777"/>
        <v>350</v>
      </c>
      <c r="Y308" s="443">
        <f t="shared" si="840"/>
        <v>350</v>
      </c>
      <c r="AA308" s="217">
        <f t="shared" si="778"/>
        <v>3.0716661419342755</v>
      </c>
      <c r="AB308" s="173">
        <f t="shared" si="779"/>
        <v>2.2421311810522258</v>
      </c>
      <c r="AC308" s="173">
        <f t="shared" si="780"/>
        <v>1.2052387260573152</v>
      </c>
      <c r="AD308" s="173"/>
      <c r="AE308" s="173">
        <f t="shared" si="781"/>
        <v>0.7299397387114217</v>
      </c>
      <c r="AF308" s="545">
        <f t="shared" si="782"/>
        <v>2520.7560328859363</v>
      </c>
      <c r="AG308" s="528">
        <f t="shared" si="783"/>
        <v>0.12773945427449879</v>
      </c>
      <c r="AI308" s="173">
        <f t="shared" si="784"/>
        <v>2.6836840525590593</v>
      </c>
      <c r="AJ308" s="173">
        <f t="shared" si="785"/>
        <v>2.6836840525590593</v>
      </c>
      <c r="AK308" s="173">
        <f t="shared" si="786"/>
        <v>2.4471733722659699</v>
      </c>
      <c r="AM308" s="545">
        <f t="shared" si="787"/>
        <v>920</v>
      </c>
      <c r="AN308" s="460">
        <f t="shared" si="788"/>
        <v>350</v>
      </c>
      <c r="AP308">
        <f t="shared" si="789"/>
        <v>920</v>
      </c>
      <c r="AQ308">
        <f t="shared" si="790"/>
        <v>350</v>
      </c>
      <c r="AS308" s="5">
        <f t="shared" si="763"/>
        <v>2.8571428571428572</v>
      </c>
      <c r="AT308" s="5">
        <f t="shared" si="791"/>
        <v>0.5373295634995997</v>
      </c>
      <c r="AU308" s="5">
        <f t="shared" si="883"/>
        <v>2.3198132936432576</v>
      </c>
      <c r="AV308" s="5"/>
      <c r="AW308" s="173">
        <f t="shared" si="884"/>
        <v>0.1880653472248599</v>
      </c>
      <c r="AX308" s="173">
        <f t="shared" si="792"/>
        <v>15.124536197315614</v>
      </c>
      <c r="AY308" s="173">
        <f t="shared" si="793"/>
        <v>1.0894880396863602</v>
      </c>
      <c r="AZ308" s="173">
        <f t="shared" si="794"/>
        <v>13.882241609251293</v>
      </c>
      <c r="BA308" s="460">
        <f t="shared" si="724"/>
        <v>3.0896449901226988</v>
      </c>
      <c r="BB308" s="5">
        <f t="shared" si="725"/>
        <v>0.47479671015109026</v>
      </c>
      <c r="BD308" s="173">
        <f t="shared" si="841"/>
        <v>0.67193172739487517</v>
      </c>
      <c r="BE308" s="173">
        <f t="shared" si="842"/>
        <v>1.3961474796883309</v>
      </c>
      <c r="BG308" s="528">
        <f t="shared" si="843"/>
        <v>9.0298449255972173E-3</v>
      </c>
      <c r="BH308" s="528">
        <f t="shared" si="795"/>
        <v>1.3091973921130207</v>
      </c>
      <c r="BI308" s="528">
        <f t="shared" si="796"/>
        <v>0.48246718045581388</v>
      </c>
      <c r="BJ308" s="528">
        <f t="shared" si="844"/>
        <v>1.0054487651400896</v>
      </c>
      <c r="BK308">
        <f t="shared" si="845"/>
        <v>2.6970215056536181E-2</v>
      </c>
      <c r="BL308" s="460">
        <f t="shared" si="846"/>
        <v>509.43739551235001</v>
      </c>
      <c r="BM308" s="528">
        <f t="shared" si="797"/>
        <v>2.3311154478817522</v>
      </c>
      <c r="BN308" s="460">
        <f t="shared" si="847"/>
        <v>2331.1154478817521</v>
      </c>
      <c r="BO308" s="528">
        <f t="shared" si="798"/>
        <v>0.64400000000000002</v>
      </c>
      <c r="BR308" s="460">
        <f t="shared" si="848"/>
        <v>644</v>
      </c>
      <c r="BS308" s="528">
        <f t="shared" si="849"/>
        <v>1.3544767388395825E-2</v>
      </c>
      <c r="BT308" s="528">
        <f t="shared" si="850"/>
        <v>5.8476833551202347E-2</v>
      </c>
      <c r="BU308" s="528">
        <f t="shared" si="851"/>
        <v>1.3519747444242491</v>
      </c>
      <c r="BV308" s="528"/>
      <c r="BW308" s="528">
        <f t="shared" si="852"/>
        <v>1.2603780164429678E-2</v>
      </c>
      <c r="BX308" s="460">
        <f t="shared" si="853"/>
        <v>1436.600125528277</v>
      </c>
      <c r="BY308" s="173">
        <f t="shared" si="854"/>
        <v>4.9137135232193341</v>
      </c>
      <c r="BZ308" s="5">
        <f t="shared" si="855"/>
        <v>14.72</v>
      </c>
      <c r="CA308" s="173">
        <f t="shared" si="856"/>
        <v>0.74973081289954391</v>
      </c>
      <c r="CB308" s="5">
        <f t="shared" si="857"/>
        <v>74.973081289954393</v>
      </c>
      <c r="CE308" s="562">
        <f t="shared" si="799"/>
        <v>-50</v>
      </c>
      <c r="CF308">
        <f t="shared" si="800"/>
        <v>-50</v>
      </c>
      <c r="CG308" s="173">
        <f t="shared" si="801"/>
        <v>0.69498201415576222</v>
      </c>
      <c r="CI308" s="170">
        <v>92</v>
      </c>
      <c r="CJ308" s="217">
        <f t="shared" si="858"/>
        <v>0.92</v>
      </c>
      <c r="CK308" s="217"/>
      <c r="CL308" s="217">
        <f t="shared" si="802"/>
        <v>14.72</v>
      </c>
      <c r="CM308" s="541">
        <f t="shared" si="803"/>
        <v>60</v>
      </c>
      <c r="CN308" s="443">
        <f t="shared" si="804"/>
        <v>16.399999999999999</v>
      </c>
      <c r="CO308" s="443">
        <f t="shared" si="805"/>
        <v>76.400000000000006</v>
      </c>
      <c r="CP308" s="443"/>
      <c r="CQ308" s="217">
        <f t="shared" si="806"/>
        <v>0.21465968586387432</v>
      </c>
      <c r="CR308" s="172">
        <f t="shared" si="807"/>
        <v>33.164921465968582</v>
      </c>
      <c r="CS308" s="172">
        <f t="shared" si="808"/>
        <v>14.72</v>
      </c>
      <c r="CT308" s="217">
        <f t="shared" si="809"/>
        <v>2.0728075916230364</v>
      </c>
      <c r="CU308" s="217">
        <f t="shared" si="810"/>
        <v>16</v>
      </c>
      <c r="CV308" s="217"/>
      <c r="CW308" s="172">
        <f t="shared" si="811"/>
        <v>103.27497097097333</v>
      </c>
      <c r="CX308" s="172">
        <f t="shared" si="812"/>
        <v>16</v>
      </c>
      <c r="CY308" s="217">
        <f t="shared" si="813"/>
        <v>2.2857886178861793</v>
      </c>
      <c r="CZ308" s="217">
        <f t="shared" si="814"/>
        <v>0.45715772357723583</v>
      </c>
      <c r="DA308" s="217">
        <f t="shared" si="815"/>
        <v>1.6725282569898874</v>
      </c>
      <c r="DB308" s="197">
        <f t="shared" si="816"/>
        <v>350</v>
      </c>
      <c r="DC308" s="443">
        <f t="shared" si="817"/>
        <v>350</v>
      </c>
      <c r="DE308" s="217">
        <f t="shared" si="818"/>
        <v>3.06656694091249</v>
      </c>
      <c r="DF308" s="173">
        <f t="shared" si="819"/>
        <v>2.2438294689603588</v>
      </c>
      <c r="DG308" s="173">
        <f t="shared" si="820"/>
        <v>1.2041493223478366</v>
      </c>
      <c r="DH308" s="173"/>
      <c r="DI308" s="173">
        <f t="shared" si="821"/>
        <v>0.73170731707317083</v>
      </c>
      <c r="DJ308" s="545">
        <f t="shared" si="822"/>
        <v>2514.6666666666665</v>
      </c>
      <c r="DK308" s="528">
        <f t="shared" si="823"/>
        <v>0.12804878048780488</v>
      </c>
      <c r="DM308" s="173">
        <f t="shared" si="824"/>
        <v>2.6804406176526099</v>
      </c>
      <c r="DN308" s="173">
        <f t="shared" si="825"/>
        <v>2.6804406176526099</v>
      </c>
      <c r="DO308" s="173">
        <f t="shared" si="826"/>
        <v>2.4447708278908222</v>
      </c>
      <c r="DQ308" s="545">
        <f t="shared" si="827"/>
        <v>920</v>
      </c>
      <c r="DR308" s="460">
        <f t="shared" si="828"/>
        <v>350</v>
      </c>
      <c r="DT308">
        <f t="shared" si="829"/>
        <v>920</v>
      </c>
      <c r="DU308">
        <f t="shared" si="830"/>
        <v>350</v>
      </c>
      <c r="DW308" s="5">
        <f t="shared" si="859"/>
        <v>2.8571428571428572</v>
      </c>
      <c r="DX308" s="5">
        <f t="shared" si="831"/>
        <v>0.53608812353052193</v>
      </c>
      <c r="DY308" s="5">
        <f t="shared" si="832"/>
        <v>2.3210547336123355</v>
      </c>
      <c r="DZ308" s="5"/>
      <c r="EA308" s="173">
        <f t="shared" si="833"/>
        <v>0.18763084323568266</v>
      </c>
      <c r="EB308" s="173">
        <f t="shared" si="860"/>
        <v>15.087999999999999</v>
      </c>
      <c r="EC308" s="173">
        <f t="shared" si="861"/>
        <v>1.0887536421596382</v>
      </c>
      <c r="ED308" s="173">
        <f t="shared" si="862"/>
        <v>13.858047785788923</v>
      </c>
      <c r="EE308" s="460">
        <f t="shared" si="834"/>
        <v>3.0825067103005011</v>
      </c>
      <c r="EF308" s="5">
        <f t="shared" si="835"/>
        <v>0.47452674553852187</v>
      </c>
      <c r="EH308" s="173">
        <f t="shared" si="863"/>
        <v>0.67034392531945519</v>
      </c>
      <c r="EI308" s="173">
        <f t="shared" si="864"/>
        <v>1.394833200317493</v>
      </c>
      <c r="EK308" s="528">
        <f t="shared" si="865"/>
        <v>8.9872195642539069E-3</v>
      </c>
      <c r="EL308" s="528">
        <f t="shared" si="866"/>
        <v>1.3618246602045851</v>
      </c>
      <c r="EM308" s="528">
        <f t="shared" si="867"/>
        <v>4.0250000000000001E-2</v>
      </c>
      <c r="EN308" s="528">
        <f t="shared" si="868"/>
        <v>1.0061459800000001</v>
      </c>
      <c r="EO308">
        <f t="shared" si="869"/>
        <v>2.7E-2</v>
      </c>
      <c r="EP308" s="460">
        <f t="shared" si="870"/>
        <v>67.25</v>
      </c>
      <c r="EQ308" s="460"/>
      <c r="ER308" s="460">
        <f t="shared" si="871"/>
        <v>2444.2078597688392</v>
      </c>
      <c r="ES308" s="528">
        <f t="shared" si="872"/>
        <v>0.64400000000000002</v>
      </c>
      <c r="EV308" s="460">
        <f t="shared" si="873"/>
        <v>644</v>
      </c>
      <c r="EW308" s="528">
        <f t="shared" si="874"/>
        <v>1.3480829346380859E-2</v>
      </c>
      <c r="EX308" s="528">
        <f t="shared" si="875"/>
        <v>5.8366789701238188E-2</v>
      </c>
      <c r="EY308" s="528">
        <f t="shared" si="876"/>
        <v>1.3478935373478018</v>
      </c>
      <c r="EZ308" s="528"/>
      <c r="FA308" s="528">
        <f t="shared" si="877"/>
        <v>1.2573333333333332E-2</v>
      </c>
      <c r="FB308" s="460">
        <f t="shared" si="878"/>
        <v>1432.3144897287541</v>
      </c>
      <c r="FC308" s="173">
        <f t="shared" si="879"/>
        <v>4.5205223494975932</v>
      </c>
      <c r="FD308" s="5">
        <f t="shared" si="880"/>
        <v>14.72</v>
      </c>
      <c r="FE308" s="173">
        <f t="shared" si="881"/>
        <v>0.76505199456730788</v>
      </c>
      <c r="FF308" s="5">
        <f t="shared" si="882"/>
        <v>76.505199456730793</v>
      </c>
      <c r="FI308" s="562">
        <f t="shared" si="836"/>
        <v>-50</v>
      </c>
      <c r="FJ308">
        <f t="shared" si="837"/>
        <v>-50</v>
      </c>
      <c r="FL308">
        <f t="shared" si="838"/>
        <v>0.68645430452079037</v>
      </c>
    </row>
    <row r="309" spans="5:168">
      <c r="E309" s="170">
        <v>93</v>
      </c>
      <c r="F309" s="217">
        <f t="shared" si="839"/>
        <v>0.93</v>
      </c>
      <c r="G309" s="217"/>
      <c r="H309" s="217">
        <f t="shared" si="764"/>
        <v>14.88</v>
      </c>
      <c r="I309" s="541">
        <f t="shared" si="765"/>
        <v>59.933452487435133</v>
      </c>
      <c r="J309" s="172">
        <f t="shared" si="766"/>
        <v>16.439928507538919</v>
      </c>
      <c r="K309" s="172">
        <f t="shared" si="767"/>
        <v>76.373380994974056</v>
      </c>
      <c r="L309" s="443"/>
      <c r="M309" s="217">
        <f t="shared" si="768"/>
        <v>0.21526240612995332</v>
      </c>
      <c r="N309" s="172">
        <f t="shared" si="769"/>
        <v>33.221154414560345</v>
      </c>
      <c r="O309" s="172">
        <f t="shared" si="762"/>
        <v>14.88</v>
      </c>
      <c r="P309" s="217">
        <f t="shared" si="770"/>
        <v>2.0763221509100216</v>
      </c>
      <c r="Q309" s="217">
        <f t="shared" si="771"/>
        <v>16</v>
      </c>
      <c r="R309" s="217"/>
      <c r="S309" s="172">
        <f t="shared" si="772"/>
        <v>101.41344273901076</v>
      </c>
      <c r="T309" s="172">
        <f t="shared" si="773"/>
        <v>16</v>
      </c>
      <c r="U309" s="217">
        <f t="shared" si="774"/>
        <v>2.306722970662733</v>
      </c>
      <c r="V309" s="217">
        <f t="shared" si="775"/>
        <v>0.46185685120936371</v>
      </c>
      <c r="W309" s="217">
        <f t="shared" si="776"/>
        <v>1.6837467167365823</v>
      </c>
      <c r="X309" s="197">
        <f t="shared" si="777"/>
        <v>350</v>
      </c>
      <c r="Y309" s="443">
        <f t="shared" si="840"/>
        <v>350</v>
      </c>
      <c r="AA309" s="217">
        <f t="shared" si="778"/>
        <v>3.0716937450592536</v>
      </c>
      <c r="AB309" s="173">
        <f t="shared" si="779"/>
        <v>2.2421219729640471</v>
      </c>
      <c r="AC309" s="173">
        <f t="shared" si="780"/>
        <v>1.2052446070023759</v>
      </c>
      <c r="AD309" s="173"/>
      <c r="AE309" s="173">
        <f t="shared" si="781"/>
        <v>0.72993018153923939</v>
      </c>
      <c r="AF309" s="545">
        <f t="shared" si="782"/>
        <v>2548.1889186685326</v>
      </c>
      <c r="AG309" s="528">
        <f t="shared" si="783"/>
        <v>0.12773778176936687</v>
      </c>
      <c r="AI309" s="173">
        <f t="shared" si="784"/>
        <v>2.6982475363880867</v>
      </c>
      <c r="AJ309" s="173">
        <f t="shared" si="785"/>
        <v>2.6982475363880867</v>
      </c>
      <c r="AK309" s="173">
        <f t="shared" si="786"/>
        <v>2.4579611380652491</v>
      </c>
      <c r="AM309" s="545">
        <f t="shared" si="787"/>
        <v>930</v>
      </c>
      <c r="AN309" s="460">
        <f t="shared" si="788"/>
        <v>350</v>
      </c>
      <c r="AP309">
        <f t="shared" si="789"/>
        <v>930</v>
      </c>
      <c r="AQ309">
        <f t="shared" si="790"/>
        <v>350</v>
      </c>
      <c r="AS309" s="5">
        <f t="shared" si="763"/>
        <v>2.8571428571428572</v>
      </c>
      <c r="AT309" s="5">
        <f t="shared" si="791"/>
        <v>0.54024871074205494</v>
      </c>
      <c r="AU309" s="5">
        <f t="shared" si="883"/>
        <v>2.3168941464008022</v>
      </c>
      <c r="AV309" s="5"/>
      <c r="AW309" s="173">
        <f t="shared" si="884"/>
        <v>0.18908704875971921</v>
      </c>
      <c r="AX309" s="173">
        <f t="shared" si="792"/>
        <v>15.289133512011196</v>
      </c>
      <c r="AY309" s="173">
        <f t="shared" si="793"/>
        <v>1.0940219364546402</v>
      </c>
      <c r="AZ309" s="173">
        <f t="shared" si="794"/>
        <v>13.975161742696104</v>
      </c>
      <c r="BA309" s="460">
        <f t="shared" ref="BA309:BA316" si="885">F309*AT309/Vout_ripple*1000</f>
        <v>3.1401956311881949</v>
      </c>
      <c r="BB309" s="5">
        <f t="shared" ref="BB309:BB316" si="886">H309/Efficiency/I309*AU309/Vinripple1</f>
        <v>0.47935645658646137</v>
      </c>
      <c r="BD309" s="173">
        <f t="shared" si="841"/>
        <v>0.67741070211944199</v>
      </c>
      <c r="BE309" s="173">
        <f t="shared" si="842"/>
        <v>1.402840450608041</v>
      </c>
      <c r="BG309" s="528">
        <f t="shared" si="843"/>
        <v>9.1777051869191082E-3</v>
      </c>
      <c r="BH309" s="528">
        <f t="shared" si="795"/>
        <v>1.3162995089490903</v>
      </c>
      <c r="BI309" s="528">
        <f t="shared" si="796"/>
        <v>0.48246429252385287</v>
      </c>
      <c r="BJ309" s="528">
        <f t="shared" si="844"/>
        <v>1.005444986828522</v>
      </c>
      <c r="BK309">
        <f t="shared" si="845"/>
        <v>2.6970053619345808E-2</v>
      </c>
      <c r="BL309" s="460">
        <f t="shared" si="846"/>
        <v>509.4343461431987</v>
      </c>
      <c r="BM309" s="528">
        <f t="shared" si="797"/>
        <v>2.3384995667267092</v>
      </c>
      <c r="BN309" s="460">
        <f t="shared" si="847"/>
        <v>2338.4995667267094</v>
      </c>
      <c r="BO309" s="528">
        <f t="shared" si="798"/>
        <v>0.65100000000000002</v>
      </c>
      <c r="BR309" s="460">
        <f t="shared" si="848"/>
        <v>651</v>
      </c>
      <c r="BS309" s="528">
        <f t="shared" si="849"/>
        <v>1.376655778037866E-2</v>
      </c>
      <c r="BT309" s="528">
        <f t="shared" si="850"/>
        <v>5.9038839895865142E-2</v>
      </c>
      <c r="BU309" s="528">
        <f t="shared" si="851"/>
        <v>1.370391285473568</v>
      </c>
      <c r="BV309" s="528"/>
      <c r="BW309" s="528">
        <f t="shared" si="852"/>
        <v>1.2740944593342664E-2</v>
      </c>
      <c r="BX309" s="460">
        <f t="shared" si="853"/>
        <v>1455.9376277431543</v>
      </c>
      <c r="BY309" s="173">
        <f t="shared" si="854"/>
        <v>4.9472941748508852</v>
      </c>
      <c r="BZ309" s="5">
        <f t="shared" si="855"/>
        <v>14.88</v>
      </c>
      <c r="CA309" s="173">
        <f t="shared" si="856"/>
        <v>0.75048061872577276</v>
      </c>
      <c r="CB309" s="5">
        <f t="shared" si="857"/>
        <v>75.048061872577279</v>
      </c>
      <c r="CE309" s="562">
        <f t="shared" si="799"/>
        <v>-50</v>
      </c>
      <c r="CF309">
        <f t="shared" si="800"/>
        <v>-50</v>
      </c>
      <c r="CG309" s="173">
        <f t="shared" si="801"/>
        <v>0.69874888193112705</v>
      </c>
      <c r="CI309" s="170">
        <v>93</v>
      </c>
      <c r="CJ309" s="217">
        <f t="shared" si="858"/>
        <v>0.93</v>
      </c>
      <c r="CK309" s="217"/>
      <c r="CL309" s="217">
        <f t="shared" si="802"/>
        <v>14.88</v>
      </c>
      <c r="CM309" s="541">
        <f t="shared" si="803"/>
        <v>60</v>
      </c>
      <c r="CN309" s="443">
        <f t="shared" si="804"/>
        <v>16.399999999999999</v>
      </c>
      <c r="CO309" s="443">
        <f t="shared" si="805"/>
        <v>76.400000000000006</v>
      </c>
      <c r="CP309" s="443"/>
      <c r="CQ309" s="217">
        <f t="shared" si="806"/>
        <v>0.21465968586387432</v>
      </c>
      <c r="CR309" s="172">
        <f t="shared" si="807"/>
        <v>33.164921465968582</v>
      </c>
      <c r="CS309" s="172">
        <f t="shared" si="808"/>
        <v>14.88</v>
      </c>
      <c r="CT309" s="217">
        <f t="shared" si="809"/>
        <v>2.0728075916230364</v>
      </c>
      <c r="CU309" s="217">
        <f t="shared" si="810"/>
        <v>16</v>
      </c>
      <c r="CV309" s="217"/>
      <c r="CW309" s="172">
        <f t="shared" si="811"/>
        <v>101.52578801551964</v>
      </c>
      <c r="CX309" s="172">
        <f t="shared" si="812"/>
        <v>16</v>
      </c>
      <c r="CY309" s="217">
        <f t="shared" si="813"/>
        <v>2.3106341463414637</v>
      </c>
      <c r="CZ309" s="217">
        <f t="shared" si="814"/>
        <v>0.46212682926829274</v>
      </c>
      <c r="DA309" s="217">
        <f t="shared" si="815"/>
        <v>1.6907079119571686</v>
      </c>
      <c r="DB309" s="197">
        <f t="shared" si="816"/>
        <v>350</v>
      </c>
      <c r="DC309" s="443">
        <f t="shared" si="817"/>
        <v>350</v>
      </c>
      <c r="DE309" s="217">
        <f t="shared" si="818"/>
        <v>3.06656694091249</v>
      </c>
      <c r="DF309" s="173">
        <f t="shared" si="819"/>
        <v>2.2438294689603588</v>
      </c>
      <c r="DG309" s="173">
        <f t="shared" si="820"/>
        <v>1.2041493223478366</v>
      </c>
      <c r="DH309" s="173"/>
      <c r="DI309" s="173">
        <f t="shared" si="821"/>
        <v>0.73170731707317083</v>
      </c>
      <c r="DJ309" s="545">
        <f t="shared" si="822"/>
        <v>2542</v>
      </c>
      <c r="DK309" s="528">
        <f t="shared" si="823"/>
        <v>0.12804878048780488</v>
      </c>
      <c r="DM309" s="173">
        <f t="shared" si="824"/>
        <v>2.6949688574930031</v>
      </c>
      <c r="DN309" s="173">
        <f t="shared" si="825"/>
        <v>2.6949688574930031</v>
      </c>
      <c r="DO309" s="173">
        <f t="shared" si="826"/>
        <v>2.4555324870318538</v>
      </c>
      <c r="DQ309" s="545">
        <f t="shared" si="827"/>
        <v>930</v>
      </c>
      <c r="DR309" s="460">
        <f t="shared" si="828"/>
        <v>350</v>
      </c>
      <c r="DT309">
        <f t="shared" si="829"/>
        <v>930</v>
      </c>
      <c r="DU309">
        <f t="shared" si="830"/>
        <v>350</v>
      </c>
      <c r="DW309" s="5">
        <f t="shared" si="859"/>
        <v>2.8571428571428572</v>
      </c>
      <c r="DX309" s="5">
        <f t="shared" si="831"/>
        <v>0.5389937714986005</v>
      </c>
      <c r="DY309" s="5">
        <f t="shared" si="832"/>
        <v>2.3181490856442566</v>
      </c>
      <c r="DZ309" s="5"/>
      <c r="EA309" s="173">
        <f t="shared" si="833"/>
        <v>0.18864782002451017</v>
      </c>
      <c r="EB309" s="173">
        <f t="shared" si="860"/>
        <v>15.252000000000001</v>
      </c>
      <c r="EC309" s="173">
        <f t="shared" si="861"/>
        <v>1.0932844287465016</v>
      </c>
      <c r="ED309" s="173">
        <f t="shared" si="862"/>
        <v>13.950624008691943</v>
      </c>
      <c r="EE309" s="460">
        <f t="shared" si="834"/>
        <v>3.1329012968356156</v>
      </c>
      <c r="EF309" s="5">
        <f t="shared" si="835"/>
        <v>0.47908414436647973</v>
      </c>
      <c r="EH309" s="173">
        <f t="shared" si="863"/>
        <v>0.67580129405751665</v>
      </c>
      <c r="EI309" s="173">
        <f t="shared" si="864"/>
        <v>1.401515248544434</v>
      </c>
      <c r="EK309" s="528">
        <f t="shared" si="865"/>
        <v>9.134147780996282E-3</v>
      </c>
      <c r="EL309" s="528">
        <f t="shared" si="866"/>
        <v>1.3692058777378953</v>
      </c>
      <c r="EM309" s="528">
        <f t="shared" si="867"/>
        <v>4.0250000000000001E-2</v>
      </c>
      <c r="EN309" s="528">
        <f t="shared" si="868"/>
        <v>1.0061459800000001</v>
      </c>
      <c r="EO309">
        <f t="shared" si="869"/>
        <v>2.7E-2</v>
      </c>
      <c r="EP309" s="460">
        <f t="shared" si="870"/>
        <v>67.25</v>
      </c>
      <c r="EQ309" s="460"/>
      <c r="ER309" s="460">
        <f t="shared" si="871"/>
        <v>2451.7360055188915</v>
      </c>
      <c r="ES309" s="528">
        <f t="shared" si="872"/>
        <v>0.65100000000000002</v>
      </c>
      <c r="EV309" s="460">
        <f t="shared" si="873"/>
        <v>651</v>
      </c>
      <c r="EW309" s="528">
        <f t="shared" si="874"/>
        <v>1.3701221671494424E-2</v>
      </c>
      <c r="EX309" s="528">
        <f t="shared" si="875"/>
        <v>5.8927349757076995E-2</v>
      </c>
      <c r="EY309" s="528">
        <f t="shared" si="876"/>
        <v>1.3662321237797808</v>
      </c>
      <c r="EZ309" s="528"/>
      <c r="FA309" s="528">
        <f t="shared" si="877"/>
        <v>1.2709999999999999E-2</v>
      </c>
      <c r="FB309" s="460">
        <f t="shared" si="878"/>
        <v>1451.5706952083522</v>
      </c>
      <c r="FC309" s="173">
        <f t="shared" si="879"/>
        <v>4.5543067007272438</v>
      </c>
      <c r="FD309" s="5">
        <f t="shared" si="880"/>
        <v>14.88</v>
      </c>
      <c r="FE309" s="173">
        <f t="shared" si="881"/>
        <v>0.76565633285200652</v>
      </c>
      <c r="FF309" s="5">
        <f t="shared" si="882"/>
        <v>76.565633285200647</v>
      </c>
      <c r="FI309" s="562">
        <f t="shared" si="836"/>
        <v>-50</v>
      </c>
      <c r="FJ309">
        <f t="shared" si="837"/>
        <v>-50</v>
      </c>
      <c r="FL309">
        <f t="shared" si="838"/>
        <v>0.69017495130918383</v>
      </c>
    </row>
    <row r="310" spans="5:168">
      <c r="E310" s="170">
        <v>94</v>
      </c>
      <c r="F310" s="217">
        <f t="shared" si="839"/>
        <v>0.94</v>
      </c>
      <c r="G310" s="217"/>
      <c r="H310" s="217">
        <f t="shared" si="764"/>
        <v>15.04</v>
      </c>
      <c r="I310" s="541">
        <f t="shared" si="765"/>
        <v>59.933095661753583</v>
      </c>
      <c r="J310" s="172">
        <f t="shared" si="766"/>
        <v>16.440142602947848</v>
      </c>
      <c r="K310" s="172">
        <f t="shared" si="767"/>
        <v>76.373238264701428</v>
      </c>
      <c r="L310" s="443"/>
      <c r="M310" s="217">
        <f t="shared" si="768"/>
        <v>0.21526563900849929</v>
      </c>
      <c r="N310" s="172">
        <f t="shared" si="769"/>
        <v>33.221455548616127</v>
      </c>
      <c r="O310" s="172">
        <f t="shared" si="762"/>
        <v>15.04</v>
      </c>
      <c r="P310" s="217">
        <f t="shared" si="770"/>
        <v>2.076340971788508</v>
      </c>
      <c r="Q310" s="217">
        <f t="shared" si="771"/>
        <v>16</v>
      </c>
      <c r="R310" s="217"/>
      <c r="S310" s="172">
        <f t="shared" si="772"/>
        <v>99.702921254302595</v>
      </c>
      <c r="T310" s="172">
        <f t="shared" si="773"/>
        <v>16</v>
      </c>
      <c r="U310" s="217">
        <f t="shared" si="774"/>
        <v>2.3315053094724054</v>
      </c>
      <c r="V310" s="217">
        <f t="shared" si="775"/>
        <v>0.46682160173353299</v>
      </c>
      <c r="W310" s="217">
        <f t="shared" si="776"/>
        <v>1.7018139312643294</v>
      </c>
      <c r="X310" s="197">
        <f t="shared" si="777"/>
        <v>350</v>
      </c>
      <c r="Y310" s="443">
        <f t="shared" si="840"/>
        <v>350</v>
      </c>
      <c r="AA310" s="217">
        <f t="shared" si="778"/>
        <v>3.0717211998002871</v>
      </c>
      <c r="AB310" s="173">
        <f t="shared" si="779"/>
        <v>2.2421128142157376</v>
      </c>
      <c r="AC310" s="173">
        <f t="shared" si="780"/>
        <v>1.2052504561598136</v>
      </c>
      <c r="AD310" s="173"/>
      <c r="AE310" s="173">
        <f t="shared" si="781"/>
        <v>0.72992067586130938</v>
      </c>
      <c r="AF310" s="545">
        <f t="shared" si="782"/>
        <v>2575.6223411284959</v>
      </c>
      <c r="AG310" s="528">
        <f t="shared" si="783"/>
        <v>0.12773611827572914</v>
      </c>
      <c r="AI310" s="173">
        <f t="shared" si="784"/>
        <v>2.7127331189508572</v>
      </c>
      <c r="AJ310" s="173">
        <f t="shared" si="785"/>
        <v>2.7127331189508572</v>
      </c>
      <c r="AK310" s="173">
        <f t="shared" si="786"/>
        <v>2.4686911992228575</v>
      </c>
      <c r="AM310" s="545">
        <f t="shared" si="787"/>
        <v>940</v>
      </c>
      <c r="AN310" s="460">
        <f t="shared" si="788"/>
        <v>350</v>
      </c>
      <c r="AP310">
        <f t="shared" si="789"/>
        <v>940</v>
      </c>
      <c r="AQ310">
        <f t="shared" si="790"/>
        <v>350</v>
      </c>
      <c r="AS310" s="5">
        <f t="shared" si="763"/>
        <v>2.8571428571428572</v>
      </c>
      <c r="AT310" s="5">
        <f t="shared" si="791"/>
        <v>0.54315227785211695</v>
      </c>
      <c r="AU310" s="5">
        <f t="shared" si="883"/>
        <v>2.3139905792907403</v>
      </c>
      <c r="AV310" s="5"/>
      <c r="AW310" s="173">
        <f t="shared" si="884"/>
        <v>0.19010329724824093</v>
      </c>
      <c r="AX310" s="173">
        <f t="shared" si="792"/>
        <v>15.453734046770977</v>
      </c>
      <c r="AY310" s="173">
        <f t="shared" si="793"/>
        <v>1.0985168042418973</v>
      </c>
      <c r="AZ310" s="173">
        <f t="shared" si="794"/>
        <v>14.067817612891071</v>
      </c>
      <c r="BA310" s="460">
        <f t="shared" si="885"/>
        <v>3.1910196323811868</v>
      </c>
      <c r="BB310" s="5">
        <f t="shared" si="886"/>
        <v>0.48390651175643556</v>
      </c>
      <c r="BD310" s="173">
        <f t="shared" si="841"/>
        <v>0.68287508410414877</v>
      </c>
      <c r="BE310" s="173">
        <f t="shared" si="842"/>
        <v>1.4094875940310247</v>
      </c>
      <c r="BG310" s="528">
        <f t="shared" si="843"/>
        <v>9.3263676098049655E-3</v>
      </c>
      <c r="BH310" s="528">
        <f t="shared" si="795"/>
        <v>1.3233636095294279</v>
      </c>
      <c r="BI310" s="528">
        <f t="shared" si="796"/>
        <v>0.48246142007711634</v>
      </c>
      <c r="BJ310" s="528">
        <f t="shared" si="844"/>
        <v>1.0054412287834777</v>
      </c>
      <c r="BK310">
        <f t="shared" si="845"/>
        <v>2.6969893047789111E-2</v>
      </c>
      <c r="BL310" s="460">
        <f t="shared" si="846"/>
        <v>509.43131312490544</v>
      </c>
      <c r="BM310" s="528">
        <f t="shared" si="797"/>
        <v>2.3458475942935375</v>
      </c>
      <c r="BN310" s="460">
        <f t="shared" si="847"/>
        <v>2345.8475942935374</v>
      </c>
      <c r="BO310" s="528">
        <f t="shared" si="798"/>
        <v>0.65799999999999992</v>
      </c>
      <c r="BR310" s="460">
        <f t="shared" si="848"/>
        <v>657.99999999999989</v>
      </c>
      <c r="BS310" s="528">
        <f t="shared" si="849"/>
        <v>1.3989551414707447E-2</v>
      </c>
      <c r="BT310" s="528">
        <f t="shared" si="850"/>
        <v>5.9599658331821008E-2</v>
      </c>
      <c r="BU310" s="528">
        <f t="shared" si="851"/>
        <v>1.3888578223316044</v>
      </c>
      <c r="BV310" s="528"/>
      <c r="BW310" s="528">
        <f t="shared" si="852"/>
        <v>1.2878111705642481E-2</v>
      </c>
      <c r="BX310" s="460">
        <f t="shared" si="853"/>
        <v>1475.3251437837753</v>
      </c>
      <c r="BY310" s="173">
        <f t="shared" si="854"/>
        <v>4.9808876628313916</v>
      </c>
      <c r="BZ310" s="5">
        <f t="shared" si="855"/>
        <v>15.04</v>
      </c>
      <c r="CA310" s="173">
        <f t="shared" si="856"/>
        <v>0.75121544325537737</v>
      </c>
      <c r="CB310" s="5">
        <f t="shared" si="857"/>
        <v>75.121544325537741</v>
      </c>
      <c r="CE310" s="562">
        <f t="shared" si="799"/>
        <v>-50</v>
      </c>
      <c r="CF310">
        <f t="shared" si="800"/>
        <v>-50</v>
      </c>
      <c r="CG310" s="173">
        <f t="shared" si="801"/>
        <v>0.70249555158733923</v>
      </c>
      <c r="CI310" s="170">
        <v>94</v>
      </c>
      <c r="CJ310" s="217">
        <f t="shared" si="858"/>
        <v>0.94</v>
      </c>
      <c r="CK310" s="217"/>
      <c r="CL310" s="217">
        <f t="shared" si="802"/>
        <v>15.04</v>
      </c>
      <c r="CM310" s="541">
        <f t="shared" si="803"/>
        <v>60</v>
      </c>
      <c r="CN310" s="443">
        <f t="shared" si="804"/>
        <v>16.399999999999999</v>
      </c>
      <c r="CO310" s="443">
        <f t="shared" si="805"/>
        <v>76.400000000000006</v>
      </c>
      <c r="CP310" s="443"/>
      <c r="CQ310" s="217">
        <f t="shared" si="806"/>
        <v>0.21465968586387432</v>
      </c>
      <c r="CR310" s="172">
        <f t="shared" si="807"/>
        <v>33.164921465968582</v>
      </c>
      <c r="CS310" s="172">
        <f t="shared" si="808"/>
        <v>15.04</v>
      </c>
      <c r="CT310" s="217">
        <f t="shared" si="809"/>
        <v>2.0728075916230364</v>
      </c>
      <c r="CU310" s="217">
        <f t="shared" si="810"/>
        <v>16</v>
      </c>
      <c r="CV310" s="217"/>
      <c r="CW310" s="172">
        <f t="shared" si="811"/>
        <v>99.813955687759048</v>
      </c>
      <c r="CX310" s="172">
        <f t="shared" si="812"/>
        <v>16</v>
      </c>
      <c r="CY310" s="217">
        <f t="shared" si="813"/>
        <v>2.3354796747967481</v>
      </c>
      <c r="CZ310" s="217">
        <f t="shared" si="814"/>
        <v>0.46709593495934965</v>
      </c>
      <c r="DA310" s="217">
        <f t="shared" si="815"/>
        <v>1.7088875669244501</v>
      </c>
      <c r="DB310" s="197">
        <f t="shared" si="816"/>
        <v>350</v>
      </c>
      <c r="DC310" s="443">
        <f t="shared" si="817"/>
        <v>350</v>
      </c>
      <c r="DE310" s="217">
        <f t="shared" si="818"/>
        <v>3.06656694091249</v>
      </c>
      <c r="DF310" s="173">
        <f t="shared" si="819"/>
        <v>2.2438294689603588</v>
      </c>
      <c r="DG310" s="173">
        <f t="shared" si="820"/>
        <v>1.2041493223478366</v>
      </c>
      <c r="DH310" s="173"/>
      <c r="DI310" s="173">
        <f t="shared" si="821"/>
        <v>0.73170731707317083</v>
      </c>
      <c r="DJ310" s="545">
        <f t="shared" si="822"/>
        <v>2569.333333333333</v>
      </c>
      <c r="DK310" s="528">
        <f t="shared" si="823"/>
        <v>0.12804878048780488</v>
      </c>
      <c r="DM310" s="173">
        <f t="shared" si="824"/>
        <v>2.7094191962397365</v>
      </c>
      <c r="DN310" s="173">
        <f t="shared" si="825"/>
        <v>2.7094191962397365</v>
      </c>
      <c r="DO310" s="173">
        <f t="shared" si="826"/>
        <v>2.4662364416590643</v>
      </c>
      <c r="DQ310" s="545">
        <f t="shared" si="827"/>
        <v>940</v>
      </c>
      <c r="DR310" s="460">
        <f t="shared" si="828"/>
        <v>350</v>
      </c>
      <c r="DT310">
        <f t="shared" si="829"/>
        <v>940</v>
      </c>
      <c r="DU310">
        <f t="shared" si="830"/>
        <v>350</v>
      </c>
      <c r="DW310" s="5">
        <f t="shared" si="859"/>
        <v>2.8571428571428572</v>
      </c>
      <c r="DX310" s="5">
        <f t="shared" si="831"/>
        <v>0.54188383924794736</v>
      </c>
      <c r="DY310" s="5">
        <f t="shared" si="832"/>
        <v>2.3152590178949097</v>
      </c>
      <c r="DZ310" s="5"/>
      <c r="EA310" s="173">
        <f t="shared" si="833"/>
        <v>0.18965934373678156</v>
      </c>
      <c r="EB310" s="173">
        <f t="shared" si="860"/>
        <v>15.415999999999997</v>
      </c>
      <c r="EC310" s="173">
        <f t="shared" si="861"/>
        <v>1.097776264786535</v>
      </c>
      <c r="ED310" s="173">
        <f t="shared" si="862"/>
        <v>14.042934334162956</v>
      </c>
      <c r="EE310" s="460">
        <f t="shared" si="834"/>
        <v>3.1835675555816909</v>
      </c>
      <c r="EF310" s="5">
        <f t="shared" si="835"/>
        <v>0.48363188373804766</v>
      </c>
      <c r="EH310" s="173">
        <f t="shared" si="863"/>
        <v>0.68124401183286054</v>
      </c>
      <c r="EI310" s="173">
        <f t="shared" si="864"/>
        <v>1.4081515271184406</v>
      </c>
      <c r="EK310" s="528">
        <f t="shared" si="865"/>
        <v>9.2818680731626118E-3</v>
      </c>
      <c r="EL310" s="528">
        <f t="shared" si="866"/>
        <v>1.3765475168415608</v>
      </c>
      <c r="EM310" s="528">
        <f t="shared" si="867"/>
        <v>4.0250000000000001E-2</v>
      </c>
      <c r="EN310" s="528">
        <f t="shared" si="868"/>
        <v>1.0061459800000001</v>
      </c>
      <c r="EO310">
        <f t="shared" si="869"/>
        <v>2.7E-2</v>
      </c>
      <c r="EP310" s="460">
        <f t="shared" si="870"/>
        <v>67.25</v>
      </c>
      <c r="EQ310" s="460"/>
      <c r="ER310" s="460">
        <f t="shared" si="871"/>
        <v>2459.2253649147233</v>
      </c>
      <c r="ES310" s="528">
        <f t="shared" si="872"/>
        <v>0.65799999999999992</v>
      </c>
      <c r="EV310" s="460">
        <f t="shared" si="873"/>
        <v>657.99999999999989</v>
      </c>
      <c r="EW310" s="528">
        <f t="shared" si="874"/>
        <v>1.3922802109743919E-2</v>
      </c>
      <c r="EX310" s="528">
        <f t="shared" si="875"/>
        <v>5.9486721699779893E-2</v>
      </c>
      <c r="EY310" s="528">
        <f t="shared" si="876"/>
        <v>1.3846200746397928</v>
      </c>
      <c r="EZ310" s="528"/>
      <c r="FA310" s="528">
        <f t="shared" si="877"/>
        <v>1.2846666666666664E-2</v>
      </c>
      <c r="FB310" s="460">
        <f t="shared" si="878"/>
        <v>1470.8762651159832</v>
      </c>
      <c r="FC310" s="173">
        <f t="shared" si="879"/>
        <v>4.5881016300307067</v>
      </c>
      <c r="FD310" s="5">
        <f t="shared" si="880"/>
        <v>15.04</v>
      </c>
      <c r="FE310" s="173">
        <f t="shared" si="881"/>
        <v>0.76624832515585828</v>
      </c>
      <c r="FF310" s="5">
        <f t="shared" si="882"/>
        <v>76.624832515585823</v>
      </c>
      <c r="FI310" s="562">
        <f t="shared" si="836"/>
        <v>-50</v>
      </c>
      <c r="FJ310">
        <f t="shared" si="837"/>
        <v>-50</v>
      </c>
      <c r="FL310">
        <f t="shared" si="838"/>
        <v>0.69387564781749356</v>
      </c>
    </row>
    <row r="311" spans="5:168">
      <c r="E311" s="170">
        <v>95</v>
      </c>
      <c r="F311" s="217">
        <f t="shared" si="839"/>
        <v>0.95</v>
      </c>
      <c r="G311" s="217"/>
      <c r="H311" s="217">
        <f t="shared" si="764"/>
        <v>15.2</v>
      </c>
      <c r="I311" s="541">
        <f t="shared" si="765"/>
        <v>59.932740729086547</v>
      </c>
      <c r="J311" s="172">
        <f t="shared" si="766"/>
        <v>16.440355562548071</v>
      </c>
      <c r="K311" s="172">
        <f t="shared" si="767"/>
        <v>76.373096291634624</v>
      </c>
      <c r="L311" s="443"/>
      <c r="M311" s="217">
        <f t="shared" si="768"/>
        <v>0.21526885474789703</v>
      </c>
      <c r="N311" s="172">
        <f t="shared" si="769"/>
        <v>33.221755081031745</v>
      </c>
      <c r="O311" s="172">
        <f t="shared" si="762"/>
        <v>15.2</v>
      </c>
      <c r="P311" s="217">
        <f t="shared" si="770"/>
        <v>2.076359692564484</v>
      </c>
      <c r="Q311" s="217">
        <f t="shared" si="771"/>
        <v>16</v>
      </c>
      <c r="R311" s="217"/>
      <c r="S311" s="172">
        <f t="shared" si="772"/>
        <v>98.028556376665435</v>
      </c>
      <c r="T311" s="172">
        <f t="shared" si="773"/>
        <v>16</v>
      </c>
      <c r="U311" s="217">
        <f t="shared" si="774"/>
        <v>2.3562873126078356</v>
      </c>
      <c r="V311" s="217">
        <f t="shared" si="775"/>
        <v>0.47178632926378744</v>
      </c>
      <c r="W311" s="217">
        <f t="shared" si="776"/>
        <v>1.7198805490379341</v>
      </c>
      <c r="X311" s="197">
        <f t="shared" si="777"/>
        <v>350</v>
      </c>
      <c r="Y311" s="443">
        <f t="shared" si="840"/>
        <v>350</v>
      </c>
      <c r="AA311" s="217">
        <f t="shared" si="778"/>
        <v>3.0717485085190046</v>
      </c>
      <c r="AB311" s="173">
        <f t="shared" si="779"/>
        <v>2.2421037040220204</v>
      </c>
      <c r="AC311" s="173">
        <f t="shared" si="780"/>
        <v>1.205256274035551</v>
      </c>
      <c r="AD311" s="173"/>
      <c r="AE311" s="173">
        <f t="shared" si="781"/>
        <v>0.72991122085805638</v>
      </c>
      <c r="AF311" s="545">
        <f t="shared" si="782"/>
        <v>2603.0562974034442</v>
      </c>
      <c r="AG311" s="528">
        <f t="shared" si="783"/>
        <v>0.12773446365015986</v>
      </c>
      <c r="AI311" s="173">
        <f t="shared" si="784"/>
        <v>2.7271420400974686</v>
      </c>
      <c r="AJ311" s="173">
        <f t="shared" si="785"/>
        <v>2.7271420400974686</v>
      </c>
      <c r="AK311" s="173">
        <f t="shared" si="786"/>
        <v>2.4793644741462728</v>
      </c>
      <c r="AM311" s="545">
        <f t="shared" si="787"/>
        <v>950</v>
      </c>
      <c r="AN311" s="460">
        <f t="shared" si="788"/>
        <v>350</v>
      </c>
      <c r="AP311">
        <f t="shared" si="789"/>
        <v>950</v>
      </c>
      <c r="AQ311">
        <f t="shared" si="790"/>
        <v>350</v>
      </c>
      <c r="AS311" s="5">
        <f t="shared" si="763"/>
        <v>2.8571428571428572</v>
      </c>
      <c r="AT311" s="5">
        <f t="shared" si="791"/>
        <v>0.54604051279916177</v>
      </c>
      <c r="AU311" s="5">
        <f t="shared" si="883"/>
        <v>2.3111023443436953</v>
      </c>
      <c r="AV311" s="5"/>
      <c r="AW311" s="173">
        <f t="shared" si="884"/>
        <v>0.1911141794797066</v>
      </c>
      <c r="AX311" s="173">
        <f t="shared" si="792"/>
        <v>15.618337784420666</v>
      </c>
      <c r="AY311" s="173">
        <f t="shared" si="793"/>
        <v>1.1029732633898137</v>
      </c>
      <c r="AZ311" s="173">
        <f t="shared" si="794"/>
        <v>14.160214306936306</v>
      </c>
      <c r="BA311" s="460">
        <f t="shared" si="885"/>
        <v>3.2421155447450229</v>
      </c>
      <c r="BB311" s="5">
        <f t="shared" si="886"/>
        <v>0.48844692687558389</v>
      </c>
      <c r="BD311" s="173">
        <f t="shared" si="841"/>
        <v>0.68832506745947297</v>
      </c>
      <c r="BE311" s="173">
        <f t="shared" si="842"/>
        <v>1.4160896289180427</v>
      </c>
      <c r="BG311" s="528">
        <f t="shared" si="843"/>
        <v>9.4758279698617612E-3</v>
      </c>
      <c r="BH311" s="528">
        <f t="shared" si="795"/>
        <v>1.3303902989073384</v>
      </c>
      <c r="BI311" s="528">
        <f t="shared" si="796"/>
        <v>0.48245856286914668</v>
      </c>
      <c r="BJ311" s="528">
        <f t="shared" si="844"/>
        <v>1.0054374906824017</v>
      </c>
      <c r="BK311">
        <f t="shared" si="845"/>
        <v>2.6969733328088944E-2</v>
      </c>
      <c r="BL311" s="460">
        <f t="shared" si="846"/>
        <v>509.42829619723562</v>
      </c>
      <c r="BM311" s="528">
        <f t="shared" si="797"/>
        <v>2.3531601293111084</v>
      </c>
      <c r="BN311" s="460">
        <f t="shared" si="847"/>
        <v>2353.1601293111084</v>
      </c>
      <c r="BO311" s="528">
        <f t="shared" si="798"/>
        <v>0.66499999999999992</v>
      </c>
      <c r="BR311" s="460">
        <f t="shared" si="848"/>
        <v>664.99999999999989</v>
      </c>
      <c r="BS311" s="528">
        <f t="shared" si="849"/>
        <v>1.4213741954792641E-2</v>
      </c>
      <c r="BT311" s="528">
        <f t="shared" si="850"/>
        <v>6.0159295113877187E-2</v>
      </c>
      <c r="BU311" s="528">
        <f t="shared" si="851"/>
        <v>1.4073739589102523</v>
      </c>
      <c r="BV311" s="528"/>
      <c r="BW311" s="528">
        <f t="shared" si="852"/>
        <v>1.3015281487017222E-2</v>
      </c>
      <c r="BX311" s="460">
        <f t="shared" si="853"/>
        <v>1494.7622774659394</v>
      </c>
      <c r="BY311" s="173">
        <f t="shared" si="854"/>
        <v>5.0144941912227763</v>
      </c>
      <c r="BZ311" s="5">
        <f t="shared" si="855"/>
        <v>15.2</v>
      </c>
      <c r="CA311" s="173">
        <f t="shared" si="856"/>
        <v>0.75193570792386721</v>
      </c>
      <c r="CB311" s="5">
        <f t="shared" si="857"/>
        <v>75.193570792386723</v>
      </c>
      <c r="CE311" s="562">
        <f t="shared" si="799"/>
        <v>-50</v>
      </c>
      <c r="CF311">
        <f t="shared" si="800"/>
        <v>-50</v>
      </c>
      <c r="CG311" s="173">
        <f t="shared" si="801"/>
        <v>0.70622234459127675</v>
      </c>
      <c r="CI311" s="170">
        <v>95</v>
      </c>
      <c r="CJ311" s="217">
        <f t="shared" si="858"/>
        <v>0.95</v>
      </c>
      <c r="CK311" s="217"/>
      <c r="CL311" s="217">
        <f t="shared" si="802"/>
        <v>15.2</v>
      </c>
      <c r="CM311" s="541">
        <f t="shared" si="803"/>
        <v>60</v>
      </c>
      <c r="CN311" s="443">
        <f t="shared" si="804"/>
        <v>16.399999999999999</v>
      </c>
      <c r="CO311" s="443">
        <f t="shared" si="805"/>
        <v>76.400000000000006</v>
      </c>
      <c r="CP311" s="443"/>
      <c r="CQ311" s="217">
        <f t="shared" si="806"/>
        <v>0.21465968586387432</v>
      </c>
      <c r="CR311" s="172">
        <f t="shared" si="807"/>
        <v>33.164921465968582</v>
      </c>
      <c r="CS311" s="172">
        <f t="shared" si="808"/>
        <v>15.2</v>
      </c>
      <c r="CT311" s="217">
        <f t="shared" si="809"/>
        <v>2.0728075916230364</v>
      </c>
      <c r="CU311" s="217">
        <f t="shared" si="810"/>
        <v>16</v>
      </c>
      <c r="CV311" s="217"/>
      <c r="CW311" s="172">
        <f t="shared" si="811"/>
        <v>98.138296967848362</v>
      </c>
      <c r="CX311" s="172">
        <f t="shared" si="812"/>
        <v>16</v>
      </c>
      <c r="CY311" s="217">
        <f t="shared" si="813"/>
        <v>2.3603252032520325</v>
      </c>
      <c r="CZ311" s="217">
        <f t="shared" si="814"/>
        <v>0.4720650406504065</v>
      </c>
      <c r="DA311" s="217">
        <f t="shared" si="815"/>
        <v>1.7270672218917313</v>
      </c>
      <c r="DB311" s="197">
        <f t="shared" si="816"/>
        <v>350</v>
      </c>
      <c r="DC311" s="443">
        <f t="shared" si="817"/>
        <v>350</v>
      </c>
      <c r="DE311" s="217">
        <f t="shared" si="818"/>
        <v>3.06656694091249</v>
      </c>
      <c r="DF311" s="173">
        <f t="shared" si="819"/>
        <v>2.2438294689603588</v>
      </c>
      <c r="DG311" s="173">
        <f t="shared" si="820"/>
        <v>1.2041493223478366</v>
      </c>
      <c r="DH311" s="173"/>
      <c r="DI311" s="173">
        <f t="shared" si="821"/>
        <v>0.73170731707317083</v>
      </c>
      <c r="DJ311" s="545">
        <f t="shared" si="822"/>
        <v>2596.6666666666661</v>
      </c>
      <c r="DK311" s="528">
        <f t="shared" si="823"/>
        <v>0.12804878048780488</v>
      </c>
      <c r="DM311" s="173">
        <f t="shared" si="824"/>
        <v>2.7237928737419845</v>
      </c>
      <c r="DN311" s="173">
        <f t="shared" si="825"/>
        <v>2.7237928737419845</v>
      </c>
      <c r="DO311" s="173">
        <f t="shared" si="826"/>
        <v>2.4768836101792475</v>
      </c>
      <c r="DQ311" s="545">
        <f t="shared" si="827"/>
        <v>950</v>
      </c>
      <c r="DR311" s="460">
        <f t="shared" si="828"/>
        <v>350</v>
      </c>
      <c r="DT311">
        <f t="shared" si="829"/>
        <v>950</v>
      </c>
      <c r="DU311">
        <f t="shared" si="830"/>
        <v>350</v>
      </c>
      <c r="DW311" s="5">
        <f t="shared" si="859"/>
        <v>2.8571428571428572</v>
      </c>
      <c r="DX311" s="5">
        <f t="shared" si="831"/>
        <v>0.54475857474839684</v>
      </c>
      <c r="DY311" s="5">
        <f t="shared" si="832"/>
        <v>2.3123842823944605</v>
      </c>
      <c r="DZ311" s="5"/>
      <c r="EA311" s="173">
        <f t="shared" si="833"/>
        <v>0.19066550116193889</v>
      </c>
      <c r="EB311" s="173">
        <f t="shared" si="860"/>
        <v>15.58</v>
      </c>
      <c r="EC311" s="173">
        <f t="shared" si="861"/>
        <v>1.1022297702043256</v>
      </c>
      <c r="ED311" s="173">
        <f t="shared" si="862"/>
        <v>14.134983849249382</v>
      </c>
      <c r="EE311" s="460">
        <f t="shared" si="834"/>
        <v>3.2345040375686063</v>
      </c>
      <c r="EF311" s="5">
        <f t="shared" si="835"/>
        <v>0.48817001517216374</v>
      </c>
      <c r="EH311" s="173">
        <f t="shared" si="863"/>
        <v>0.68667227322063995</v>
      </c>
      <c r="EI311" s="173">
        <f t="shared" si="864"/>
        <v>1.4147427547811904</v>
      </c>
      <c r="EK311" s="528">
        <f t="shared" si="865"/>
        <v>9.4303762162000239E-3</v>
      </c>
      <c r="EL311" s="528">
        <f t="shared" si="866"/>
        <v>1.383850207433353</v>
      </c>
      <c r="EM311" s="528">
        <f t="shared" si="867"/>
        <v>4.0250000000000001E-2</v>
      </c>
      <c r="EN311" s="528">
        <f t="shared" si="868"/>
        <v>1.0061459800000001</v>
      </c>
      <c r="EO311">
        <f t="shared" si="869"/>
        <v>2.7E-2</v>
      </c>
      <c r="EP311" s="460">
        <f t="shared" si="870"/>
        <v>67.25</v>
      </c>
      <c r="EQ311" s="460"/>
      <c r="ER311" s="460">
        <f t="shared" si="871"/>
        <v>2466.6765636495534</v>
      </c>
      <c r="ES311" s="528">
        <f t="shared" si="872"/>
        <v>0.66499999999999992</v>
      </c>
      <c r="EV311" s="460">
        <f t="shared" si="873"/>
        <v>664.99999999999989</v>
      </c>
      <c r="EW311" s="528">
        <f t="shared" si="874"/>
        <v>1.4145564324300036E-2</v>
      </c>
      <c r="EX311" s="528">
        <f t="shared" si="875"/>
        <v>6.0044911866176137E-2</v>
      </c>
      <c r="EY311" s="528">
        <f t="shared" si="876"/>
        <v>1.4030569955235219</v>
      </c>
      <c r="EZ311" s="528"/>
      <c r="FA311" s="528">
        <f t="shared" si="877"/>
        <v>1.2983333333333333E-2</v>
      </c>
      <c r="FB311" s="460">
        <f t="shared" si="878"/>
        <v>1490.2308050473314</v>
      </c>
      <c r="FC311" s="173">
        <f t="shared" si="879"/>
        <v>4.6219073686968857</v>
      </c>
      <c r="FD311" s="5">
        <f t="shared" si="880"/>
        <v>15.2</v>
      </c>
      <c r="FE311" s="173">
        <f t="shared" si="881"/>
        <v>0.76682832369624099</v>
      </c>
      <c r="FF311" s="5">
        <f t="shared" si="882"/>
        <v>76.682832369624094</v>
      </c>
      <c r="FI311" s="562">
        <f t="shared" si="836"/>
        <v>-50</v>
      </c>
      <c r="FJ311">
        <f t="shared" si="837"/>
        <v>-50</v>
      </c>
      <c r="FL311">
        <f t="shared" si="838"/>
        <v>0.6975567115680692</v>
      </c>
    </row>
    <row r="312" spans="5:168">
      <c r="E312" s="170">
        <v>96</v>
      </c>
      <c r="F312" s="217">
        <f t="shared" si="839"/>
        <v>0.96</v>
      </c>
      <c r="G312" s="217"/>
      <c r="H312" s="217">
        <f>F312*Vout</f>
        <v>15.36</v>
      </c>
      <c r="I312" s="541">
        <f t="shared" si="765"/>
        <v>59.932387659621718</v>
      </c>
      <c r="J312" s="172">
        <f t="shared" si="766"/>
        <v>16.440567404226968</v>
      </c>
      <c r="K312" s="172">
        <f t="shared" si="767"/>
        <v>76.372955063848678</v>
      </c>
      <c r="L312" s="443"/>
      <c r="M312" s="217">
        <f t="shared" si="768"/>
        <v>0.2152720536180639</v>
      </c>
      <c r="N312" s="172">
        <f>M312*I312*(Isw_max+VIN_max/Lmag*ILIM_delay)*0.5*Efficiency</f>
        <v>33.222053037030747</v>
      </c>
      <c r="O312" s="172">
        <f t="shared" si="762"/>
        <v>15.36</v>
      </c>
      <c r="P312" s="217">
        <f>N312/Vout</f>
        <v>2.0763783148144217</v>
      </c>
      <c r="Q312" s="217">
        <f t="shared" si="771"/>
        <v>16</v>
      </c>
      <c r="R312" s="217"/>
      <c r="S312" s="172">
        <f t="shared" si="772"/>
        <v>96.389220612979258</v>
      </c>
      <c r="T312" s="172">
        <f>MIN(Vout, S312)</f>
        <v>16</v>
      </c>
      <c r="U312" s="217">
        <f t="shared" si="774"/>
        <v>2.3810689818545301</v>
      </c>
      <c r="V312" s="217">
        <f>L*U312/I312*1000000</f>
        <v>0.47675103392392876</v>
      </c>
      <c r="W312" s="217">
        <f t="shared" si="776"/>
        <v>1.7379465732373758</v>
      </c>
      <c r="X312" s="197">
        <f t="shared" si="777"/>
        <v>350</v>
      </c>
      <c r="Y312" s="443">
        <f t="shared" si="840"/>
        <v>350</v>
      </c>
      <c r="AA312" s="217">
        <f t="shared" si="778"/>
        <v>3.0717756735150497</v>
      </c>
      <c r="AB312" s="173">
        <f>L*AA312/J312*1000000</f>
        <v>2.2420946416182286</v>
      </c>
      <c r="AC312" s="173">
        <f>0.5*AB312*AA312*Nps*X312/1000</f>
        <v>1.2052620611222307</v>
      </c>
      <c r="AD312" s="173"/>
      <c r="AE312" s="173">
        <f t="shared" si="781"/>
        <v>0.72990181573141621</v>
      </c>
      <c r="AF312" s="545">
        <f>MAX(12000,F312/(0.5*AE312/1000000*Isw_min*Nps))/1000</f>
        <v>2630.4907846763149</v>
      </c>
      <c r="AG312" s="528">
        <f t="shared" si="783"/>
        <v>0.12773281775299783</v>
      </c>
      <c r="AI312" s="173">
        <f t="shared" si="784"/>
        <v>2.7414755071344414</v>
      </c>
      <c r="AJ312" s="173">
        <f>MAX(IF(F312&gt;AC312,U312,AI312),Isw_min)</f>
        <v>2.7414755071344414</v>
      </c>
      <c r="AK312" s="173">
        <f>IF(F312&gt;AG312, (AJ312-Isw_min)/1.08*0.8+1.2, AF312*0.2/350+1)</f>
        <v>2.4899818571366232</v>
      </c>
      <c r="AM312" s="545">
        <f t="shared" si="787"/>
        <v>960</v>
      </c>
      <c r="AN312" s="460">
        <f t="shared" si="788"/>
        <v>350</v>
      </c>
      <c r="AP312">
        <f t="shared" si="789"/>
        <v>960</v>
      </c>
      <c r="AQ312">
        <f t="shared" si="790"/>
        <v>350</v>
      </c>
      <c r="AS312" s="5">
        <f t="shared" si="763"/>
        <v>2.8571428571428572</v>
      </c>
      <c r="AT312" s="5">
        <f t="shared" si="791"/>
        <v>0.54891365704386053</v>
      </c>
      <c r="AU312" s="5">
        <f t="shared" si="883"/>
        <v>2.3082292000989968</v>
      </c>
      <c r="AV312" s="5"/>
      <c r="AW312" s="173">
        <f t="shared" si="884"/>
        <v>0.19211977996535118</v>
      </c>
      <c r="AX312" s="173">
        <f t="shared" si="792"/>
        <v>15.78294470805789</v>
      </c>
      <c r="AY312" s="173">
        <f t="shared" si="793"/>
        <v>1.1073919179616867</v>
      </c>
      <c r="AZ312" s="173">
        <f t="shared" si="794"/>
        <v>14.25235677817539</v>
      </c>
      <c r="BA312" s="460">
        <f t="shared" si="885"/>
        <v>3.2934819422631629</v>
      </c>
      <c r="BB312" s="5">
        <f t="shared" si="886"/>
        <v>0.49297775234763003</v>
      </c>
      <c r="BD312" s="173">
        <f t="shared" si="841"/>
        <v>0.69376084170191543</v>
      </c>
      <c r="BE312" s="173">
        <f t="shared" si="842"/>
        <v>1.4226472553870819</v>
      </c>
      <c r="BG312" s="528">
        <f t="shared" si="843"/>
        <v>9.6260821095790032E-3</v>
      </c>
      <c r="BH312" s="528">
        <f t="shared" si="795"/>
        <v>1.3373801662546934</v>
      </c>
      <c r="BI312" s="528">
        <f t="shared" si="796"/>
        <v>0.48245572065995485</v>
      </c>
      <c r="BJ312" s="528">
        <f t="shared" si="844"/>
        <v>1.0054337722112041</v>
      </c>
      <c r="BK312">
        <f t="shared" si="845"/>
        <v>2.6969574446829771E-2</v>
      </c>
      <c r="BL312" s="460">
        <f t="shared" si="846"/>
        <v>509.42529510678457</v>
      </c>
      <c r="BM312" s="528">
        <f t="shared" si="797"/>
        <v>2.3604377547367181</v>
      </c>
      <c r="BN312" s="460">
        <f t="shared" si="847"/>
        <v>2360.437754736718</v>
      </c>
      <c r="BO312" s="528">
        <f t="shared" si="798"/>
        <v>0.67199999999999993</v>
      </c>
      <c r="BR312" s="460">
        <f t="shared" si="848"/>
        <v>671.99999999999989</v>
      </c>
      <c r="BS312" s="528">
        <f t="shared" si="849"/>
        <v>1.4439123164368503E-2</v>
      </c>
      <c r="BT312" s="528">
        <f t="shared" si="850"/>
        <v>6.0717756397811913E-2</v>
      </c>
      <c r="BU312" s="528">
        <f t="shared" si="851"/>
        <v>1.4259393064189936</v>
      </c>
      <c r="BV312" s="528"/>
      <c r="BW312" s="528">
        <f t="shared" si="852"/>
        <v>1.3152453923381576E-2</v>
      </c>
      <c r="BX312" s="460">
        <f t="shared" si="853"/>
        <v>1514.2486399045556</v>
      </c>
      <c r="BY312" s="173">
        <f t="shared" si="854"/>
        <v>5.0481139555868166</v>
      </c>
      <c r="BZ312" s="5">
        <f t="shared" si="855"/>
        <v>15.36</v>
      </c>
      <c r="CA312" s="173">
        <f t="shared" si="856"/>
        <v>0.75264181851528356</v>
      </c>
      <c r="CB312" s="5">
        <f t="shared" si="857"/>
        <v>75.264181851528349</v>
      </c>
      <c r="CE312" s="562">
        <f t="shared" si="799"/>
        <v>-50</v>
      </c>
      <c r="CF312">
        <f t="shared" si="800"/>
        <v>-50</v>
      </c>
      <c r="CG312" s="173">
        <f t="shared" si="801"/>
        <v>0.70992957397195389</v>
      </c>
      <c r="CI312" s="170">
        <v>96</v>
      </c>
      <c r="CJ312" s="217">
        <f t="shared" si="858"/>
        <v>0.96</v>
      </c>
      <c r="CK312" s="217"/>
      <c r="CL312" s="217">
        <f t="shared" si="802"/>
        <v>15.36</v>
      </c>
      <c r="CM312" s="541">
        <f t="shared" si="803"/>
        <v>60</v>
      </c>
      <c r="CN312" s="443">
        <f t="shared" si="804"/>
        <v>16.399999999999999</v>
      </c>
      <c r="CO312" s="443">
        <f t="shared" si="805"/>
        <v>76.400000000000006</v>
      </c>
      <c r="CP312" s="443"/>
      <c r="CQ312" s="217">
        <f t="shared" si="806"/>
        <v>0.21465968586387432</v>
      </c>
      <c r="CR312" s="172">
        <f t="shared" si="807"/>
        <v>33.164921465968582</v>
      </c>
      <c r="CS312" s="172">
        <f t="shared" si="808"/>
        <v>15.36</v>
      </c>
      <c r="CT312" s="217">
        <f t="shared" si="809"/>
        <v>2.0728075916230364</v>
      </c>
      <c r="CU312" s="217">
        <f t="shared" si="810"/>
        <v>16</v>
      </c>
      <c r="CV312" s="217"/>
      <c r="CW312" s="172">
        <f t="shared" si="811"/>
        <v>96.497683938608958</v>
      </c>
      <c r="CX312" s="172">
        <f t="shared" si="812"/>
        <v>16</v>
      </c>
      <c r="CY312" s="217">
        <f t="shared" si="813"/>
        <v>2.3851707317073174</v>
      </c>
      <c r="CZ312" s="217">
        <f t="shared" si="814"/>
        <v>0.47703414634146346</v>
      </c>
      <c r="DA312" s="217">
        <f t="shared" si="815"/>
        <v>1.7452468768590128</v>
      </c>
      <c r="DB312" s="197">
        <f t="shared" si="816"/>
        <v>350</v>
      </c>
      <c r="DC312" s="443">
        <f t="shared" si="817"/>
        <v>350</v>
      </c>
      <c r="DE312" s="217">
        <f t="shared" si="818"/>
        <v>3.06656694091249</v>
      </c>
      <c r="DF312" s="173">
        <f t="shared" si="819"/>
        <v>2.2438294689603588</v>
      </c>
      <c r="DG312" s="173">
        <f t="shared" si="820"/>
        <v>1.2041493223478366</v>
      </c>
      <c r="DH312" s="173"/>
      <c r="DI312" s="173">
        <f t="shared" si="821"/>
        <v>0.73170731707317083</v>
      </c>
      <c r="DJ312" s="545">
        <f t="shared" si="822"/>
        <v>2623.9999999999995</v>
      </c>
      <c r="DK312" s="528">
        <f t="shared" si="823"/>
        <v>0.12804878048780488</v>
      </c>
      <c r="DM312" s="173">
        <f t="shared" si="824"/>
        <v>2.7380910973053574</v>
      </c>
      <c r="DN312" s="173">
        <f t="shared" si="825"/>
        <v>2.7380910973053574</v>
      </c>
      <c r="DO312" s="173">
        <f t="shared" si="826"/>
        <v>2.4874748868928576</v>
      </c>
      <c r="DQ312" s="545">
        <f t="shared" si="827"/>
        <v>960</v>
      </c>
      <c r="DR312" s="460">
        <f t="shared" si="828"/>
        <v>350</v>
      </c>
      <c r="DT312">
        <f t="shared" si="829"/>
        <v>960</v>
      </c>
      <c r="DU312">
        <f t="shared" si="830"/>
        <v>350</v>
      </c>
      <c r="DW312" s="5">
        <f t="shared" si="859"/>
        <v>2.8571428571428572</v>
      </c>
      <c r="DX312" s="5">
        <f t="shared" si="831"/>
        <v>0.54761821946107159</v>
      </c>
      <c r="DY312" s="5">
        <f t="shared" si="832"/>
        <v>2.3095246376817857</v>
      </c>
      <c r="DZ312" s="5"/>
      <c r="EA312" s="173">
        <f t="shared" si="833"/>
        <v>0.19166637681137505</v>
      </c>
      <c r="EB312" s="173">
        <f t="shared" si="860"/>
        <v>15.744000000000002</v>
      </c>
      <c r="EC312" s="173">
        <f t="shared" si="861"/>
        <v>1.1066455486526785</v>
      </c>
      <c r="ED312" s="173">
        <f t="shared" si="862"/>
        <v>14.22677750718651</v>
      </c>
      <c r="EE312" s="460">
        <f t="shared" si="834"/>
        <v>3.2857093167664293</v>
      </c>
      <c r="EF312" s="5">
        <f t="shared" si="835"/>
        <v>0.49269858937211419</v>
      </c>
      <c r="EH312" s="173">
        <f t="shared" si="863"/>
        <v>0.69208626819346053</v>
      </c>
      <c r="EI312" s="173">
        <f t="shared" si="864"/>
        <v>1.4212896314353625</v>
      </c>
      <c r="EK312" s="528">
        <f t="shared" si="865"/>
        <v>9.579668052439011E-3</v>
      </c>
      <c r="EL312" s="528">
        <f t="shared" si="866"/>
        <v>1.3911145628969599</v>
      </c>
      <c r="EM312" s="528">
        <f t="shared" si="867"/>
        <v>4.0250000000000001E-2</v>
      </c>
      <c r="EN312" s="528">
        <f t="shared" si="868"/>
        <v>1.0061459800000001</v>
      </c>
      <c r="EO312">
        <f t="shared" si="869"/>
        <v>2.7E-2</v>
      </c>
      <c r="EP312" s="460">
        <f t="shared" si="870"/>
        <v>67.25</v>
      </c>
      <c r="EQ312" s="460"/>
      <c r="ER312" s="460">
        <f t="shared" si="871"/>
        <v>2474.0902109493986</v>
      </c>
      <c r="ES312" s="528">
        <f t="shared" si="872"/>
        <v>0.67199999999999993</v>
      </c>
      <c r="EV312" s="460">
        <f t="shared" si="873"/>
        <v>671.99999999999989</v>
      </c>
      <c r="EW312" s="528">
        <f t="shared" si="874"/>
        <v>1.4369502078658516E-2</v>
      </c>
      <c r="EX312" s="528">
        <f t="shared" si="875"/>
        <v>6.0601926492770054E-2</v>
      </c>
      <c r="EY312" s="528">
        <f t="shared" si="876"/>
        <v>1.4215424993019867</v>
      </c>
      <c r="EZ312" s="528"/>
      <c r="FA312" s="528">
        <f t="shared" si="877"/>
        <v>1.3119999999999998E-2</v>
      </c>
      <c r="FB312" s="460">
        <f t="shared" si="878"/>
        <v>1509.6339278734151</v>
      </c>
      <c r="FC312" s="173">
        <f t="shared" si="879"/>
        <v>4.6557241388228139</v>
      </c>
      <c r="FD312" s="5">
        <f t="shared" si="880"/>
        <v>15.36</v>
      </c>
      <c r="FE312" s="173">
        <f t="shared" si="881"/>
        <v>0.76739666741347135</v>
      </c>
      <c r="FF312" s="5">
        <f t="shared" si="882"/>
        <v>76.739666741347136</v>
      </c>
      <c r="FI312" s="562">
        <f t="shared" si="836"/>
        <v>-50</v>
      </c>
      <c r="FJ312">
        <f t="shared" si="837"/>
        <v>-50</v>
      </c>
      <c r="FL312">
        <f t="shared" si="838"/>
        <v>0.70121845174893305</v>
      </c>
    </row>
    <row r="313" spans="5:168">
      <c r="E313" s="170">
        <v>97</v>
      </c>
      <c r="F313" s="217">
        <f>IF(PLOT_TYPE=1, E313/100*Iout_max, min_I*EXP(N313*rr/100))</f>
        <v>0.97</v>
      </c>
      <c r="G313" s="217"/>
      <c r="H313" s="217">
        <f>F313*Vout</f>
        <v>15.52</v>
      </c>
      <c r="I313" s="541">
        <f t="shared" si="765"/>
        <v>59.932036424321204</v>
      </c>
      <c r="J313" s="172">
        <f t="shared" si="766"/>
        <v>16.440778145407275</v>
      </c>
      <c r="K313" s="172">
        <f t="shared" si="767"/>
        <v>76.372814569728476</v>
      </c>
      <c r="L313" s="443"/>
      <c r="M313" s="217">
        <f t="shared" si="768"/>
        <v>0.21527523588190595</v>
      </c>
      <c r="N313" s="172">
        <f>M313*I313*(Isw_max+VIN_max/Lmag*ILIM_delay)*0.5*Efficiency</f>
        <v>33.222349441181471</v>
      </c>
      <c r="O313" s="172">
        <f t="shared" si="762"/>
        <v>15.52</v>
      </c>
      <c r="P313" s="217">
        <f>N313/Vout</f>
        <v>2.076396840073842</v>
      </c>
      <c r="Q313" s="217">
        <f t="shared" si="771"/>
        <v>16</v>
      </c>
      <c r="R313" s="217"/>
      <c r="S313" s="172">
        <f t="shared" si="772"/>
        <v>94.783833028480785</v>
      </c>
      <c r="T313" s="172">
        <f>MIN(Vout, S313)</f>
        <v>16</v>
      </c>
      <c r="U313" s="217">
        <f t="shared" si="774"/>
        <v>2.4058503189700224</v>
      </c>
      <c r="V313" s="217">
        <f>L*U313/I313*1000000</f>
        <v>0.48171571583581901</v>
      </c>
      <c r="W313" s="217">
        <f t="shared" si="776"/>
        <v>1.7560120069928167</v>
      </c>
      <c r="X313" s="197">
        <f t="shared" si="777"/>
        <v>350</v>
      </c>
      <c r="Y313" s="443">
        <f t="shared" si="840"/>
        <v>350</v>
      </c>
      <c r="AA313" s="217">
        <f t="shared" si="778"/>
        <v>3.0718026970283288</v>
      </c>
      <c r="AB313" s="173">
        <f>L*AA313/J313*1000000</f>
        <v>2.2420856262595592</v>
      </c>
      <c r="AC313" s="173">
        <f>0.5*AB313*AA313*Nps*X313/1000</f>
        <v>1.2052678178996987</v>
      </c>
      <c r="AD313" s="173"/>
      <c r="AE313" s="173">
        <f t="shared" si="781"/>
        <v>0.7298924597040557</v>
      </c>
      <c r="AF313" s="545">
        <f>MAX(12000,F313/(0.5*AE313/1000000*Isw_min*Nps))/1000</f>
        <v>2657.9258001741764</v>
      </c>
      <c r="AG313" s="528">
        <f t="shared" si="783"/>
        <v>0.12773118044820975</v>
      </c>
      <c r="AI313" s="173">
        <f t="shared" si="784"/>
        <v>2.7557346960081914</v>
      </c>
      <c r="AJ313" s="173">
        <f>MAX(IF(F313&gt;AC313,U313,AI313),Isw_min)</f>
        <v>2.7557346960081914</v>
      </c>
      <c r="AK313" s="173">
        <f>IF(F313&gt;AG313, (AJ313-Isw_min)/1.08*0.8+1.2, AF313*0.2/350+1)</f>
        <v>2.5005442192653273</v>
      </c>
      <c r="AM313" s="545">
        <f t="shared" si="787"/>
        <v>970</v>
      </c>
      <c r="AN313" s="460">
        <f t="shared" si="788"/>
        <v>350</v>
      </c>
      <c r="AP313">
        <f t="shared" si="789"/>
        <v>970</v>
      </c>
      <c r="AQ313">
        <f t="shared" si="790"/>
        <v>350</v>
      </c>
      <c r="AS313" s="5">
        <f t="shared" si="763"/>
        <v>2.8571428571428572</v>
      </c>
      <c r="AT313" s="5">
        <f t="shared" si="791"/>
        <v>0.55177194577487343</v>
      </c>
      <c r="AU313" s="5">
        <f t="shared" si="883"/>
        <v>2.3053709113679837</v>
      </c>
      <c r="AV313" s="5"/>
      <c r="AW313" s="173">
        <f t="shared" si="884"/>
        <v>0.19312018102120571</v>
      </c>
      <c r="AX313" s="173">
        <f t="shared" si="792"/>
        <v>15.947554801045056</v>
      </c>
      <c r="AY313" s="173">
        <f t="shared" si="793"/>
        <v>1.1117733563343359</v>
      </c>
      <c r="AZ313" s="173">
        <f t="shared" si="794"/>
        <v>14.344249851090385</v>
      </c>
      <c r="BA313" s="460">
        <f t="shared" si="885"/>
        <v>3.34511742126017</v>
      </c>
      <c r="BB313" s="5">
        <f t="shared" si="886"/>
        <v>0.49749903778662213</v>
      </c>
      <c r="BD313" s="173">
        <f t="shared" si="841"/>
        <v>0.69918259190937682</v>
      </c>
      <c r="BE313" s="173">
        <f t="shared" si="842"/>
        <v>1.4291611553980441</v>
      </c>
      <c r="BG313" s="528">
        <f t="shared" si="843"/>
        <v>9.7771259365822833E-3</v>
      </c>
      <c r="BH313" s="528">
        <f t="shared" si="795"/>
        <v>1.3443337854394741</v>
      </c>
      <c r="BI313" s="528">
        <f t="shared" si="796"/>
        <v>0.48245289321578577</v>
      </c>
      <c r="BJ313" s="528">
        <f t="shared" si="844"/>
        <v>1.0054300730639547</v>
      </c>
      <c r="BK313">
        <f t="shared" si="845"/>
        <v>2.696941639094454E-2</v>
      </c>
      <c r="BL313" s="460">
        <f t="shared" si="846"/>
        <v>509.42230960673032</v>
      </c>
      <c r="BM313" s="528">
        <f t="shared" si="797"/>
        <v>2.3676810383306934</v>
      </c>
      <c r="BN313" s="460">
        <f t="shared" si="847"/>
        <v>2367.6810383306934</v>
      </c>
      <c r="BO313" s="528">
        <f t="shared" si="798"/>
        <v>0.67899999999999994</v>
      </c>
      <c r="BR313" s="460">
        <f t="shared" si="848"/>
        <v>678.99999999999989</v>
      </c>
      <c r="BS313" s="528">
        <f t="shared" si="849"/>
        <v>1.4665688904873424E-2</v>
      </c>
      <c r="BT313" s="528">
        <f t="shared" si="850"/>
        <v>6.1275048242960171E-2</v>
      </c>
      <c r="BU313" s="528">
        <f t="shared" si="851"/>
        <v>1.4445534831556719</v>
      </c>
      <c r="BV313" s="528"/>
      <c r="BW313" s="528">
        <f t="shared" si="852"/>
        <v>1.3289629000870879E-2</v>
      </c>
      <c r="BX313" s="460">
        <f t="shared" si="853"/>
        <v>1533.7838493043762</v>
      </c>
      <c r="BY313" s="173">
        <f t="shared" si="854"/>
        <v>5.0817471433511177</v>
      </c>
      <c r="BZ313" s="5">
        <f t="shared" si="855"/>
        <v>15.52</v>
      </c>
      <c r="CA313" s="173">
        <f t="shared" si="856"/>
        <v>0.75333416588450985</v>
      </c>
      <c r="CB313" s="5">
        <f t="shared" si="857"/>
        <v>75.333416588450987</v>
      </c>
      <c r="CE313" s="562">
        <f t="shared" si="799"/>
        <v>-50</v>
      </c>
      <c r="CF313">
        <f t="shared" si="800"/>
        <v>-50</v>
      </c>
      <c r="CG313" s="173">
        <f t="shared" si="801"/>
        <v>0.71361754462737248</v>
      </c>
      <c r="CI313" s="170">
        <v>97</v>
      </c>
      <c r="CJ313" s="217">
        <f t="shared" si="858"/>
        <v>0.97</v>
      </c>
      <c r="CK313" s="217"/>
      <c r="CL313" s="217">
        <f t="shared" si="802"/>
        <v>15.52</v>
      </c>
      <c r="CM313" s="541">
        <f t="shared" si="803"/>
        <v>60</v>
      </c>
      <c r="CN313" s="443">
        <f t="shared" si="804"/>
        <v>16.399999999999999</v>
      </c>
      <c r="CO313" s="443">
        <f t="shared" si="805"/>
        <v>76.400000000000006</v>
      </c>
      <c r="CP313" s="443"/>
      <c r="CQ313" s="217">
        <f t="shared" si="806"/>
        <v>0.21465968586387432</v>
      </c>
      <c r="CR313" s="172">
        <f t="shared" si="807"/>
        <v>33.164921465968582</v>
      </c>
      <c r="CS313" s="172">
        <f t="shared" si="808"/>
        <v>15.52</v>
      </c>
      <c r="CT313" s="217">
        <f t="shared" si="809"/>
        <v>2.0728075916230364</v>
      </c>
      <c r="CU313" s="217">
        <f t="shared" si="810"/>
        <v>16</v>
      </c>
      <c r="CV313" s="217"/>
      <c r="CW313" s="172">
        <f t="shared" si="811"/>
        <v>94.891035256266534</v>
      </c>
      <c r="CX313" s="172">
        <f t="shared" si="812"/>
        <v>16</v>
      </c>
      <c r="CY313" s="217">
        <f t="shared" si="813"/>
        <v>2.4100162601626018</v>
      </c>
      <c r="CZ313" s="217">
        <f t="shared" si="814"/>
        <v>0.48200325203252037</v>
      </c>
      <c r="DA313" s="217">
        <f t="shared" si="815"/>
        <v>1.7634265318262943</v>
      </c>
      <c r="DB313" s="197">
        <f t="shared" si="816"/>
        <v>350</v>
      </c>
      <c r="DC313" s="443">
        <f t="shared" si="817"/>
        <v>350</v>
      </c>
      <c r="DE313" s="217">
        <f t="shared" si="818"/>
        <v>3.06656694091249</v>
      </c>
      <c r="DF313" s="173">
        <f t="shared" si="819"/>
        <v>2.2438294689603588</v>
      </c>
      <c r="DG313" s="173">
        <f t="shared" si="820"/>
        <v>1.2041493223478366</v>
      </c>
      <c r="DH313" s="173"/>
      <c r="DI313" s="173">
        <f t="shared" si="821"/>
        <v>0.73170731707317083</v>
      </c>
      <c r="DJ313" s="545">
        <f t="shared" si="822"/>
        <v>2651.333333333333</v>
      </c>
      <c r="DK313" s="528">
        <f t="shared" si="823"/>
        <v>0.12804878048780488</v>
      </c>
      <c r="DM313" s="173">
        <f t="shared" si="824"/>
        <v>2.7523150428753782</v>
      </c>
      <c r="DN313" s="173">
        <f t="shared" si="825"/>
        <v>2.7523150428753782</v>
      </c>
      <c r="DO313" s="173">
        <f t="shared" si="826"/>
        <v>2.4980111428706504</v>
      </c>
      <c r="DQ313" s="545">
        <f t="shared" si="827"/>
        <v>970</v>
      </c>
      <c r="DR313" s="460">
        <f t="shared" si="828"/>
        <v>350</v>
      </c>
      <c r="DT313">
        <f t="shared" si="829"/>
        <v>970</v>
      </c>
      <c r="DU313">
        <f t="shared" si="830"/>
        <v>350</v>
      </c>
      <c r="DW313" s="5">
        <f t="shared" si="859"/>
        <v>2.8571428571428572</v>
      </c>
      <c r="DX313" s="5">
        <f t="shared" si="831"/>
        <v>0.55046300857507557</v>
      </c>
      <c r="DY313" s="5">
        <f t="shared" si="832"/>
        <v>2.3066798485677817</v>
      </c>
      <c r="DZ313" s="5"/>
      <c r="EA313" s="173">
        <f t="shared" si="833"/>
        <v>0.19266205300127645</v>
      </c>
      <c r="EB313" s="173">
        <f t="shared" si="860"/>
        <v>15.907999999999998</v>
      </c>
      <c r="EC313" s="173">
        <f t="shared" si="861"/>
        <v>1.1110241881043559</v>
      </c>
      <c r="ED313" s="173">
        <f t="shared" si="862"/>
        <v>14.318320132293822</v>
      </c>
      <c r="EE313" s="460">
        <f t="shared" si="834"/>
        <v>3.3371819894863957</v>
      </c>
      <c r="EF313" s="5">
        <f t="shared" si="835"/>
        <v>0.4972176562468329</v>
      </c>
      <c r="EH313" s="173">
        <f t="shared" si="863"/>
        <v>0.69748618227700399</v>
      </c>
      <c r="EI313" s="173">
        <f t="shared" si="864"/>
        <v>1.427792838829224</v>
      </c>
      <c r="EK313" s="528">
        <f t="shared" si="865"/>
        <v>9.7297394893469998E-3</v>
      </c>
      <c r="EL313" s="528">
        <f t="shared" si="866"/>
        <v>1.3983411806832649</v>
      </c>
      <c r="EM313" s="528">
        <f t="shared" si="867"/>
        <v>4.0250000000000001E-2</v>
      </c>
      <c r="EN313" s="528">
        <f t="shared" si="868"/>
        <v>1.0061459800000001</v>
      </c>
      <c r="EO313">
        <f t="shared" si="869"/>
        <v>2.7E-2</v>
      </c>
      <c r="EP313" s="460">
        <f t="shared" si="870"/>
        <v>67.25</v>
      </c>
      <c r="EQ313" s="460"/>
      <c r="ER313" s="460">
        <f t="shared" si="871"/>
        <v>2481.466900172612</v>
      </c>
      <c r="ES313" s="528">
        <f t="shared" si="872"/>
        <v>0.67899999999999994</v>
      </c>
      <c r="EV313" s="460">
        <f t="shared" si="873"/>
        <v>678.99999999999989</v>
      </c>
      <c r="EW313" s="528">
        <f t="shared" si="874"/>
        <v>1.4594609234020499E-2</v>
      </c>
      <c r="EX313" s="528">
        <f t="shared" si="875"/>
        <v>6.115777171836044E-2</v>
      </c>
      <c r="EY313" s="528">
        <f t="shared" si="876"/>
        <v>1.4400762059128471</v>
      </c>
      <c r="EZ313" s="528"/>
      <c r="FA313" s="528">
        <f t="shared" si="877"/>
        <v>1.3256666666666667E-2</v>
      </c>
      <c r="FB313" s="460">
        <f t="shared" si="878"/>
        <v>1529.0852535318948</v>
      </c>
      <c r="FC313" s="173">
        <f t="shared" si="879"/>
        <v>4.6895521537045068</v>
      </c>
      <c r="FD313" s="5">
        <f t="shared" si="880"/>
        <v>15.52</v>
      </c>
      <c r="FE313" s="173">
        <f t="shared" si="881"/>
        <v>0.76795368259336261</v>
      </c>
      <c r="FF313" s="5">
        <f t="shared" si="882"/>
        <v>76.795368259336257</v>
      </c>
      <c r="FI313" s="562">
        <f t="shared" si="836"/>
        <v>-50</v>
      </c>
      <c r="FJ313">
        <f t="shared" si="837"/>
        <v>-50</v>
      </c>
      <c r="FL313">
        <f t="shared" si="838"/>
        <v>0.70486116951686517</v>
      </c>
    </row>
    <row r="314" spans="5:168">
      <c r="E314" s="170">
        <v>98</v>
      </c>
      <c r="F314" s="217">
        <f>IF(PLOT_TYPE=1, E314/100*Iout_max, min_I*EXP(N314*rr/100))</f>
        <v>0.98</v>
      </c>
      <c r="G314" s="217"/>
      <c r="H314" s="217">
        <f>F314*Vout</f>
        <v>15.68</v>
      </c>
      <c r="I314" s="541">
        <f t="shared" si="765"/>
        <v>59.931686994893603</v>
      </c>
      <c r="J314" s="172">
        <f t="shared" si="766"/>
        <v>16.440987803063837</v>
      </c>
      <c r="K314" s="172">
        <f t="shared" si="767"/>
        <v>76.372674797957444</v>
      </c>
      <c r="L314" s="443"/>
      <c r="M314" s="217">
        <f t="shared" si="768"/>
        <v>0.21527840179557051</v>
      </c>
      <c r="N314" s="172">
        <f>M314*I314*(Isw_max+VIN_max/Lmag*ILIM_delay)*0.5*Efficiency</f>
        <v>33.222644317420659</v>
      </c>
      <c r="O314" s="172">
        <f t="shared" si="762"/>
        <v>15.68</v>
      </c>
      <c r="P314" s="217">
        <f>N314/Vout</f>
        <v>2.0764152698387912</v>
      </c>
      <c r="Q314" s="217">
        <f t="shared" si="771"/>
        <v>16</v>
      </c>
      <c r="R314" s="217"/>
      <c r="S314" s="172">
        <f t="shared" si="772"/>
        <v>93.211356873104464</v>
      </c>
      <c r="T314" s="172">
        <f>MIN(Vout, S314)</f>
        <v>16</v>
      </c>
      <c r="U314" s="217">
        <f t="shared" si="774"/>
        <v>2.4306313256845962</v>
      </c>
      <c r="V314" s="217">
        <f>L*U314/I314*1000000</f>
        <v>0.48668037511943124</v>
      </c>
      <c r="W314" s="217">
        <f t="shared" si="776"/>
        <v>1.7740768533858817</v>
      </c>
      <c r="X314" s="197">
        <f t="shared" si="777"/>
        <v>350</v>
      </c>
      <c r="Y314" s="443">
        <f t="shared" si="840"/>
        <v>350</v>
      </c>
      <c r="AA314" s="217">
        <f t="shared" si="778"/>
        <v>3.0718295812411669</v>
      </c>
      <c r="AB314" s="173">
        <f>L*AA314/J314*1000000</f>
        <v>2.2420766572203554</v>
      </c>
      <c r="AC314" s="173">
        <f>0.5*AB314*AA314*Nps*X314/1000</f>
        <v>1.205273544835465</v>
      </c>
      <c r="AD314" s="173"/>
      <c r="AE314" s="173">
        <f t="shared" si="781"/>
        <v>0.72988315201862486</v>
      </c>
      <c r="AF314" s="545">
        <f>MAX(12000,F314/(0.5*AE314/1000000*Isw_min*Nps))/1000</f>
        <v>2685.3613411670931</v>
      </c>
      <c r="AG314" s="528">
        <f t="shared" si="783"/>
        <v>0.12772955160325933</v>
      </c>
      <c r="AI314" s="173">
        <f t="shared" si="784"/>
        <v>2.769920752433745</v>
      </c>
      <c r="AJ314" s="173">
        <f>MAX(IF(F314&gt;AC314,U314,AI314),Isw_min)</f>
        <v>2.769920752433745</v>
      </c>
      <c r="AK314" s="173">
        <f>IF(F314&gt;AG314, (AJ314-Isw_min)/1.08*0.8+1.2, AF314*0.2/350+1)</f>
        <v>2.5110524092101816</v>
      </c>
      <c r="AM314" s="545">
        <f t="shared" si="787"/>
        <v>980</v>
      </c>
      <c r="AN314" s="460">
        <f t="shared" si="788"/>
        <v>350</v>
      </c>
      <c r="AP314">
        <f t="shared" si="789"/>
        <v>980</v>
      </c>
      <c r="AQ314">
        <f t="shared" si="790"/>
        <v>350</v>
      </c>
      <c r="AS314" s="5">
        <f t="shared" si="763"/>
        <v>2.8571428571428572</v>
      </c>
      <c r="AT314" s="5">
        <f t="shared" si="791"/>
        <v>0.55461560813459221</v>
      </c>
      <c r="AU314" s="5">
        <f t="shared" si="883"/>
        <v>2.3025272490082651</v>
      </c>
      <c r="AV314" s="5"/>
      <c r="AW314" s="173">
        <f t="shared" si="884"/>
        <v>0.19411546284710726</v>
      </c>
      <c r="AX314" s="173">
        <f t="shared" si="792"/>
        <v>16.112168047002562</v>
      </c>
      <c r="AY314" s="173">
        <f t="shared" si="793"/>
        <v>1.1161181517626306</v>
      </c>
      <c r="AZ314" s="173">
        <f t="shared" si="794"/>
        <v>14.435898225969542</v>
      </c>
      <c r="BA314" s="460">
        <f t="shared" si="885"/>
        <v>3.3970205998243768</v>
      </c>
      <c r="BB314" s="5">
        <f t="shared" si="886"/>
        <v>0.50201083203734043</v>
      </c>
      <c r="BD314" s="173">
        <f t="shared" si="841"/>
        <v>0.70459049886973624</v>
      </c>
      <c r="BE314" s="173">
        <f t="shared" si="842"/>
        <v>1.4356319934057629</v>
      </c>
      <c r="BG314" s="528">
        <f t="shared" si="843"/>
        <v>9.9289554219500753E-3</v>
      </c>
      <c r="BH314" s="528">
        <f t="shared" si="795"/>
        <v>1.3512517155765889</v>
      </c>
      <c r="BI314" s="528">
        <f t="shared" si="796"/>
        <v>0.48245008030889353</v>
      </c>
      <c r="BJ314" s="528">
        <f t="shared" si="844"/>
        <v>1.005426392942588</v>
      </c>
      <c r="BK314">
        <f t="shared" si="845"/>
        <v>2.696925914770212E-2</v>
      </c>
      <c r="BL314" s="460">
        <f t="shared" si="846"/>
        <v>509.41933945659565</v>
      </c>
      <c r="BM314" s="528">
        <f t="shared" si="797"/>
        <v>2.3748905332043737</v>
      </c>
      <c r="BN314" s="460">
        <f t="shared" si="847"/>
        <v>2374.8905332043737</v>
      </c>
      <c r="BO314" s="528">
        <f t="shared" si="798"/>
        <v>0.68599999999999994</v>
      </c>
      <c r="BR314" s="460">
        <f t="shared" si="848"/>
        <v>686</v>
      </c>
      <c r="BS314" s="528">
        <f t="shared" si="849"/>
        <v>1.4893433132925113E-2</v>
      </c>
      <c r="BT314" s="528">
        <f t="shared" si="850"/>
        <v>6.1831176614706128E-2</v>
      </c>
      <c r="BU314" s="528">
        <f t="shared" si="851"/>
        <v>1.4632161143053783</v>
      </c>
      <c r="BV314" s="528"/>
      <c r="BW314" s="528">
        <f t="shared" si="852"/>
        <v>1.3426806705835466E-2</v>
      </c>
      <c r="BX314" s="460">
        <f t="shared" si="853"/>
        <v>1553.3675307588451</v>
      </c>
      <c r="BY314" s="173">
        <f t="shared" si="854"/>
        <v>5.1153939341565673</v>
      </c>
      <c r="BZ314" s="5">
        <f t="shared" si="855"/>
        <v>15.68</v>
      </c>
      <c r="CA314" s="173">
        <f t="shared" si="856"/>
        <v>0.75401312663981324</v>
      </c>
      <c r="CB314" s="5">
        <f t="shared" si="857"/>
        <v>75.401312663981329</v>
      </c>
      <c r="CE314" s="562">
        <f t="shared" si="799"/>
        <v>-50</v>
      </c>
      <c r="CF314">
        <f t="shared" si="800"/>
        <v>-50</v>
      </c>
      <c r="CG314" s="173">
        <f t="shared" si="801"/>
        <v>0.71728655361717186</v>
      </c>
      <c r="CI314" s="170">
        <v>98</v>
      </c>
      <c r="CJ314" s="217">
        <f t="shared" si="858"/>
        <v>0.98</v>
      </c>
      <c r="CK314" s="217"/>
      <c r="CL314" s="217">
        <f t="shared" si="802"/>
        <v>15.68</v>
      </c>
      <c r="CM314" s="541">
        <f t="shared" si="803"/>
        <v>60</v>
      </c>
      <c r="CN314" s="443">
        <f t="shared" si="804"/>
        <v>16.399999999999999</v>
      </c>
      <c r="CO314" s="443">
        <f t="shared" si="805"/>
        <v>76.400000000000006</v>
      </c>
      <c r="CP314" s="443"/>
      <c r="CQ314" s="217">
        <f t="shared" si="806"/>
        <v>0.21465968586387432</v>
      </c>
      <c r="CR314" s="172">
        <f t="shared" si="807"/>
        <v>33.164921465968582</v>
      </c>
      <c r="CS314" s="172">
        <f t="shared" si="808"/>
        <v>15.68</v>
      </c>
      <c r="CT314" s="217">
        <f t="shared" si="809"/>
        <v>2.0728075916230364</v>
      </c>
      <c r="CU314" s="217">
        <f t="shared" si="810"/>
        <v>16</v>
      </c>
      <c r="CV314" s="217"/>
      <c r="CW314" s="172">
        <f t="shared" si="811"/>
        <v>93.317313776107909</v>
      </c>
      <c r="CX314" s="172">
        <f t="shared" si="812"/>
        <v>16</v>
      </c>
      <c r="CY314" s="217">
        <f t="shared" si="813"/>
        <v>2.4348617886178863</v>
      </c>
      <c r="CZ314" s="217">
        <f t="shared" si="814"/>
        <v>0.48697235772357733</v>
      </c>
      <c r="DA314" s="217">
        <f t="shared" si="815"/>
        <v>1.7816061867935755</v>
      </c>
      <c r="DB314" s="197">
        <f t="shared" si="816"/>
        <v>350</v>
      </c>
      <c r="DC314" s="443">
        <f t="shared" si="817"/>
        <v>350</v>
      </c>
      <c r="DE314" s="217">
        <f t="shared" si="818"/>
        <v>3.06656694091249</v>
      </c>
      <c r="DF314" s="173">
        <f t="shared" si="819"/>
        <v>2.2438294689603588</v>
      </c>
      <c r="DG314" s="173">
        <f t="shared" si="820"/>
        <v>1.2041493223478366</v>
      </c>
      <c r="DH314" s="173"/>
      <c r="DI314" s="173">
        <f t="shared" si="821"/>
        <v>0.73170731707317083</v>
      </c>
      <c r="DJ314" s="545">
        <f t="shared" si="822"/>
        <v>2678.6666666666665</v>
      </c>
      <c r="DK314" s="528">
        <f t="shared" si="823"/>
        <v>0.12804878048780488</v>
      </c>
      <c r="DM314" s="173">
        <f t="shared" si="824"/>
        <v>2.7664658561661906</v>
      </c>
      <c r="DN314" s="173">
        <f t="shared" si="825"/>
        <v>2.7664658561661906</v>
      </c>
      <c r="DO314" s="173">
        <f t="shared" si="826"/>
        <v>2.5084932267897706</v>
      </c>
      <c r="DQ314" s="545">
        <f t="shared" si="827"/>
        <v>980</v>
      </c>
      <c r="DR314" s="460">
        <f t="shared" si="828"/>
        <v>350</v>
      </c>
      <c r="DT314">
        <f t="shared" si="829"/>
        <v>980</v>
      </c>
      <c r="DU314">
        <f t="shared" si="830"/>
        <v>350</v>
      </c>
      <c r="DW314" s="5">
        <f t="shared" si="859"/>
        <v>2.8571428571428572</v>
      </c>
      <c r="DX314" s="5">
        <f t="shared" si="831"/>
        <v>0.55329317123323807</v>
      </c>
      <c r="DY314" s="5">
        <f t="shared" si="832"/>
        <v>2.3038496859096194</v>
      </c>
      <c r="DZ314" s="5"/>
      <c r="EA314" s="173">
        <f t="shared" si="833"/>
        <v>0.19365260993163333</v>
      </c>
      <c r="EB314" s="173">
        <f t="shared" si="860"/>
        <v>16.072000000000003</v>
      </c>
      <c r="EC314" s="173">
        <f t="shared" si="861"/>
        <v>1.1153662614164286</v>
      </c>
      <c r="ED314" s="173">
        <f t="shared" si="862"/>
        <v>14.409616424644053</v>
      </c>
      <c r="EE314" s="460">
        <f t="shared" si="834"/>
        <v>3.3889206738035833</v>
      </c>
      <c r="EF314" s="5">
        <f t="shared" si="835"/>
        <v>0.50172726493142805</v>
      </c>
      <c r="EH314" s="173">
        <f t="shared" si="863"/>
        <v>0.70287219669884216</v>
      </c>
      <c r="EI314" s="173">
        <f t="shared" si="864"/>
        <v>1.4342530412095542</v>
      </c>
      <c r="EK314" s="528">
        <f t="shared" si="865"/>
        <v>9.8805864978451178E-3</v>
      </c>
      <c r="EL314" s="528">
        <f t="shared" si="866"/>
        <v>1.4055306428837948</v>
      </c>
      <c r="EM314" s="528">
        <f t="shared" si="867"/>
        <v>4.0250000000000001E-2</v>
      </c>
      <c r="EN314" s="528">
        <f t="shared" si="868"/>
        <v>1.0061459800000001</v>
      </c>
      <c r="EO314">
        <f t="shared" si="869"/>
        <v>2.7E-2</v>
      </c>
      <c r="EP314" s="460">
        <f t="shared" si="870"/>
        <v>67.25</v>
      </c>
      <c r="EQ314" s="460"/>
      <c r="ER314" s="460">
        <f t="shared" si="871"/>
        <v>2488.80720938164</v>
      </c>
      <c r="ES314" s="528">
        <f t="shared" si="872"/>
        <v>0.68599999999999994</v>
      </c>
      <c r="EV314" s="460">
        <f t="shared" si="873"/>
        <v>686</v>
      </c>
      <c r="EW314" s="528">
        <f t="shared" si="874"/>
        <v>1.4820879746767676E-2</v>
      </c>
      <c r="EX314" s="528">
        <f t="shared" si="875"/>
        <v>6.1712453586565651E-2</v>
      </c>
      <c r="EY314" s="528">
        <f t="shared" si="876"/>
        <v>1.4586577421597846</v>
      </c>
      <c r="EZ314" s="528"/>
      <c r="FA314" s="528">
        <f t="shared" si="877"/>
        <v>1.3393333333333335E-2</v>
      </c>
      <c r="FB314" s="460">
        <f t="shared" si="878"/>
        <v>1548.5844088264514</v>
      </c>
      <c r="FC314" s="173">
        <f t="shared" si="879"/>
        <v>4.7233916182080913</v>
      </c>
      <c r="FD314" s="5">
        <f t="shared" si="880"/>
        <v>15.68</v>
      </c>
      <c r="FE314" s="173">
        <f t="shared" si="881"/>
        <v>0.76849968345493547</v>
      </c>
      <c r="FF314" s="5">
        <f t="shared" si="882"/>
        <v>76.849968345493551</v>
      </c>
      <c r="FI314" s="562">
        <f t="shared" si="836"/>
        <v>-50</v>
      </c>
      <c r="FJ314">
        <f t="shared" si="837"/>
        <v>-50</v>
      </c>
      <c r="FL314">
        <f t="shared" si="838"/>
        <v>0.70848515828646341</v>
      </c>
    </row>
    <row r="315" spans="5:168">
      <c r="E315" s="170">
        <v>99</v>
      </c>
      <c r="F315" s="217">
        <f>IF(PLOT_TYPE=1, E315/100*Iout_max, min_I*EXP(N315*rr/100))</f>
        <v>0.99</v>
      </c>
      <c r="G315" s="217"/>
      <c r="H315" s="217">
        <f>F315*Vout</f>
        <v>15.84</v>
      </c>
      <c r="I315" s="541">
        <f t="shared" si="765"/>
        <v>59.931339343767441</v>
      </c>
      <c r="J315" s="172">
        <f t="shared" si="766"/>
        <v>16.441196393739535</v>
      </c>
      <c r="K315" s="172">
        <f t="shared" si="767"/>
        <v>76.372535737506979</v>
      </c>
      <c r="L315" s="443"/>
      <c r="M315" s="217">
        <f t="shared" si="768"/>
        <v>0.21528155160868678</v>
      </c>
      <c r="N315" s="172">
        <f>M315*I315*(Isw_max+VIN_max/Lmag*ILIM_delay)*0.5*Efficiency</f>
        <v>33.222937689075955</v>
      </c>
      <c r="O315" s="172">
        <f t="shared" si="762"/>
        <v>15.84</v>
      </c>
      <c r="P315" s="217">
        <f>N315/Vout</f>
        <v>2.0764336055672472</v>
      </c>
      <c r="Q315" s="217">
        <f t="shared" si="771"/>
        <v>16</v>
      </c>
      <c r="R315" s="217"/>
      <c r="S315" s="172">
        <f t="shared" si="772"/>
        <v>91.670797351751432</v>
      </c>
      <c r="T315" s="172">
        <f>MIN(Vout, S315)</f>
        <v>16</v>
      </c>
      <c r="U315" s="217">
        <f t="shared" si="774"/>
        <v>2.4554120037019795</v>
      </c>
      <c r="V315" s="217">
        <f>L*U315/I315*1000000</f>
        <v>0.49164501189289639</v>
      </c>
      <c r="W315" s="217">
        <f t="shared" si="776"/>
        <v>1.7921411154509042</v>
      </c>
      <c r="X315" s="197">
        <f t="shared" si="777"/>
        <v>350</v>
      </c>
      <c r="Y315" s="443">
        <f t="shared" si="840"/>
        <v>350</v>
      </c>
      <c r="AA315" s="217">
        <f t="shared" si="778"/>
        <v>3.0718563282803562</v>
      </c>
      <c r="AB315" s="173">
        <f>L*AA315/J315*1000000</f>
        <v>2.2420677337934274</v>
      </c>
      <c r="AC315" s="173">
        <f>0.5*AB315*AA315*Nps*X315/1000</f>
        <v>1.2052792423851439</v>
      </c>
      <c r="AD315" s="173"/>
      <c r="AE315" s="173">
        <f t="shared" si="781"/>
        <v>0.72987389193704599</v>
      </c>
      <c r="AF315" s="545">
        <f>MAX(12000,F315/(0.5*AE315/1000000*Isw_min*Nps))/1000</f>
        <v>2712.7974049670229</v>
      </c>
      <c r="AG315" s="528">
        <f t="shared" si="783"/>
        <v>0.12772793108898306</v>
      </c>
      <c r="AI315" s="173">
        <f t="shared" si="784"/>
        <v>2.7840347929717417</v>
      </c>
      <c r="AJ315" s="173">
        <f>MAX(IF(F315&gt;AC315,U315,AI315),Isw_min)</f>
        <v>2.7840347929717417</v>
      </c>
      <c r="AK315" s="173">
        <f>IF(F315&gt;AG315, (AJ315-Isw_min)/1.08*0.8+1.2, AF315*0.2/350+1)</f>
        <v>2.5215072540531418</v>
      </c>
      <c r="AM315" s="545">
        <f t="shared" si="787"/>
        <v>990</v>
      </c>
      <c r="AN315" s="460">
        <f t="shared" si="788"/>
        <v>350</v>
      </c>
      <c r="AP315">
        <f t="shared" si="789"/>
        <v>990</v>
      </c>
      <c r="AQ315">
        <f t="shared" si="790"/>
        <v>350</v>
      </c>
      <c r="AS315" s="5">
        <f t="shared" si="763"/>
        <v>2.8571428571428572</v>
      </c>
      <c r="AT315" s="5">
        <f t="shared" si="791"/>
        <v>0.55744486743454047</v>
      </c>
      <c r="AU315" s="5">
        <f t="shared" si="883"/>
        <v>2.2996979897083167</v>
      </c>
      <c r="AV315" s="5"/>
      <c r="AW315" s="173">
        <f t="shared" si="884"/>
        <v>0.19510570360208915</v>
      </c>
      <c r="AX315" s="173">
        <f t="shared" si="792"/>
        <v>16.276784429802142</v>
      </c>
      <c r="AY315" s="173">
        <f t="shared" si="793"/>
        <v>1.1204268629181469</v>
      </c>
      <c r="AZ315" s="173">
        <f t="shared" si="794"/>
        <v>14.527306483360572</v>
      </c>
      <c r="BA315" s="460">
        <f t="shared" si="885"/>
        <v>3.4491901172512192</v>
      </c>
      <c r="BB315" s="5">
        <f t="shared" si="886"/>
        <v>0.50651318319497307</v>
      </c>
      <c r="BD315" s="173">
        <f t="shared" si="841"/>
        <v>0.7099847392229891</v>
      </c>
      <c r="BE315" s="173">
        <f t="shared" si="842"/>
        <v>1.4420604169831213</v>
      </c>
      <c r="BG315" s="528">
        <f t="shared" si="843"/>
        <v>1.0081566598590717E-2</v>
      </c>
      <c r="BH315" s="528">
        <f t="shared" si="795"/>
        <v>1.3581345015534534</v>
      </c>
      <c r="BI315" s="528">
        <f t="shared" si="796"/>
        <v>0.48244728171732798</v>
      </c>
      <c r="BJ315" s="528">
        <f t="shared" si="844"/>
        <v>1.0054227315566227</v>
      </c>
      <c r="BK315">
        <f t="shared" si="845"/>
        <v>2.6969102704695349E-2</v>
      </c>
      <c r="BL315" s="460">
        <f t="shared" si="846"/>
        <v>509.41638442202333</v>
      </c>
      <c r="BM315" s="528">
        <f t="shared" si="797"/>
        <v>2.3820667783429603</v>
      </c>
      <c r="BN315" s="460">
        <f t="shared" si="847"/>
        <v>2382.0667783429603</v>
      </c>
      <c r="BO315" s="528">
        <f t="shared" si="798"/>
        <v>0.69299999999999995</v>
      </c>
      <c r="BR315" s="460">
        <f t="shared" si="848"/>
        <v>693</v>
      </c>
      <c r="BS315" s="528">
        <f t="shared" si="849"/>
        <v>1.5122349897886075E-2</v>
      </c>
      <c r="BT315" s="528">
        <f t="shared" si="850"/>
        <v>6.2386147386886005E-2</v>
      </c>
      <c r="BU315" s="528">
        <f t="shared" si="851"/>
        <v>1.4819268317470271</v>
      </c>
      <c r="BV315" s="528"/>
      <c r="BW315" s="528">
        <f t="shared" si="852"/>
        <v>1.3563987024835116E-2</v>
      </c>
      <c r="BX315" s="460">
        <f t="shared" si="853"/>
        <v>1572.9993160566344</v>
      </c>
      <c r="BY315" s="173">
        <f t="shared" si="854"/>
        <v>5.149054500187324</v>
      </c>
      <c r="BZ315" s="5">
        <f t="shared" si="855"/>
        <v>15.84</v>
      </c>
      <c r="CA315" s="173">
        <f t="shared" si="856"/>
        <v>0.7546790637881583</v>
      </c>
      <c r="CB315" s="5">
        <f t="shared" si="857"/>
        <v>75.467906378815826</v>
      </c>
      <c r="CE315" s="562">
        <f t="shared" si="799"/>
        <v>-50</v>
      </c>
      <c r="CF315">
        <f t="shared" si="800"/>
        <v>-50</v>
      </c>
      <c r="CG315" s="173">
        <f t="shared" si="801"/>
        <v>0.72093689044187503</v>
      </c>
      <c r="CI315" s="170">
        <v>99</v>
      </c>
      <c r="CJ315" s="217">
        <f t="shared" si="858"/>
        <v>0.99</v>
      </c>
      <c r="CK315" s="217"/>
      <c r="CL315" s="217">
        <f t="shared" si="802"/>
        <v>15.84</v>
      </c>
      <c r="CM315" s="541">
        <f t="shared" si="803"/>
        <v>60</v>
      </c>
      <c r="CN315" s="443">
        <f t="shared" si="804"/>
        <v>16.399999999999999</v>
      </c>
      <c r="CO315" s="443">
        <f t="shared" si="805"/>
        <v>76.400000000000006</v>
      </c>
      <c r="CP315" s="443"/>
      <c r="CQ315" s="217">
        <f t="shared" si="806"/>
        <v>0.21465968586387432</v>
      </c>
      <c r="CR315" s="172">
        <f t="shared" si="807"/>
        <v>33.164921465968582</v>
      </c>
      <c r="CS315" s="172">
        <f t="shared" si="808"/>
        <v>15.84</v>
      </c>
      <c r="CT315" s="217">
        <f t="shared" si="809"/>
        <v>2.0728075916230364</v>
      </c>
      <c r="CU315" s="217">
        <f t="shared" si="810"/>
        <v>16</v>
      </c>
      <c r="CV315" s="217"/>
      <c r="CW315" s="172">
        <f t="shared" si="811"/>
        <v>91.775524322103323</v>
      </c>
      <c r="CX315" s="172">
        <f t="shared" si="812"/>
        <v>16</v>
      </c>
      <c r="CY315" s="217">
        <f t="shared" si="813"/>
        <v>2.4597073170731711</v>
      </c>
      <c r="CZ315" s="217">
        <f t="shared" si="814"/>
        <v>0.49194146341463424</v>
      </c>
      <c r="DA315" s="217">
        <f t="shared" si="815"/>
        <v>1.7997858417608572</v>
      </c>
      <c r="DB315" s="197">
        <f t="shared" si="816"/>
        <v>350</v>
      </c>
      <c r="DC315" s="443">
        <f t="shared" si="817"/>
        <v>350</v>
      </c>
      <c r="DE315" s="217">
        <f t="shared" si="818"/>
        <v>3.06656694091249</v>
      </c>
      <c r="DF315" s="173">
        <f t="shared" si="819"/>
        <v>2.2438294689603588</v>
      </c>
      <c r="DG315" s="173">
        <f t="shared" si="820"/>
        <v>1.2041493223478366</v>
      </c>
      <c r="DH315" s="173"/>
      <c r="DI315" s="173">
        <f t="shared" si="821"/>
        <v>0.73170731707317083</v>
      </c>
      <c r="DJ315" s="545">
        <f t="shared" si="822"/>
        <v>2705.9999999999995</v>
      </c>
      <c r="DK315" s="528">
        <f t="shared" si="823"/>
        <v>0.12804878048780488</v>
      </c>
      <c r="DM315" s="173">
        <f t="shared" si="824"/>
        <v>2.780544653737568</v>
      </c>
      <c r="DN315" s="173">
        <f t="shared" si="825"/>
        <v>2.780544653737568</v>
      </c>
      <c r="DO315" s="173">
        <f t="shared" si="826"/>
        <v>2.5189219657315318</v>
      </c>
      <c r="DQ315" s="545">
        <f t="shared" si="827"/>
        <v>990</v>
      </c>
      <c r="DR315" s="460">
        <f t="shared" si="828"/>
        <v>350</v>
      </c>
      <c r="DT315">
        <f t="shared" si="829"/>
        <v>990</v>
      </c>
      <c r="DU315">
        <f t="shared" si="830"/>
        <v>350</v>
      </c>
      <c r="DW315" s="5">
        <f t="shared" si="859"/>
        <v>2.8571428571428572</v>
      </c>
      <c r="DX315" s="5">
        <f t="shared" si="831"/>
        <v>0.55610893074751366</v>
      </c>
      <c r="DY315" s="5">
        <f t="shared" si="832"/>
        <v>2.3010339263953434</v>
      </c>
      <c r="DZ315" s="5"/>
      <c r="EA315" s="173">
        <f t="shared" si="833"/>
        <v>0.19463812576162978</v>
      </c>
      <c r="EB315" s="173">
        <f t="shared" si="860"/>
        <v>16.236000000000004</v>
      </c>
      <c r="EC315" s="173">
        <f t="shared" si="861"/>
        <v>1.119672326868784</v>
      </c>
      <c r="ED315" s="173">
        <f t="shared" si="862"/>
        <v>14.500670964517571</v>
      </c>
      <c r="EE315" s="460">
        <f t="shared" si="834"/>
        <v>3.4409240090002409</v>
      </c>
      <c r="EF315" s="5">
        <f t="shared" si="835"/>
        <v>0.50622746380697559</v>
      </c>
      <c r="EH315" s="173">
        <f t="shared" si="863"/>
        <v>0.70824448853080202</v>
      </c>
      <c r="EI315" s="173">
        <f t="shared" si="864"/>
        <v>1.44067088594467</v>
      </c>
      <c r="EK315" s="528">
        <f t="shared" si="865"/>
        <v>1.0032205110685146E-2</v>
      </c>
      <c r="EL315" s="528">
        <f t="shared" si="866"/>
        <v>1.4126835167779088</v>
      </c>
      <c r="EM315" s="528">
        <f t="shared" si="867"/>
        <v>4.0250000000000001E-2</v>
      </c>
      <c r="EN315" s="528">
        <f t="shared" si="868"/>
        <v>1.0061459800000001</v>
      </c>
      <c r="EO315">
        <f t="shared" si="869"/>
        <v>2.7E-2</v>
      </c>
      <c r="EP315" s="460">
        <f t="shared" si="870"/>
        <v>67.25</v>
      </c>
      <c r="EQ315" s="460"/>
      <c r="ER315" s="460">
        <f t="shared" si="871"/>
        <v>2496.1117018885943</v>
      </c>
      <c r="ES315" s="528">
        <f t="shared" si="872"/>
        <v>0.69299999999999995</v>
      </c>
      <c r="EV315" s="460">
        <f t="shared" si="873"/>
        <v>693</v>
      </c>
      <c r="EW315" s="528">
        <f t="shared" si="874"/>
        <v>1.5048307666027719E-2</v>
      </c>
      <c r="EX315" s="528">
        <f t="shared" si="875"/>
        <v>6.2265978048258001E-2</v>
      </c>
      <c r="EY315" s="528">
        <f t="shared" si="876"/>
        <v>1.4772867415195732</v>
      </c>
      <c r="EZ315" s="528"/>
      <c r="FA315" s="528">
        <f t="shared" si="877"/>
        <v>1.353E-2</v>
      </c>
      <c r="FB315" s="460">
        <f t="shared" si="878"/>
        <v>1568.131027233859</v>
      </c>
      <c r="FC315" s="173">
        <f t="shared" si="879"/>
        <v>4.7572427291224537</v>
      </c>
      <c r="FD315" s="5">
        <f t="shared" si="880"/>
        <v>15.84</v>
      </c>
      <c r="FE315" s="173">
        <f t="shared" si="881"/>
        <v>0.76903497270553667</v>
      </c>
      <c r="FF315" s="5">
        <f t="shared" si="882"/>
        <v>76.903497270553672</v>
      </c>
      <c r="FI315" s="562">
        <f t="shared" si="836"/>
        <v>-50</v>
      </c>
      <c r="FJ315">
        <f t="shared" si="837"/>
        <v>-50</v>
      </c>
      <c r="FL315">
        <f t="shared" si="838"/>
        <v>0.71209070400596253</v>
      </c>
    </row>
    <row r="316" spans="5:168">
      <c r="E316" s="170">
        <v>100</v>
      </c>
      <c r="F316" s="217">
        <f>IF(PLOT_TYPE=1, E316/100*Iout_max, min_I*EXP(N316*rr/100))</f>
        <v>1</v>
      </c>
      <c r="G316" s="217"/>
      <c r="H316" s="217">
        <f>F316*Vout</f>
        <v>16</v>
      </c>
      <c r="I316" s="541">
        <f t="shared" si="765"/>
        <v>59.930993444065763</v>
      </c>
      <c r="J316" s="172">
        <f t="shared" si="766"/>
        <v>16.44140393356054</v>
      </c>
      <c r="K316" s="172">
        <f t="shared" si="767"/>
        <v>76.372397377626299</v>
      </c>
      <c r="L316" s="443"/>
      <c r="M316" s="217">
        <f t="shared" si="768"/>
        <v>0.21528468556459585</v>
      </c>
      <c r="N316" s="172">
        <f>M316*I316*(Isw_max+VIN_max/Lmag*ILIM_delay)*0.5*Efficiency</f>
        <v>33.223229578887349</v>
      </c>
      <c r="O316" s="172">
        <f t="shared" si="762"/>
        <v>16</v>
      </c>
      <c r="P316" s="217">
        <f>N316/Vout</f>
        <v>2.0764518486804593</v>
      </c>
      <c r="Q316" s="217">
        <f t="shared" si="771"/>
        <v>16</v>
      </c>
      <c r="R316" s="217"/>
      <c r="S316" s="172">
        <f t="shared" si="772"/>
        <v>90.161199528413405</v>
      </c>
      <c r="T316" s="172">
        <f>MIN(Vout, S316)</f>
        <v>16</v>
      </c>
      <c r="U316" s="217">
        <f>MIN(2*Vout*F316/(Efficiency*I316*M316), Isw_max)</f>
        <v>2.4801923547000211</v>
      </c>
      <c r="V316" s="217">
        <f>L*U316/I316*1000000</f>
        <v>0.49660962627255184</v>
      </c>
      <c r="W316" s="217">
        <f t="shared" si="776"/>
        <v>1.8102047961761223</v>
      </c>
      <c r="X316" s="197">
        <f t="shared" si="777"/>
        <v>350</v>
      </c>
      <c r="Y316" s="443">
        <f t="shared" si="840"/>
        <v>350</v>
      </c>
      <c r="AA316" s="217">
        <f t="shared" si="778"/>
        <v>3.0718829402191128</v>
      </c>
      <c r="AB316" s="173">
        <f>L*AA316/J316*1000000</f>
        <v>2.2420588552893981</v>
      </c>
      <c r="AC316" s="173">
        <f>0.5*AB316*AA316*Nps*X316/1000</f>
        <v>1.2052849109928716</v>
      </c>
      <c r="AD316" s="173"/>
      <c r="AE316" s="173">
        <f t="shared" si="781"/>
        <v>0.72986467873983363</v>
      </c>
      <c r="AF316" s="545">
        <f>MAX(12000,F316/(0.5*AE316/1000000*Isw_min*Nps))/1000</f>
        <v>2740.2339889267569</v>
      </c>
      <c r="AG316" s="528">
        <f t="shared" si="783"/>
        <v>0.12772631877947088</v>
      </c>
      <c r="AI316" s="173">
        <f t="shared" si="784"/>
        <v>2.7980779060566134</v>
      </c>
      <c r="AJ316" s="173">
        <f>MAX(IF(F316&gt;AC316,U316,AI316),Isw_min)</f>
        <v>2.7980779060566134</v>
      </c>
      <c r="AK316" s="173">
        <f>IF(F316&gt;AG316, (AJ316-Isw_min)/1.08*0.8+1.2, AF316*0.2/350+1)</f>
        <v>2.5319095600419361</v>
      </c>
      <c r="AM316" s="545">
        <f t="shared" si="787"/>
        <v>1000</v>
      </c>
      <c r="AN316" s="460">
        <f t="shared" si="788"/>
        <v>350</v>
      </c>
      <c r="AP316">
        <f t="shared" si="789"/>
        <v>1000</v>
      </c>
      <c r="AQ316">
        <f t="shared" si="790"/>
        <v>350</v>
      </c>
      <c r="AS316" s="5">
        <f t="shared" si="763"/>
        <v>2.8571428571428572</v>
      </c>
      <c r="AT316" s="5">
        <f t="shared" si="791"/>
        <v>0.56025994136101009</v>
      </c>
      <c r="AU316" s="5">
        <f t="shared" si="883"/>
        <v>2.2968829157818469</v>
      </c>
      <c r="AV316" s="5"/>
      <c r="AW316" s="173">
        <f>AT316/AS316</f>
        <v>0.19609097947635354</v>
      </c>
      <c r="AX316" s="173">
        <f t="shared" si="792"/>
        <v>16.44140393356054</v>
      </c>
      <c r="AY316" s="173">
        <f t="shared" si="793"/>
        <v>1.1247000344034139</v>
      </c>
      <c r="AZ316" s="173">
        <f t="shared" si="794"/>
        <v>14.618479088321289</v>
      </c>
      <c r="BA316" s="460">
        <f t="shared" si="885"/>
        <v>3.5016246335063128</v>
      </c>
      <c r="BB316" s="5">
        <f t="shared" si="886"/>
        <v>0.51100613862409427</v>
      </c>
      <c r="BD316" s="173">
        <f t="shared" si="841"/>
        <v>0.71536548559729296</v>
      </c>
      <c r="BE316" s="173">
        <f t="shared" si="842"/>
        <v>1.4484470574159312</v>
      </c>
      <c r="BG316" s="528">
        <f t="shared" si="843"/>
        <v>1.0234955559677015E-2</v>
      </c>
      <c r="BH316" s="528">
        <f t="shared" si="795"/>
        <v>1.3649826745317519</v>
      </c>
      <c r="BI316" s="528">
        <f t="shared" si="796"/>
        <v>0.48244449722472937</v>
      </c>
      <c r="BJ316" s="528">
        <f t="shared" si="844"/>
        <v>1.0054190886228946</v>
      </c>
      <c r="BK316">
        <f t="shared" si="845"/>
        <v>2.6968947049829592E-2</v>
      </c>
      <c r="BL316" s="460">
        <f t="shared" si="846"/>
        <v>509.41344427455891</v>
      </c>
      <c r="BM316" s="528">
        <f t="shared" si="797"/>
        <v>2.3892102991046484</v>
      </c>
      <c r="BN316" s="460">
        <f t="shared" si="847"/>
        <v>2389.2102991046486</v>
      </c>
      <c r="BO316" s="528">
        <f t="shared" si="798"/>
        <v>0.7</v>
      </c>
      <c r="BR316" s="460">
        <f t="shared" si="848"/>
        <v>700</v>
      </c>
      <c r="BS316" s="528">
        <f t="shared" si="849"/>
        <v>1.5352433339515522E-2</v>
      </c>
      <c r="BT316" s="528">
        <f t="shared" si="850"/>
        <v>6.2939966344106091E-2</v>
      </c>
      <c r="BU316" s="528">
        <f t="shared" si="851"/>
        <v>1.5006852738672714</v>
      </c>
      <c r="BV316" s="528"/>
      <c r="BW316" s="528">
        <f t="shared" si="852"/>
        <v>1.3701169944633784E-2</v>
      </c>
      <c r="BX316" s="460">
        <f t="shared" si="853"/>
        <v>1592.6788434955267</v>
      </c>
      <c r="BY316" s="173">
        <f t="shared" si="854"/>
        <v>5.1827290064844096</v>
      </c>
      <c r="BZ316" s="5">
        <f t="shared" si="855"/>
        <v>16</v>
      </c>
      <c r="CA316" s="173">
        <f t="shared" si="856"/>
        <v>0.75533232734564637</v>
      </c>
      <c r="CB316" s="5">
        <f t="shared" si="857"/>
        <v>75.533232734564635</v>
      </c>
      <c r="CE316" s="562">
        <f t="shared" si="799"/>
        <v>-50</v>
      </c>
      <c r="CF316">
        <f t="shared" si="800"/>
        <v>-50</v>
      </c>
      <c r="CG316" s="173">
        <f t="shared" si="801"/>
        <v>0.72456883730947197</v>
      </c>
      <c r="CI316" s="170">
        <v>100</v>
      </c>
      <c r="CJ316" s="217">
        <f t="shared" si="858"/>
        <v>1</v>
      </c>
      <c r="CK316" s="217"/>
      <c r="CL316" s="217">
        <f t="shared" si="802"/>
        <v>16</v>
      </c>
      <c r="CM316" s="541">
        <f t="shared" si="803"/>
        <v>60</v>
      </c>
      <c r="CN316" s="443">
        <f t="shared" si="804"/>
        <v>16.399999999999999</v>
      </c>
      <c r="CO316" s="443">
        <f t="shared" si="805"/>
        <v>76.400000000000006</v>
      </c>
      <c r="CP316" s="443"/>
      <c r="CQ316" s="217">
        <f t="shared" si="806"/>
        <v>0.21465968586387432</v>
      </c>
      <c r="CR316" s="172">
        <f t="shared" si="807"/>
        <v>33.164921465968582</v>
      </c>
      <c r="CS316" s="172">
        <f t="shared" si="808"/>
        <v>16</v>
      </c>
      <c r="CT316" s="217">
        <f t="shared" si="809"/>
        <v>2.0728075916230364</v>
      </c>
      <c r="CU316" s="217">
        <f t="shared" si="810"/>
        <v>16</v>
      </c>
      <c r="CV316" s="217"/>
      <c r="CW316" s="172">
        <f t="shared" si="811"/>
        <v>90.264711590419225</v>
      </c>
      <c r="CX316" s="172">
        <f t="shared" si="812"/>
        <v>16</v>
      </c>
      <c r="CY316" s="217">
        <f t="shared" si="813"/>
        <v>2.4845528455284556</v>
      </c>
      <c r="CZ316" s="217">
        <f t="shared" si="814"/>
        <v>0.49691056910569115</v>
      </c>
      <c r="DA316" s="217">
        <f t="shared" si="815"/>
        <v>1.8179654967281382</v>
      </c>
      <c r="DB316" s="197">
        <f t="shared" si="816"/>
        <v>350</v>
      </c>
      <c r="DC316" s="443">
        <f t="shared" si="817"/>
        <v>350</v>
      </c>
      <c r="DE316" s="217">
        <f t="shared" si="818"/>
        <v>3.06656694091249</v>
      </c>
      <c r="DF316" s="173">
        <f t="shared" si="819"/>
        <v>2.2438294689603588</v>
      </c>
      <c r="DG316" s="173">
        <f t="shared" si="820"/>
        <v>1.2041493223478366</v>
      </c>
      <c r="DH316" s="173"/>
      <c r="DI316" s="173">
        <f t="shared" si="821"/>
        <v>0.73170731707317083</v>
      </c>
      <c r="DJ316" s="545">
        <f t="shared" si="822"/>
        <v>2733.333333333333</v>
      </c>
      <c r="DK316" s="528">
        <f t="shared" si="823"/>
        <v>0.12804878048780488</v>
      </c>
      <c r="DM316" s="173">
        <f t="shared" si="824"/>
        <v>2.7945525240230875</v>
      </c>
      <c r="DN316" s="173">
        <f t="shared" si="825"/>
        <v>2.7945525240230875</v>
      </c>
      <c r="DO316" s="173">
        <f t="shared" si="826"/>
        <v>2.529298165943028</v>
      </c>
      <c r="DQ316" s="545">
        <f t="shared" si="827"/>
        <v>1000</v>
      </c>
      <c r="DR316" s="460">
        <f t="shared" si="828"/>
        <v>350</v>
      </c>
      <c r="DT316">
        <f t="shared" si="829"/>
        <v>1000</v>
      </c>
      <c r="DU316">
        <f t="shared" si="830"/>
        <v>350</v>
      </c>
      <c r="DW316" s="5">
        <f t="shared" si="859"/>
        <v>2.8571428571428572</v>
      </c>
      <c r="DX316" s="5">
        <f t="shared" si="831"/>
        <v>0.55891050480461746</v>
      </c>
      <c r="DY316" s="5">
        <f t="shared" si="832"/>
        <v>2.29823235233824</v>
      </c>
      <c r="DZ316" s="5"/>
      <c r="EA316" s="173">
        <f t="shared" si="833"/>
        <v>0.19561867668161612</v>
      </c>
      <c r="EB316" s="173">
        <f t="shared" si="860"/>
        <v>16.400000000000002</v>
      </c>
      <c r="EC316" s="173">
        <f t="shared" si="861"/>
        <v>1.1239429286782103</v>
      </c>
      <c r="ED316" s="173">
        <f t="shared" si="862"/>
        <v>14.591488216654275</v>
      </c>
      <c r="EE316" s="460">
        <f t="shared" si="834"/>
        <v>3.4931906550288589</v>
      </c>
      <c r="EF316" s="5">
        <f t="shared" si="835"/>
        <v>0.51071830051960876</v>
      </c>
      <c r="EH316" s="173">
        <f t="shared" si="863"/>
        <v>0.71360323082523036</v>
      </c>
      <c r="EI316" s="173">
        <f t="shared" si="864"/>
        <v>1.4470470041192154</v>
      </c>
      <c r="EK316" s="528">
        <f t="shared" si="865"/>
        <v>1.018459142088414E-2</v>
      </c>
      <c r="EL316" s="528">
        <f t="shared" si="866"/>
        <v>1.4198003553551701</v>
      </c>
      <c r="EM316" s="528">
        <f t="shared" si="867"/>
        <v>4.0250000000000001E-2</v>
      </c>
      <c r="EN316" s="528">
        <f t="shared" si="868"/>
        <v>1.0061459800000001</v>
      </c>
      <c r="EO316">
        <f t="shared" si="869"/>
        <v>2.7E-2</v>
      </c>
      <c r="EP316" s="460">
        <f t="shared" si="870"/>
        <v>67.25</v>
      </c>
      <c r="EQ316" s="460"/>
      <c r="ER316" s="460">
        <f t="shared" si="871"/>
        <v>2503.3809267760544</v>
      </c>
      <c r="ES316" s="528">
        <f t="shared" si="872"/>
        <v>0.7</v>
      </c>
      <c r="EV316" s="460">
        <f t="shared" si="873"/>
        <v>700</v>
      </c>
      <c r="EW316" s="528">
        <f t="shared" si="874"/>
        <v>1.5276887131326208E-2</v>
      </c>
      <c r="EX316" s="528">
        <f t="shared" si="875"/>
        <v>6.2818350963911904E-2</v>
      </c>
      <c r="EY316" s="528">
        <f t="shared" si="876"/>
        <v>1.4959628439564705</v>
      </c>
      <c r="EZ316" s="528"/>
      <c r="FA316" s="528">
        <f t="shared" si="877"/>
        <v>1.3666666666666667E-2</v>
      </c>
      <c r="FB316" s="460">
        <f t="shared" si="878"/>
        <v>1587.7247487183752</v>
      </c>
      <c r="FC316" s="173">
        <f t="shared" si="879"/>
        <v>4.7911056754944292</v>
      </c>
      <c r="FD316" s="5">
        <f t="shared" si="880"/>
        <v>16</v>
      </c>
      <c r="FE316" s="173">
        <f t="shared" si="881"/>
        <v>0.76955984206547057</v>
      </c>
      <c r="FF316" s="5">
        <f t="shared" si="882"/>
        <v>76.955984206547058</v>
      </c>
      <c r="FI316" s="562">
        <f t="shared" si="836"/>
        <v>-50</v>
      </c>
      <c r="FJ316">
        <f t="shared" si="837"/>
        <v>-50</v>
      </c>
      <c r="FL316">
        <f t="shared" si="838"/>
        <v>0.71567808542054678</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5.0000000000000001E-4</v>
      </c>
      <c r="G322" s="884">
        <f>F322*Vout</f>
        <v>8.0000000000000002E-3</v>
      </c>
    </row>
    <row r="323" spans="5:165">
      <c r="E323" t="s">
        <v>907</v>
      </c>
    </row>
    <row r="324" spans="5:165">
      <c r="F324" t="s">
        <v>908</v>
      </c>
      <c r="G324" t="s">
        <v>909</v>
      </c>
      <c r="H324" t="s">
        <v>910</v>
      </c>
      <c r="I324" s="76" t="s">
        <v>660</v>
      </c>
    </row>
    <row r="325" spans="5:165">
      <c r="F325" s="885">
        <v>1.9999999999999999E-7</v>
      </c>
      <c r="G325">
        <f>VIN_max</f>
        <v>60</v>
      </c>
      <c r="H325">
        <f>15000</f>
        <v>15000</v>
      </c>
      <c r="I325">
        <f>L*0.9</f>
        <v>1.08E-5</v>
      </c>
    </row>
    <row r="326" spans="5:165">
      <c r="G326" s="76" t="s">
        <v>911</v>
      </c>
    </row>
    <row r="327" spans="5:165">
      <c r="G327" s="884">
        <f>0.5*(G325/I325*F325)^2*H325*I325</f>
        <v>0.10000000000000002</v>
      </c>
    </row>
    <row r="328" spans="5:165">
      <c r="E328" s="76" t="s">
        <v>912</v>
      </c>
    </row>
    <row r="329" spans="5:165">
      <c r="G329" t="str">
        <f>IF(G327&gt;G322, "Yes", "No")</f>
        <v>Yes</v>
      </c>
      <c r="H329">
        <f>(Vout*1.05)^2/(G327-G322)</f>
        <v>3067.8260869565211</v>
      </c>
    </row>
  </sheetData>
  <sheetProtection algorithmName="SHA-512" hashValue="yTp5TrgZ9+Be0jAE4LpT+2KlU5p49hct/PZYQlRF4eP6M9oZ7rsbCQhluGn65afkviYq1fMqVlK0OeIcvS2JoA==" saltValue="eoeOa3f5PJJVaBseCv/9ww=="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N9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160</v>
      </c>
      <c r="EA2">
        <f>Vout_ripple</f>
        <v>160</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1.6000000000000001E-8</v>
      </c>
      <c r="I5" s="217">
        <f>G5*Vout2</f>
        <v>8.0000000000000005E-9</v>
      </c>
      <c r="J5" s="541">
        <f t="shared" ref="J5:J36" si="1">Vin-(F5/CG5/Nps+G5/CH5/(Nps/Nsec1sec2))*(Rdcr_pri+RON/1000)</f>
        <v>23.999977520019222</v>
      </c>
      <c r="K5" s="443">
        <f t="shared" ref="K5:K36" si="2">MAX((S5+Vfwd2+Rdcr_sec*F5/CG5)*Nps,(Vout2+Vfwd22+Rdcr_sec2*G5/CH5)*Nps/Nsec1sec2)</f>
        <v>16.700007842193571</v>
      </c>
      <c r="L5" s="172">
        <f t="shared" ref="L5:L36" si="3">MAX((Vout+Vfwd2+F5/CG5*Rdcr_sec)*Nps+J5, (Vout2+Vfwd22+G5/CH5*Rdcr_sec2)*Nps/Nsec1sec2+J5)</f>
        <v>40.699985362212793</v>
      </c>
      <c r="M5" s="443"/>
      <c r="N5" s="217">
        <f t="shared" ref="N5:N36" si="4">MAX((Vout+Vfwd2+F5/CG5*Rdcr_sec)*Nps/((Vout+Vfwd2+F5/CG5*Rdcr_sec)*Nps+J5), (Vout2+Vfwd22+G5/CH5*Rdcr_sec2)*Nps/Nsec1sec2/((Vout2+Vfwd22+G5/CH5*Rdcr_sec2)*Nps/Nsec1sec2+J5))</f>
        <v>0.41031975057412201</v>
      </c>
      <c r="O5" s="172">
        <f>N5*J5*Isw_max*0.5*Efficiency*(Pout/Pout_total)</f>
        <v>24.619161974497054</v>
      </c>
      <c r="P5" s="172">
        <f t="shared" ref="P5:P36" si="5">N5*J5*Isw_max*0.5*Efficiency*(Pout2/Pout_total)</f>
        <v>3.0773952468121317</v>
      </c>
      <c r="Q5" s="217">
        <f t="shared" ref="Q5:Q68" si="6">O5/Vout</f>
        <v>1.5386976234060659</v>
      </c>
      <c r="R5" s="217">
        <f t="shared" ref="R5:R36" si="7">O5/Vout2</f>
        <v>3.0773952468121317</v>
      </c>
      <c r="S5" s="443">
        <f t="shared" ref="S5:S36" si="8">MIN(Vout,O5/F5)</f>
        <v>16</v>
      </c>
      <c r="T5" s="217">
        <f t="shared" ref="T5:T36" si="9">MIN(2*(Vout*F5+Vout2*G5)/(Efficiency*J5*N5), Isw_max)</f>
        <v>4.8742520206133661E-9</v>
      </c>
      <c r="U5" s="217">
        <f t="shared" ref="U5:U68" si="10">L*T5/J5*1000000</f>
        <v>2.4371282930815657E-9</v>
      </c>
      <c r="V5" s="217">
        <f t="shared" ref="V5:V68" si="11">L*T5/K5*1000000</f>
        <v>3.5024548970318034E-9</v>
      </c>
      <c r="W5" s="197">
        <f t="shared" ref="W5:W68" si="12">IF(1/((350000*L)*(1/J5+1/K5))&gt;Isw_min, 350, 0.001/((Isw_min*L)*(1/J5+1/K5)))</f>
        <v>350</v>
      </c>
      <c r="X5" s="443">
        <f>MIN(1/(U5+V5+0.2)*1000, 350)</f>
        <v>350</v>
      </c>
      <c r="Z5" s="217">
        <f t="shared" ref="Z5:Z68" si="13">1/((W5*1000*L)*(1/J5+1/K5))</f>
        <v>2.3446820928092431</v>
      </c>
      <c r="AA5" s="173">
        <f t="shared" ref="AA5:AA68" si="14">L*Z5/K5*1000000</f>
        <v>1.6848007126453655</v>
      </c>
      <c r="AB5" s="173">
        <f t="shared" ref="AB5:AB36" si="15">0.5*AA5*Z5*Nps*W5/1000*(Pout/Pout_total)</f>
        <v>0.69130636065607198</v>
      </c>
      <c r="AC5" s="173"/>
      <c r="AD5" s="173">
        <f t="shared" ref="AD5:AD68" si="16">L*Isw_min/K5*1000000</f>
        <v>0.71856253681996962</v>
      </c>
      <c r="AE5" s="545">
        <f t="shared" ref="AE5:AE36" si="17">MAX(10, F5/(0.5*AD5/1000000*Isw_min*Nps)/1000*Pout_total/Pout)</f>
        <v>10</v>
      </c>
      <c r="AF5" s="528">
        <f t="shared" ref="AF5:AF36" si="18">0.5*AD5/1000000*Isw_min*Nps*W5*1000*(Pout/Pout_total)</f>
        <v>0.12574844394349469</v>
      </c>
      <c r="AH5" s="173">
        <f t="shared" ref="AH5:AH36" si="19">SQRT((H5+I5)/(0.5*L*Fsw_DCM))</f>
        <v>1.0690449676496975E-4</v>
      </c>
      <c r="AI5" s="173">
        <f t="shared" ref="AI5:AI36" si="20">MAX(IF(F5&gt;AB5,T5,AH5),Isw_min)</f>
        <v>1</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0.50000046833337164</v>
      </c>
      <c r="AT5" s="5">
        <f>AR5-AS5</f>
        <v>99.499999531666631</v>
      </c>
      <c r="AU5" s="173">
        <f>AS5/AR5</f>
        <v>5.0000046833337166E-3</v>
      </c>
      <c r="AW5" s="5">
        <f t="shared" ref="AW5:AW36" si="26">F5*AS5/Vout_ripple*1000</f>
        <v>3.1250029270835728E-9</v>
      </c>
      <c r="AX5" s="5">
        <f t="shared" ref="AX5:AX36" si="27">G5*AS5/Vout_ripple2*1000</f>
        <v>6.2500058541671456E-9</v>
      </c>
      <c r="AY5" s="5">
        <f t="shared" ref="AY5:AY68" si="28">H5/Efficiency/J5*AT5/Vinripple1</f>
        <v>5.5277829294448401E-8</v>
      </c>
      <c r="AZ5" s="5"/>
      <c r="BA5" s="173">
        <f>AI5*SQRT(AU5/3)</f>
        <v>4.082484816601166E-2</v>
      </c>
      <c r="BB5" s="173">
        <f t="shared" ref="BB5:BB36" si="29">AI5*Npri_sec1*SQRT((1-AU5)/3)*(Pout/Pout_total)</f>
        <v>0.57590508341701185</v>
      </c>
      <c r="BC5" s="173">
        <f t="shared" ref="BC5:BC36" si="30">AI5*Npri_sec2*SQRT((1-AU5)/3)*(Pout2/Pout_total)</f>
        <v>0.14143551313329555</v>
      </c>
      <c r="BD5" s="173"/>
      <c r="BE5" s="528">
        <f t="shared" ref="BE5:BE68" si="31">Rdson*BA5^2</f>
        <v>3.3333364555558112E-5</v>
      </c>
      <c r="BF5" s="528">
        <f t="shared" ref="BF5:BF36" si="32">0.5*L5*AI5*AM5*1000*Tfall</f>
        <v>7.4277473286038362E-3</v>
      </c>
      <c r="BG5" s="528">
        <f t="shared" ref="BG5:BG36" si="33">Qg*Vdd*AM5*1000*0+Qg*J5*AM5*1000</f>
        <v>5.519994829604421E-3</v>
      </c>
      <c r="BH5" s="528">
        <f t="shared" ref="BH5:BH68" si="34">0.5*(Coss+Csw)*L5^2*AM5*1000</f>
        <v>8.1582073817853522E-3</v>
      </c>
      <c r="BI5">
        <f t="shared" ref="BI5:BI68" si="35">J5*IQ</f>
        <v>1.0799989884008649E-2</v>
      </c>
      <c r="BJ5" s="460">
        <f>(BG5+BI5)*1000</f>
        <v>16.319984713613071</v>
      </c>
      <c r="BK5">
        <f t="shared" ref="BK5:BK36" si="36">(BF5+BG5*0+BH5+BI5*0+BE5*(1+RdsonTC*(Ta-25)))/(1-BE5*RdsonTC*ThetaJA)</f>
        <v>1.5628411860512618E-2</v>
      </c>
      <c r="BL5" s="460">
        <f>BK5*1000</f>
        <v>15.628411860512617</v>
      </c>
      <c r="BM5" s="173">
        <f t="shared" ref="BM5:BM36" si="37">Vfwd2*F5*(1+Diode_TC/1000*(Ta-25))</f>
        <v>6.212499999999999E-10</v>
      </c>
      <c r="BN5" s="173">
        <f t="shared" ref="BN5:BN36" si="38">Vfwd22*G5*(1+Diode_TC/1000*(Ta-25))</f>
        <v>4.4374999999999999E-10</v>
      </c>
      <c r="BO5" s="528"/>
      <c r="BQ5" s="460">
        <f>SUM(BM5:BP5)*1000</f>
        <v>1.065E-6</v>
      </c>
      <c r="BR5" s="528">
        <f t="shared" ref="BR5:BR68" si="39">Rdcr_pri*BA5^2</f>
        <v>5.0000046833337165E-5</v>
      </c>
      <c r="BS5" s="528">
        <f>Rdcr_sec*BB5^2</f>
        <v>9.9499999531666612E-3</v>
      </c>
      <c r="BT5" s="528">
        <f t="shared" ref="BT5:BT36" si="40">Rdcr_sec2*BC5^2</f>
        <v>1.0002002187639309E-4</v>
      </c>
      <c r="BU5" s="528">
        <f t="shared" ref="BU5:BU68" si="41">AI5^2.5*AM5^2.5*k_core</f>
        <v>1.5811388300841911E-5</v>
      </c>
      <c r="BV5" s="528">
        <f t="shared" ref="BV5:BV36" si="42">(BU5+(BR5+BS5+BT5)*(1+Ltc*(Ta-25)))/(1-(BR5+BS5+BT5)*Ltc*ThetaCa)</f>
        <v>1.2549976616635735E-2</v>
      </c>
      <c r="BW5" s="625">
        <f t="shared" ref="BW5:BW36" si="43">0.5*Lleak*0.000000001*AI5^2*AM5*1000</f>
        <v>4.9999999999999996E-5</v>
      </c>
      <c r="BX5" s="460">
        <f>(BV5+BW5)*1000</f>
        <v>12.599976616635734</v>
      </c>
      <c r="BY5" s="173">
        <f>SUM(BK5,BM5:BP5,BV5:BW5)</f>
        <v>2.8228389542148354E-2</v>
      </c>
      <c r="BZ5" s="5">
        <f>MIN(H5+I5,O5+P5)</f>
        <v>2.4000000000000003E-8</v>
      </c>
      <c r="CA5" s="173">
        <f>BZ5/(BZ5+BY5)</f>
        <v>8.5020718447975008E-7</v>
      </c>
      <c r="CB5" s="5">
        <f>CA5*100</f>
        <v>8.5020718447975004E-5</v>
      </c>
      <c r="CC5">
        <v>0</v>
      </c>
      <c r="CE5" s="562">
        <f t="shared" ref="CE5:CE36" si="44">IF(ABS(F5-Ioutmax_Vinnom)&lt;Iout/200, AM5, -50)</f>
        <v>-50</v>
      </c>
      <c r="CF5">
        <f t="shared" ref="CF5:CF36" si="45">IF(ABS(F5-Ioutmax_Vinnom)&lt;Iout/200, (O5+P5)*CA5, -50)</f>
        <v>-50</v>
      </c>
      <c r="CG5" s="173">
        <f t="shared" ref="CG5:CG36" si="46">MIN(SQRT(2*DT5*1000*Ls1_*(CL5+CJ5*Vfwd1))/(CW5+Vfwd1), 1-DY5)</f>
        <v>3.82546027838003E-6</v>
      </c>
      <c r="CH5" s="173">
        <f t="shared" ref="CH5:CH36" si="47">MIN(SQRT(2*DT5*1000*Ls2_*(CM5+CK5*Vfwd22))/(Vout2+Vfwd22), 1-DY5)</f>
        <v>2.7045724049428059E-6</v>
      </c>
      <c r="CI5" s="170">
        <v>0.1</v>
      </c>
      <c r="CJ5" s="217">
        <v>1.0000000000000001E-9</v>
      </c>
      <c r="CK5" s="217">
        <v>1.0000000000000001E-9</v>
      </c>
      <c r="CL5" s="217">
        <f t="shared" ref="CL5:CL68" si="48">CJ5*Vout</f>
        <v>1.6000000000000001E-8</v>
      </c>
      <c r="CM5" s="217">
        <f>CK5*Vout2</f>
        <v>8.0000000000000005E-9</v>
      </c>
      <c r="CN5" s="541">
        <f>Vin</f>
        <v>24</v>
      </c>
      <c r="CO5" s="443">
        <f t="shared" ref="CO5:CO36" si="49">(CW5+Vfwd2)*Nps</f>
        <v>16.7</v>
      </c>
      <c r="CP5" s="443">
        <f t="shared" ref="CP5:CP36" si="50">(Vout+Vfwd2)*Nps+CN5</f>
        <v>40.700000000000003</v>
      </c>
      <c r="CQ5" s="443"/>
      <c r="CR5" s="217">
        <f>(Vout+Vfwd2)*Nps/((Vout+Vfwd2)*Nps+CN5)</f>
        <v>0.41031941031941027</v>
      </c>
      <c r="CS5" s="172">
        <f>CR5*CN5*Isw_max*0.5*Efficiency*(Pout/Pout_total)</f>
        <v>24.619164619164614</v>
      </c>
      <c r="CT5" s="172">
        <f t="shared" ref="CT5:CT68" si="51">CR5*CN5*Isw_max*0.5*Efficiency*(Pout2/Pout_total)</f>
        <v>3.0773955773955768</v>
      </c>
      <c r="CU5" s="217">
        <f t="shared" ref="CU5:CU68" si="52">CS5/Vout</f>
        <v>1.5386977886977884</v>
      </c>
      <c r="CV5" s="217">
        <f t="shared" ref="CV5:CV68" si="53">CS5/Vout2</f>
        <v>3.0773955773955768</v>
      </c>
      <c r="CW5" s="443">
        <f t="shared" ref="CW5:CW68" si="54">MIN(Vout,CS5/CJ5)</f>
        <v>16</v>
      </c>
      <c r="CX5" s="217">
        <f t="shared" ref="CX5:CX68" si="55">MIN(2*(Vout*CJ5+Vout2*CK5)/(Efficiency*CN5*CR5), Isw_max)</f>
        <v>4.8742514970059894E-9</v>
      </c>
      <c r="CY5" s="217">
        <f t="shared" ref="CY5:CY68" si="56">L*CX5/CN5*1000000</f>
        <v>2.4371257485029947E-9</v>
      </c>
      <c r="CZ5" s="217">
        <f t="shared" ref="CZ5:CZ68" si="57">L*CX5/CO5*1000000</f>
        <v>3.5024561655132859E-9</v>
      </c>
      <c r="DA5" s="197">
        <f t="shared" ref="DA5:DA68" si="58">IF(1/((350000*L)*(1/CN5+1/CO5))&gt;Isw_min, 350, 0.001/((Isw_min*L)*(1/CN5+1/CO5)))</f>
        <v>350</v>
      </c>
      <c r="DB5" s="443">
        <f>MIN(1/(CY5+CZ5)*1000, 350)</f>
        <v>350</v>
      </c>
      <c r="DD5" s="217">
        <f t="shared" ref="DD5:DD68" si="59">1/((DA5*1000*L)*(1/CN5+1/CO5))</f>
        <v>2.344682344682345</v>
      </c>
      <c r="DE5" s="173">
        <f t="shared" ref="DE5:DE68" si="60">L*DD5/CO5*1000000</f>
        <v>1.6848016848016851</v>
      </c>
      <c r="DF5" s="173">
        <f t="shared" ref="DF5:DF68" si="61">0.5*DE5*DD5*Nps*DA5/1000*(Pout/Pout_total)</f>
        <v>0.69130683381297664</v>
      </c>
      <c r="DG5" s="173"/>
      <c r="DH5" s="173">
        <f t="shared" ref="DH5:DH68" si="62">L*Isw_min/CO5*1000000</f>
        <v>0.71856287425149712</v>
      </c>
      <c r="DI5" s="545">
        <f t="shared" ref="DI5:DI68" si="63">MAX(10, CJ5/(0.5*DH5/1000000*Isw_min*Nps)/1000*Pout_total/Pout)</f>
        <v>10</v>
      </c>
      <c r="DJ5" s="528">
        <f t="shared" ref="DJ5:DJ68" si="64">0.5*DH5/1000000*Isw_min*Nps*DA5*1000*(Pout/Pout_total)</f>
        <v>0.125748502994012</v>
      </c>
      <c r="DL5" s="173">
        <f t="shared" ref="DL5:DL68" si="65">SQRT((CL5+CM5)/(0.5*L*Fsw_DCM))</f>
        <v>1.0690449676496975E-4</v>
      </c>
      <c r="DM5" s="173">
        <f t="shared" ref="DM5:DM68" si="66">MAX(IF(CJ5&gt;DF5,CX5,DL5),Isw_min)</f>
        <v>1</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0.5</v>
      </c>
      <c r="DX5" s="5">
        <f>DV5-DW5</f>
        <v>99.5</v>
      </c>
      <c r="DY5" s="173">
        <f>DW5/DV5</f>
        <v>5.0000000000000001E-3</v>
      </c>
      <c r="EA5" s="5">
        <f t="shared" ref="EA5:EA68" si="72">CJ5*DW5/Vout_ripple*1000</f>
        <v>3.1250000000000003E-9</v>
      </c>
      <c r="EB5" s="5">
        <f t="shared" ref="EB5:EB68" si="73">CK5*DW5/Vout_ripple2*1000</f>
        <v>6.2500000000000005E-9</v>
      </c>
      <c r="EC5" s="5">
        <f t="shared" ref="EC5:EC68" si="74">CL5/Efficiency/CN5*DX5/Vinripple1</f>
        <v>5.5277777777777779E-8</v>
      </c>
      <c r="ED5" s="5"/>
      <c r="EE5" s="173">
        <f>DM5*SQRT(DY5/3)</f>
        <v>4.0824829046386304E-2</v>
      </c>
      <c r="EF5" s="173">
        <f t="shared" ref="EF5:EF68" si="75">DM5*Npri_sec1*SQRT((1-DY5)/3)*(Pout/Pout_total)</f>
        <v>0.57590508477236657</v>
      </c>
      <c r="EG5" s="173">
        <f t="shared" ref="EG5:EG68" si="76">DM5*Npri_sec2*SQRT((1-DY5)/3)*(Pout2/Pout_total)</f>
        <v>0.14143551346615471</v>
      </c>
      <c r="EH5" s="173"/>
      <c r="EI5" s="528">
        <f t="shared" ref="EI5:EI68" si="77">Rdson*EE5^2</f>
        <v>3.3333333333333342E-5</v>
      </c>
      <c r="EJ5" s="528">
        <f t="shared" ref="EJ5:EJ68" si="78">0.5*CP5*DM5*DQ5*1000*Trise</f>
        <v>7.7330000000000003E-3</v>
      </c>
      <c r="EK5" s="528">
        <f t="shared" ref="EK5:EK68" si="79">Qg*Vdd*DQ5*1000</f>
        <v>1.15E-3</v>
      </c>
      <c r="EL5" s="528">
        <f t="shared" ref="EL5:EL68" si="80">0.5*(Coss+Csw)*CP5^2*DQ5*1000</f>
        <v>8.1582132500000026E-3</v>
      </c>
      <c r="EM5">
        <f t="shared" ref="EM5:EM68" si="81">CN5*IQ</f>
        <v>1.0800000000000001E-2</v>
      </c>
      <c r="EN5" s="460">
        <f>(EK5+EM5)*1000</f>
        <v>11.950000000000001</v>
      </c>
      <c r="EO5">
        <f t="shared" ref="EO5:EO68" si="82">(EJ5+EK5+EL5+EM5+EI5*(1+RdsonTC*(Ta-25)))/(1-EI5*RdsonTC*ThetaJA)</f>
        <v>2.7883767422771325E-2</v>
      </c>
      <c r="EP5" s="460">
        <f>EO5*1000</f>
        <v>27.883767422771324</v>
      </c>
      <c r="EQ5" s="173">
        <f t="shared" ref="EQ5:EQ68" si="83">Vfwd2*CJ5*(1+Diode_TC/1000*(Ta-25))</f>
        <v>6.212499999999999E-10</v>
      </c>
      <c r="ER5" s="173">
        <f t="shared" ref="ER5:ER36" si="84">Vfwd22*CK5*(1+Diode_TC/1000*(Ta-25))</f>
        <v>4.4374999999999999E-10</v>
      </c>
      <c r="ES5" s="528"/>
      <c r="EU5" s="460">
        <f>SUM(EQ5:ET5)*1000</f>
        <v>1.065E-6</v>
      </c>
      <c r="EV5" s="528">
        <f t="shared" ref="EV5:EV68" si="85">Rdcr_pri*EE5^2</f>
        <v>5.0000000000000009E-5</v>
      </c>
      <c r="EW5" s="528">
        <f>Rdcr_sec*EF5^2</f>
        <v>9.9500000000000005E-3</v>
      </c>
      <c r="EX5" s="528">
        <f t="shared" ref="EX5:EX68" si="86">Rdcr_sec2*EG5^2</f>
        <v>1.0002002234717415E-4</v>
      </c>
      <c r="EY5" s="528">
        <f t="shared" ref="EY5:EY68" si="87">DM5^2.5*DQ5^2.5*k_core</f>
        <v>1.5811388300841911E-5</v>
      </c>
      <c r="EZ5" s="528">
        <f t="shared" ref="EZ5:EZ68" si="88">(EY5+(EV5+EW5+EX5)*(1+Ltc*(Ta-25)))/(1-(EV5+EW5+EX5)*Ltc*ThetaCa)</f>
        <v>1.2549976617220451E-2</v>
      </c>
      <c r="FA5" s="625">
        <f t="shared" ref="FA5:FA68" si="89">0.5*Lleak*0.000000001*DM5^2*DQ5*1000</f>
        <v>4.9999999999999996E-5</v>
      </c>
      <c r="FB5" s="460">
        <f>(EZ5+FA5)*1000</f>
        <v>12.599976617220451</v>
      </c>
      <c r="FC5" s="173">
        <f>SUM(EO5,EQ5:ET5,EZ5:FA5)</f>
        <v>4.0483745104991774E-2</v>
      </c>
      <c r="FD5" s="5">
        <f>MIN(CL5+CM5,CS5+CT5)</f>
        <v>2.4000000000000003E-8</v>
      </c>
      <c r="FE5" s="173">
        <f>FD5/(FD5+FC5)</f>
        <v>5.9283017689775153E-7</v>
      </c>
      <c r="FF5" s="5">
        <f>FE5*100</f>
        <v>5.9283017689775156E-5</v>
      </c>
      <c r="FG5">
        <v>0</v>
      </c>
      <c r="FI5" s="562">
        <f t="shared" ref="FI5:FI68" si="90">IF(ABS(CJ5-Ioutmax_Vinnom)&lt;Iout/200, DQ5, -50)</f>
        <v>-50</v>
      </c>
      <c r="FJ5">
        <f t="shared" ref="FJ5:FJ68" si="91">IF(ABS(CJ5-Ioutmax_Vinnom)&lt;Iout/200, (CS5+CT5)*FE5, -50)</f>
        <v>-50</v>
      </c>
      <c r="FL5">
        <f t="shared" ref="FL5:FL68" si="92">MIN(SQRT(2*DQ5*1000*L*CJ5*(Vout+Vfwd1))/(Nps*(Vout+Vfwd1)),1-DY5)</f>
        <v>3.82546027838003E-6</v>
      </c>
      <c r="FM5">
        <f>MIN(,)</f>
        <v>0</v>
      </c>
    </row>
    <row r="6" spans="2:169">
      <c r="E6" s="170">
        <v>1</v>
      </c>
      <c r="F6" s="217">
        <f>IF(PLOT_TYPE=1, E6/100*Iout, min_I*EXP(O6*rr/100))</f>
        <v>0.01</v>
      </c>
      <c r="G6" s="217">
        <f t="shared" ref="G6:G37" si="93">IF(PLOT_TYPE=1, E6/100*Iout2, min_I*EXP(Q6*rr/100))</f>
        <v>2.5000000000000001E-3</v>
      </c>
      <c r="H6" s="217">
        <f t="shared" si="0"/>
        <v>0.16</v>
      </c>
      <c r="I6" s="217">
        <f>G6*Vout2</f>
        <v>0.02</v>
      </c>
      <c r="J6" s="541">
        <f t="shared" si="1"/>
        <v>23.966307696403316</v>
      </c>
      <c r="K6" s="443">
        <f t="shared" si="2"/>
        <v>16.714864658887183</v>
      </c>
      <c r="L6" s="172">
        <f t="shared" si="3"/>
        <v>40.681172355290499</v>
      </c>
      <c r="M6" s="443"/>
      <c r="N6" s="217">
        <f t="shared" si="4"/>
        <v>0.41087470422207367</v>
      </c>
      <c r="O6" s="172">
        <f t="shared" ref="O6:O37" si="94">N6*J6*Isw_max*0.5*Efficiency*Pout/(Pout+Pout2)</f>
        <v>21.8825546356776</v>
      </c>
      <c r="P6" s="172">
        <f t="shared" si="5"/>
        <v>3.0772342456421624</v>
      </c>
      <c r="Q6" s="217">
        <f t="shared" si="6"/>
        <v>1.36765966472985</v>
      </c>
      <c r="R6" s="217">
        <f t="shared" si="7"/>
        <v>2.7353193294597</v>
      </c>
      <c r="S6" s="443">
        <f t="shared" si="8"/>
        <v>16</v>
      </c>
      <c r="T6" s="217">
        <f t="shared" si="9"/>
        <v>3.6558802814351012E-2</v>
      </c>
      <c r="U6" s="217">
        <f t="shared" si="10"/>
        <v>1.8305098946803967E-2</v>
      </c>
      <c r="V6" s="217">
        <f t="shared" si="11"/>
        <v>2.6246436493816014E-2</v>
      </c>
      <c r="W6" s="197">
        <f t="shared" si="12"/>
        <v>350</v>
      </c>
      <c r="X6" s="443">
        <f t="shared" ref="X6:X69" si="95">MIN(1/(U6+V6+0.2)*1000, 350)</f>
        <v>350</v>
      </c>
      <c r="Z6" s="217">
        <f t="shared" si="13"/>
        <v>2.3445594252511714</v>
      </c>
      <c r="AA6" s="173">
        <f t="shared" si="14"/>
        <v>1.6832151307940755</v>
      </c>
      <c r="AB6" s="173">
        <f t="shared" si="15"/>
        <v>0.69061963243501079</v>
      </c>
      <c r="AC6" s="173"/>
      <c r="AD6" s="173">
        <f t="shared" si="16"/>
        <v>0.71792385070971421</v>
      </c>
      <c r="AE6" s="545">
        <f t="shared" si="17"/>
        <v>27.858107764811972</v>
      </c>
      <c r="AF6" s="528">
        <f t="shared" si="18"/>
        <v>0.12563667387419999</v>
      </c>
      <c r="AH6" s="173">
        <f t="shared" si="19"/>
        <v>0.29277002188455992</v>
      </c>
      <c r="AI6" s="173">
        <f t="shared" si="20"/>
        <v>1</v>
      </c>
      <c r="AJ6" s="173">
        <f t="shared" si="21"/>
        <v>1.0159189187227498</v>
      </c>
      <c r="AL6" s="545">
        <f t="shared" si="22"/>
        <v>10</v>
      </c>
      <c r="AM6" s="460">
        <f t="shared" si="23"/>
        <v>27.858107764811972</v>
      </c>
      <c r="AO6">
        <f t="shared" ref="AO6:AO69" si="96">IF(H6&gt;O6, "",AL6)</f>
        <v>10</v>
      </c>
      <c r="AP6" s="460">
        <f t="shared" si="24"/>
        <v>27.858107764811972</v>
      </c>
      <c r="AQ6" s="460"/>
      <c r="AR6" s="5">
        <f t="shared" ref="AR6:AR69" si="97">1/AM6*1000</f>
        <v>35.89619253548571</v>
      </c>
      <c r="AS6" s="5">
        <f t="shared" si="25"/>
        <v>0.50070290976865284</v>
      </c>
      <c r="AT6" s="5">
        <f t="shared" ref="AT6:AT69" si="98">AR6-AS6</f>
        <v>35.395489625717055</v>
      </c>
      <c r="AU6" s="173">
        <f t="shared" ref="AU6:AU69" si="99">AS6/AR6</f>
        <v>1.3948635618490055E-2</v>
      </c>
      <c r="AW6" s="5">
        <f t="shared" si="26"/>
        <v>3.1293931860540802E-2</v>
      </c>
      <c r="AX6" s="5">
        <f t="shared" si="27"/>
        <v>1.5646965930270401E-2</v>
      </c>
      <c r="AY6" s="5">
        <f t="shared" si="28"/>
        <v>0.1969180516475855</v>
      </c>
      <c r="AZ6" s="5"/>
      <c r="BA6" s="173">
        <f t="shared" ref="BA6:BA69" si="100">AI6*SQRT(AU6/3)</f>
        <v>6.8187573693183651E-2</v>
      </c>
      <c r="BB6" s="173">
        <f t="shared" si="29"/>
        <v>0.57330950465448416</v>
      </c>
      <c r="BC6" s="173">
        <f t="shared" si="30"/>
        <v>0.1407980695254395</v>
      </c>
      <c r="BD6" s="173"/>
      <c r="BE6" s="528">
        <f t="shared" si="31"/>
        <v>9.299090412326702E-5</v>
      </c>
      <c r="BF6" s="528">
        <f t="shared" si="32"/>
        <v>2.0682733823374454E-2</v>
      </c>
      <c r="BG6" s="528">
        <f t="shared" si="33"/>
        <v>1.5356087598214063E-2</v>
      </c>
      <c r="BH6" s="528">
        <f t="shared" si="34"/>
        <v>2.2706216207002267E-2</v>
      </c>
      <c r="BI6">
        <f t="shared" si="35"/>
        <v>1.0784838463381493E-2</v>
      </c>
      <c r="BJ6" s="460">
        <f t="shared" ref="BJ6:BJ69" si="101">(BG6+BI6)*1000</f>
        <v>26.140926061595557</v>
      </c>
      <c r="BK6">
        <f t="shared" si="36"/>
        <v>4.3508009772374956E-2</v>
      </c>
      <c r="BL6" s="460">
        <f t="shared" ref="BL6:BL69" si="102">BK6*1000</f>
        <v>43.508009772374955</v>
      </c>
      <c r="BM6" s="173">
        <f t="shared" si="37"/>
        <v>6.2124999999999993E-3</v>
      </c>
      <c r="BN6" s="173">
        <f t="shared" si="38"/>
        <v>1.1093749999999999E-3</v>
      </c>
      <c r="BO6" s="528"/>
      <c r="BQ6" s="460">
        <f t="shared" ref="BQ6:BQ69" si="103">SUM(BM6:BP6)*1000</f>
        <v>7.3218749999999995</v>
      </c>
      <c r="BR6" s="528">
        <f t="shared" si="39"/>
        <v>1.3948635618490053E-4</v>
      </c>
      <c r="BS6" s="528">
        <f t="shared" ref="BS6:BS68" si="104">Rdcr_sec*BB6^2</f>
        <v>9.860513643815098E-3</v>
      </c>
      <c r="BT6" s="528">
        <f t="shared" si="40"/>
        <v>9.9120481910452475E-5</v>
      </c>
      <c r="BU6" s="528">
        <f t="shared" si="41"/>
        <v>2.0480900112299354E-4</v>
      </c>
      <c r="BV6" s="528">
        <f t="shared" si="42"/>
        <v>1.2738009814357149E-2</v>
      </c>
      <c r="BW6" s="625">
        <f t="shared" si="43"/>
        <v>1.3929053882405986E-4</v>
      </c>
      <c r="BX6" s="460">
        <f t="shared" ref="BX6:BX69" si="105">(BV6+BW6)*1000</f>
        <v>12.877300353181209</v>
      </c>
      <c r="BY6" s="173">
        <f t="shared" ref="BY6:BY69" si="106">SUM(BK6,BM6:BP6,BV6:BW6)</f>
        <v>6.3707185125556162E-2</v>
      </c>
      <c r="BZ6" s="5">
        <f t="shared" ref="BZ6:BZ69" si="107">MIN(H6+I6,O6+P6)</f>
        <v>0.18</v>
      </c>
      <c r="CA6" s="173">
        <f t="shared" ref="CA6:CA69" si="108">BZ6/(BZ6+BY6)</f>
        <v>0.73859127258502988</v>
      </c>
      <c r="CB6" s="5">
        <f t="shared" ref="CB6:CB69" si="109">CA6*100</f>
        <v>73.859127258502994</v>
      </c>
      <c r="CC6">
        <f t="shared" ref="CC6:CC37" si="110">F6/Iout*100</f>
        <v>1</v>
      </c>
      <c r="CE6" s="562">
        <f t="shared" si="44"/>
        <v>-50</v>
      </c>
      <c r="CF6">
        <f t="shared" si="45"/>
        <v>-50</v>
      </c>
      <c r="CG6" s="173">
        <f t="shared" si="46"/>
        <v>2.0182097838696844E-2</v>
      </c>
      <c r="CH6" s="173">
        <f t="shared" si="47"/>
        <v>7.1342976944345675E-3</v>
      </c>
      <c r="CI6" s="170">
        <v>1</v>
      </c>
      <c r="CJ6" s="217">
        <f>IF(PLOT_TYPE=1, CI6/100*Iout, min_I*EXP(CS6*rr/100))</f>
        <v>0.01</v>
      </c>
      <c r="CK6" s="217">
        <f t="shared" ref="CK6:CK69" si="111">IF(PLOT_TYPE=1, CI6/100*Iout2, min_I*EXP(CU6*rr/100))</f>
        <v>2.5000000000000001E-3</v>
      </c>
      <c r="CL6" s="217">
        <f t="shared" si="48"/>
        <v>0.16</v>
      </c>
      <c r="CM6" s="217">
        <f>CK6*Vout2</f>
        <v>0.02</v>
      </c>
      <c r="CN6" s="541">
        <f t="shared" ref="CN6:CN69" si="112">Vin</f>
        <v>24</v>
      </c>
      <c r="CO6" s="443">
        <f t="shared" si="49"/>
        <v>16.7</v>
      </c>
      <c r="CP6" s="443">
        <f t="shared" si="50"/>
        <v>40.700000000000003</v>
      </c>
      <c r="CQ6" s="443"/>
      <c r="CR6" s="217">
        <f t="shared" ref="CR6:CR68" si="113">(Vout+Vfwd1)*Nps/((Vout+Vfwd1)*Nps+CN6)</f>
        <v>0.40594059405940591</v>
      </c>
      <c r="CS6" s="172">
        <f t="shared" ref="CS6:CS69" si="114">CR6*CN6*Isw_max*0.5*Efficiency*Pout/(Pout+Pout2)</f>
        <v>21.650165016501649</v>
      </c>
      <c r="CT6" s="172">
        <f t="shared" si="51"/>
        <v>3.0445544554455446</v>
      </c>
      <c r="CU6" s="217">
        <f t="shared" si="52"/>
        <v>1.3531353135313531</v>
      </c>
      <c r="CV6" s="217">
        <f t="shared" si="53"/>
        <v>2.7062706270627062</v>
      </c>
      <c r="CW6" s="443">
        <f t="shared" si="54"/>
        <v>16</v>
      </c>
      <c r="CX6" s="217">
        <f t="shared" si="55"/>
        <v>3.695121951219512E-2</v>
      </c>
      <c r="CY6" s="217">
        <f t="shared" si="56"/>
        <v>1.8475609756097564E-2</v>
      </c>
      <c r="CZ6" s="217">
        <f t="shared" si="57"/>
        <v>2.6551774499780929E-2</v>
      </c>
      <c r="DA6" s="197">
        <f t="shared" si="58"/>
        <v>350</v>
      </c>
      <c r="DB6" s="443">
        <f t="shared" ref="DB6:DB69" si="115">MIN(1/(CY6+CZ6)*1000, 350)</f>
        <v>350</v>
      </c>
      <c r="DD6" s="217">
        <f t="shared" si="59"/>
        <v>2.344682344682345</v>
      </c>
      <c r="DE6" s="173">
        <f t="shared" si="60"/>
        <v>1.6848016848016851</v>
      </c>
      <c r="DF6" s="173">
        <f t="shared" si="61"/>
        <v>0.69130683381297664</v>
      </c>
      <c r="DG6" s="173"/>
      <c r="DH6" s="173">
        <f t="shared" si="62"/>
        <v>0.71856287425149712</v>
      </c>
      <c r="DI6" s="545">
        <f t="shared" si="63"/>
        <v>27.833333333333332</v>
      </c>
      <c r="DJ6" s="528">
        <f t="shared" si="64"/>
        <v>0.125748502994012</v>
      </c>
      <c r="DL6" s="173">
        <f t="shared" si="65"/>
        <v>0.29277002188455992</v>
      </c>
      <c r="DM6" s="173">
        <f t="shared" si="66"/>
        <v>1</v>
      </c>
      <c r="DN6" s="173">
        <f t="shared" si="67"/>
        <v>1.0159047619047619</v>
      </c>
      <c r="DP6" s="545">
        <f t="shared" si="68"/>
        <v>10</v>
      </c>
      <c r="DQ6" s="460">
        <f t="shared" si="69"/>
        <v>27.833333333333332</v>
      </c>
      <c r="DS6">
        <f t="shared" ref="DS6:DS69" si="116">IF(CL6&gt;CS6, "",DP6)</f>
        <v>10</v>
      </c>
      <c r="DT6" s="460">
        <f t="shared" si="70"/>
        <v>27.833333333333332</v>
      </c>
      <c r="DU6" s="460"/>
      <c r="DV6" s="5">
        <f t="shared" ref="DV6:DV69" si="117">1/DQ6*1000</f>
        <v>35.928143712574851</v>
      </c>
      <c r="DW6" s="5">
        <f t="shared" si="71"/>
        <v>0.5</v>
      </c>
      <c r="DX6" s="5">
        <f t="shared" ref="DX6:DX69" si="118">DV6-DW6</f>
        <v>35.428143712574851</v>
      </c>
      <c r="DY6" s="173">
        <f t="shared" ref="DY6:DY69" si="119">DW6/DV6</f>
        <v>1.3916666666666666E-2</v>
      </c>
      <c r="EA6" s="5">
        <f t="shared" si="72"/>
        <v>3.125E-2</v>
      </c>
      <c r="EB6" s="5">
        <f t="shared" si="73"/>
        <v>1.5625E-2</v>
      </c>
      <c r="EC6" s="5">
        <f t="shared" si="74"/>
        <v>0.19682302062541582</v>
      </c>
      <c r="ED6" s="5"/>
      <c r="EE6" s="173">
        <f t="shared" ref="EE6:EE69" si="120">DM6*SQRT(DY6/3)</f>
        <v>6.8109389139008492E-2</v>
      </c>
      <c r="EF6" s="173">
        <f t="shared" si="75"/>
        <v>0.57331879826536691</v>
      </c>
      <c r="EG6" s="173">
        <f t="shared" si="76"/>
        <v>0.14080035192693569</v>
      </c>
      <c r="EH6" s="173"/>
      <c r="EI6" s="528">
        <f t="shared" si="77"/>
        <v>9.2777777777777753E-5</v>
      </c>
      <c r="EJ6" s="528">
        <f t="shared" si="78"/>
        <v>2.1523516666666666E-2</v>
      </c>
      <c r="EK6" s="528">
        <f t="shared" si="79"/>
        <v>3.2008333333333333E-3</v>
      </c>
      <c r="EL6" s="528">
        <f t="shared" si="80"/>
        <v>2.2707026879166668E-2</v>
      </c>
      <c r="EM6">
        <f t="shared" si="81"/>
        <v>1.0800000000000001E-2</v>
      </c>
      <c r="EN6" s="460">
        <f t="shared" ref="EN6:EN69" si="121">(EK6+EM6)*1000</f>
        <v>14.000833333333334</v>
      </c>
      <c r="EO6">
        <f t="shared" si="82"/>
        <v>5.835049093516663E-2</v>
      </c>
      <c r="EP6" s="460">
        <f t="shared" ref="EP6:EP69" si="122">EO6*1000</f>
        <v>58.350490935166633</v>
      </c>
      <c r="EQ6" s="173">
        <f t="shared" si="83"/>
        <v>6.2124999999999993E-3</v>
      </c>
      <c r="ER6" s="173">
        <f t="shared" si="84"/>
        <v>1.1093749999999999E-3</v>
      </c>
      <c r="ES6" s="528"/>
      <c r="EU6" s="460">
        <f t="shared" ref="EU6:EU69" si="123">SUM(EQ6:ET6)*1000</f>
        <v>7.3218749999999995</v>
      </c>
      <c r="EV6" s="528">
        <f t="shared" si="85"/>
        <v>1.3916666666666662E-4</v>
      </c>
      <c r="EW6" s="528">
        <f t="shared" ref="EW6:EW69" si="124">Rdcr_sec*EF6^2</f>
        <v>9.8608333333333343E-3</v>
      </c>
      <c r="EX6" s="528">
        <f t="shared" si="86"/>
        <v>9.9123695513744707E-5</v>
      </c>
      <c r="EY6" s="528">
        <f t="shared" si="87"/>
        <v>2.0435395919852069E-4</v>
      </c>
      <c r="EZ6" s="528">
        <f t="shared" si="88"/>
        <v>1.2737558395861054E-2</v>
      </c>
      <c r="FA6" s="625">
        <f t="shared" si="89"/>
        <v>1.3916666666666667E-4</v>
      </c>
      <c r="FB6" s="460">
        <f t="shared" ref="FB6:FB69" si="125">(EZ6+FA6)*1000</f>
        <v>12.87672506252772</v>
      </c>
      <c r="FC6" s="173">
        <f t="shared" ref="FC6:FC69" si="126">SUM(EO6,EQ6:ET6,EZ6:FA6)</f>
        <v>7.8549090997694332E-2</v>
      </c>
      <c r="FD6" s="5">
        <f t="shared" ref="FD6:FD69" si="127">MIN(CL6+CM6,CS6+CT6)</f>
        <v>0.18</v>
      </c>
      <c r="FE6" s="173">
        <f t="shared" ref="FE6:FE69" si="128">FD6/(FD6+FC6)</f>
        <v>0.69619273966662376</v>
      </c>
      <c r="FF6" s="5">
        <f t="shared" ref="FF6:FF69" si="129">FE6*100</f>
        <v>69.619273966662377</v>
      </c>
      <c r="FG6">
        <f t="shared" ref="FG6:FG69" si="130">CJ6/Iout*100</f>
        <v>1</v>
      </c>
      <c r="FI6" s="562">
        <f t="shared" si="90"/>
        <v>-50</v>
      </c>
      <c r="FJ6">
        <f t="shared" si="91"/>
        <v>-50</v>
      </c>
      <c r="FL6">
        <f t="shared" si="92"/>
        <v>2.0182097838696844E-2</v>
      </c>
    </row>
    <row r="7" spans="2:169">
      <c r="E7" s="170">
        <v>2</v>
      </c>
      <c r="F7" s="217">
        <f>IF(PLOT_TYPE=1, E7/100*Iout, min_I*EXP(O7*rr/100))</f>
        <v>0.02</v>
      </c>
      <c r="G7" s="217">
        <f t="shared" si="93"/>
        <v>5.0000000000000001E-3</v>
      </c>
      <c r="H7" s="217">
        <f t="shared" si="0"/>
        <v>0.32</v>
      </c>
      <c r="I7" s="217">
        <f>G7*Vout2</f>
        <v>0.04</v>
      </c>
      <c r="J7" s="541">
        <f t="shared" si="1"/>
        <v>23.966307696403316</v>
      </c>
      <c r="K7" s="443">
        <f t="shared" si="2"/>
        <v>16.714864658887183</v>
      </c>
      <c r="L7" s="172">
        <f t="shared" si="3"/>
        <v>40.681172355290499</v>
      </c>
      <c r="M7" s="443"/>
      <c r="N7" s="217">
        <f t="shared" si="4"/>
        <v>0.41087470422207367</v>
      </c>
      <c r="O7" s="172">
        <f t="shared" si="94"/>
        <v>21.8825546356776</v>
      </c>
      <c r="P7" s="172">
        <f t="shared" si="5"/>
        <v>3.0772342456421624</v>
      </c>
      <c r="Q7" s="217">
        <f t="shared" si="6"/>
        <v>1.36765966472985</v>
      </c>
      <c r="R7" s="217">
        <f t="shared" si="7"/>
        <v>2.7353193294597</v>
      </c>
      <c r="S7" s="443">
        <f t="shared" si="8"/>
        <v>16</v>
      </c>
      <c r="T7" s="217">
        <f t="shared" si="9"/>
        <v>7.3117605628702023E-2</v>
      </c>
      <c r="U7" s="217">
        <f t="shared" si="10"/>
        <v>3.6610197893607935E-2</v>
      </c>
      <c r="V7" s="217">
        <f t="shared" si="11"/>
        <v>5.2492872987632028E-2</v>
      </c>
      <c r="W7" s="197">
        <f t="shared" si="12"/>
        <v>350</v>
      </c>
      <c r="X7" s="443">
        <f t="shared" si="95"/>
        <v>350</v>
      </c>
      <c r="Z7" s="217">
        <f t="shared" si="13"/>
        <v>2.3445594252511714</v>
      </c>
      <c r="AA7" s="173">
        <f t="shared" si="14"/>
        <v>1.6832151307940755</v>
      </c>
      <c r="AB7" s="173">
        <f t="shared" si="15"/>
        <v>0.69061963243501079</v>
      </c>
      <c r="AC7" s="173"/>
      <c r="AD7" s="173">
        <f t="shared" si="16"/>
        <v>0.71792385070971421</v>
      </c>
      <c r="AE7" s="545">
        <f t="shared" si="17"/>
        <v>55.716215529623945</v>
      </c>
      <c r="AF7" s="528">
        <f t="shared" si="18"/>
        <v>0.12563667387419999</v>
      </c>
      <c r="AH7" s="173">
        <f t="shared" si="19"/>
        <v>0.41403933560541251</v>
      </c>
      <c r="AI7" s="173">
        <f t="shared" si="20"/>
        <v>1</v>
      </c>
      <c r="AJ7" s="173">
        <f t="shared" si="21"/>
        <v>1.0318378374454995</v>
      </c>
      <c r="AL7" s="545">
        <f t="shared" si="22"/>
        <v>20</v>
      </c>
      <c r="AM7" s="460">
        <f t="shared" si="23"/>
        <v>55.716215529623945</v>
      </c>
      <c r="AO7">
        <f t="shared" si="96"/>
        <v>20</v>
      </c>
      <c r="AP7" s="460">
        <f t="shared" si="24"/>
        <v>55.716215529623945</v>
      </c>
      <c r="AQ7" s="460"/>
      <c r="AR7" s="5">
        <f t="shared" si="97"/>
        <v>17.948096267742855</v>
      </c>
      <c r="AS7" s="5">
        <f t="shared" si="25"/>
        <v>0.50070290976865284</v>
      </c>
      <c r="AT7" s="5">
        <f t="shared" si="98"/>
        <v>17.447393357974203</v>
      </c>
      <c r="AU7" s="173">
        <f t="shared" si="99"/>
        <v>2.789727123698011E-2</v>
      </c>
      <c r="AW7" s="5">
        <f t="shared" si="26"/>
        <v>6.2587863721081605E-2</v>
      </c>
      <c r="AX7" s="5">
        <f t="shared" si="27"/>
        <v>3.1293931860540802E-2</v>
      </c>
      <c r="AY7" s="5">
        <f t="shared" si="28"/>
        <v>0.19413245827146555</v>
      </c>
      <c r="AZ7" s="5"/>
      <c r="BA7" s="173">
        <f t="shared" si="100"/>
        <v>9.6431791502215203E-2</v>
      </c>
      <c r="BB7" s="173">
        <f t="shared" si="29"/>
        <v>0.56924005737562655</v>
      </c>
      <c r="BC7" s="173">
        <f t="shared" si="30"/>
        <v>0.1397986611496024</v>
      </c>
      <c r="BD7" s="173"/>
      <c r="BE7" s="528">
        <f t="shared" si="31"/>
        <v>1.8598180824653407E-4</v>
      </c>
      <c r="BF7" s="528">
        <f t="shared" si="32"/>
        <v>4.1365467646748907E-2</v>
      </c>
      <c r="BG7" s="528">
        <f t="shared" si="33"/>
        <v>3.0712175196428125E-2</v>
      </c>
      <c r="BH7" s="528">
        <f t="shared" si="34"/>
        <v>4.5412432414004535E-2</v>
      </c>
      <c r="BI7">
        <f t="shared" si="35"/>
        <v>1.0784838463381493E-2</v>
      </c>
      <c r="BJ7" s="460">
        <f t="shared" si="101"/>
        <v>41.497013659809618</v>
      </c>
      <c r="BK7">
        <f t="shared" si="36"/>
        <v>8.7017942217234787E-2</v>
      </c>
      <c r="BL7" s="460">
        <f t="shared" si="102"/>
        <v>87.01794221723479</v>
      </c>
      <c r="BM7" s="173">
        <f t="shared" si="37"/>
        <v>1.2424999999999999E-2</v>
      </c>
      <c r="BN7" s="173">
        <f t="shared" si="38"/>
        <v>2.2187499999999998E-3</v>
      </c>
      <c r="BO7" s="528"/>
      <c r="BQ7" s="460">
        <f t="shared" si="103"/>
        <v>14.643749999999999</v>
      </c>
      <c r="BR7" s="528">
        <f t="shared" si="39"/>
        <v>2.7897271236980111E-4</v>
      </c>
      <c r="BS7" s="528">
        <f t="shared" si="104"/>
        <v>9.7210272876301993E-3</v>
      </c>
      <c r="BT7" s="528">
        <f t="shared" si="40"/>
        <v>9.7718328296106773E-5</v>
      </c>
      <c r="BU7" s="528">
        <f t="shared" si="41"/>
        <v>1.1585746683368948E-3</v>
      </c>
      <c r="BV7" s="528">
        <f t="shared" si="42"/>
        <v>1.3690805066884309E-2</v>
      </c>
      <c r="BW7" s="625">
        <f t="shared" si="43"/>
        <v>2.7858107764811973E-4</v>
      </c>
      <c r="BX7" s="460">
        <f t="shared" si="105"/>
        <v>13.969386144532431</v>
      </c>
      <c r="BY7" s="173">
        <f t="shared" si="106"/>
        <v>0.11563107836176723</v>
      </c>
      <c r="BZ7" s="5">
        <f t="shared" si="107"/>
        <v>0.36</v>
      </c>
      <c r="CA7" s="173">
        <f t="shared" si="108"/>
        <v>0.75688914450241684</v>
      </c>
      <c r="CB7" s="5">
        <f t="shared" si="109"/>
        <v>75.688914450241683</v>
      </c>
      <c r="CC7">
        <f t="shared" si="110"/>
        <v>2</v>
      </c>
      <c r="CE7" s="562">
        <f t="shared" si="44"/>
        <v>-50</v>
      </c>
      <c r="CF7">
        <f t="shared" si="45"/>
        <v>-50</v>
      </c>
      <c r="CG7" s="173">
        <f t="shared" si="46"/>
        <v>4.0364195677393688E-2</v>
      </c>
      <c r="CH7" s="173">
        <f t="shared" si="47"/>
        <v>1.4268595388869135E-2</v>
      </c>
      <c r="CI7" s="170">
        <v>2</v>
      </c>
      <c r="CJ7" s="217">
        <f>IF(PLOT_TYPE=1, CI7/100*Iout, min_I*EXP(CS7*rr/100))</f>
        <v>0.02</v>
      </c>
      <c r="CK7" s="217">
        <f t="shared" si="111"/>
        <v>5.0000000000000001E-3</v>
      </c>
      <c r="CL7" s="217">
        <f t="shared" si="48"/>
        <v>0.32</v>
      </c>
      <c r="CM7" s="217">
        <f>CK7*Vout2</f>
        <v>0.04</v>
      </c>
      <c r="CN7" s="541">
        <f t="shared" si="112"/>
        <v>24</v>
      </c>
      <c r="CO7" s="443">
        <f t="shared" si="49"/>
        <v>16.7</v>
      </c>
      <c r="CP7" s="443">
        <f t="shared" si="50"/>
        <v>40.700000000000003</v>
      </c>
      <c r="CQ7" s="443"/>
      <c r="CR7" s="217">
        <f t="shared" si="113"/>
        <v>0.40594059405940591</v>
      </c>
      <c r="CS7" s="172">
        <f t="shared" si="114"/>
        <v>21.650165016501649</v>
      </c>
      <c r="CT7" s="172">
        <f t="shared" si="51"/>
        <v>3.0445544554455446</v>
      </c>
      <c r="CU7" s="217">
        <f t="shared" si="52"/>
        <v>1.3531353135313531</v>
      </c>
      <c r="CV7" s="217">
        <f t="shared" si="53"/>
        <v>2.7062706270627062</v>
      </c>
      <c r="CW7" s="443">
        <f t="shared" si="54"/>
        <v>16</v>
      </c>
      <c r="CX7" s="217">
        <f t="shared" si="55"/>
        <v>7.390243902439024E-2</v>
      </c>
      <c r="CY7" s="217">
        <f t="shared" si="56"/>
        <v>3.6951219512195127E-2</v>
      </c>
      <c r="CZ7" s="217">
        <f t="shared" si="57"/>
        <v>5.3103548999561857E-2</v>
      </c>
      <c r="DA7" s="197">
        <f t="shared" si="58"/>
        <v>350</v>
      </c>
      <c r="DB7" s="443">
        <f t="shared" si="115"/>
        <v>350</v>
      </c>
      <c r="DD7" s="217">
        <f t="shared" si="59"/>
        <v>2.344682344682345</v>
      </c>
      <c r="DE7" s="173">
        <f t="shared" si="60"/>
        <v>1.6848016848016851</v>
      </c>
      <c r="DF7" s="173">
        <f t="shared" si="61"/>
        <v>0.69130683381297664</v>
      </c>
      <c r="DG7" s="173"/>
      <c r="DH7" s="173">
        <f t="shared" si="62"/>
        <v>0.71856287425149712</v>
      </c>
      <c r="DI7" s="545">
        <f t="shared" si="63"/>
        <v>55.666666666666664</v>
      </c>
      <c r="DJ7" s="528">
        <f t="shared" si="64"/>
        <v>0.125748502994012</v>
      </c>
      <c r="DL7" s="173">
        <f t="shared" si="65"/>
        <v>0.41403933560541251</v>
      </c>
      <c r="DM7" s="173">
        <f t="shared" si="66"/>
        <v>1</v>
      </c>
      <c r="DN7" s="173">
        <f t="shared" si="67"/>
        <v>1.0318095238095237</v>
      </c>
      <c r="DP7" s="545">
        <f t="shared" si="68"/>
        <v>20</v>
      </c>
      <c r="DQ7" s="460">
        <f t="shared" si="69"/>
        <v>55.666666666666664</v>
      </c>
      <c r="DS7">
        <f t="shared" si="116"/>
        <v>20</v>
      </c>
      <c r="DT7" s="460">
        <f t="shared" si="70"/>
        <v>55.666666666666664</v>
      </c>
      <c r="DU7" s="460"/>
      <c r="DV7" s="5">
        <f t="shared" si="117"/>
        <v>17.964071856287426</v>
      </c>
      <c r="DW7" s="5">
        <f t="shared" si="71"/>
        <v>0.5</v>
      </c>
      <c r="DX7" s="5">
        <f t="shared" si="118"/>
        <v>17.464071856287426</v>
      </c>
      <c r="DY7" s="173">
        <f t="shared" si="119"/>
        <v>2.7833333333333331E-2</v>
      </c>
      <c r="EA7" s="5">
        <f t="shared" si="72"/>
        <v>6.25E-2</v>
      </c>
      <c r="EB7" s="5">
        <f t="shared" si="73"/>
        <v>3.125E-2</v>
      </c>
      <c r="EC7" s="5">
        <f t="shared" si="74"/>
        <v>0.19404524284763805</v>
      </c>
      <c r="ED7" s="5"/>
      <c r="EE7" s="173">
        <f t="shared" si="120"/>
        <v>9.6321221845332594E-2</v>
      </c>
      <c r="EF7" s="173">
        <f t="shared" si="75"/>
        <v>0.5692587773197314</v>
      </c>
      <c r="EG7" s="173">
        <f t="shared" si="76"/>
        <v>0.13980325854763992</v>
      </c>
      <c r="EH7" s="173"/>
      <c r="EI7" s="528">
        <f t="shared" si="77"/>
        <v>1.8555555555555556E-4</v>
      </c>
      <c r="EJ7" s="528">
        <f t="shared" si="78"/>
        <v>4.3047033333333332E-2</v>
      </c>
      <c r="EK7" s="528">
        <f t="shared" si="79"/>
        <v>6.4016666666666666E-3</v>
      </c>
      <c r="EL7" s="528">
        <f t="shared" si="80"/>
        <v>4.5414053758333336E-2</v>
      </c>
      <c r="EM7">
        <f t="shared" si="81"/>
        <v>1.0800000000000001E-2</v>
      </c>
      <c r="EN7" s="460">
        <f t="shared" si="121"/>
        <v>17.201666666666668</v>
      </c>
      <c r="EO7">
        <f t="shared" si="82"/>
        <v>0.10590307836880802</v>
      </c>
      <c r="EP7" s="460">
        <f t="shared" si="122"/>
        <v>105.90307836880802</v>
      </c>
      <c r="EQ7" s="173">
        <f t="shared" si="83"/>
        <v>1.2424999999999999E-2</v>
      </c>
      <c r="ER7" s="173">
        <f t="shared" si="84"/>
        <v>2.2187499999999998E-3</v>
      </c>
      <c r="ES7" s="528"/>
      <c r="EU7" s="460">
        <f t="shared" si="123"/>
        <v>14.643749999999999</v>
      </c>
      <c r="EV7" s="528">
        <f t="shared" si="85"/>
        <v>2.7833333333333329E-4</v>
      </c>
      <c r="EW7" s="528">
        <f t="shared" si="124"/>
        <v>9.7216666666666667E-3</v>
      </c>
      <c r="EX7" s="528">
        <f t="shared" si="86"/>
        <v>9.7724755502691266E-5</v>
      </c>
      <c r="EY7" s="528">
        <f t="shared" si="87"/>
        <v>1.1560005624927435E-3</v>
      </c>
      <c r="EZ7" s="528">
        <f t="shared" si="88"/>
        <v>1.3688236863174679E-2</v>
      </c>
      <c r="FA7" s="625">
        <f t="shared" si="89"/>
        <v>2.7833333333333334E-4</v>
      </c>
      <c r="FB7" s="460">
        <f t="shared" si="125"/>
        <v>13.966570196508012</v>
      </c>
      <c r="FC7" s="173">
        <f t="shared" si="126"/>
        <v>0.13451339856531602</v>
      </c>
      <c r="FD7" s="5">
        <f t="shared" si="127"/>
        <v>0.36</v>
      </c>
      <c r="FE7" s="173">
        <f t="shared" si="128"/>
        <v>0.72798836400476352</v>
      </c>
      <c r="FF7" s="5">
        <f t="shared" si="129"/>
        <v>72.798836400476347</v>
      </c>
      <c r="FG7">
        <f t="shared" si="130"/>
        <v>2</v>
      </c>
      <c r="FI7" s="562">
        <f t="shared" si="90"/>
        <v>-50</v>
      </c>
      <c r="FJ7">
        <f t="shared" si="91"/>
        <v>-50</v>
      </c>
      <c r="FL7">
        <f t="shared" si="92"/>
        <v>4.0364195677393688E-2</v>
      </c>
    </row>
    <row r="8" spans="2:169">
      <c r="E8" s="170">
        <v>3</v>
      </c>
      <c r="F8" s="217">
        <f t="shared" ref="F8:F39" si="131">IF(PLOT_TYPE=1, E8/100*Iout_max, min_I*EXP(O8*rr/100))</f>
        <v>0.03</v>
      </c>
      <c r="G8" s="217">
        <f t="shared" si="93"/>
        <v>7.4999999999999997E-3</v>
      </c>
      <c r="H8" s="217">
        <f t="shared" si="0"/>
        <v>0.48</v>
      </c>
      <c r="I8" s="217">
        <f t="shared" ref="I8:I39" si="132">Vout2*G8</f>
        <v>0.06</v>
      </c>
      <c r="J8" s="541">
        <f t="shared" si="1"/>
        <v>23.966307696403316</v>
      </c>
      <c r="K8" s="443">
        <f t="shared" si="2"/>
        <v>16.714864658887183</v>
      </c>
      <c r="L8" s="172">
        <f t="shared" si="3"/>
        <v>40.681172355290499</v>
      </c>
      <c r="M8" s="443"/>
      <c r="N8" s="217">
        <f t="shared" si="4"/>
        <v>0.41087470422207367</v>
      </c>
      <c r="O8" s="172">
        <f t="shared" si="94"/>
        <v>21.8825546356776</v>
      </c>
      <c r="P8" s="172">
        <f t="shared" si="5"/>
        <v>3.0772342456421624</v>
      </c>
      <c r="Q8" s="217">
        <f t="shared" si="6"/>
        <v>1.36765966472985</v>
      </c>
      <c r="R8" s="217">
        <f t="shared" si="7"/>
        <v>2.7353193294597</v>
      </c>
      <c r="S8" s="443">
        <f t="shared" si="8"/>
        <v>16</v>
      </c>
      <c r="T8" s="217">
        <f t="shared" si="9"/>
        <v>0.10967640844305304</v>
      </c>
      <c r="U8" s="217">
        <f t="shared" si="10"/>
        <v>5.4915296840411909E-2</v>
      </c>
      <c r="V8" s="217">
        <f t="shared" si="11"/>
        <v>7.8739309481448055E-2</v>
      </c>
      <c r="W8" s="197">
        <f t="shared" si="12"/>
        <v>350</v>
      </c>
      <c r="X8" s="443">
        <f t="shared" si="95"/>
        <v>350</v>
      </c>
      <c r="Z8" s="217">
        <f t="shared" si="13"/>
        <v>2.3445594252511714</v>
      </c>
      <c r="AA8" s="173">
        <f t="shared" si="14"/>
        <v>1.6832151307940755</v>
      </c>
      <c r="AB8" s="173">
        <f t="shared" si="15"/>
        <v>0.69061963243501079</v>
      </c>
      <c r="AC8" s="173"/>
      <c r="AD8" s="173">
        <f t="shared" si="16"/>
        <v>0.71792385070971421</v>
      </c>
      <c r="AE8" s="545">
        <f t="shared" si="17"/>
        <v>83.574323294435899</v>
      </c>
      <c r="AF8" s="528">
        <f t="shared" si="18"/>
        <v>0.12563667387419999</v>
      </c>
      <c r="AH8" s="173">
        <f t="shared" si="19"/>
        <v>0.50709255283710997</v>
      </c>
      <c r="AI8" s="173">
        <f t="shared" si="20"/>
        <v>1</v>
      </c>
      <c r="AJ8" s="173">
        <f t="shared" si="21"/>
        <v>1.047756756168249</v>
      </c>
      <c r="AL8" s="545">
        <f t="shared" si="22"/>
        <v>30</v>
      </c>
      <c r="AM8" s="460">
        <f t="shared" si="23"/>
        <v>83.574323294435899</v>
      </c>
      <c r="AO8">
        <f t="shared" si="96"/>
        <v>30</v>
      </c>
      <c r="AP8" s="460">
        <f t="shared" si="24"/>
        <v>83.574323294435899</v>
      </c>
      <c r="AQ8" s="460"/>
      <c r="AR8" s="5">
        <f t="shared" si="97"/>
        <v>11.965397511828572</v>
      </c>
      <c r="AS8" s="5">
        <f t="shared" si="25"/>
        <v>0.50070290976865284</v>
      </c>
      <c r="AT8" s="5">
        <f t="shared" si="98"/>
        <v>11.464694602059918</v>
      </c>
      <c r="AU8" s="173">
        <f t="shared" si="99"/>
        <v>4.1845906855470162E-2</v>
      </c>
      <c r="AW8" s="5">
        <f t="shared" si="26"/>
        <v>9.3881795581622393E-2</v>
      </c>
      <c r="AX8" s="5">
        <f t="shared" si="27"/>
        <v>4.6940897790811197E-2</v>
      </c>
      <c r="AY8" s="5">
        <f t="shared" si="28"/>
        <v>0.19134686489534558</v>
      </c>
      <c r="AZ8" s="5"/>
      <c r="BA8" s="173">
        <f t="shared" si="100"/>
        <v>0.11810434208144108</v>
      </c>
      <c r="BB8" s="173">
        <f t="shared" si="29"/>
        <v>0.56514130774067761</v>
      </c>
      <c r="BC8" s="173">
        <f t="shared" si="30"/>
        <v>0.13879205645984288</v>
      </c>
      <c r="BD8" s="173"/>
      <c r="BE8" s="528">
        <f t="shared" si="31"/>
        <v>2.7897271236980106E-4</v>
      </c>
      <c r="BF8" s="528">
        <f t="shared" si="32"/>
        <v>6.2048201470123333E-2</v>
      </c>
      <c r="BG8" s="528">
        <f t="shared" si="33"/>
        <v>4.6068262794642184E-2</v>
      </c>
      <c r="BH8" s="528">
        <f t="shared" si="34"/>
        <v>6.8118648621006805E-2</v>
      </c>
      <c r="BI8">
        <f t="shared" si="35"/>
        <v>1.0784838463381493E-2</v>
      </c>
      <c r="BJ8" s="460">
        <f t="shared" si="101"/>
        <v>56.853101258023678</v>
      </c>
      <c r="BK8">
        <f t="shared" si="36"/>
        <v>0.13052979746203017</v>
      </c>
      <c r="BL8" s="460">
        <f t="shared" si="102"/>
        <v>130.52979746203016</v>
      </c>
      <c r="BM8" s="173">
        <f t="shared" si="37"/>
        <v>1.8637499999999998E-2</v>
      </c>
      <c r="BN8" s="173">
        <f t="shared" si="38"/>
        <v>3.3281249999999999E-3</v>
      </c>
      <c r="BO8" s="528"/>
      <c r="BQ8" s="460">
        <f t="shared" si="103"/>
        <v>21.965624999999999</v>
      </c>
      <c r="BR8" s="528">
        <f t="shared" si="39"/>
        <v>4.1845906855470161E-4</v>
      </c>
      <c r="BS8" s="528">
        <f t="shared" si="104"/>
        <v>9.5815409314452989E-3</v>
      </c>
      <c r="BT8" s="528">
        <f t="shared" si="40"/>
        <v>9.6316174681761071E-5</v>
      </c>
      <c r="BU8" s="528">
        <f t="shared" si="41"/>
        <v>3.1926563621320972E-3</v>
      </c>
      <c r="BV8" s="528">
        <f t="shared" si="42"/>
        <v>1.5724789414394123E-2</v>
      </c>
      <c r="BW8" s="625">
        <f t="shared" si="43"/>
        <v>4.1787161647217951E-4</v>
      </c>
      <c r="BX8" s="460">
        <f t="shared" si="105"/>
        <v>16.1426610308663</v>
      </c>
      <c r="BY8" s="173">
        <f t="shared" si="106"/>
        <v>0.16863808349289647</v>
      </c>
      <c r="BZ8" s="5">
        <f t="shared" si="107"/>
        <v>0.54</v>
      </c>
      <c r="CA8" s="173">
        <f t="shared" si="108"/>
        <v>0.76202509091569748</v>
      </c>
      <c r="CB8" s="5">
        <f t="shared" si="109"/>
        <v>76.202509091569752</v>
      </c>
      <c r="CC8">
        <f t="shared" si="110"/>
        <v>3</v>
      </c>
      <c r="CE8" s="562">
        <f t="shared" si="44"/>
        <v>-50</v>
      </c>
      <c r="CF8">
        <f t="shared" si="45"/>
        <v>-50</v>
      </c>
      <c r="CG8" s="173">
        <f t="shared" si="46"/>
        <v>6.0546293516090519E-2</v>
      </c>
      <c r="CH8" s="173">
        <f t="shared" si="47"/>
        <v>2.14028930833037E-2</v>
      </c>
      <c r="CI8" s="170">
        <v>3</v>
      </c>
      <c r="CJ8" s="217">
        <f t="shared" ref="CJ8:CJ71" si="133">IF(PLOT_TYPE=1, CI8/100*Iout_max, min_I*EXP(CS8*rr/100))</f>
        <v>0.03</v>
      </c>
      <c r="CK8" s="217">
        <f t="shared" si="111"/>
        <v>7.4999999999999997E-3</v>
      </c>
      <c r="CL8" s="217">
        <f t="shared" si="48"/>
        <v>0.48</v>
      </c>
      <c r="CM8" s="217">
        <f t="shared" ref="CM8:CM71" si="134">Vout2*CK8</f>
        <v>0.06</v>
      </c>
      <c r="CN8" s="541">
        <f t="shared" si="112"/>
        <v>24</v>
      </c>
      <c r="CO8" s="443">
        <f t="shared" si="49"/>
        <v>16.7</v>
      </c>
      <c r="CP8" s="443">
        <f t="shared" si="50"/>
        <v>40.700000000000003</v>
      </c>
      <c r="CQ8" s="443"/>
      <c r="CR8" s="217">
        <f t="shared" si="113"/>
        <v>0.40594059405940591</v>
      </c>
      <c r="CS8" s="172">
        <f t="shared" si="114"/>
        <v>21.650165016501649</v>
      </c>
      <c r="CT8" s="172">
        <f t="shared" si="51"/>
        <v>3.0445544554455446</v>
      </c>
      <c r="CU8" s="217">
        <f t="shared" si="52"/>
        <v>1.3531353135313531</v>
      </c>
      <c r="CV8" s="217">
        <f t="shared" si="53"/>
        <v>2.7062706270627062</v>
      </c>
      <c r="CW8" s="443">
        <f t="shared" si="54"/>
        <v>16</v>
      </c>
      <c r="CX8" s="217">
        <f t="shared" si="55"/>
        <v>0.11085365853658538</v>
      </c>
      <c r="CY8" s="217">
        <f t="shared" si="56"/>
        <v>5.5426829268292691E-2</v>
      </c>
      <c r="CZ8" s="217">
        <f t="shared" si="57"/>
        <v>7.9655323499342803E-2</v>
      </c>
      <c r="DA8" s="197">
        <f t="shared" si="58"/>
        <v>350</v>
      </c>
      <c r="DB8" s="443">
        <f t="shared" si="115"/>
        <v>350</v>
      </c>
      <c r="DD8" s="217">
        <f t="shared" si="59"/>
        <v>2.344682344682345</v>
      </c>
      <c r="DE8" s="173">
        <f t="shared" si="60"/>
        <v>1.6848016848016851</v>
      </c>
      <c r="DF8" s="173">
        <f t="shared" si="61"/>
        <v>0.69130683381297664</v>
      </c>
      <c r="DG8" s="173"/>
      <c r="DH8" s="173">
        <f t="shared" si="62"/>
        <v>0.71856287425149712</v>
      </c>
      <c r="DI8" s="545">
        <f t="shared" si="63"/>
        <v>83.499999999999986</v>
      </c>
      <c r="DJ8" s="528">
        <f t="shared" si="64"/>
        <v>0.125748502994012</v>
      </c>
      <c r="DL8" s="173">
        <f t="shared" si="65"/>
        <v>0.50709255283710997</v>
      </c>
      <c r="DM8" s="173">
        <f t="shared" si="66"/>
        <v>1</v>
      </c>
      <c r="DN8" s="173">
        <f t="shared" si="67"/>
        <v>1.0477142857142856</v>
      </c>
      <c r="DP8" s="545">
        <f t="shared" si="68"/>
        <v>30</v>
      </c>
      <c r="DQ8" s="460">
        <f t="shared" si="69"/>
        <v>83.499999999999986</v>
      </c>
      <c r="DS8">
        <f t="shared" si="116"/>
        <v>30</v>
      </c>
      <c r="DT8" s="460">
        <f t="shared" si="70"/>
        <v>83.499999999999986</v>
      </c>
      <c r="DU8" s="460"/>
      <c r="DV8" s="5">
        <f t="shared" si="117"/>
        <v>11.976047904191619</v>
      </c>
      <c r="DW8" s="5">
        <f t="shared" si="71"/>
        <v>0.5</v>
      </c>
      <c r="DX8" s="5">
        <f t="shared" si="118"/>
        <v>11.476047904191619</v>
      </c>
      <c r="DY8" s="173">
        <f t="shared" si="119"/>
        <v>4.1749999999999995E-2</v>
      </c>
      <c r="EA8" s="5">
        <f t="shared" si="72"/>
        <v>9.375E-2</v>
      </c>
      <c r="EB8" s="5">
        <f t="shared" si="73"/>
        <v>4.6875E-2</v>
      </c>
      <c r="EC8" s="5">
        <f t="shared" si="74"/>
        <v>0.19126746506986028</v>
      </c>
      <c r="ED8" s="5"/>
      <c r="EE8" s="173">
        <f t="shared" si="120"/>
        <v>0.11796892246124259</v>
      </c>
      <c r="EF8" s="173">
        <f t="shared" si="75"/>
        <v>0.56516959106684661</v>
      </c>
      <c r="EG8" s="173">
        <f t="shared" si="76"/>
        <v>0.13879900251200497</v>
      </c>
      <c r="EH8" s="173"/>
      <c r="EI8" s="528">
        <f t="shared" si="77"/>
        <v>2.7833333333333334E-4</v>
      </c>
      <c r="EJ8" s="528">
        <f t="shared" si="78"/>
        <v>6.4570550000000004E-2</v>
      </c>
      <c r="EK8" s="528">
        <f t="shared" si="79"/>
        <v>9.6024999999999999E-3</v>
      </c>
      <c r="EL8" s="528">
        <f t="shared" si="80"/>
        <v>6.8121080637500012E-2</v>
      </c>
      <c r="EM8">
        <f t="shared" si="81"/>
        <v>1.0800000000000001E-2</v>
      </c>
      <c r="EN8" s="460">
        <f t="shared" si="121"/>
        <v>20.4025</v>
      </c>
      <c r="EO8">
        <f t="shared" si="82"/>
        <v>0.15345776243957901</v>
      </c>
      <c r="EP8" s="460">
        <f t="shared" si="122"/>
        <v>153.457762439579</v>
      </c>
      <c r="EQ8" s="173">
        <f t="shared" si="83"/>
        <v>1.8637499999999998E-2</v>
      </c>
      <c r="ER8" s="173">
        <f t="shared" si="84"/>
        <v>3.3281249999999999E-3</v>
      </c>
      <c r="ES8" s="528"/>
      <c r="EU8" s="460">
        <f t="shared" si="123"/>
        <v>21.965624999999999</v>
      </c>
      <c r="EV8" s="528">
        <f t="shared" si="85"/>
        <v>4.1749999999999996E-4</v>
      </c>
      <c r="EW8" s="528">
        <f t="shared" si="124"/>
        <v>9.582499999999999E-3</v>
      </c>
      <c r="EX8" s="528">
        <f t="shared" si="86"/>
        <v>9.6325815491637824E-5</v>
      </c>
      <c r="EY8" s="528">
        <f t="shared" si="87"/>
        <v>3.1855629605372542E-3</v>
      </c>
      <c r="EZ8" s="528">
        <f t="shared" si="88"/>
        <v>1.5717702255190022E-2</v>
      </c>
      <c r="FA8" s="625">
        <f t="shared" si="89"/>
        <v>4.174999999999999E-4</v>
      </c>
      <c r="FB8" s="460">
        <f t="shared" si="125"/>
        <v>16.135202255190023</v>
      </c>
      <c r="FC8" s="173">
        <f t="shared" si="126"/>
        <v>0.19155858969476899</v>
      </c>
      <c r="FD8" s="5">
        <f t="shared" si="127"/>
        <v>0.54</v>
      </c>
      <c r="FE8" s="173">
        <f t="shared" si="128"/>
        <v>0.7381500369304751</v>
      </c>
      <c r="FF8" s="5">
        <f t="shared" si="129"/>
        <v>73.815003693047515</v>
      </c>
      <c r="FG8">
        <f t="shared" si="130"/>
        <v>3</v>
      </c>
      <c r="FI8" s="562">
        <f t="shared" si="90"/>
        <v>-50</v>
      </c>
      <c r="FJ8">
        <f t="shared" si="91"/>
        <v>-50</v>
      </c>
      <c r="FL8">
        <f t="shared" si="92"/>
        <v>6.0546293516090519E-2</v>
      </c>
    </row>
    <row r="9" spans="2:169">
      <c r="E9" s="170">
        <v>4</v>
      </c>
      <c r="F9" s="217">
        <f t="shared" si="131"/>
        <v>0.04</v>
      </c>
      <c r="G9" s="217">
        <f t="shared" si="93"/>
        <v>0.01</v>
      </c>
      <c r="H9" s="217">
        <f t="shared" si="0"/>
        <v>0.64</v>
      </c>
      <c r="I9" s="217">
        <f t="shared" si="132"/>
        <v>0.08</v>
      </c>
      <c r="J9" s="541">
        <f t="shared" si="1"/>
        <v>23.966307696403316</v>
      </c>
      <c r="K9" s="443">
        <f t="shared" si="2"/>
        <v>16.714864658887183</v>
      </c>
      <c r="L9" s="172">
        <f t="shared" si="3"/>
        <v>40.681172355290499</v>
      </c>
      <c r="M9" s="443"/>
      <c r="N9" s="217">
        <f t="shared" si="4"/>
        <v>0.41087470422207367</v>
      </c>
      <c r="O9" s="172">
        <f t="shared" si="94"/>
        <v>21.8825546356776</v>
      </c>
      <c r="P9" s="172">
        <f t="shared" si="5"/>
        <v>3.0772342456421624</v>
      </c>
      <c r="Q9" s="217">
        <f t="shared" si="6"/>
        <v>1.36765966472985</v>
      </c>
      <c r="R9" s="217">
        <f t="shared" si="7"/>
        <v>2.7353193294597</v>
      </c>
      <c r="S9" s="443">
        <f t="shared" si="8"/>
        <v>16</v>
      </c>
      <c r="T9" s="217">
        <f t="shared" si="9"/>
        <v>0.14623521125740405</v>
      </c>
      <c r="U9" s="217">
        <f t="shared" si="10"/>
        <v>7.3220395787215869E-2</v>
      </c>
      <c r="V9" s="217">
        <f t="shared" si="11"/>
        <v>0.10498574597526406</v>
      </c>
      <c r="W9" s="197">
        <f t="shared" si="12"/>
        <v>350</v>
      </c>
      <c r="X9" s="443">
        <f t="shared" si="95"/>
        <v>350</v>
      </c>
      <c r="Z9" s="217">
        <f t="shared" si="13"/>
        <v>2.3445594252511714</v>
      </c>
      <c r="AA9" s="173">
        <f t="shared" si="14"/>
        <v>1.6832151307940755</v>
      </c>
      <c r="AB9" s="173">
        <f t="shared" si="15"/>
        <v>0.69061963243501079</v>
      </c>
      <c r="AC9" s="173"/>
      <c r="AD9" s="173">
        <f t="shared" si="16"/>
        <v>0.71792385070971421</v>
      </c>
      <c r="AE9" s="545">
        <f t="shared" si="17"/>
        <v>111.43243105924789</v>
      </c>
      <c r="AF9" s="528">
        <f t="shared" si="18"/>
        <v>0.12563667387419999</v>
      </c>
      <c r="AH9" s="173">
        <f t="shared" si="19"/>
        <v>0.58554004376911983</v>
      </c>
      <c r="AI9" s="173">
        <f t="shared" si="20"/>
        <v>1</v>
      </c>
      <c r="AJ9" s="173">
        <f t="shared" si="21"/>
        <v>1.0636756748909988</v>
      </c>
      <c r="AL9" s="545">
        <f t="shared" si="22"/>
        <v>40</v>
      </c>
      <c r="AM9" s="460">
        <f t="shared" si="23"/>
        <v>111.43243105924789</v>
      </c>
      <c r="AO9">
        <f t="shared" si="96"/>
        <v>40</v>
      </c>
      <c r="AP9" s="460">
        <f t="shared" si="24"/>
        <v>111.43243105924789</v>
      </c>
      <c r="AQ9" s="460"/>
      <c r="AR9" s="5">
        <f t="shared" si="97"/>
        <v>8.9740481338714275</v>
      </c>
      <c r="AS9" s="5">
        <f t="shared" si="25"/>
        <v>0.50070290976865284</v>
      </c>
      <c r="AT9" s="5">
        <f t="shared" si="98"/>
        <v>8.4733452241027756</v>
      </c>
      <c r="AU9" s="173">
        <f t="shared" si="99"/>
        <v>5.5794542473960221E-2</v>
      </c>
      <c r="AW9" s="5">
        <f t="shared" si="26"/>
        <v>0.12517572744216321</v>
      </c>
      <c r="AX9" s="5">
        <f t="shared" si="27"/>
        <v>6.2587863721081605E-2</v>
      </c>
      <c r="AY9" s="5">
        <f t="shared" si="28"/>
        <v>0.18856127151922564</v>
      </c>
      <c r="AZ9" s="5"/>
      <c r="BA9" s="173">
        <f t="shared" si="100"/>
        <v>0.1363751473863673</v>
      </c>
      <c r="BB9" s="173">
        <f t="shared" si="29"/>
        <v>0.56101261350229903</v>
      </c>
      <c r="BC9" s="173">
        <f t="shared" si="30"/>
        <v>0.1377780977277705</v>
      </c>
      <c r="BD9" s="173"/>
      <c r="BE9" s="528">
        <f t="shared" si="31"/>
        <v>3.7196361649306808E-4</v>
      </c>
      <c r="BF9" s="528">
        <f t="shared" si="32"/>
        <v>8.2730935293497815E-2</v>
      </c>
      <c r="BG9" s="528">
        <f t="shared" si="33"/>
        <v>6.142435039285625E-2</v>
      </c>
      <c r="BH9" s="528">
        <f t="shared" si="34"/>
        <v>9.0824864828009069E-2</v>
      </c>
      <c r="BI9">
        <f t="shared" si="35"/>
        <v>1.0784838463381493E-2</v>
      </c>
      <c r="BJ9" s="460">
        <f t="shared" si="101"/>
        <v>72.209188856237745</v>
      </c>
      <c r="BK9">
        <f t="shared" si="36"/>
        <v>0.17404357563422321</v>
      </c>
      <c r="BL9" s="460">
        <f t="shared" si="102"/>
        <v>174.0435756342232</v>
      </c>
      <c r="BM9" s="173">
        <f t="shared" si="37"/>
        <v>2.4849999999999997E-2</v>
      </c>
      <c r="BN9" s="173">
        <f t="shared" si="38"/>
        <v>4.4374999999999996E-3</v>
      </c>
      <c r="BO9" s="528"/>
      <c r="BQ9" s="460">
        <f t="shared" si="103"/>
        <v>29.287499999999998</v>
      </c>
      <c r="BR9" s="528">
        <f t="shared" si="39"/>
        <v>5.5794542473960212E-4</v>
      </c>
      <c r="BS9" s="528">
        <f t="shared" si="104"/>
        <v>9.4420545752603984E-3</v>
      </c>
      <c r="BT9" s="528">
        <f t="shared" si="40"/>
        <v>9.4914021067415383E-5</v>
      </c>
      <c r="BU9" s="528">
        <f t="shared" si="41"/>
        <v>6.5538880359357959E-3</v>
      </c>
      <c r="BV9" s="528">
        <f t="shared" si="42"/>
        <v>1.90869959487012E-2</v>
      </c>
      <c r="BW9" s="625">
        <f t="shared" si="43"/>
        <v>5.5716215529623945E-4</v>
      </c>
      <c r="BX9" s="460">
        <f t="shared" si="105"/>
        <v>19.644158103997441</v>
      </c>
      <c r="BY9" s="173">
        <f t="shared" si="106"/>
        <v>0.22297523373822067</v>
      </c>
      <c r="BZ9" s="5">
        <f t="shared" si="107"/>
        <v>0.72</v>
      </c>
      <c r="CA9" s="173">
        <f t="shared" si="108"/>
        <v>0.76354073175995962</v>
      </c>
      <c r="CB9" s="5">
        <f t="shared" si="109"/>
        <v>76.354073175995964</v>
      </c>
      <c r="CC9">
        <f t="shared" si="110"/>
        <v>4</v>
      </c>
      <c r="CE9" s="562">
        <f t="shared" si="44"/>
        <v>-50</v>
      </c>
      <c r="CF9">
        <f t="shared" si="45"/>
        <v>-50</v>
      </c>
      <c r="CG9" s="173">
        <f t="shared" si="46"/>
        <v>8.0728391354787377E-2</v>
      </c>
      <c r="CH9" s="173">
        <f t="shared" si="47"/>
        <v>2.853719077773827E-2</v>
      </c>
      <c r="CI9" s="170">
        <v>4</v>
      </c>
      <c r="CJ9" s="217">
        <f t="shared" si="133"/>
        <v>0.04</v>
      </c>
      <c r="CK9" s="217">
        <f t="shared" si="111"/>
        <v>0.01</v>
      </c>
      <c r="CL9" s="217">
        <f t="shared" si="48"/>
        <v>0.64</v>
      </c>
      <c r="CM9" s="217">
        <f t="shared" si="134"/>
        <v>0.08</v>
      </c>
      <c r="CN9" s="541">
        <f t="shared" si="112"/>
        <v>24</v>
      </c>
      <c r="CO9" s="443">
        <f t="shared" si="49"/>
        <v>16.7</v>
      </c>
      <c r="CP9" s="443">
        <f t="shared" si="50"/>
        <v>40.700000000000003</v>
      </c>
      <c r="CQ9" s="443"/>
      <c r="CR9" s="217">
        <f t="shared" si="113"/>
        <v>0.40594059405940591</v>
      </c>
      <c r="CS9" s="172">
        <f t="shared" si="114"/>
        <v>21.650165016501649</v>
      </c>
      <c r="CT9" s="172">
        <f t="shared" si="51"/>
        <v>3.0445544554455446</v>
      </c>
      <c r="CU9" s="217">
        <f t="shared" si="52"/>
        <v>1.3531353135313531</v>
      </c>
      <c r="CV9" s="217">
        <f t="shared" si="53"/>
        <v>2.7062706270627062</v>
      </c>
      <c r="CW9" s="443">
        <f t="shared" si="54"/>
        <v>16</v>
      </c>
      <c r="CX9" s="217">
        <f t="shared" si="55"/>
        <v>0.14780487804878048</v>
      </c>
      <c r="CY9" s="217">
        <f t="shared" si="56"/>
        <v>7.3902439024390254E-2</v>
      </c>
      <c r="CZ9" s="217">
        <f t="shared" si="57"/>
        <v>0.10620709799912371</v>
      </c>
      <c r="DA9" s="197">
        <f t="shared" si="58"/>
        <v>350</v>
      </c>
      <c r="DB9" s="443">
        <f t="shared" si="115"/>
        <v>350</v>
      </c>
      <c r="DD9" s="217">
        <f t="shared" si="59"/>
        <v>2.344682344682345</v>
      </c>
      <c r="DE9" s="173">
        <f t="shared" si="60"/>
        <v>1.6848016848016851</v>
      </c>
      <c r="DF9" s="173">
        <f t="shared" si="61"/>
        <v>0.69130683381297664</v>
      </c>
      <c r="DG9" s="173"/>
      <c r="DH9" s="173">
        <f t="shared" si="62"/>
        <v>0.71856287425149712</v>
      </c>
      <c r="DI9" s="545">
        <f t="shared" si="63"/>
        <v>111.33333333333333</v>
      </c>
      <c r="DJ9" s="528">
        <f t="shared" si="64"/>
        <v>0.125748502994012</v>
      </c>
      <c r="DL9" s="173">
        <f t="shared" si="65"/>
        <v>0.58554004376911983</v>
      </c>
      <c r="DM9" s="173">
        <f t="shared" si="66"/>
        <v>1</v>
      </c>
      <c r="DN9" s="173">
        <f t="shared" si="67"/>
        <v>1.0636190476190477</v>
      </c>
      <c r="DP9" s="545">
        <f t="shared" si="68"/>
        <v>40</v>
      </c>
      <c r="DQ9" s="460">
        <f t="shared" si="69"/>
        <v>111.33333333333333</v>
      </c>
      <c r="DS9">
        <f t="shared" si="116"/>
        <v>40</v>
      </c>
      <c r="DT9" s="460">
        <f t="shared" si="70"/>
        <v>111.33333333333333</v>
      </c>
      <c r="DU9" s="460"/>
      <c r="DV9" s="5">
        <f t="shared" si="117"/>
        <v>8.9820359281437128</v>
      </c>
      <c r="DW9" s="5">
        <f t="shared" si="71"/>
        <v>0.5</v>
      </c>
      <c r="DX9" s="5">
        <f t="shared" si="118"/>
        <v>8.4820359281437128</v>
      </c>
      <c r="DY9" s="173">
        <f t="shared" si="119"/>
        <v>5.5666666666666663E-2</v>
      </c>
      <c r="EA9" s="5">
        <f t="shared" si="72"/>
        <v>0.125</v>
      </c>
      <c r="EB9" s="5">
        <f t="shared" si="73"/>
        <v>6.25E-2</v>
      </c>
      <c r="EC9" s="5">
        <f t="shared" si="74"/>
        <v>0.18848968729208249</v>
      </c>
      <c r="ED9" s="5"/>
      <c r="EE9" s="173">
        <f t="shared" si="120"/>
        <v>0.13621877827801698</v>
      </c>
      <c r="EF9" s="173">
        <f t="shared" si="75"/>
        <v>0.5610506017978929</v>
      </c>
      <c r="EG9" s="173">
        <f t="shared" si="76"/>
        <v>0.13778742720624723</v>
      </c>
      <c r="EH9" s="173"/>
      <c r="EI9" s="528">
        <f t="shared" si="77"/>
        <v>3.7111111111111101E-4</v>
      </c>
      <c r="EJ9" s="528">
        <f t="shared" si="78"/>
        <v>8.6094066666666663E-2</v>
      </c>
      <c r="EK9" s="528">
        <f t="shared" si="79"/>
        <v>1.2803333333333333E-2</v>
      </c>
      <c r="EL9" s="528">
        <f t="shared" si="80"/>
        <v>9.0828107516666673E-2</v>
      </c>
      <c r="EM9">
        <f t="shared" si="81"/>
        <v>1.0800000000000001E-2</v>
      </c>
      <c r="EN9" s="460">
        <f t="shared" si="121"/>
        <v>23.603333333333335</v>
      </c>
      <c r="EO9">
        <f t="shared" si="82"/>
        <v>0.2010145432861466</v>
      </c>
      <c r="EP9" s="460">
        <f t="shared" si="122"/>
        <v>201.01454328614659</v>
      </c>
      <c r="EQ9" s="173">
        <f t="shared" si="83"/>
        <v>2.4849999999999997E-2</v>
      </c>
      <c r="ER9" s="173">
        <f t="shared" si="84"/>
        <v>4.4374999999999996E-3</v>
      </c>
      <c r="ES9" s="528"/>
      <c r="EU9" s="460">
        <f t="shared" si="123"/>
        <v>29.287499999999998</v>
      </c>
      <c r="EV9" s="528">
        <f t="shared" si="85"/>
        <v>5.5666666666666646E-4</v>
      </c>
      <c r="EW9" s="528">
        <f t="shared" si="124"/>
        <v>9.4433333333333331E-3</v>
      </c>
      <c r="EX9" s="528">
        <f t="shared" si="86"/>
        <v>9.4926875480584409E-5</v>
      </c>
      <c r="EY9" s="528">
        <f t="shared" si="87"/>
        <v>6.5393266943526533E-3</v>
      </c>
      <c r="EZ9" s="528">
        <f t="shared" si="88"/>
        <v>1.9072438809958465E-2</v>
      </c>
      <c r="FA9" s="625">
        <f t="shared" si="89"/>
        <v>5.5666666666666668E-4</v>
      </c>
      <c r="FB9" s="460">
        <f t="shared" si="125"/>
        <v>19.629105476625131</v>
      </c>
      <c r="FC9" s="173">
        <f t="shared" si="126"/>
        <v>0.24993114876277173</v>
      </c>
      <c r="FD9" s="5">
        <f t="shared" si="127"/>
        <v>0.72</v>
      </c>
      <c r="FE9" s="173">
        <f t="shared" si="128"/>
        <v>0.74232073165030332</v>
      </c>
      <c r="FF9" s="5">
        <f t="shared" si="129"/>
        <v>74.232073165030329</v>
      </c>
      <c r="FG9">
        <f t="shared" si="130"/>
        <v>4</v>
      </c>
      <c r="FI9" s="562">
        <f t="shared" si="90"/>
        <v>-50</v>
      </c>
      <c r="FJ9">
        <f t="shared" si="91"/>
        <v>-50</v>
      </c>
      <c r="FL9">
        <f t="shared" si="92"/>
        <v>8.0728391354787377E-2</v>
      </c>
    </row>
    <row r="10" spans="2:169">
      <c r="E10" s="170">
        <v>5</v>
      </c>
      <c r="F10" s="217">
        <f t="shared" si="131"/>
        <v>0.05</v>
      </c>
      <c r="G10" s="217">
        <f t="shared" si="93"/>
        <v>1.2500000000000001E-2</v>
      </c>
      <c r="H10" s="217">
        <f t="shared" si="0"/>
        <v>0.8</v>
      </c>
      <c r="I10" s="217">
        <f t="shared" si="132"/>
        <v>0.1</v>
      </c>
      <c r="J10" s="541">
        <f t="shared" si="1"/>
        <v>23.966307696403316</v>
      </c>
      <c r="K10" s="443">
        <f t="shared" si="2"/>
        <v>16.714864658887183</v>
      </c>
      <c r="L10" s="172">
        <f t="shared" si="3"/>
        <v>40.681172355290499</v>
      </c>
      <c r="M10" s="443"/>
      <c r="N10" s="217">
        <f t="shared" si="4"/>
        <v>0.41087470422207367</v>
      </c>
      <c r="O10" s="172">
        <f t="shared" si="94"/>
        <v>21.8825546356776</v>
      </c>
      <c r="P10" s="172">
        <f t="shared" si="5"/>
        <v>3.0772342456421624</v>
      </c>
      <c r="Q10" s="217">
        <f t="shared" si="6"/>
        <v>1.36765966472985</v>
      </c>
      <c r="R10" s="217">
        <f t="shared" si="7"/>
        <v>2.7353193294597</v>
      </c>
      <c r="S10" s="443">
        <f t="shared" si="8"/>
        <v>16</v>
      </c>
      <c r="T10" s="217">
        <f t="shared" si="9"/>
        <v>0.18279401407175505</v>
      </c>
      <c r="U10" s="217">
        <f t="shared" si="10"/>
        <v>9.152549473401983E-2</v>
      </c>
      <c r="V10" s="217">
        <f t="shared" si="11"/>
        <v>0.13123218246908006</v>
      </c>
      <c r="W10" s="197">
        <f t="shared" si="12"/>
        <v>350</v>
      </c>
      <c r="X10" s="443">
        <f t="shared" si="95"/>
        <v>350</v>
      </c>
      <c r="Z10" s="217">
        <f t="shared" si="13"/>
        <v>2.3445594252511714</v>
      </c>
      <c r="AA10" s="173">
        <f t="shared" si="14"/>
        <v>1.6832151307940755</v>
      </c>
      <c r="AB10" s="173">
        <f t="shared" si="15"/>
        <v>0.69061963243501079</v>
      </c>
      <c r="AC10" s="173"/>
      <c r="AD10" s="173">
        <f t="shared" si="16"/>
        <v>0.71792385070971421</v>
      </c>
      <c r="AE10" s="545">
        <f t="shared" si="17"/>
        <v>139.29053882405987</v>
      </c>
      <c r="AF10" s="528">
        <f t="shared" si="18"/>
        <v>0.12563667387419999</v>
      </c>
      <c r="AH10" s="173">
        <f t="shared" si="19"/>
        <v>0.65465367070797709</v>
      </c>
      <c r="AI10" s="173">
        <f t="shared" si="20"/>
        <v>1</v>
      </c>
      <c r="AJ10" s="173">
        <f t="shared" si="21"/>
        <v>1.0795945936137485</v>
      </c>
      <c r="AL10" s="545">
        <f t="shared" si="22"/>
        <v>50</v>
      </c>
      <c r="AM10" s="460">
        <f t="shared" si="23"/>
        <v>139.29053882405987</v>
      </c>
      <c r="AO10">
        <f t="shared" si="96"/>
        <v>50</v>
      </c>
      <c r="AP10" s="460">
        <f t="shared" si="24"/>
        <v>139.29053882405987</v>
      </c>
      <c r="AQ10" s="460"/>
      <c r="AR10" s="5">
        <f t="shared" si="97"/>
        <v>7.179238507097141</v>
      </c>
      <c r="AS10" s="5">
        <f t="shared" si="25"/>
        <v>0.50070290976865284</v>
      </c>
      <c r="AT10" s="5">
        <f t="shared" si="98"/>
        <v>6.6785355973284881</v>
      </c>
      <c r="AU10" s="173">
        <f t="shared" si="99"/>
        <v>6.9743178092450286E-2</v>
      </c>
      <c r="AW10" s="5">
        <f t="shared" si="26"/>
        <v>0.15646965930270401</v>
      </c>
      <c r="AX10" s="5">
        <f t="shared" si="27"/>
        <v>7.8234829651352006E-2</v>
      </c>
      <c r="AY10" s="5">
        <f t="shared" si="28"/>
        <v>0.18577567814310567</v>
      </c>
      <c r="AZ10" s="5"/>
      <c r="BA10" s="173">
        <f t="shared" si="100"/>
        <v>0.15247204999873507</v>
      </c>
      <c r="BB10" s="173">
        <f t="shared" si="29"/>
        <v>0.5568533086033669</v>
      </c>
      <c r="BC10" s="173">
        <f t="shared" si="30"/>
        <v>0.13675662137759156</v>
      </c>
      <c r="BD10" s="173"/>
      <c r="BE10" s="528">
        <f t="shared" si="31"/>
        <v>4.6495452061633531E-4</v>
      </c>
      <c r="BF10" s="528">
        <f t="shared" si="32"/>
        <v>0.10341366911687225</v>
      </c>
      <c r="BG10" s="528">
        <f t="shared" si="33"/>
        <v>7.6780437991070316E-2</v>
      </c>
      <c r="BH10" s="528">
        <f t="shared" si="34"/>
        <v>0.11353108103501135</v>
      </c>
      <c r="BI10">
        <f t="shared" si="35"/>
        <v>1.0784838463381493E-2</v>
      </c>
      <c r="BJ10" s="460">
        <f t="shared" si="101"/>
        <v>87.565276454451805</v>
      </c>
      <c r="BK10">
        <f t="shared" si="36"/>
        <v>0.21755927686128693</v>
      </c>
      <c r="BL10" s="460">
        <f t="shared" si="102"/>
        <v>217.55927686128692</v>
      </c>
      <c r="BM10" s="173">
        <f t="shared" si="37"/>
        <v>3.1062499999999996E-2</v>
      </c>
      <c r="BN10" s="173">
        <f t="shared" si="38"/>
        <v>5.5468749999999997E-3</v>
      </c>
      <c r="BO10" s="528"/>
      <c r="BQ10" s="460">
        <f t="shared" si="103"/>
        <v>36.609375</v>
      </c>
      <c r="BR10" s="528">
        <f t="shared" si="39"/>
        <v>6.9743178092450289E-4</v>
      </c>
      <c r="BS10" s="528">
        <f t="shared" si="104"/>
        <v>9.3025682190754962E-3</v>
      </c>
      <c r="BT10" s="528">
        <f t="shared" si="40"/>
        <v>9.3511867453069668E-5</v>
      </c>
      <c r="BU10" s="528">
        <f t="shared" si="41"/>
        <v>1.1449171222871106E-2</v>
      </c>
      <c r="BV10" s="528">
        <f t="shared" si="42"/>
        <v>2.3984492959658762E-2</v>
      </c>
      <c r="BW10" s="625">
        <f t="shared" si="43"/>
        <v>6.964526941202994E-4</v>
      </c>
      <c r="BX10" s="460">
        <f t="shared" si="105"/>
        <v>24.680945653779062</v>
      </c>
      <c r="BY10" s="173">
        <f t="shared" si="106"/>
        <v>0.27884959751506594</v>
      </c>
      <c r="BZ10" s="5">
        <f t="shared" si="107"/>
        <v>0.9</v>
      </c>
      <c r="CA10" s="173">
        <f t="shared" si="108"/>
        <v>0.76345617108165309</v>
      </c>
      <c r="CB10" s="5">
        <f t="shared" si="109"/>
        <v>76.345617108165314</v>
      </c>
      <c r="CC10">
        <f t="shared" si="110"/>
        <v>5</v>
      </c>
      <c r="CE10" s="562">
        <f t="shared" si="44"/>
        <v>-50</v>
      </c>
      <c r="CF10">
        <f t="shared" si="45"/>
        <v>-50</v>
      </c>
      <c r="CG10" s="173">
        <f t="shared" si="46"/>
        <v>0.10091048919348422</v>
      </c>
      <c r="CH10" s="173">
        <f t="shared" si="47"/>
        <v>3.5671488472172837E-2</v>
      </c>
      <c r="CI10" s="170">
        <v>5</v>
      </c>
      <c r="CJ10" s="217">
        <f t="shared" si="133"/>
        <v>0.05</v>
      </c>
      <c r="CK10" s="217">
        <f t="shared" si="111"/>
        <v>1.2500000000000001E-2</v>
      </c>
      <c r="CL10" s="217">
        <f t="shared" si="48"/>
        <v>0.8</v>
      </c>
      <c r="CM10" s="217">
        <f t="shared" si="134"/>
        <v>0.1</v>
      </c>
      <c r="CN10" s="541">
        <f t="shared" si="112"/>
        <v>24</v>
      </c>
      <c r="CO10" s="443">
        <f t="shared" si="49"/>
        <v>16.7</v>
      </c>
      <c r="CP10" s="443">
        <f t="shared" si="50"/>
        <v>40.700000000000003</v>
      </c>
      <c r="CQ10" s="443"/>
      <c r="CR10" s="217">
        <f t="shared" si="113"/>
        <v>0.40594059405940591</v>
      </c>
      <c r="CS10" s="172">
        <f t="shared" si="114"/>
        <v>21.650165016501649</v>
      </c>
      <c r="CT10" s="172">
        <f t="shared" si="51"/>
        <v>3.0445544554455446</v>
      </c>
      <c r="CU10" s="217">
        <f t="shared" si="52"/>
        <v>1.3531353135313531</v>
      </c>
      <c r="CV10" s="217">
        <f t="shared" si="53"/>
        <v>2.7062706270627062</v>
      </c>
      <c r="CW10" s="443">
        <f t="shared" si="54"/>
        <v>16</v>
      </c>
      <c r="CX10" s="217">
        <f t="shared" si="55"/>
        <v>0.18475609756097561</v>
      </c>
      <c r="CY10" s="217">
        <f t="shared" si="56"/>
        <v>9.2378048780487818E-2</v>
      </c>
      <c r="CZ10" s="217">
        <f t="shared" si="57"/>
        <v>0.13275887249890464</v>
      </c>
      <c r="DA10" s="197">
        <f t="shared" si="58"/>
        <v>350</v>
      </c>
      <c r="DB10" s="443">
        <f t="shared" si="115"/>
        <v>350</v>
      </c>
      <c r="DD10" s="217">
        <f t="shared" si="59"/>
        <v>2.344682344682345</v>
      </c>
      <c r="DE10" s="173">
        <f t="shared" si="60"/>
        <v>1.6848016848016851</v>
      </c>
      <c r="DF10" s="173">
        <f t="shared" si="61"/>
        <v>0.69130683381297664</v>
      </c>
      <c r="DG10" s="173"/>
      <c r="DH10" s="173">
        <f t="shared" si="62"/>
        <v>0.71856287425149712</v>
      </c>
      <c r="DI10" s="545">
        <f t="shared" si="63"/>
        <v>139.16666666666666</v>
      </c>
      <c r="DJ10" s="528">
        <f t="shared" si="64"/>
        <v>0.125748502994012</v>
      </c>
      <c r="DL10" s="173">
        <f t="shared" si="65"/>
        <v>0.65465367070797709</v>
      </c>
      <c r="DM10" s="173">
        <f t="shared" si="66"/>
        <v>1</v>
      </c>
      <c r="DN10" s="173">
        <f t="shared" si="67"/>
        <v>1.0795238095238096</v>
      </c>
      <c r="DP10" s="545">
        <f t="shared" si="68"/>
        <v>50</v>
      </c>
      <c r="DQ10" s="460">
        <f t="shared" si="69"/>
        <v>139.16666666666666</v>
      </c>
      <c r="DS10">
        <f t="shared" si="116"/>
        <v>50</v>
      </c>
      <c r="DT10" s="460">
        <f t="shared" si="70"/>
        <v>139.16666666666666</v>
      </c>
      <c r="DU10" s="460"/>
      <c r="DV10" s="5">
        <f t="shared" si="117"/>
        <v>7.1856287425149707</v>
      </c>
      <c r="DW10" s="5">
        <f t="shared" si="71"/>
        <v>0.5</v>
      </c>
      <c r="DX10" s="5">
        <f t="shared" si="118"/>
        <v>6.6856287425149707</v>
      </c>
      <c r="DY10" s="173">
        <f t="shared" si="119"/>
        <v>6.958333333333333E-2</v>
      </c>
      <c r="EA10" s="5">
        <f t="shared" si="72"/>
        <v>0.15625</v>
      </c>
      <c r="EB10" s="5">
        <f t="shared" si="73"/>
        <v>7.8125E-2</v>
      </c>
      <c r="EC10" s="5">
        <f t="shared" si="74"/>
        <v>0.18571190951430472</v>
      </c>
      <c r="ED10" s="5"/>
      <c r="EE10" s="173">
        <f t="shared" si="120"/>
        <v>0.15229722402080889</v>
      </c>
      <c r="EF10" s="173">
        <f t="shared" si="75"/>
        <v>0.55690114822012071</v>
      </c>
      <c r="EG10" s="173">
        <f t="shared" si="76"/>
        <v>0.13676837022464727</v>
      </c>
      <c r="EH10" s="173"/>
      <c r="EI10" s="528">
        <f t="shared" si="77"/>
        <v>4.6388888888888896E-4</v>
      </c>
      <c r="EJ10" s="528">
        <f t="shared" si="78"/>
        <v>0.10761758333333334</v>
      </c>
      <c r="EK10" s="528">
        <f t="shared" si="79"/>
        <v>1.600416666666667E-2</v>
      </c>
      <c r="EL10" s="528">
        <f t="shared" si="80"/>
        <v>0.11353513439583335</v>
      </c>
      <c r="EM10">
        <f t="shared" si="81"/>
        <v>1.0800000000000001E-2</v>
      </c>
      <c r="EN10" s="460">
        <f t="shared" si="121"/>
        <v>26.804166666666671</v>
      </c>
      <c r="EO10">
        <f t="shared" si="82"/>
        <v>0.24857342104719007</v>
      </c>
      <c r="EP10" s="460">
        <f t="shared" si="122"/>
        <v>248.57342104719007</v>
      </c>
      <c r="EQ10" s="173">
        <f t="shared" si="83"/>
        <v>3.1062499999999996E-2</v>
      </c>
      <c r="ER10" s="173">
        <f t="shared" si="84"/>
        <v>5.5468749999999997E-3</v>
      </c>
      <c r="ES10" s="528"/>
      <c r="EU10" s="460">
        <f t="shared" si="123"/>
        <v>36.609375</v>
      </c>
      <c r="EV10" s="528">
        <f t="shared" si="85"/>
        <v>6.9583333333333346E-4</v>
      </c>
      <c r="EW10" s="528">
        <f t="shared" si="124"/>
        <v>9.3041666666666654E-3</v>
      </c>
      <c r="EX10" s="528">
        <f t="shared" si="86"/>
        <v>9.3527935469530927E-5</v>
      </c>
      <c r="EY10" s="528">
        <f t="shared" si="87"/>
        <v>1.1423733605977766E-2</v>
      </c>
      <c r="EZ10" s="528">
        <f t="shared" si="88"/>
        <v>2.3959054757039796E-2</v>
      </c>
      <c r="FA10" s="625">
        <f t="shared" si="89"/>
        <v>6.9583333333333324E-4</v>
      </c>
      <c r="FB10" s="460">
        <f t="shared" si="125"/>
        <v>24.654888090373127</v>
      </c>
      <c r="FC10" s="173">
        <f t="shared" si="126"/>
        <v>0.30983768413756324</v>
      </c>
      <c r="FD10" s="5">
        <f t="shared" si="127"/>
        <v>0.9</v>
      </c>
      <c r="FE10" s="173">
        <f t="shared" si="128"/>
        <v>0.7439014438053051</v>
      </c>
      <c r="FF10" s="5">
        <f t="shared" si="129"/>
        <v>74.390144380530515</v>
      </c>
      <c r="FG10">
        <f t="shared" si="130"/>
        <v>5</v>
      </c>
      <c r="FI10" s="562">
        <f t="shared" si="90"/>
        <v>-50</v>
      </c>
      <c r="FJ10">
        <f t="shared" si="91"/>
        <v>-50</v>
      </c>
      <c r="FL10">
        <f t="shared" si="92"/>
        <v>0.10091048919348422</v>
      </c>
    </row>
    <row r="11" spans="2:169">
      <c r="E11" s="170">
        <v>6</v>
      </c>
      <c r="F11" s="217">
        <f t="shared" si="131"/>
        <v>0.06</v>
      </c>
      <c r="G11" s="217">
        <f t="shared" si="93"/>
        <v>1.4999999999999999E-2</v>
      </c>
      <c r="H11" s="217">
        <f t="shared" si="0"/>
        <v>0.96</v>
      </c>
      <c r="I11" s="217">
        <f t="shared" si="132"/>
        <v>0.12</v>
      </c>
      <c r="J11" s="541">
        <f t="shared" si="1"/>
        <v>23.966307696403316</v>
      </c>
      <c r="K11" s="443">
        <f t="shared" si="2"/>
        <v>16.714864658887183</v>
      </c>
      <c r="L11" s="172">
        <f t="shared" si="3"/>
        <v>40.681172355290499</v>
      </c>
      <c r="M11" s="443"/>
      <c r="N11" s="217">
        <f t="shared" si="4"/>
        <v>0.41087470422207367</v>
      </c>
      <c r="O11" s="172">
        <f t="shared" si="94"/>
        <v>21.8825546356776</v>
      </c>
      <c r="P11" s="172">
        <f t="shared" si="5"/>
        <v>3.0772342456421624</v>
      </c>
      <c r="Q11" s="217">
        <f t="shared" si="6"/>
        <v>1.36765966472985</v>
      </c>
      <c r="R11" s="217">
        <f t="shared" si="7"/>
        <v>2.7353193294597</v>
      </c>
      <c r="S11" s="443">
        <f t="shared" si="8"/>
        <v>16</v>
      </c>
      <c r="T11" s="217">
        <f t="shared" si="9"/>
        <v>0.21935281688610608</v>
      </c>
      <c r="U11" s="217">
        <f t="shared" si="10"/>
        <v>0.10983059368082382</v>
      </c>
      <c r="V11" s="217">
        <f t="shared" si="11"/>
        <v>0.15747861896289611</v>
      </c>
      <c r="W11" s="197">
        <f t="shared" si="12"/>
        <v>350</v>
      </c>
      <c r="X11" s="443">
        <f t="shared" si="95"/>
        <v>350</v>
      </c>
      <c r="Z11" s="217">
        <f t="shared" si="13"/>
        <v>2.3445594252511714</v>
      </c>
      <c r="AA11" s="173">
        <f t="shared" si="14"/>
        <v>1.6832151307940755</v>
      </c>
      <c r="AB11" s="173">
        <f t="shared" si="15"/>
        <v>0.69061963243501079</v>
      </c>
      <c r="AC11" s="173"/>
      <c r="AD11" s="173">
        <f t="shared" si="16"/>
        <v>0.71792385070971421</v>
      </c>
      <c r="AE11" s="545">
        <f t="shared" si="17"/>
        <v>167.1486465888718</v>
      </c>
      <c r="AF11" s="528">
        <f t="shared" si="18"/>
        <v>0.12563667387419999</v>
      </c>
      <c r="AH11" s="173">
        <f t="shared" si="19"/>
        <v>0.71713716560063623</v>
      </c>
      <c r="AI11" s="173">
        <f t="shared" si="20"/>
        <v>1</v>
      </c>
      <c r="AJ11" s="173">
        <f t="shared" si="21"/>
        <v>1.0955135123364981</v>
      </c>
      <c r="AL11" s="545">
        <f t="shared" si="22"/>
        <v>60</v>
      </c>
      <c r="AM11" s="460">
        <f t="shared" si="23"/>
        <v>167.1486465888718</v>
      </c>
      <c r="AO11">
        <f t="shared" si="96"/>
        <v>60</v>
      </c>
      <c r="AP11" s="460">
        <f t="shared" si="24"/>
        <v>167.1486465888718</v>
      </c>
      <c r="AQ11" s="460"/>
      <c r="AR11" s="5">
        <f t="shared" si="97"/>
        <v>5.9826987559142859</v>
      </c>
      <c r="AS11" s="5">
        <f t="shared" si="25"/>
        <v>0.50070290976865284</v>
      </c>
      <c r="AT11" s="5">
        <f t="shared" si="98"/>
        <v>5.4819958461456331</v>
      </c>
      <c r="AU11" s="173">
        <f t="shared" si="99"/>
        <v>8.3691813710940324E-2</v>
      </c>
      <c r="AW11" s="5">
        <f t="shared" si="26"/>
        <v>0.18776359116324479</v>
      </c>
      <c r="AX11" s="5">
        <f t="shared" si="27"/>
        <v>9.3881795581622393E-2</v>
      </c>
      <c r="AY11" s="5">
        <f t="shared" si="28"/>
        <v>0.18299008476698575</v>
      </c>
      <c r="AZ11" s="5"/>
      <c r="BA11" s="173">
        <f t="shared" si="100"/>
        <v>0.16702476234672542</v>
      </c>
      <c r="BB11" s="173">
        <f t="shared" si="29"/>
        <v>0.55266270192256794</v>
      </c>
      <c r="BC11" s="173">
        <f t="shared" si="30"/>
        <v>0.13572745767804242</v>
      </c>
      <c r="BD11" s="173"/>
      <c r="BE11" s="528">
        <f t="shared" si="31"/>
        <v>5.5794542473960212E-4</v>
      </c>
      <c r="BF11" s="528">
        <f t="shared" si="32"/>
        <v>0.12409640294024667</v>
      </c>
      <c r="BG11" s="528">
        <f t="shared" si="33"/>
        <v>9.2136525589284368E-2</v>
      </c>
      <c r="BH11" s="528">
        <f t="shared" si="34"/>
        <v>0.13623729724201361</v>
      </c>
      <c r="BI11">
        <f t="shared" si="35"/>
        <v>1.0784838463381493E-2</v>
      </c>
      <c r="BJ11" s="460">
        <f t="shared" si="101"/>
        <v>102.92136405266587</v>
      </c>
      <c r="BK11">
        <f t="shared" si="36"/>
        <v>0.26107690127070604</v>
      </c>
      <c r="BL11" s="460">
        <f t="shared" si="102"/>
        <v>261.07690127070606</v>
      </c>
      <c r="BM11" s="173">
        <f t="shared" si="37"/>
        <v>3.7274999999999996E-2</v>
      </c>
      <c r="BN11" s="173">
        <f t="shared" si="38"/>
        <v>6.6562499999999998E-3</v>
      </c>
      <c r="BO11" s="528"/>
      <c r="BQ11" s="460">
        <f t="shared" si="103"/>
        <v>43.931249999999999</v>
      </c>
      <c r="BR11" s="528">
        <f t="shared" si="39"/>
        <v>8.3691813710940323E-4</v>
      </c>
      <c r="BS11" s="528">
        <f t="shared" si="104"/>
        <v>9.1630818628905958E-3</v>
      </c>
      <c r="BT11" s="528">
        <f t="shared" si="40"/>
        <v>9.2109713838723993E-5</v>
      </c>
      <c r="BU11" s="528">
        <f t="shared" si="41"/>
        <v>1.8060391709295857E-2</v>
      </c>
      <c r="BV11" s="528">
        <f t="shared" si="42"/>
        <v>3.0599312684117967E-2</v>
      </c>
      <c r="BW11" s="625">
        <f t="shared" si="43"/>
        <v>8.3574323294435902E-4</v>
      </c>
      <c r="BX11" s="460">
        <f t="shared" si="105"/>
        <v>31.435055917062325</v>
      </c>
      <c r="BY11" s="173">
        <f t="shared" si="106"/>
        <v>0.33644320718776838</v>
      </c>
      <c r="BZ11" s="5">
        <f t="shared" si="107"/>
        <v>1.08</v>
      </c>
      <c r="CA11" s="173">
        <f t="shared" si="108"/>
        <v>0.76247321072918361</v>
      </c>
      <c r="CB11" s="5">
        <f t="shared" si="109"/>
        <v>76.247321072918368</v>
      </c>
      <c r="CC11">
        <f t="shared" si="110"/>
        <v>6</v>
      </c>
      <c r="CE11" s="562">
        <f t="shared" si="44"/>
        <v>-50</v>
      </c>
      <c r="CF11">
        <f t="shared" si="45"/>
        <v>-50</v>
      </c>
      <c r="CG11" s="173">
        <f t="shared" si="46"/>
        <v>0.12109258703218104</v>
      </c>
      <c r="CH11" s="173">
        <f t="shared" si="47"/>
        <v>4.28057861666074E-2</v>
      </c>
      <c r="CI11" s="170">
        <v>6</v>
      </c>
      <c r="CJ11" s="217">
        <f t="shared" si="133"/>
        <v>0.06</v>
      </c>
      <c r="CK11" s="217">
        <f t="shared" si="111"/>
        <v>1.4999999999999999E-2</v>
      </c>
      <c r="CL11" s="217">
        <f t="shared" si="48"/>
        <v>0.96</v>
      </c>
      <c r="CM11" s="217">
        <f t="shared" si="134"/>
        <v>0.12</v>
      </c>
      <c r="CN11" s="541">
        <f t="shared" si="112"/>
        <v>24</v>
      </c>
      <c r="CO11" s="443">
        <f t="shared" si="49"/>
        <v>16.7</v>
      </c>
      <c r="CP11" s="443">
        <f t="shared" si="50"/>
        <v>40.700000000000003</v>
      </c>
      <c r="CQ11" s="443"/>
      <c r="CR11" s="217">
        <f t="shared" si="113"/>
        <v>0.40594059405940591</v>
      </c>
      <c r="CS11" s="172">
        <f t="shared" si="114"/>
        <v>21.650165016501649</v>
      </c>
      <c r="CT11" s="172">
        <f t="shared" si="51"/>
        <v>3.0445544554455446</v>
      </c>
      <c r="CU11" s="217">
        <f t="shared" si="52"/>
        <v>1.3531353135313531</v>
      </c>
      <c r="CV11" s="217">
        <f t="shared" si="53"/>
        <v>2.7062706270627062</v>
      </c>
      <c r="CW11" s="443">
        <f t="shared" si="54"/>
        <v>16</v>
      </c>
      <c r="CX11" s="217">
        <f t="shared" si="55"/>
        <v>0.22170731707317076</v>
      </c>
      <c r="CY11" s="217">
        <f t="shared" si="56"/>
        <v>0.11085365853658538</v>
      </c>
      <c r="CZ11" s="217">
        <f t="shared" si="57"/>
        <v>0.15931064699868561</v>
      </c>
      <c r="DA11" s="197">
        <f t="shared" si="58"/>
        <v>350</v>
      </c>
      <c r="DB11" s="443">
        <f t="shared" si="115"/>
        <v>350</v>
      </c>
      <c r="DD11" s="217">
        <f t="shared" si="59"/>
        <v>2.344682344682345</v>
      </c>
      <c r="DE11" s="173">
        <f t="shared" si="60"/>
        <v>1.6848016848016851</v>
      </c>
      <c r="DF11" s="173">
        <f t="shared" si="61"/>
        <v>0.69130683381297664</v>
      </c>
      <c r="DG11" s="173"/>
      <c r="DH11" s="173">
        <f t="shared" si="62"/>
        <v>0.71856287425149712</v>
      </c>
      <c r="DI11" s="545">
        <f t="shared" si="63"/>
        <v>166.99999999999997</v>
      </c>
      <c r="DJ11" s="528">
        <f t="shared" si="64"/>
        <v>0.125748502994012</v>
      </c>
      <c r="DL11" s="173">
        <f t="shared" si="65"/>
        <v>0.71713716560063623</v>
      </c>
      <c r="DM11" s="173">
        <f t="shared" si="66"/>
        <v>1</v>
      </c>
      <c r="DN11" s="173">
        <f t="shared" si="67"/>
        <v>1.0954285714285714</v>
      </c>
      <c r="DP11" s="545">
        <f t="shared" si="68"/>
        <v>60</v>
      </c>
      <c r="DQ11" s="460">
        <f t="shared" si="69"/>
        <v>166.99999999999997</v>
      </c>
      <c r="DS11">
        <f t="shared" si="116"/>
        <v>60</v>
      </c>
      <c r="DT11" s="460">
        <f t="shared" si="70"/>
        <v>166.99999999999997</v>
      </c>
      <c r="DU11" s="460"/>
      <c r="DV11" s="5">
        <f t="shared" si="117"/>
        <v>5.9880239520958094</v>
      </c>
      <c r="DW11" s="5">
        <f t="shared" si="71"/>
        <v>0.5</v>
      </c>
      <c r="DX11" s="5">
        <f t="shared" si="118"/>
        <v>5.4880239520958094</v>
      </c>
      <c r="DY11" s="173">
        <f t="shared" si="119"/>
        <v>8.3499999999999991E-2</v>
      </c>
      <c r="EA11" s="5">
        <f t="shared" si="72"/>
        <v>0.1875</v>
      </c>
      <c r="EB11" s="5">
        <f t="shared" si="73"/>
        <v>9.375E-2</v>
      </c>
      <c r="EC11" s="5">
        <f t="shared" si="74"/>
        <v>0.18293413173652695</v>
      </c>
      <c r="ED11" s="5"/>
      <c r="EE11" s="173">
        <f t="shared" si="120"/>
        <v>0.1668332500832293</v>
      </c>
      <c r="EF11" s="173">
        <f t="shared" si="75"/>
        <v>0.55272054421741912</v>
      </c>
      <c r="EG11" s="173">
        <f t="shared" si="76"/>
        <v>0.13574166306516028</v>
      </c>
      <c r="EH11" s="173"/>
      <c r="EI11" s="528">
        <f t="shared" si="77"/>
        <v>5.5666666666666657E-4</v>
      </c>
      <c r="EJ11" s="528">
        <f t="shared" si="78"/>
        <v>0.12914110000000001</v>
      </c>
      <c r="EK11" s="528">
        <f t="shared" si="79"/>
        <v>1.9205E-2</v>
      </c>
      <c r="EL11" s="528">
        <f t="shared" si="80"/>
        <v>0.13624216127500002</v>
      </c>
      <c r="EM11">
        <f t="shared" si="81"/>
        <v>1.0800000000000001E-2</v>
      </c>
      <c r="EN11" s="460">
        <f t="shared" si="121"/>
        <v>30.004999999999999</v>
      </c>
      <c r="EO11">
        <f t="shared" si="82"/>
        <v>0.29613439586140083</v>
      </c>
      <c r="EP11" s="460">
        <f t="shared" si="122"/>
        <v>296.13439586140083</v>
      </c>
      <c r="EQ11" s="173">
        <f t="shared" si="83"/>
        <v>3.7274999999999996E-2</v>
      </c>
      <c r="ER11" s="173">
        <f t="shared" si="84"/>
        <v>6.6562499999999998E-3</v>
      </c>
      <c r="ES11" s="528"/>
      <c r="EU11" s="460">
        <f t="shared" si="123"/>
        <v>43.931249999999999</v>
      </c>
      <c r="EV11" s="528">
        <f t="shared" si="85"/>
        <v>8.349999999999998E-4</v>
      </c>
      <c r="EW11" s="528">
        <f t="shared" si="124"/>
        <v>9.1649999999999978E-3</v>
      </c>
      <c r="EX11" s="528">
        <f t="shared" si="86"/>
        <v>9.2128995458477499E-5</v>
      </c>
      <c r="EY11" s="528">
        <f t="shared" si="87"/>
        <v>1.8020265370340682E-2</v>
      </c>
      <c r="EZ11" s="528">
        <f t="shared" si="88"/>
        <v>3.0559177897936482E-2</v>
      </c>
      <c r="FA11" s="625">
        <f t="shared" si="89"/>
        <v>8.349999999999998E-4</v>
      </c>
      <c r="FB11" s="460">
        <f t="shared" si="125"/>
        <v>31.394177897936483</v>
      </c>
      <c r="FC11" s="173">
        <f t="shared" si="126"/>
        <v>0.37145982375933728</v>
      </c>
      <c r="FD11" s="5">
        <f t="shared" si="127"/>
        <v>1.08</v>
      </c>
      <c r="FE11" s="173">
        <f t="shared" si="128"/>
        <v>0.74407846660388988</v>
      </c>
      <c r="FF11" s="5">
        <f t="shared" si="129"/>
        <v>74.407846660388984</v>
      </c>
      <c r="FG11">
        <f t="shared" si="130"/>
        <v>6</v>
      </c>
      <c r="FI11" s="562">
        <f t="shared" si="90"/>
        <v>-50</v>
      </c>
      <c r="FJ11">
        <f t="shared" si="91"/>
        <v>-50</v>
      </c>
      <c r="FL11">
        <f t="shared" si="92"/>
        <v>0.12109258703218104</v>
      </c>
    </row>
    <row r="12" spans="2:169">
      <c r="E12" s="170">
        <v>7</v>
      </c>
      <c r="F12" s="217">
        <f t="shared" si="131"/>
        <v>7.0000000000000007E-2</v>
      </c>
      <c r="G12" s="217">
        <f t="shared" si="93"/>
        <v>1.7500000000000002E-2</v>
      </c>
      <c r="H12" s="217">
        <f t="shared" si="0"/>
        <v>1.1200000000000001</v>
      </c>
      <c r="I12" s="217">
        <f t="shared" si="132"/>
        <v>0.14000000000000001</v>
      </c>
      <c r="J12" s="541">
        <f t="shared" si="1"/>
        <v>23.966307696403316</v>
      </c>
      <c r="K12" s="443">
        <f t="shared" si="2"/>
        <v>16.714864658887183</v>
      </c>
      <c r="L12" s="172">
        <f t="shared" si="3"/>
        <v>40.681172355290499</v>
      </c>
      <c r="M12" s="443"/>
      <c r="N12" s="217">
        <f t="shared" si="4"/>
        <v>0.41087470422207367</v>
      </c>
      <c r="O12" s="172">
        <f t="shared" si="94"/>
        <v>21.8825546356776</v>
      </c>
      <c r="P12" s="172">
        <f t="shared" si="5"/>
        <v>3.0772342456421624</v>
      </c>
      <c r="Q12" s="217">
        <f t="shared" si="6"/>
        <v>1.36765966472985</v>
      </c>
      <c r="R12" s="217">
        <f t="shared" si="7"/>
        <v>2.7353193294597</v>
      </c>
      <c r="S12" s="443">
        <f t="shared" si="8"/>
        <v>16</v>
      </c>
      <c r="T12" s="217">
        <f t="shared" si="9"/>
        <v>0.25591161970045712</v>
      </c>
      <c r="U12" s="217">
        <f t="shared" si="10"/>
        <v>0.12813569262762778</v>
      </c>
      <c r="V12" s="217">
        <f t="shared" si="11"/>
        <v>0.18372505545671211</v>
      </c>
      <c r="W12" s="197">
        <f t="shared" si="12"/>
        <v>350</v>
      </c>
      <c r="X12" s="443">
        <f t="shared" si="95"/>
        <v>350</v>
      </c>
      <c r="Z12" s="217">
        <f t="shared" si="13"/>
        <v>2.3445594252511714</v>
      </c>
      <c r="AA12" s="173">
        <f t="shared" si="14"/>
        <v>1.6832151307940755</v>
      </c>
      <c r="AB12" s="173">
        <f t="shared" si="15"/>
        <v>0.69061963243501079</v>
      </c>
      <c r="AC12" s="173"/>
      <c r="AD12" s="173">
        <f t="shared" si="16"/>
        <v>0.71792385070971421</v>
      </c>
      <c r="AE12" s="545">
        <f t="shared" si="17"/>
        <v>195.00675435368382</v>
      </c>
      <c r="AF12" s="528">
        <f t="shared" si="18"/>
        <v>0.12563667387419999</v>
      </c>
      <c r="AH12" s="173">
        <f t="shared" si="19"/>
        <v>0.7745966692414834</v>
      </c>
      <c r="AI12" s="173">
        <f t="shared" si="20"/>
        <v>1</v>
      </c>
      <c r="AJ12" s="173">
        <f t="shared" si="21"/>
        <v>1.1114324310592478</v>
      </c>
      <c r="AL12" s="545">
        <f t="shared" si="22"/>
        <v>70</v>
      </c>
      <c r="AM12" s="460">
        <f t="shared" si="23"/>
        <v>195.00675435368382</v>
      </c>
      <c r="AO12">
        <f t="shared" si="96"/>
        <v>70</v>
      </c>
      <c r="AP12" s="460">
        <f t="shared" si="24"/>
        <v>195.00675435368382</v>
      </c>
      <c r="AQ12" s="460"/>
      <c r="AR12" s="5">
        <f t="shared" si="97"/>
        <v>5.1280275050693866</v>
      </c>
      <c r="AS12" s="5">
        <f t="shared" si="25"/>
        <v>0.50070290976865284</v>
      </c>
      <c r="AT12" s="5">
        <f t="shared" si="98"/>
        <v>4.6273245953007338</v>
      </c>
      <c r="AU12" s="173">
        <f t="shared" si="99"/>
        <v>9.7640449329430404E-2</v>
      </c>
      <c r="AW12" s="5">
        <f t="shared" si="26"/>
        <v>0.21905752302378562</v>
      </c>
      <c r="AX12" s="5">
        <f t="shared" si="27"/>
        <v>0.10952876151189281</v>
      </c>
      <c r="AY12" s="5">
        <f t="shared" si="28"/>
        <v>0.18020449139086575</v>
      </c>
      <c r="AZ12" s="5"/>
      <c r="BA12" s="173">
        <f t="shared" si="100"/>
        <v>0.18040736249705405</v>
      </c>
      <c r="BB12" s="173">
        <f t="shared" si="29"/>
        <v>0.54844007593372479</v>
      </c>
      <c r="BC12" s="173">
        <f t="shared" si="30"/>
        <v>0.13469043041313536</v>
      </c>
      <c r="BD12" s="173"/>
      <c r="BE12" s="528">
        <f t="shared" si="31"/>
        <v>6.509363288628693E-4</v>
      </c>
      <c r="BF12" s="528">
        <f t="shared" si="32"/>
        <v>0.14477913676362114</v>
      </c>
      <c r="BG12" s="528">
        <f t="shared" si="33"/>
        <v>0.10749261318749845</v>
      </c>
      <c r="BH12" s="528">
        <f t="shared" si="34"/>
        <v>0.15894351344901589</v>
      </c>
      <c r="BI12">
        <f t="shared" si="35"/>
        <v>1.0784838463381493E-2</v>
      </c>
      <c r="BJ12" s="460">
        <f t="shared" si="101"/>
        <v>118.27745165087994</v>
      </c>
      <c r="BK12">
        <f t="shared" si="36"/>
        <v>0.30459644898997618</v>
      </c>
      <c r="BL12" s="460">
        <f t="shared" si="102"/>
        <v>304.59644898997618</v>
      </c>
      <c r="BM12" s="173">
        <f t="shared" si="37"/>
        <v>4.3487499999999998E-2</v>
      </c>
      <c r="BN12" s="173">
        <f t="shared" si="38"/>
        <v>7.765625E-3</v>
      </c>
      <c r="BO12" s="528"/>
      <c r="BQ12" s="460">
        <f t="shared" si="103"/>
        <v>51.253124999999997</v>
      </c>
      <c r="BR12" s="528">
        <f t="shared" si="39"/>
        <v>9.7640449329430389E-4</v>
      </c>
      <c r="BS12" s="528">
        <f t="shared" si="104"/>
        <v>9.0235955067056936E-3</v>
      </c>
      <c r="BT12" s="528">
        <f t="shared" si="40"/>
        <v>9.0707560224378292E-5</v>
      </c>
      <c r="BU12" s="528">
        <f t="shared" si="41"/>
        <v>2.6551810478710462E-2</v>
      </c>
      <c r="BV12" s="528">
        <f t="shared" si="42"/>
        <v>3.909584823509743E-2</v>
      </c>
      <c r="BW12" s="625">
        <f t="shared" si="43"/>
        <v>9.7503377176841918E-4</v>
      </c>
      <c r="BX12" s="460">
        <f t="shared" si="105"/>
        <v>40.070882006865851</v>
      </c>
      <c r="BY12" s="173">
        <f t="shared" si="106"/>
        <v>0.39592045599684206</v>
      </c>
      <c r="BZ12" s="5">
        <f t="shared" si="107"/>
        <v>1.2600000000000002</v>
      </c>
      <c r="CA12" s="173">
        <f t="shared" si="108"/>
        <v>0.76090611444346024</v>
      </c>
      <c r="CB12" s="5">
        <f t="shared" si="109"/>
        <v>76.090611444346024</v>
      </c>
      <c r="CC12">
        <f t="shared" si="110"/>
        <v>7.0000000000000009</v>
      </c>
      <c r="CE12" s="562">
        <f t="shared" si="44"/>
        <v>-50</v>
      </c>
      <c r="CF12">
        <f t="shared" si="45"/>
        <v>-50</v>
      </c>
      <c r="CG12" s="173">
        <f t="shared" si="46"/>
        <v>0.14127468487087788</v>
      </c>
      <c r="CH12" s="173">
        <f t="shared" si="47"/>
        <v>4.994008386104197E-2</v>
      </c>
      <c r="CI12" s="170">
        <v>7</v>
      </c>
      <c r="CJ12" s="217">
        <f t="shared" si="133"/>
        <v>7.0000000000000007E-2</v>
      </c>
      <c r="CK12" s="217">
        <f t="shared" si="111"/>
        <v>1.7500000000000002E-2</v>
      </c>
      <c r="CL12" s="217">
        <f t="shared" si="48"/>
        <v>1.1200000000000001</v>
      </c>
      <c r="CM12" s="217">
        <f t="shared" si="134"/>
        <v>0.14000000000000001</v>
      </c>
      <c r="CN12" s="541">
        <f t="shared" si="112"/>
        <v>24</v>
      </c>
      <c r="CO12" s="443">
        <f t="shared" si="49"/>
        <v>16.7</v>
      </c>
      <c r="CP12" s="443">
        <f t="shared" si="50"/>
        <v>40.700000000000003</v>
      </c>
      <c r="CQ12" s="443"/>
      <c r="CR12" s="217">
        <f t="shared" si="113"/>
        <v>0.40594059405940591</v>
      </c>
      <c r="CS12" s="172">
        <f t="shared" si="114"/>
        <v>21.650165016501649</v>
      </c>
      <c r="CT12" s="172">
        <f t="shared" si="51"/>
        <v>3.0445544554455446</v>
      </c>
      <c r="CU12" s="217">
        <f t="shared" si="52"/>
        <v>1.3531353135313531</v>
      </c>
      <c r="CV12" s="217">
        <f t="shared" si="53"/>
        <v>2.7062706270627062</v>
      </c>
      <c r="CW12" s="443">
        <f t="shared" si="54"/>
        <v>16</v>
      </c>
      <c r="CX12" s="217">
        <f t="shared" si="55"/>
        <v>0.25865853658536592</v>
      </c>
      <c r="CY12" s="217">
        <f t="shared" si="56"/>
        <v>0.12932926829268296</v>
      </c>
      <c r="CZ12" s="217">
        <f t="shared" si="57"/>
        <v>0.18586242149846655</v>
      </c>
      <c r="DA12" s="197">
        <f t="shared" si="58"/>
        <v>350</v>
      </c>
      <c r="DB12" s="443">
        <f t="shared" si="115"/>
        <v>350</v>
      </c>
      <c r="DD12" s="217">
        <f t="shared" si="59"/>
        <v>2.344682344682345</v>
      </c>
      <c r="DE12" s="173">
        <f t="shared" si="60"/>
        <v>1.6848016848016851</v>
      </c>
      <c r="DF12" s="173">
        <f t="shared" si="61"/>
        <v>0.69130683381297664</v>
      </c>
      <c r="DG12" s="173"/>
      <c r="DH12" s="173">
        <f t="shared" si="62"/>
        <v>0.71856287425149712</v>
      </c>
      <c r="DI12" s="545">
        <f t="shared" si="63"/>
        <v>194.83333333333331</v>
      </c>
      <c r="DJ12" s="528">
        <f t="shared" si="64"/>
        <v>0.125748502994012</v>
      </c>
      <c r="DL12" s="173">
        <f t="shared" si="65"/>
        <v>0.7745966692414834</v>
      </c>
      <c r="DM12" s="173">
        <f t="shared" si="66"/>
        <v>1</v>
      </c>
      <c r="DN12" s="173">
        <f t="shared" si="67"/>
        <v>1.1113333333333333</v>
      </c>
      <c r="DP12" s="545">
        <f t="shared" si="68"/>
        <v>70</v>
      </c>
      <c r="DQ12" s="460">
        <f t="shared" si="69"/>
        <v>194.83333333333331</v>
      </c>
      <c r="DS12">
        <f t="shared" si="116"/>
        <v>70</v>
      </c>
      <c r="DT12" s="460">
        <f t="shared" si="70"/>
        <v>194.83333333333331</v>
      </c>
      <c r="DU12" s="460"/>
      <c r="DV12" s="5">
        <f t="shared" si="117"/>
        <v>5.1325919589392646</v>
      </c>
      <c r="DW12" s="5">
        <f t="shared" si="71"/>
        <v>0.5</v>
      </c>
      <c r="DX12" s="5">
        <f t="shared" si="118"/>
        <v>4.6325919589392646</v>
      </c>
      <c r="DY12" s="173">
        <f t="shared" si="119"/>
        <v>9.7416666666666665E-2</v>
      </c>
      <c r="EA12" s="5">
        <f t="shared" si="72"/>
        <v>0.21875000000000003</v>
      </c>
      <c r="EB12" s="5">
        <f t="shared" si="73"/>
        <v>0.10937500000000001</v>
      </c>
      <c r="EC12" s="5">
        <f t="shared" si="74"/>
        <v>0.18015635395874915</v>
      </c>
      <c r="ED12" s="5"/>
      <c r="EE12" s="173">
        <f t="shared" si="120"/>
        <v>0.18020050561034012</v>
      </c>
      <c r="EF12" s="173">
        <f t="shared" si="75"/>
        <v>0.54850807752585662</v>
      </c>
      <c r="EG12" s="173">
        <f t="shared" si="76"/>
        <v>0.1347071308041442</v>
      </c>
      <c r="EH12" s="173"/>
      <c r="EI12" s="528">
        <f t="shared" si="77"/>
        <v>6.4944444444444446E-4</v>
      </c>
      <c r="EJ12" s="528">
        <f t="shared" si="78"/>
        <v>0.15066461666666667</v>
      </c>
      <c r="EK12" s="528">
        <f t="shared" si="79"/>
        <v>2.2405833333333333E-2</v>
      </c>
      <c r="EL12" s="528">
        <f t="shared" si="80"/>
        <v>0.15894918815416667</v>
      </c>
      <c r="EM12">
        <f t="shared" si="81"/>
        <v>1.0800000000000001E-2</v>
      </c>
      <c r="EN12" s="460">
        <f t="shared" si="121"/>
        <v>33.205833333333338</v>
      </c>
      <c r="EO12">
        <f t="shared" si="82"/>
        <v>0.34369746786748284</v>
      </c>
      <c r="EP12" s="460">
        <f t="shared" si="122"/>
        <v>343.69746786748283</v>
      </c>
      <c r="EQ12" s="173">
        <f t="shared" si="83"/>
        <v>4.3487499999999998E-2</v>
      </c>
      <c r="ER12" s="173">
        <f t="shared" si="84"/>
        <v>7.765625E-3</v>
      </c>
      <c r="ES12" s="528"/>
      <c r="EU12" s="460">
        <f t="shared" si="123"/>
        <v>51.253124999999997</v>
      </c>
      <c r="EV12" s="528">
        <f t="shared" si="85"/>
        <v>9.7416666666666658E-4</v>
      </c>
      <c r="EW12" s="528">
        <f t="shared" si="124"/>
        <v>9.0258333333333336E-3</v>
      </c>
      <c r="EX12" s="528">
        <f t="shared" si="86"/>
        <v>9.0730055447424084E-5</v>
      </c>
      <c r="EY12" s="528">
        <f t="shared" si="87"/>
        <v>2.6492818018065554E-2</v>
      </c>
      <c r="EZ12" s="528">
        <f t="shared" si="88"/>
        <v>3.9036836100845351E-2</v>
      </c>
      <c r="FA12" s="625">
        <f t="shared" si="89"/>
        <v>9.7416666666666648E-4</v>
      </c>
      <c r="FB12" s="460">
        <f t="shared" si="125"/>
        <v>40.011002767512018</v>
      </c>
      <c r="FC12" s="173">
        <f t="shared" si="126"/>
        <v>0.43496159563499487</v>
      </c>
      <c r="FD12" s="5">
        <f t="shared" si="127"/>
        <v>1.2600000000000002</v>
      </c>
      <c r="FE12" s="173">
        <f t="shared" si="128"/>
        <v>0.74337967494063362</v>
      </c>
      <c r="FF12" s="5">
        <f t="shared" si="129"/>
        <v>74.337967494063363</v>
      </c>
      <c r="FG12">
        <f t="shared" si="130"/>
        <v>7.0000000000000009</v>
      </c>
      <c r="FI12" s="562">
        <f t="shared" si="90"/>
        <v>-50</v>
      </c>
      <c r="FJ12">
        <f t="shared" si="91"/>
        <v>-50</v>
      </c>
      <c r="FL12">
        <f t="shared" si="92"/>
        <v>0.14127468487087788</v>
      </c>
    </row>
    <row r="13" spans="2:169" s="76" customFormat="1">
      <c r="E13" s="189">
        <v>8</v>
      </c>
      <c r="F13" s="217">
        <f t="shared" si="131"/>
        <v>0.08</v>
      </c>
      <c r="G13" s="217">
        <f t="shared" si="93"/>
        <v>0.02</v>
      </c>
      <c r="H13" s="217">
        <f t="shared" si="0"/>
        <v>1.28</v>
      </c>
      <c r="I13" s="217">
        <f t="shared" si="132"/>
        <v>0.16</v>
      </c>
      <c r="J13" s="541">
        <f t="shared" si="1"/>
        <v>23.966307696403316</v>
      </c>
      <c r="K13" s="443">
        <f t="shared" si="2"/>
        <v>16.714864658887183</v>
      </c>
      <c r="L13" s="172">
        <f t="shared" si="3"/>
        <v>40.681172355290499</v>
      </c>
      <c r="M13" s="443"/>
      <c r="N13" s="217">
        <f t="shared" si="4"/>
        <v>0.41087470422207367</v>
      </c>
      <c r="O13" s="172">
        <f t="shared" si="94"/>
        <v>21.8825546356776</v>
      </c>
      <c r="P13" s="172">
        <f t="shared" si="5"/>
        <v>3.0772342456421624</v>
      </c>
      <c r="Q13" s="329">
        <f t="shared" si="6"/>
        <v>1.36765966472985</v>
      </c>
      <c r="R13" s="217">
        <f t="shared" si="7"/>
        <v>2.7353193294597</v>
      </c>
      <c r="S13" s="443">
        <f t="shared" si="8"/>
        <v>16</v>
      </c>
      <c r="T13" s="217">
        <f t="shared" si="9"/>
        <v>0.29247042251480809</v>
      </c>
      <c r="U13" s="329">
        <f t="shared" si="10"/>
        <v>0.14644079157443174</v>
      </c>
      <c r="V13" s="217">
        <f t="shared" si="11"/>
        <v>0.20997149195052811</v>
      </c>
      <c r="W13" s="537">
        <f t="shared" si="12"/>
        <v>350</v>
      </c>
      <c r="X13" s="443">
        <f t="shared" si="95"/>
        <v>350</v>
      </c>
      <c r="Z13" s="329">
        <f t="shared" si="13"/>
        <v>2.3445594252511714</v>
      </c>
      <c r="AA13" s="173">
        <f t="shared" si="14"/>
        <v>1.6832151307940755</v>
      </c>
      <c r="AB13" s="173">
        <f t="shared" si="15"/>
        <v>0.69061963243501079</v>
      </c>
      <c r="AC13" s="538"/>
      <c r="AD13" s="173">
        <f t="shared" si="16"/>
        <v>0.71792385070971421</v>
      </c>
      <c r="AE13" s="545">
        <f t="shared" si="17"/>
        <v>222.86486211849578</v>
      </c>
      <c r="AF13" s="528">
        <f t="shared" si="18"/>
        <v>0.12563667387419999</v>
      </c>
      <c r="AG13"/>
      <c r="AH13" s="173">
        <f t="shared" si="19"/>
        <v>0.82807867121082501</v>
      </c>
      <c r="AI13" s="173">
        <f t="shared" si="20"/>
        <v>1</v>
      </c>
      <c r="AJ13" s="173">
        <f t="shared" si="21"/>
        <v>1.1273513497819976</v>
      </c>
      <c r="AL13" s="545">
        <f t="shared" si="22"/>
        <v>80</v>
      </c>
      <c r="AM13" s="460">
        <f t="shared" si="23"/>
        <v>222.86486211849578</v>
      </c>
      <c r="AO13">
        <f t="shared" si="96"/>
        <v>80</v>
      </c>
      <c r="AP13" s="460">
        <f t="shared" si="24"/>
        <v>222.86486211849578</v>
      </c>
      <c r="AQ13" s="460"/>
      <c r="AR13" s="5">
        <f t="shared" si="97"/>
        <v>4.4870240669357138</v>
      </c>
      <c r="AS13" s="5">
        <f t="shared" si="25"/>
        <v>0.50070290976865284</v>
      </c>
      <c r="AT13" s="5">
        <f t="shared" si="98"/>
        <v>3.9863211571670609</v>
      </c>
      <c r="AU13" s="173">
        <f t="shared" si="99"/>
        <v>0.11158908494792044</v>
      </c>
      <c r="AW13" s="5">
        <f t="shared" si="26"/>
        <v>0.25035145488432642</v>
      </c>
      <c r="AX13" s="5">
        <f t="shared" si="27"/>
        <v>0.12517572744216321</v>
      </c>
      <c r="AY13" s="5">
        <f t="shared" si="28"/>
        <v>0.17741889801474583</v>
      </c>
      <c r="AZ13" s="5"/>
      <c r="BA13" s="173">
        <f t="shared" si="100"/>
        <v>0.19286358300443041</v>
      </c>
      <c r="BB13" s="173">
        <f t="shared" si="29"/>
        <v>0.54418468527148622</v>
      </c>
      <c r="BC13" s="173">
        <f t="shared" si="30"/>
        <v>0.13364535652990911</v>
      </c>
      <c r="BD13" s="173"/>
      <c r="BE13" s="528">
        <f t="shared" si="31"/>
        <v>7.4392723298613626E-4</v>
      </c>
      <c r="BF13" s="528">
        <f t="shared" si="32"/>
        <v>0.16546187058699563</v>
      </c>
      <c r="BG13" s="528">
        <f t="shared" si="33"/>
        <v>0.1228487007857125</v>
      </c>
      <c r="BH13" s="528">
        <f t="shared" si="34"/>
        <v>0.18164972965601814</v>
      </c>
      <c r="BI13">
        <f t="shared" si="35"/>
        <v>1.0784838463381493E-2</v>
      </c>
      <c r="BJ13" s="460">
        <f t="shared" si="101"/>
        <v>133.63353924909399</v>
      </c>
      <c r="BK13">
        <f t="shared" si="36"/>
        <v>0.34811792014660459</v>
      </c>
      <c r="BL13" s="460">
        <f t="shared" si="102"/>
        <v>348.1179201466046</v>
      </c>
      <c r="BM13" s="173">
        <f t="shared" si="37"/>
        <v>4.9699999999999994E-2</v>
      </c>
      <c r="BN13" s="173">
        <f t="shared" si="38"/>
        <v>8.8749999999999992E-3</v>
      </c>
      <c r="BO13" s="528"/>
      <c r="BQ13" s="460">
        <f t="shared" si="103"/>
        <v>58.574999999999996</v>
      </c>
      <c r="BR13" s="528">
        <f t="shared" si="39"/>
        <v>1.1158908494792045E-3</v>
      </c>
      <c r="BS13" s="528">
        <f t="shared" si="104"/>
        <v>8.8841091505207949E-3</v>
      </c>
      <c r="BT13" s="528">
        <f t="shared" si="40"/>
        <v>8.9305406610032604E-5</v>
      </c>
      <c r="BU13" s="528">
        <f t="shared" si="41"/>
        <v>3.7074389386780648E-2</v>
      </c>
      <c r="BV13" s="528">
        <f t="shared" si="42"/>
        <v>4.9625182780971971E-2</v>
      </c>
      <c r="BW13" s="625">
        <f t="shared" si="43"/>
        <v>1.1143243105924789E-3</v>
      </c>
      <c r="BX13" s="460">
        <f t="shared" si="105"/>
        <v>50.739507091564455</v>
      </c>
      <c r="BY13" s="173">
        <f t="shared" si="106"/>
        <v>0.45743242723816907</v>
      </c>
      <c r="BZ13" s="5">
        <f t="shared" si="107"/>
        <v>1.44</v>
      </c>
      <c r="CA13" s="173">
        <f t="shared" si="108"/>
        <v>0.75892030689915502</v>
      </c>
      <c r="CB13" s="5">
        <f t="shared" si="109"/>
        <v>75.892030689915501</v>
      </c>
      <c r="CC13">
        <f t="shared" si="110"/>
        <v>8</v>
      </c>
      <c r="CE13" s="562">
        <f t="shared" si="44"/>
        <v>-50</v>
      </c>
      <c r="CF13">
        <f t="shared" si="45"/>
        <v>-50</v>
      </c>
      <c r="CG13" s="173">
        <f t="shared" si="46"/>
        <v>0.16145678270957475</v>
      </c>
      <c r="CH13" s="173">
        <f t="shared" si="47"/>
        <v>5.707438155547654E-2</v>
      </c>
      <c r="CI13" s="189">
        <v>8</v>
      </c>
      <c r="CJ13" s="217">
        <f t="shared" si="133"/>
        <v>0.08</v>
      </c>
      <c r="CK13" s="217">
        <f t="shared" si="111"/>
        <v>0.02</v>
      </c>
      <c r="CL13" s="217">
        <f t="shared" si="48"/>
        <v>1.28</v>
      </c>
      <c r="CM13" s="217">
        <f t="shared" si="134"/>
        <v>0.16</v>
      </c>
      <c r="CN13" s="541">
        <f t="shared" si="112"/>
        <v>24</v>
      </c>
      <c r="CO13" s="443">
        <f t="shared" si="49"/>
        <v>16.7</v>
      </c>
      <c r="CP13" s="443">
        <f t="shared" si="50"/>
        <v>40.700000000000003</v>
      </c>
      <c r="CQ13" s="535"/>
      <c r="CR13" s="329">
        <f t="shared" si="113"/>
        <v>0.40594059405940591</v>
      </c>
      <c r="CS13" s="172">
        <f t="shared" si="114"/>
        <v>21.650165016501649</v>
      </c>
      <c r="CT13" s="172">
        <f t="shared" si="51"/>
        <v>3.0445544554455446</v>
      </c>
      <c r="CU13" s="329">
        <f t="shared" si="52"/>
        <v>1.3531353135313531</v>
      </c>
      <c r="CV13" s="217">
        <f t="shared" si="53"/>
        <v>2.7062706270627062</v>
      </c>
      <c r="CW13" s="443">
        <f t="shared" si="54"/>
        <v>16</v>
      </c>
      <c r="CX13" s="217">
        <f t="shared" si="55"/>
        <v>0.29560975609756096</v>
      </c>
      <c r="CY13" s="329">
        <f t="shared" si="56"/>
        <v>0.14780487804878051</v>
      </c>
      <c r="CZ13" s="217">
        <f t="shared" si="57"/>
        <v>0.21241419599824743</v>
      </c>
      <c r="DA13" s="537">
        <f t="shared" si="58"/>
        <v>350</v>
      </c>
      <c r="DB13" s="535">
        <f t="shared" si="115"/>
        <v>350</v>
      </c>
      <c r="DD13" s="329">
        <f t="shared" si="59"/>
        <v>2.344682344682345</v>
      </c>
      <c r="DE13" s="173">
        <f t="shared" si="60"/>
        <v>1.6848016848016851</v>
      </c>
      <c r="DF13" s="173">
        <f t="shared" si="61"/>
        <v>0.69130683381297664</v>
      </c>
      <c r="DG13" s="538"/>
      <c r="DH13" s="173">
        <f t="shared" si="62"/>
        <v>0.71856287425149712</v>
      </c>
      <c r="DI13" s="545">
        <f t="shared" si="63"/>
        <v>222.66666666666666</v>
      </c>
      <c r="DJ13" s="528">
        <f t="shared" si="64"/>
        <v>0.125748502994012</v>
      </c>
      <c r="DK13"/>
      <c r="DL13" s="173">
        <f t="shared" si="65"/>
        <v>0.82807867121082501</v>
      </c>
      <c r="DM13" s="173">
        <f t="shared" si="66"/>
        <v>1</v>
      </c>
      <c r="DN13" s="173">
        <f t="shared" si="67"/>
        <v>1.1272380952380952</v>
      </c>
      <c r="DP13" s="545">
        <f t="shared" si="68"/>
        <v>80</v>
      </c>
      <c r="DQ13" s="460">
        <f t="shared" si="69"/>
        <v>222.66666666666666</v>
      </c>
      <c r="DS13">
        <f t="shared" si="116"/>
        <v>80</v>
      </c>
      <c r="DT13" s="460">
        <f t="shared" si="70"/>
        <v>222.66666666666666</v>
      </c>
      <c r="DU13" s="460"/>
      <c r="DV13" s="5">
        <f t="shared" si="117"/>
        <v>4.4910179640718564</v>
      </c>
      <c r="DW13" s="5">
        <f t="shared" si="71"/>
        <v>0.5</v>
      </c>
      <c r="DX13" s="5">
        <f t="shared" si="118"/>
        <v>3.9910179640718564</v>
      </c>
      <c r="DY13" s="173">
        <f t="shared" si="119"/>
        <v>0.11133333333333333</v>
      </c>
      <c r="EA13" s="5">
        <f t="shared" si="72"/>
        <v>0.25</v>
      </c>
      <c r="EB13" s="5">
        <f t="shared" si="73"/>
        <v>0.125</v>
      </c>
      <c r="EC13" s="5">
        <f t="shared" si="74"/>
        <v>0.17737857618097139</v>
      </c>
      <c r="ED13" s="5"/>
      <c r="EE13" s="173">
        <f t="shared" si="120"/>
        <v>0.19264244369066519</v>
      </c>
      <c r="EF13" s="173">
        <f t="shared" si="75"/>
        <v>0.5442630083169554</v>
      </c>
      <c r="EG13" s="173">
        <f t="shared" si="76"/>
        <v>0.13366459174842873</v>
      </c>
      <c r="EH13" s="173"/>
      <c r="EI13" s="528">
        <f t="shared" si="77"/>
        <v>7.4222222222222224E-4</v>
      </c>
      <c r="EJ13" s="528">
        <f t="shared" si="78"/>
        <v>0.17218813333333333</v>
      </c>
      <c r="EK13" s="528">
        <f t="shared" si="79"/>
        <v>2.5606666666666666E-2</v>
      </c>
      <c r="EL13" s="528">
        <f t="shared" si="80"/>
        <v>0.18165621503333335</v>
      </c>
      <c r="EM13">
        <f t="shared" si="81"/>
        <v>1.0800000000000001E-2</v>
      </c>
      <c r="EN13" s="460">
        <f t="shared" si="121"/>
        <v>36.406666666666673</v>
      </c>
      <c r="EO13">
        <f t="shared" si="82"/>
        <v>0.39126263720415178</v>
      </c>
      <c r="EP13" s="460">
        <f t="shared" si="122"/>
        <v>391.26263720415176</v>
      </c>
      <c r="EQ13" s="173">
        <f t="shared" si="83"/>
        <v>4.9699999999999994E-2</v>
      </c>
      <c r="ER13" s="173">
        <f t="shared" si="84"/>
        <v>8.8749999999999992E-3</v>
      </c>
      <c r="ES13" s="528"/>
      <c r="EU13" s="460">
        <f t="shared" si="123"/>
        <v>58.574999999999996</v>
      </c>
      <c r="EV13" s="528">
        <f t="shared" si="85"/>
        <v>1.1133333333333331E-3</v>
      </c>
      <c r="EW13" s="528">
        <f t="shared" si="124"/>
        <v>8.8866666666666677E-3</v>
      </c>
      <c r="EX13" s="528">
        <f t="shared" si="86"/>
        <v>8.9331115436370616E-5</v>
      </c>
      <c r="EY13" s="528">
        <f t="shared" si="87"/>
        <v>3.6992017999767805E-2</v>
      </c>
      <c r="EZ13" s="528">
        <f t="shared" si="88"/>
        <v>4.9542776861319471E-2</v>
      </c>
      <c r="FA13" s="625">
        <f t="shared" si="89"/>
        <v>1.1133333333333334E-3</v>
      </c>
      <c r="FB13" s="460">
        <f t="shared" si="125"/>
        <v>50.656110194652804</v>
      </c>
      <c r="FC13" s="173">
        <f t="shared" si="126"/>
        <v>0.50049374739880459</v>
      </c>
      <c r="FD13" s="5">
        <f t="shared" si="127"/>
        <v>1.44</v>
      </c>
      <c r="FE13" s="173">
        <f t="shared" si="128"/>
        <v>0.74207917543166158</v>
      </c>
      <c r="FF13" s="5">
        <f t="shared" si="129"/>
        <v>74.207917543166161</v>
      </c>
      <c r="FG13">
        <f t="shared" si="130"/>
        <v>8</v>
      </c>
      <c r="FI13" s="562">
        <f t="shared" si="90"/>
        <v>-50</v>
      </c>
      <c r="FJ13">
        <f t="shared" si="91"/>
        <v>-50</v>
      </c>
      <c r="FL13">
        <f t="shared" si="92"/>
        <v>0.16145678270957475</v>
      </c>
    </row>
    <row r="14" spans="2:169">
      <c r="E14" s="170">
        <v>9</v>
      </c>
      <c r="F14" s="217">
        <f t="shared" si="131"/>
        <v>0.09</v>
      </c>
      <c r="G14" s="217">
        <f t="shared" si="93"/>
        <v>2.2499999999999999E-2</v>
      </c>
      <c r="H14" s="217">
        <f t="shared" si="0"/>
        <v>1.44</v>
      </c>
      <c r="I14" s="217">
        <f t="shared" si="132"/>
        <v>0.18</v>
      </c>
      <c r="J14" s="541">
        <f t="shared" si="1"/>
        <v>23.966307696403316</v>
      </c>
      <c r="K14" s="443">
        <f t="shared" si="2"/>
        <v>16.714864658887183</v>
      </c>
      <c r="L14" s="172">
        <f t="shared" si="3"/>
        <v>40.681172355290499</v>
      </c>
      <c r="M14" s="443"/>
      <c r="N14" s="217">
        <f t="shared" si="4"/>
        <v>0.41087470422207367</v>
      </c>
      <c r="O14" s="172">
        <f t="shared" si="94"/>
        <v>21.8825546356776</v>
      </c>
      <c r="P14" s="172">
        <f t="shared" si="5"/>
        <v>3.0772342456421624</v>
      </c>
      <c r="Q14" s="217">
        <f t="shared" si="6"/>
        <v>1.36765966472985</v>
      </c>
      <c r="R14" s="217">
        <f t="shared" si="7"/>
        <v>2.7353193294597</v>
      </c>
      <c r="S14" s="443">
        <f t="shared" si="8"/>
        <v>16</v>
      </c>
      <c r="T14" s="217">
        <f t="shared" si="9"/>
        <v>0.32902922532915907</v>
      </c>
      <c r="U14" s="217">
        <f t="shared" si="10"/>
        <v>0.16474589052123567</v>
      </c>
      <c r="V14" s="217">
        <f t="shared" si="11"/>
        <v>0.23621792844434411</v>
      </c>
      <c r="W14" s="197">
        <f t="shared" si="12"/>
        <v>350</v>
      </c>
      <c r="X14" s="443">
        <f t="shared" si="95"/>
        <v>350</v>
      </c>
      <c r="Z14" s="217">
        <f t="shared" si="13"/>
        <v>2.3445594252511714</v>
      </c>
      <c r="AA14" s="173">
        <f t="shared" si="14"/>
        <v>1.6832151307940755</v>
      </c>
      <c r="AB14" s="173">
        <f t="shared" si="15"/>
        <v>0.69061963243501079</v>
      </c>
      <c r="AC14" s="173"/>
      <c r="AD14" s="173">
        <f t="shared" si="16"/>
        <v>0.71792385070971421</v>
      </c>
      <c r="AE14" s="545">
        <f t="shared" si="17"/>
        <v>250.72296988330774</v>
      </c>
      <c r="AF14" s="528">
        <f t="shared" si="18"/>
        <v>0.12563667387419999</v>
      </c>
      <c r="AH14" s="173">
        <f t="shared" si="19"/>
        <v>0.87831006565367986</v>
      </c>
      <c r="AI14" s="173">
        <f t="shared" si="20"/>
        <v>1</v>
      </c>
      <c r="AJ14" s="173">
        <f t="shared" si="21"/>
        <v>1.1432702685047473</v>
      </c>
      <c r="AL14" s="545">
        <f t="shared" si="22"/>
        <v>90</v>
      </c>
      <c r="AM14" s="460">
        <f t="shared" si="23"/>
        <v>250.72296988330774</v>
      </c>
      <c r="AO14">
        <f t="shared" si="96"/>
        <v>90</v>
      </c>
      <c r="AP14" s="460">
        <f t="shared" si="24"/>
        <v>250.72296988330774</v>
      </c>
      <c r="AQ14" s="460"/>
      <c r="AR14" s="5">
        <f t="shared" si="97"/>
        <v>3.9884658372761903</v>
      </c>
      <c r="AS14" s="5">
        <f t="shared" si="25"/>
        <v>0.50070290976865284</v>
      </c>
      <c r="AT14" s="5">
        <f t="shared" si="98"/>
        <v>3.4877629275075375</v>
      </c>
      <c r="AU14" s="173">
        <f t="shared" si="99"/>
        <v>0.12553772056641049</v>
      </c>
      <c r="AW14" s="5">
        <f t="shared" si="26"/>
        <v>0.28164538674486722</v>
      </c>
      <c r="AX14" s="5">
        <f t="shared" si="27"/>
        <v>0.14082269337243361</v>
      </c>
      <c r="AY14" s="5">
        <f t="shared" si="28"/>
        <v>0.17463330463862589</v>
      </c>
      <c r="AZ14" s="5"/>
      <c r="BA14" s="173">
        <f t="shared" si="100"/>
        <v>0.20456272107955095</v>
      </c>
      <c r="BB14" s="173">
        <f t="shared" si="29"/>
        <v>0.53989575519526278</v>
      </c>
      <c r="BC14" s="173">
        <f t="shared" si="30"/>
        <v>0.13259204576118952</v>
      </c>
      <c r="BD14" s="173"/>
      <c r="BE14" s="528">
        <f t="shared" si="31"/>
        <v>8.3691813710940323E-4</v>
      </c>
      <c r="BF14" s="528">
        <f t="shared" si="32"/>
        <v>0.18614460441037001</v>
      </c>
      <c r="BG14" s="528">
        <f t="shared" si="33"/>
        <v>0.13820478838392655</v>
      </c>
      <c r="BH14" s="528">
        <f t="shared" si="34"/>
        <v>0.20435594586302042</v>
      </c>
      <c r="BI14">
        <f t="shared" si="35"/>
        <v>1.0784838463381493E-2</v>
      </c>
      <c r="BJ14" s="460">
        <f t="shared" si="101"/>
        <v>148.98962684730805</v>
      </c>
      <c r="BK14">
        <f t="shared" si="36"/>
        <v>0.39164131486810927</v>
      </c>
      <c r="BL14" s="460">
        <f t="shared" si="102"/>
        <v>391.64131486810925</v>
      </c>
      <c r="BM14" s="173">
        <f t="shared" si="37"/>
        <v>5.5912499999999997E-2</v>
      </c>
      <c r="BN14" s="173">
        <f t="shared" si="38"/>
        <v>9.9843749999999985E-3</v>
      </c>
      <c r="BO14" s="528"/>
      <c r="BQ14" s="460">
        <f t="shared" si="103"/>
        <v>65.896874999999994</v>
      </c>
      <c r="BR14" s="528">
        <f t="shared" si="39"/>
        <v>1.2553772056641049E-3</v>
      </c>
      <c r="BS14" s="528">
        <f t="shared" si="104"/>
        <v>8.7446227943358944E-3</v>
      </c>
      <c r="BT14" s="528">
        <f t="shared" si="40"/>
        <v>8.7903252995686875E-5</v>
      </c>
      <c r="BU14" s="528">
        <f t="shared" si="41"/>
        <v>4.9768587272887375E-2</v>
      </c>
      <c r="BV14" s="528">
        <f t="shared" si="42"/>
        <v>6.2327887922868384E-2</v>
      </c>
      <c r="BW14" s="625">
        <f t="shared" si="43"/>
        <v>1.2536148494165387E-3</v>
      </c>
      <c r="BX14" s="460">
        <f t="shared" si="105"/>
        <v>63.581502772284928</v>
      </c>
      <c r="BY14" s="173">
        <f t="shared" si="106"/>
        <v>0.52111969264039415</v>
      </c>
      <c r="BZ14" s="5">
        <f t="shared" si="107"/>
        <v>1.6199999999999999</v>
      </c>
      <c r="CA14" s="173">
        <f t="shared" si="108"/>
        <v>0.75661346984401512</v>
      </c>
      <c r="CB14" s="5">
        <f t="shared" si="109"/>
        <v>75.661346984401519</v>
      </c>
      <c r="CC14">
        <f t="shared" si="110"/>
        <v>9</v>
      </c>
      <c r="CE14" s="562">
        <f t="shared" si="44"/>
        <v>-50</v>
      </c>
      <c r="CF14">
        <f t="shared" si="45"/>
        <v>-50</v>
      </c>
      <c r="CG14" s="173">
        <f t="shared" si="46"/>
        <v>0.1816388805482716</v>
      </c>
      <c r="CH14" s="173">
        <f t="shared" si="47"/>
        <v>6.420867924991111E-2</v>
      </c>
      <c r="CI14" s="170">
        <v>9</v>
      </c>
      <c r="CJ14" s="217">
        <f t="shared" si="133"/>
        <v>0.09</v>
      </c>
      <c r="CK14" s="217">
        <f t="shared" si="111"/>
        <v>2.2499999999999999E-2</v>
      </c>
      <c r="CL14" s="217">
        <f t="shared" si="48"/>
        <v>1.44</v>
      </c>
      <c r="CM14" s="217">
        <f t="shared" si="134"/>
        <v>0.18</v>
      </c>
      <c r="CN14" s="541">
        <f t="shared" si="112"/>
        <v>24</v>
      </c>
      <c r="CO14" s="443">
        <f t="shared" si="49"/>
        <v>16.7</v>
      </c>
      <c r="CP14" s="443">
        <f t="shared" si="50"/>
        <v>40.700000000000003</v>
      </c>
      <c r="CQ14" s="443"/>
      <c r="CR14" s="217">
        <f t="shared" si="113"/>
        <v>0.40594059405940591</v>
      </c>
      <c r="CS14" s="172">
        <f t="shared" si="114"/>
        <v>21.650165016501649</v>
      </c>
      <c r="CT14" s="172">
        <f t="shared" si="51"/>
        <v>3.0445544554455446</v>
      </c>
      <c r="CU14" s="217">
        <f t="shared" si="52"/>
        <v>1.3531353135313531</v>
      </c>
      <c r="CV14" s="217">
        <f t="shared" si="53"/>
        <v>2.7062706270627062</v>
      </c>
      <c r="CW14" s="443">
        <f t="shared" si="54"/>
        <v>16</v>
      </c>
      <c r="CX14" s="217">
        <f t="shared" si="55"/>
        <v>0.33256097560975606</v>
      </c>
      <c r="CY14" s="217">
        <f t="shared" si="56"/>
        <v>0.16628048780487806</v>
      </c>
      <c r="CZ14" s="217">
        <f t="shared" si="57"/>
        <v>0.23896597049802834</v>
      </c>
      <c r="DA14" s="197">
        <f t="shared" si="58"/>
        <v>350</v>
      </c>
      <c r="DB14" s="443">
        <f t="shared" si="115"/>
        <v>350</v>
      </c>
      <c r="DD14" s="217">
        <f t="shared" si="59"/>
        <v>2.344682344682345</v>
      </c>
      <c r="DE14" s="173">
        <f t="shared" si="60"/>
        <v>1.6848016848016851</v>
      </c>
      <c r="DF14" s="173">
        <f t="shared" si="61"/>
        <v>0.69130683381297664</v>
      </c>
      <c r="DG14" s="173"/>
      <c r="DH14" s="173">
        <f t="shared" si="62"/>
        <v>0.71856287425149712</v>
      </c>
      <c r="DI14" s="545">
        <f t="shared" si="63"/>
        <v>250.49999999999997</v>
      </c>
      <c r="DJ14" s="528">
        <f t="shared" si="64"/>
        <v>0.125748502994012</v>
      </c>
      <c r="DL14" s="173">
        <f t="shared" si="65"/>
        <v>0.87831006565367986</v>
      </c>
      <c r="DM14" s="173">
        <f t="shared" si="66"/>
        <v>1</v>
      </c>
      <c r="DN14" s="173">
        <f t="shared" si="67"/>
        <v>1.1431428571428572</v>
      </c>
      <c r="DP14" s="545">
        <f t="shared" si="68"/>
        <v>90</v>
      </c>
      <c r="DQ14" s="460">
        <f t="shared" si="69"/>
        <v>250.49999999999997</v>
      </c>
      <c r="DS14">
        <f t="shared" si="116"/>
        <v>90</v>
      </c>
      <c r="DT14" s="460">
        <f t="shared" si="70"/>
        <v>250.49999999999997</v>
      </c>
      <c r="DU14" s="460"/>
      <c r="DV14" s="5">
        <f t="shared" si="117"/>
        <v>3.9920159680638729</v>
      </c>
      <c r="DW14" s="5">
        <f t="shared" si="71"/>
        <v>0.5</v>
      </c>
      <c r="DX14" s="5">
        <f t="shared" si="118"/>
        <v>3.4920159680638729</v>
      </c>
      <c r="DY14" s="173">
        <f t="shared" si="119"/>
        <v>0.12524999999999997</v>
      </c>
      <c r="EA14" s="5">
        <f t="shared" si="72"/>
        <v>0.28125</v>
      </c>
      <c r="EB14" s="5">
        <f t="shared" si="73"/>
        <v>0.140625</v>
      </c>
      <c r="EC14" s="5">
        <f t="shared" si="74"/>
        <v>0.17460079840319362</v>
      </c>
      <c r="ED14" s="5"/>
      <c r="EE14" s="173">
        <f t="shared" si="120"/>
        <v>0.20432816741702547</v>
      </c>
      <c r="EF14" s="173">
        <f t="shared" si="75"/>
        <v>0.53998456768071934</v>
      </c>
      <c r="EG14" s="173">
        <f t="shared" si="76"/>
        <v>0.13261385706276488</v>
      </c>
      <c r="EH14" s="173"/>
      <c r="EI14" s="528">
        <f t="shared" si="77"/>
        <v>8.349999999999998E-4</v>
      </c>
      <c r="EJ14" s="528">
        <f t="shared" si="78"/>
        <v>0.19371165000000001</v>
      </c>
      <c r="EK14" s="528">
        <f t="shared" si="79"/>
        <v>2.88075E-2</v>
      </c>
      <c r="EL14" s="528">
        <f t="shared" si="80"/>
        <v>0.20436324191250002</v>
      </c>
      <c r="EM14">
        <f t="shared" si="81"/>
        <v>1.0800000000000001E-2</v>
      </c>
      <c r="EN14" s="460">
        <f t="shared" si="121"/>
        <v>39.607500000000002</v>
      </c>
      <c r="EO14">
        <f t="shared" si="82"/>
        <v>0.438829904010136</v>
      </c>
      <c r="EP14" s="460">
        <f t="shared" si="122"/>
        <v>438.82990401013598</v>
      </c>
      <c r="EQ14" s="173">
        <f t="shared" si="83"/>
        <v>5.5912499999999997E-2</v>
      </c>
      <c r="ER14" s="173">
        <f t="shared" si="84"/>
        <v>9.9843749999999985E-3</v>
      </c>
      <c r="ES14" s="528"/>
      <c r="EU14" s="460">
        <f t="shared" si="123"/>
        <v>65.896874999999994</v>
      </c>
      <c r="EV14" s="528">
        <f t="shared" si="85"/>
        <v>1.2524999999999997E-3</v>
      </c>
      <c r="EW14" s="528">
        <f t="shared" si="124"/>
        <v>8.7475000000000001E-3</v>
      </c>
      <c r="EX14" s="528">
        <f t="shared" si="86"/>
        <v>8.793217542531716E-5</v>
      </c>
      <c r="EY14" s="528">
        <f t="shared" si="87"/>
        <v>4.9658012085240469E-2</v>
      </c>
      <c r="EZ14" s="528">
        <f t="shared" si="88"/>
        <v>6.2217259462255543E-2</v>
      </c>
      <c r="FA14" s="625">
        <f t="shared" si="89"/>
        <v>1.2524999999999999E-3</v>
      </c>
      <c r="FB14" s="460">
        <f t="shared" si="125"/>
        <v>63.469759462255539</v>
      </c>
      <c r="FC14" s="173">
        <f t="shared" si="126"/>
        <v>0.56819653847239149</v>
      </c>
      <c r="FD14" s="5">
        <f t="shared" si="127"/>
        <v>1.6199999999999999</v>
      </c>
      <c r="FE14" s="173">
        <f t="shared" si="128"/>
        <v>0.74033569266631916</v>
      </c>
      <c r="FF14" s="5">
        <f t="shared" si="129"/>
        <v>74.033569266631915</v>
      </c>
      <c r="FG14">
        <f t="shared" si="130"/>
        <v>9</v>
      </c>
      <c r="FI14" s="562">
        <f t="shared" si="90"/>
        <v>-50</v>
      </c>
      <c r="FJ14">
        <f t="shared" si="91"/>
        <v>-50</v>
      </c>
      <c r="FL14">
        <f t="shared" si="92"/>
        <v>0.18163888054827157</v>
      </c>
    </row>
    <row r="15" spans="2:169">
      <c r="E15" s="170">
        <v>10</v>
      </c>
      <c r="F15" s="217">
        <f t="shared" si="131"/>
        <v>0.1</v>
      </c>
      <c r="G15" s="217">
        <f t="shared" si="93"/>
        <v>2.5000000000000001E-2</v>
      </c>
      <c r="H15" s="217">
        <f t="shared" si="0"/>
        <v>1.6</v>
      </c>
      <c r="I15" s="217">
        <f t="shared" si="132"/>
        <v>0.2</v>
      </c>
      <c r="J15" s="541">
        <f t="shared" si="1"/>
        <v>23.966307696403316</v>
      </c>
      <c r="K15" s="443">
        <f t="shared" si="2"/>
        <v>16.714864658887183</v>
      </c>
      <c r="L15" s="172">
        <f t="shared" si="3"/>
        <v>40.681172355290499</v>
      </c>
      <c r="M15" s="443"/>
      <c r="N15" s="217">
        <f t="shared" si="4"/>
        <v>0.41087470422207367</v>
      </c>
      <c r="O15" s="172">
        <f t="shared" si="94"/>
        <v>21.8825546356776</v>
      </c>
      <c r="P15" s="172">
        <f t="shared" si="5"/>
        <v>3.0772342456421624</v>
      </c>
      <c r="Q15" s="217">
        <f t="shared" si="6"/>
        <v>1.36765966472985</v>
      </c>
      <c r="R15" s="217">
        <f t="shared" si="7"/>
        <v>2.7353193294597</v>
      </c>
      <c r="S15" s="443">
        <f t="shared" si="8"/>
        <v>16</v>
      </c>
      <c r="T15" s="217">
        <f t="shared" si="9"/>
        <v>0.3655880281435101</v>
      </c>
      <c r="U15" s="217">
        <f t="shared" si="10"/>
        <v>0.18305098946803966</v>
      </c>
      <c r="V15" s="217">
        <f t="shared" si="11"/>
        <v>0.26246436493816011</v>
      </c>
      <c r="W15" s="197">
        <f t="shared" si="12"/>
        <v>350</v>
      </c>
      <c r="X15" s="443">
        <f t="shared" si="95"/>
        <v>350</v>
      </c>
      <c r="Z15" s="217">
        <f t="shared" si="13"/>
        <v>2.3445594252511714</v>
      </c>
      <c r="AA15" s="173">
        <f t="shared" si="14"/>
        <v>1.6832151307940755</v>
      </c>
      <c r="AB15" s="173">
        <f t="shared" si="15"/>
        <v>0.69061963243501079</v>
      </c>
      <c r="AC15" s="173"/>
      <c r="AD15" s="173">
        <f t="shared" si="16"/>
        <v>0.71792385070971421</v>
      </c>
      <c r="AE15" s="545">
        <f t="shared" si="17"/>
        <v>278.58107764811973</v>
      </c>
      <c r="AF15" s="528">
        <f t="shared" si="18"/>
        <v>0.12563667387419999</v>
      </c>
      <c r="AH15" s="173">
        <f t="shared" si="19"/>
        <v>0.92582009977255142</v>
      </c>
      <c r="AI15" s="173">
        <f t="shared" si="20"/>
        <v>1</v>
      </c>
      <c r="AJ15" s="173">
        <f t="shared" si="21"/>
        <v>1.1591891872274971</v>
      </c>
      <c r="AL15" s="545">
        <f t="shared" si="22"/>
        <v>100</v>
      </c>
      <c r="AM15" s="460">
        <f t="shared" si="23"/>
        <v>278.58107764811973</v>
      </c>
      <c r="AO15">
        <f t="shared" si="96"/>
        <v>100</v>
      </c>
      <c r="AP15" s="460">
        <f t="shared" si="24"/>
        <v>278.58107764811973</v>
      </c>
      <c r="AQ15" s="460"/>
      <c r="AR15" s="5">
        <f t="shared" si="97"/>
        <v>3.5896192535485705</v>
      </c>
      <c r="AS15" s="5">
        <f t="shared" si="25"/>
        <v>0.50070290976865284</v>
      </c>
      <c r="AT15" s="5">
        <f t="shared" si="98"/>
        <v>3.0889163437799176</v>
      </c>
      <c r="AU15" s="173">
        <f t="shared" si="99"/>
        <v>0.13948635618490057</v>
      </c>
      <c r="AW15" s="5">
        <f t="shared" si="26"/>
        <v>0.31293931860540802</v>
      </c>
      <c r="AX15" s="5">
        <f t="shared" si="27"/>
        <v>0.15646965930270401</v>
      </c>
      <c r="AY15" s="5">
        <f t="shared" si="28"/>
        <v>0.17184771126250589</v>
      </c>
      <c r="AZ15" s="5"/>
      <c r="BA15" s="173">
        <f t="shared" si="100"/>
        <v>0.21562804099103977</v>
      </c>
      <c r="BB15" s="173">
        <f t="shared" si="29"/>
        <v>0.53557247994244417</v>
      </c>
      <c r="BC15" s="173">
        <f t="shared" si="30"/>
        <v>0.13153030022115908</v>
      </c>
      <c r="BD15" s="173"/>
      <c r="BE15" s="528">
        <f t="shared" si="31"/>
        <v>9.2990904123267063E-4</v>
      </c>
      <c r="BF15" s="528">
        <f t="shared" si="32"/>
        <v>0.2068273382337445</v>
      </c>
      <c r="BG15" s="528">
        <f t="shared" si="33"/>
        <v>0.15356087598214063</v>
      </c>
      <c r="BH15" s="528">
        <f t="shared" si="34"/>
        <v>0.22706216207002269</v>
      </c>
      <c r="BI15">
        <f t="shared" si="35"/>
        <v>1.0784838463381493E-2</v>
      </c>
      <c r="BJ15" s="460">
        <f t="shared" si="101"/>
        <v>164.34571444552213</v>
      </c>
      <c r="BK15">
        <f t="shared" si="36"/>
        <v>0.4351666332820201</v>
      </c>
      <c r="BL15" s="460">
        <f t="shared" si="102"/>
        <v>435.16663328202009</v>
      </c>
      <c r="BM15" s="173">
        <f t="shared" si="37"/>
        <v>6.2124999999999993E-2</v>
      </c>
      <c r="BN15" s="173">
        <f t="shared" si="38"/>
        <v>1.1093749999999999E-2</v>
      </c>
      <c r="BO15" s="528"/>
      <c r="BQ15" s="460">
        <f t="shared" si="103"/>
        <v>73.21875</v>
      </c>
      <c r="BR15" s="528">
        <f t="shared" si="39"/>
        <v>1.3948635618490058E-3</v>
      </c>
      <c r="BS15" s="528">
        <f t="shared" si="104"/>
        <v>8.6051364381509923E-3</v>
      </c>
      <c r="BT15" s="528">
        <f t="shared" si="40"/>
        <v>8.65010993813412E-5</v>
      </c>
      <c r="BU15" s="528">
        <f t="shared" si="41"/>
        <v>6.4766292885264365E-2</v>
      </c>
      <c r="BV15" s="528">
        <f t="shared" si="42"/>
        <v>7.733595818667896E-2</v>
      </c>
      <c r="BW15" s="625">
        <f t="shared" si="43"/>
        <v>1.3929053882405988E-3</v>
      </c>
      <c r="BX15" s="460">
        <f t="shared" si="105"/>
        <v>78.728863574919558</v>
      </c>
      <c r="BY15" s="173">
        <f t="shared" si="106"/>
        <v>0.58711424685693958</v>
      </c>
      <c r="BZ15" s="5">
        <f t="shared" si="107"/>
        <v>1.8</v>
      </c>
      <c r="CA15" s="173">
        <f t="shared" si="108"/>
        <v>0.7540485346983371</v>
      </c>
      <c r="CB15" s="5">
        <f t="shared" si="109"/>
        <v>75.404853469833711</v>
      </c>
      <c r="CC15">
        <f t="shared" si="110"/>
        <v>10</v>
      </c>
      <c r="CE15" s="562">
        <f t="shared" si="44"/>
        <v>-50</v>
      </c>
      <c r="CF15">
        <f t="shared" si="45"/>
        <v>-50</v>
      </c>
      <c r="CG15" s="173">
        <f t="shared" si="46"/>
        <v>0.20182097838696844</v>
      </c>
      <c r="CH15" s="173">
        <f t="shared" si="47"/>
        <v>7.1342976944345673E-2</v>
      </c>
      <c r="CI15" s="170">
        <v>10</v>
      </c>
      <c r="CJ15" s="217">
        <f t="shared" si="133"/>
        <v>0.1</v>
      </c>
      <c r="CK15" s="217">
        <f t="shared" si="111"/>
        <v>2.5000000000000001E-2</v>
      </c>
      <c r="CL15" s="217">
        <f t="shared" si="48"/>
        <v>1.6</v>
      </c>
      <c r="CM15" s="217">
        <f t="shared" si="134"/>
        <v>0.2</v>
      </c>
      <c r="CN15" s="541">
        <f t="shared" si="112"/>
        <v>24</v>
      </c>
      <c r="CO15" s="443">
        <f t="shared" si="49"/>
        <v>16.7</v>
      </c>
      <c r="CP15" s="443">
        <f t="shared" si="50"/>
        <v>40.700000000000003</v>
      </c>
      <c r="CQ15" s="443"/>
      <c r="CR15" s="217">
        <f t="shared" si="113"/>
        <v>0.40594059405940591</v>
      </c>
      <c r="CS15" s="172">
        <f t="shared" si="114"/>
        <v>21.650165016501649</v>
      </c>
      <c r="CT15" s="172">
        <f t="shared" si="51"/>
        <v>3.0445544554455446</v>
      </c>
      <c r="CU15" s="217">
        <f t="shared" si="52"/>
        <v>1.3531353135313531</v>
      </c>
      <c r="CV15" s="217">
        <f t="shared" si="53"/>
        <v>2.7062706270627062</v>
      </c>
      <c r="CW15" s="443">
        <f t="shared" si="54"/>
        <v>16</v>
      </c>
      <c r="CX15" s="217">
        <f t="shared" si="55"/>
        <v>0.36951219512195121</v>
      </c>
      <c r="CY15" s="217">
        <f t="shared" si="56"/>
        <v>0.18475609756097564</v>
      </c>
      <c r="CZ15" s="217">
        <f t="shared" si="57"/>
        <v>0.26551774499780928</v>
      </c>
      <c r="DA15" s="197">
        <f t="shared" si="58"/>
        <v>350</v>
      </c>
      <c r="DB15" s="443">
        <f t="shared" si="115"/>
        <v>350</v>
      </c>
      <c r="DD15" s="217">
        <f t="shared" si="59"/>
        <v>2.344682344682345</v>
      </c>
      <c r="DE15" s="173">
        <f t="shared" si="60"/>
        <v>1.6848016848016851</v>
      </c>
      <c r="DF15" s="173">
        <f t="shared" si="61"/>
        <v>0.69130683381297664</v>
      </c>
      <c r="DG15" s="173"/>
      <c r="DH15" s="173">
        <f t="shared" si="62"/>
        <v>0.71856287425149712</v>
      </c>
      <c r="DI15" s="545">
        <f t="shared" si="63"/>
        <v>278.33333333333331</v>
      </c>
      <c r="DJ15" s="528">
        <f t="shared" si="64"/>
        <v>0.125748502994012</v>
      </c>
      <c r="DL15" s="173">
        <f t="shared" si="65"/>
        <v>0.92582009977255142</v>
      </c>
      <c r="DM15" s="173">
        <f t="shared" si="66"/>
        <v>1</v>
      </c>
      <c r="DN15" s="173">
        <f t="shared" si="67"/>
        <v>1.1590476190476191</v>
      </c>
      <c r="DP15" s="545">
        <f t="shared" si="68"/>
        <v>100</v>
      </c>
      <c r="DQ15" s="460">
        <f t="shared" si="69"/>
        <v>278.33333333333331</v>
      </c>
      <c r="DS15">
        <f t="shared" si="116"/>
        <v>100</v>
      </c>
      <c r="DT15" s="460">
        <f t="shared" si="70"/>
        <v>278.33333333333331</v>
      </c>
      <c r="DU15" s="460"/>
      <c r="DV15" s="5">
        <f t="shared" si="117"/>
        <v>3.5928143712574854</v>
      </c>
      <c r="DW15" s="5">
        <f t="shared" si="71"/>
        <v>0.5</v>
      </c>
      <c r="DX15" s="5">
        <f t="shared" si="118"/>
        <v>3.0928143712574854</v>
      </c>
      <c r="DY15" s="173">
        <f t="shared" si="119"/>
        <v>0.13916666666666666</v>
      </c>
      <c r="EA15" s="5">
        <f t="shared" si="72"/>
        <v>0.3125</v>
      </c>
      <c r="EB15" s="5">
        <f t="shared" si="73"/>
        <v>0.15625</v>
      </c>
      <c r="EC15" s="5">
        <f t="shared" si="74"/>
        <v>0.17182302062541582</v>
      </c>
      <c r="ED15" s="5"/>
      <c r="EE15" s="173">
        <f t="shared" si="120"/>
        <v>0.21538079972200141</v>
      </c>
      <c r="EF15" s="173">
        <f t="shared" si="75"/>
        <v>0.5356719559996066</v>
      </c>
      <c r="EG15" s="173">
        <f t="shared" si="76"/>
        <v>0.13155473037049162</v>
      </c>
      <c r="EH15" s="173"/>
      <c r="EI15" s="528">
        <f t="shared" si="77"/>
        <v>9.2777777777777769E-4</v>
      </c>
      <c r="EJ15" s="528">
        <f t="shared" si="78"/>
        <v>0.21523516666666667</v>
      </c>
      <c r="EK15" s="528">
        <f t="shared" si="79"/>
        <v>3.200833333333334E-2</v>
      </c>
      <c r="EL15" s="528">
        <f t="shared" si="80"/>
        <v>0.2270702687916667</v>
      </c>
      <c r="EM15">
        <f t="shared" si="81"/>
        <v>1.0800000000000001E-2</v>
      </c>
      <c r="EN15" s="460">
        <f t="shared" si="121"/>
        <v>42.808333333333337</v>
      </c>
      <c r="EO15">
        <f t="shared" si="82"/>
        <v>0.48639926842417591</v>
      </c>
      <c r="EP15" s="460">
        <f t="shared" si="122"/>
        <v>486.39926842417589</v>
      </c>
      <c r="EQ15" s="173">
        <f t="shared" si="83"/>
        <v>6.2124999999999993E-2</v>
      </c>
      <c r="ER15" s="173">
        <f t="shared" si="84"/>
        <v>1.1093749999999999E-2</v>
      </c>
      <c r="ES15" s="528"/>
      <c r="EU15" s="460">
        <f t="shared" si="123"/>
        <v>73.21875</v>
      </c>
      <c r="EV15" s="528">
        <f t="shared" si="85"/>
        <v>1.3916666666666665E-3</v>
      </c>
      <c r="EW15" s="528">
        <f t="shared" si="124"/>
        <v>8.6083333333333324E-3</v>
      </c>
      <c r="EX15" s="528">
        <f t="shared" si="86"/>
        <v>8.6533235414263759E-5</v>
      </c>
      <c r="EY15" s="528">
        <f t="shared" si="87"/>
        <v>6.4622395994044179E-2</v>
      </c>
      <c r="EZ15" s="528">
        <f t="shared" si="88"/>
        <v>7.7191985167870125E-2</v>
      </c>
      <c r="FA15" s="625">
        <f t="shared" si="89"/>
        <v>1.3916666666666665E-3</v>
      </c>
      <c r="FB15" s="460">
        <f t="shared" si="125"/>
        <v>78.583651834536795</v>
      </c>
      <c r="FC15" s="173">
        <f t="shared" si="126"/>
        <v>0.63820167025871277</v>
      </c>
      <c r="FD15" s="5">
        <f t="shared" si="127"/>
        <v>1.8</v>
      </c>
      <c r="FE15" s="173">
        <f t="shared" si="128"/>
        <v>0.73824902261222947</v>
      </c>
      <c r="FF15" s="5">
        <f t="shared" si="129"/>
        <v>73.824902261222945</v>
      </c>
      <c r="FG15">
        <f t="shared" si="130"/>
        <v>10</v>
      </c>
      <c r="FI15" s="562">
        <f t="shared" si="90"/>
        <v>-50</v>
      </c>
      <c r="FJ15">
        <f t="shared" si="91"/>
        <v>-50</v>
      </c>
      <c r="FL15">
        <f t="shared" si="92"/>
        <v>0.20182097838696844</v>
      </c>
    </row>
    <row r="16" spans="2:169">
      <c r="E16" s="170">
        <v>11</v>
      </c>
      <c r="F16" s="217">
        <f t="shared" si="131"/>
        <v>0.11</v>
      </c>
      <c r="G16" s="217">
        <f t="shared" si="93"/>
        <v>2.75E-2</v>
      </c>
      <c r="H16" s="217">
        <f t="shared" si="0"/>
        <v>1.76</v>
      </c>
      <c r="I16" s="217">
        <f t="shared" si="132"/>
        <v>0.22</v>
      </c>
      <c r="J16" s="541">
        <f t="shared" si="1"/>
        <v>23.966307696403316</v>
      </c>
      <c r="K16" s="443">
        <f t="shared" si="2"/>
        <v>16.714864658887183</v>
      </c>
      <c r="L16" s="172">
        <f t="shared" si="3"/>
        <v>40.681172355290499</v>
      </c>
      <c r="M16" s="443"/>
      <c r="N16" s="217">
        <f t="shared" si="4"/>
        <v>0.41087470422207367</v>
      </c>
      <c r="O16" s="172">
        <f t="shared" si="94"/>
        <v>21.8825546356776</v>
      </c>
      <c r="P16" s="172">
        <f t="shared" si="5"/>
        <v>3.0772342456421624</v>
      </c>
      <c r="Q16" s="217">
        <f t="shared" si="6"/>
        <v>1.36765966472985</v>
      </c>
      <c r="R16" s="217">
        <f t="shared" si="7"/>
        <v>2.7353193294597</v>
      </c>
      <c r="S16" s="443">
        <f t="shared" si="8"/>
        <v>16</v>
      </c>
      <c r="T16" s="217">
        <f t="shared" si="9"/>
        <v>0.40214683095786113</v>
      </c>
      <c r="U16" s="217">
        <f t="shared" si="10"/>
        <v>0.20135608841484362</v>
      </c>
      <c r="V16" s="217">
        <f t="shared" si="11"/>
        <v>0.28871080143197614</v>
      </c>
      <c r="W16" s="197">
        <f t="shared" si="12"/>
        <v>350</v>
      </c>
      <c r="X16" s="443">
        <f t="shared" si="95"/>
        <v>350</v>
      </c>
      <c r="Z16" s="217">
        <f t="shared" si="13"/>
        <v>2.3445594252511714</v>
      </c>
      <c r="AA16" s="173">
        <f t="shared" si="14"/>
        <v>1.6832151307940755</v>
      </c>
      <c r="AB16" s="173">
        <f t="shared" si="15"/>
        <v>0.69061963243501079</v>
      </c>
      <c r="AC16" s="173"/>
      <c r="AD16" s="173">
        <f t="shared" si="16"/>
        <v>0.71792385070971421</v>
      </c>
      <c r="AE16" s="545">
        <f t="shared" si="17"/>
        <v>306.43918541293164</v>
      </c>
      <c r="AF16" s="528">
        <f t="shared" si="18"/>
        <v>0.12563667387419999</v>
      </c>
      <c r="AH16" s="173">
        <f t="shared" si="19"/>
        <v>0.97100831245522445</v>
      </c>
      <c r="AI16" s="173">
        <f t="shared" si="20"/>
        <v>1</v>
      </c>
      <c r="AJ16" s="173">
        <f t="shared" si="21"/>
        <v>1.1751081059502466</v>
      </c>
      <c r="AL16" s="545">
        <f t="shared" si="22"/>
        <v>110</v>
      </c>
      <c r="AM16" s="460">
        <f t="shared" si="23"/>
        <v>306.43918541293164</v>
      </c>
      <c r="AO16">
        <f t="shared" si="96"/>
        <v>110</v>
      </c>
      <c r="AP16" s="460">
        <f t="shared" si="24"/>
        <v>306.43918541293164</v>
      </c>
      <c r="AQ16" s="460"/>
      <c r="AR16" s="5">
        <f t="shared" si="97"/>
        <v>3.2632902304987015</v>
      </c>
      <c r="AS16" s="5">
        <f t="shared" si="25"/>
        <v>0.50070290976865284</v>
      </c>
      <c r="AT16" s="5">
        <f t="shared" si="98"/>
        <v>2.7625873207300486</v>
      </c>
      <c r="AU16" s="173">
        <f t="shared" si="99"/>
        <v>0.1534349918033906</v>
      </c>
      <c r="AW16" s="5">
        <f t="shared" si="26"/>
        <v>0.34423325046594888</v>
      </c>
      <c r="AX16" s="5">
        <f t="shared" si="27"/>
        <v>0.17211662523297444</v>
      </c>
      <c r="AY16" s="5">
        <f t="shared" si="28"/>
        <v>0.16906211788638598</v>
      </c>
      <c r="AZ16" s="5"/>
      <c r="BA16" s="173">
        <f t="shared" si="100"/>
        <v>0.22615259730499862</v>
      </c>
      <c r="BB16" s="173">
        <f t="shared" si="29"/>
        <v>0.53121402096098369</v>
      </c>
      <c r="BC16" s="173">
        <f t="shared" si="30"/>
        <v>0.13045991397130041</v>
      </c>
      <c r="BD16" s="173"/>
      <c r="BE16" s="528">
        <f t="shared" si="31"/>
        <v>1.0228999453559375E-3</v>
      </c>
      <c r="BF16" s="528">
        <f t="shared" si="32"/>
        <v>0.22751007205711887</v>
      </c>
      <c r="BG16" s="528">
        <f t="shared" si="33"/>
        <v>0.16891696358035466</v>
      </c>
      <c r="BH16" s="528">
        <f t="shared" si="34"/>
        <v>0.24976837827702492</v>
      </c>
      <c r="BI16">
        <f t="shared" si="35"/>
        <v>1.0784838463381493E-2</v>
      </c>
      <c r="BJ16" s="460">
        <f t="shared" si="101"/>
        <v>179.70180204373614</v>
      </c>
      <c r="BK16">
        <f t="shared" si="36"/>
        <v>0.47869387551587778</v>
      </c>
      <c r="BL16" s="460">
        <f t="shared" si="102"/>
        <v>478.69387551587778</v>
      </c>
      <c r="BM16" s="173">
        <f t="shared" si="37"/>
        <v>6.8337499999999995E-2</v>
      </c>
      <c r="BN16" s="173">
        <f t="shared" si="38"/>
        <v>1.2203124999999999E-2</v>
      </c>
      <c r="BO16" s="528"/>
      <c r="BQ16" s="460">
        <f t="shared" si="103"/>
        <v>80.540624999999991</v>
      </c>
      <c r="BR16" s="528">
        <f t="shared" si="39"/>
        <v>1.534349918033906E-3</v>
      </c>
      <c r="BS16" s="528">
        <f t="shared" si="104"/>
        <v>8.4656500819660918E-3</v>
      </c>
      <c r="BT16" s="528">
        <f t="shared" si="40"/>
        <v>8.5098945766995512E-5</v>
      </c>
      <c r="BU16" s="528">
        <f t="shared" si="41"/>
        <v>8.2192227859906083E-2</v>
      </c>
      <c r="BV16" s="528">
        <f t="shared" si="42"/>
        <v>9.4774215139632398E-2</v>
      </c>
      <c r="BW16" s="625">
        <f t="shared" si="43"/>
        <v>1.5321959270646582E-3</v>
      </c>
      <c r="BX16" s="460">
        <f t="shared" si="105"/>
        <v>96.306411066697052</v>
      </c>
      <c r="BY16" s="173">
        <f t="shared" si="106"/>
        <v>0.65554091158257477</v>
      </c>
      <c r="BZ16" s="5">
        <f t="shared" si="107"/>
        <v>1.98</v>
      </c>
      <c r="CA16" s="173">
        <f t="shared" si="108"/>
        <v>0.75126892976632298</v>
      </c>
      <c r="CB16" s="5">
        <f t="shared" si="109"/>
        <v>75.126892976632291</v>
      </c>
      <c r="CC16">
        <f t="shared" si="110"/>
        <v>11</v>
      </c>
      <c r="CE16" s="562">
        <f t="shared" si="44"/>
        <v>-50</v>
      </c>
      <c r="CF16">
        <f t="shared" si="45"/>
        <v>-50</v>
      </c>
      <c r="CG16" s="173">
        <f t="shared" si="46"/>
        <v>0.22200307622566526</v>
      </c>
      <c r="CH16" s="173">
        <f t="shared" si="47"/>
        <v>7.8477274638780237E-2</v>
      </c>
      <c r="CI16" s="170">
        <v>11</v>
      </c>
      <c r="CJ16" s="217">
        <f t="shared" si="133"/>
        <v>0.11</v>
      </c>
      <c r="CK16" s="217">
        <f t="shared" si="111"/>
        <v>2.75E-2</v>
      </c>
      <c r="CL16" s="217">
        <f t="shared" si="48"/>
        <v>1.76</v>
      </c>
      <c r="CM16" s="217">
        <f t="shared" si="134"/>
        <v>0.22</v>
      </c>
      <c r="CN16" s="541">
        <f t="shared" si="112"/>
        <v>24</v>
      </c>
      <c r="CO16" s="443">
        <f t="shared" si="49"/>
        <v>16.7</v>
      </c>
      <c r="CP16" s="443">
        <f t="shared" si="50"/>
        <v>40.700000000000003</v>
      </c>
      <c r="CQ16" s="443"/>
      <c r="CR16" s="217">
        <f t="shared" si="113"/>
        <v>0.40594059405940591</v>
      </c>
      <c r="CS16" s="172">
        <f t="shared" si="114"/>
        <v>21.650165016501649</v>
      </c>
      <c r="CT16" s="172">
        <f t="shared" si="51"/>
        <v>3.0445544554455446</v>
      </c>
      <c r="CU16" s="217">
        <f t="shared" si="52"/>
        <v>1.3531353135313531</v>
      </c>
      <c r="CV16" s="217">
        <f t="shared" si="53"/>
        <v>2.7062706270627062</v>
      </c>
      <c r="CW16" s="443">
        <f t="shared" si="54"/>
        <v>16</v>
      </c>
      <c r="CX16" s="217">
        <f t="shared" si="55"/>
        <v>0.40646341463414637</v>
      </c>
      <c r="CY16" s="217">
        <f t="shared" si="56"/>
        <v>0.20323170731707318</v>
      </c>
      <c r="CZ16" s="217">
        <f t="shared" si="57"/>
        <v>0.29206951949759019</v>
      </c>
      <c r="DA16" s="197">
        <f t="shared" si="58"/>
        <v>350</v>
      </c>
      <c r="DB16" s="443">
        <f t="shared" si="115"/>
        <v>350</v>
      </c>
      <c r="DD16" s="217">
        <f t="shared" si="59"/>
        <v>2.344682344682345</v>
      </c>
      <c r="DE16" s="173">
        <f t="shared" si="60"/>
        <v>1.6848016848016851</v>
      </c>
      <c r="DF16" s="173">
        <f t="shared" si="61"/>
        <v>0.69130683381297664</v>
      </c>
      <c r="DG16" s="173"/>
      <c r="DH16" s="173">
        <f t="shared" si="62"/>
        <v>0.71856287425149712</v>
      </c>
      <c r="DI16" s="545">
        <f t="shared" si="63"/>
        <v>306.16666666666663</v>
      </c>
      <c r="DJ16" s="528">
        <f t="shared" si="64"/>
        <v>0.125748502994012</v>
      </c>
      <c r="DL16" s="173">
        <f t="shared" si="65"/>
        <v>0.97100831245522445</v>
      </c>
      <c r="DM16" s="173">
        <f t="shared" si="66"/>
        <v>1</v>
      </c>
      <c r="DN16" s="173">
        <f t="shared" si="67"/>
        <v>1.174952380952381</v>
      </c>
      <c r="DP16" s="545">
        <f t="shared" si="68"/>
        <v>110</v>
      </c>
      <c r="DQ16" s="460">
        <f t="shared" si="69"/>
        <v>306.16666666666663</v>
      </c>
      <c r="DS16">
        <f t="shared" si="116"/>
        <v>110</v>
      </c>
      <c r="DT16" s="460">
        <f t="shared" si="70"/>
        <v>306.16666666666663</v>
      </c>
      <c r="DU16" s="460"/>
      <c r="DV16" s="5">
        <f t="shared" si="117"/>
        <v>3.2661948829613503</v>
      </c>
      <c r="DW16" s="5">
        <f t="shared" si="71"/>
        <v>0.5</v>
      </c>
      <c r="DX16" s="5">
        <f t="shared" si="118"/>
        <v>2.7661948829613503</v>
      </c>
      <c r="DY16" s="173">
        <f t="shared" si="119"/>
        <v>0.15308333333333332</v>
      </c>
      <c r="EA16" s="5">
        <f t="shared" si="72"/>
        <v>0.34375</v>
      </c>
      <c r="EB16" s="5">
        <f t="shared" si="73"/>
        <v>0.171875</v>
      </c>
      <c r="EC16" s="5">
        <f t="shared" si="74"/>
        <v>0.16904524284763806</v>
      </c>
      <c r="ED16" s="5"/>
      <c r="EE16" s="173">
        <f t="shared" si="120"/>
        <v>0.22589328847439841</v>
      </c>
      <c r="EF16" s="173">
        <f t="shared" si="75"/>
        <v>0.53132434120370919</v>
      </c>
      <c r="EG16" s="173">
        <f t="shared" si="76"/>
        <v>0.13048700732502858</v>
      </c>
      <c r="EH16" s="173"/>
      <c r="EI16" s="528">
        <f t="shared" si="77"/>
        <v>1.0205555555555556E-3</v>
      </c>
      <c r="EJ16" s="528">
        <f t="shared" si="78"/>
        <v>0.23675868333333333</v>
      </c>
      <c r="EK16" s="528">
        <f t="shared" si="79"/>
        <v>3.5209166666666666E-2</v>
      </c>
      <c r="EL16" s="528">
        <f t="shared" si="80"/>
        <v>0.24977729567083337</v>
      </c>
      <c r="EM16">
        <f t="shared" si="81"/>
        <v>1.0800000000000001E-2</v>
      </c>
      <c r="EN16" s="460">
        <f t="shared" si="121"/>
        <v>46.009166666666673</v>
      </c>
      <c r="EO16">
        <f t="shared" si="82"/>
        <v>0.5339707305850242</v>
      </c>
      <c r="EP16" s="460">
        <f t="shared" si="122"/>
        <v>533.97073058502417</v>
      </c>
      <c r="EQ16" s="173">
        <f t="shared" si="83"/>
        <v>6.8337499999999995E-2</v>
      </c>
      <c r="ER16" s="173">
        <f t="shared" si="84"/>
        <v>1.2203124999999999E-2</v>
      </c>
      <c r="ES16" s="528"/>
      <c r="EU16" s="460">
        <f t="shared" si="123"/>
        <v>80.540624999999991</v>
      </c>
      <c r="EV16" s="528">
        <f t="shared" si="85"/>
        <v>1.5308333333333333E-3</v>
      </c>
      <c r="EW16" s="528">
        <f t="shared" si="124"/>
        <v>8.4691666666666665E-3</v>
      </c>
      <c r="EX16" s="528">
        <f t="shared" si="86"/>
        <v>8.5134295403210304E-5</v>
      </c>
      <c r="EY16" s="528">
        <f t="shared" si="87"/>
        <v>8.200961425729579E-2</v>
      </c>
      <c r="EZ16" s="528">
        <f t="shared" si="88"/>
        <v>9.4591498220616438E-2</v>
      </c>
      <c r="FA16" s="625">
        <f t="shared" si="89"/>
        <v>1.5308333333333333E-3</v>
      </c>
      <c r="FB16" s="460">
        <f t="shared" si="125"/>
        <v>96.122331553949763</v>
      </c>
      <c r="FC16" s="173">
        <f t="shared" si="126"/>
        <v>0.71063368713897401</v>
      </c>
      <c r="FD16" s="5">
        <f t="shared" si="127"/>
        <v>1.98</v>
      </c>
      <c r="FE16" s="173">
        <f t="shared" si="128"/>
        <v>0.73588612580904289</v>
      </c>
      <c r="FF16" s="5">
        <f t="shared" si="129"/>
        <v>73.588612580904282</v>
      </c>
      <c r="FG16">
        <f t="shared" si="130"/>
        <v>11</v>
      </c>
      <c r="FI16" s="562">
        <f t="shared" si="90"/>
        <v>-50</v>
      </c>
      <c r="FJ16">
        <f t="shared" si="91"/>
        <v>-50</v>
      </c>
      <c r="FL16">
        <f t="shared" si="92"/>
        <v>0.22200307622566526</v>
      </c>
    </row>
    <row r="17" spans="5:168">
      <c r="E17" s="170">
        <v>12</v>
      </c>
      <c r="F17" s="217">
        <f t="shared" si="131"/>
        <v>0.12</v>
      </c>
      <c r="G17" s="217">
        <f t="shared" si="93"/>
        <v>0.03</v>
      </c>
      <c r="H17" s="217">
        <f t="shared" si="0"/>
        <v>1.92</v>
      </c>
      <c r="I17" s="217">
        <f t="shared" si="132"/>
        <v>0.24</v>
      </c>
      <c r="J17" s="541">
        <f t="shared" si="1"/>
        <v>23.966307696403316</v>
      </c>
      <c r="K17" s="443">
        <f t="shared" si="2"/>
        <v>16.714864658887183</v>
      </c>
      <c r="L17" s="172">
        <f t="shared" si="3"/>
        <v>40.681172355290499</v>
      </c>
      <c r="M17" s="443"/>
      <c r="N17" s="217">
        <f t="shared" si="4"/>
        <v>0.41087470422207367</v>
      </c>
      <c r="O17" s="172">
        <f t="shared" si="94"/>
        <v>21.8825546356776</v>
      </c>
      <c r="P17" s="172">
        <f t="shared" si="5"/>
        <v>3.0772342456421624</v>
      </c>
      <c r="Q17" s="217">
        <f t="shared" si="6"/>
        <v>1.36765966472985</v>
      </c>
      <c r="R17" s="217">
        <f t="shared" si="7"/>
        <v>2.7353193294597</v>
      </c>
      <c r="S17" s="443">
        <f t="shared" si="8"/>
        <v>16</v>
      </c>
      <c r="T17" s="217">
        <f t="shared" si="9"/>
        <v>0.43870563377221217</v>
      </c>
      <c r="U17" s="217">
        <f t="shared" si="10"/>
        <v>0.21966118736164764</v>
      </c>
      <c r="V17" s="217">
        <f t="shared" si="11"/>
        <v>0.31495723792579222</v>
      </c>
      <c r="W17" s="197">
        <f t="shared" si="12"/>
        <v>350</v>
      </c>
      <c r="X17" s="443">
        <f t="shared" si="95"/>
        <v>350</v>
      </c>
      <c r="Z17" s="217">
        <f t="shared" si="13"/>
        <v>2.3445594252511714</v>
      </c>
      <c r="AA17" s="173">
        <f t="shared" si="14"/>
        <v>1.6832151307940755</v>
      </c>
      <c r="AB17" s="173">
        <f t="shared" si="15"/>
        <v>0.69061963243501079</v>
      </c>
      <c r="AC17" s="173"/>
      <c r="AD17" s="173">
        <f t="shared" si="16"/>
        <v>0.71792385070971421</v>
      </c>
      <c r="AE17" s="545">
        <f t="shared" si="17"/>
        <v>334.2972931777436</v>
      </c>
      <c r="AF17" s="528">
        <f t="shared" si="18"/>
        <v>0.12563667387419999</v>
      </c>
      <c r="AH17" s="173">
        <f t="shared" si="19"/>
        <v>1.0141851056742199</v>
      </c>
      <c r="AI17" s="173">
        <f t="shared" si="20"/>
        <v>1.0141851056742199</v>
      </c>
      <c r="AJ17" s="173">
        <f t="shared" si="21"/>
        <v>1.1910270246729964</v>
      </c>
      <c r="AL17" s="545">
        <f t="shared" si="22"/>
        <v>120</v>
      </c>
      <c r="AM17" s="460">
        <f t="shared" si="23"/>
        <v>334.2972931777436</v>
      </c>
      <c r="AO17">
        <f t="shared" si="96"/>
        <v>120</v>
      </c>
      <c r="AP17" s="460">
        <f t="shared" si="24"/>
        <v>334.2972931777436</v>
      </c>
      <c r="AQ17" s="460"/>
      <c r="AR17" s="5">
        <f t="shared" si="97"/>
        <v>2.991349377957143</v>
      </c>
      <c r="AS17" s="5">
        <f t="shared" si="25"/>
        <v>0.50780543345511064</v>
      </c>
      <c r="AT17" s="5">
        <f t="shared" si="98"/>
        <v>2.4835439445020322</v>
      </c>
      <c r="AU17" s="173">
        <f t="shared" si="99"/>
        <v>0.1697579818649943</v>
      </c>
      <c r="AW17" s="5">
        <f t="shared" si="26"/>
        <v>0.38085407509133296</v>
      </c>
      <c r="AX17" s="5">
        <f t="shared" si="27"/>
        <v>0.19042703754566648</v>
      </c>
      <c r="AY17" s="5">
        <f t="shared" si="28"/>
        <v>0.16580235727339801</v>
      </c>
      <c r="AZ17" s="5"/>
      <c r="BA17" s="173">
        <f t="shared" si="100"/>
        <v>0.24125243343731606</v>
      </c>
      <c r="BB17" s="173">
        <f t="shared" si="29"/>
        <v>0.53353013618512335</v>
      </c>
      <c r="BC17" s="173">
        <f t="shared" si="30"/>
        <v>0.13102872462193468</v>
      </c>
      <c r="BD17" s="173"/>
      <c r="BE17" s="528">
        <f t="shared" si="31"/>
        <v>1.1640547327885322E-3</v>
      </c>
      <c r="BF17" s="528">
        <f t="shared" si="32"/>
        <v>0.25171344705948923</v>
      </c>
      <c r="BG17" s="528">
        <f t="shared" si="33"/>
        <v>0.18427305117856874</v>
      </c>
      <c r="BH17" s="528">
        <f t="shared" si="34"/>
        <v>0.27247459448402722</v>
      </c>
      <c r="BI17">
        <f t="shared" si="35"/>
        <v>1.0784838463381493E-2</v>
      </c>
      <c r="BJ17" s="460">
        <f t="shared" si="101"/>
        <v>195.05788964195023</v>
      </c>
      <c r="BK17">
        <f t="shared" si="36"/>
        <v>0.5258118197741557</v>
      </c>
      <c r="BL17" s="460">
        <f t="shared" si="102"/>
        <v>525.81181977415565</v>
      </c>
      <c r="BM17" s="173">
        <f t="shared" si="37"/>
        <v>7.4549999999999991E-2</v>
      </c>
      <c r="BN17" s="173">
        <f t="shared" si="38"/>
        <v>1.33125E-2</v>
      </c>
      <c r="BO17" s="528"/>
      <c r="BQ17" s="460">
        <f t="shared" si="103"/>
        <v>87.862499999999997</v>
      </c>
      <c r="BR17" s="528">
        <f t="shared" si="39"/>
        <v>1.7460820991827984E-3</v>
      </c>
      <c r="BS17" s="528">
        <f t="shared" si="104"/>
        <v>8.5396321865314883E-3</v>
      </c>
      <c r="BT17" s="528">
        <f t="shared" si="40"/>
        <v>8.5842633380253962E-5</v>
      </c>
      <c r="BU17" s="528">
        <f t="shared" si="41"/>
        <v>0.10582669303201656</v>
      </c>
      <c r="BV17" s="528">
        <f t="shared" si="42"/>
        <v>0.11878598325861839</v>
      </c>
      <c r="BW17" s="625">
        <f t="shared" si="43"/>
        <v>1.7192432220569673E-3</v>
      </c>
      <c r="BX17" s="460">
        <f t="shared" si="105"/>
        <v>120.50522648067535</v>
      </c>
      <c r="BY17" s="173">
        <f t="shared" si="106"/>
        <v>0.73417954625483106</v>
      </c>
      <c r="BZ17" s="5">
        <f t="shared" si="107"/>
        <v>2.16</v>
      </c>
      <c r="CA17" s="173">
        <f t="shared" si="108"/>
        <v>0.74632550105438877</v>
      </c>
      <c r="CB17" s="5">
        <f t="shared" si="109"/>
        <v>74.632550105438881</v>
      </c>
      <c r="CC17">
        <f t="shared" si="110"/>
        <v>12</v>
      </c>
      <c r="CE17" s="562">
        <f t="shared" si="44"/>
        <v>-50</v>
      </c>
      <c r="CF17">
        <f t="shared" si="45"/>
        <v>-50</v>
      </c>
      <c r="CG17" s="173">
        <f t="shared" si="46"/>
        <v>0.24218517406436207</v>
      </c>
      <c r="CH17" s="173">
        <f t="shared" si="47"/>
        <v>8.56115723332148E-2</v>
      </c>
      <c r="CI17" s="170">
        <v>12</v>
      </c>
      <c r="CJ17" s="217">
        <f t="shared" si="133"/>
        <v>0.12</v>
      </c>
      <c r="CK17" s="217">
        <f t="shared" si="111"/>
        <v>0.03</v>
      </c>
      <c r="CL17" s="217">
        <f t="shared" si="48"/>
        <v>1.92</v>
      </c>
      <c r="CM17" s="217">
        <f t="shared" si="134"/>
        <v>0.24</v>
      </c>
      <c r="CN17" s="541">
        <f t="shared" si="112"/>
        <v>24</v>
      </c>
      <c r="CO17" s="443">
        <f t="shared" si="49"/>
        <v>16.7</v>
      </c>
      <c r="CP17" s="443">
        <f t="shared" si="50"/>
        <v>40.700000000000003</v>
      </c>
      <c r="CQ17" s="443"/>
      <c r="CR17" s="217">
        <f t="shared" si="113"/>
        <v>0.40594059405940591</v>
      </c>
      <c r="CS17" s="172">
        <f t="shared" si="114"/>
        <v>21.650165016501649</v>
      </c>
      <c r="CT17" s="172">
        <f t="shared" si="51"/>
        <v>3.0445544554455446</v>
      </c>
      <c r="CU17" s="217">
        <f t="shared" si="52"/>
        <v>1.3531353135313531</v>
      </c>
      <c r="CV17" s="217">
        <f t="shared" si="53"/>
        <v>2.7062706270627062</v>
      </c>
      <c r="CW17" s="443">
        <f t="shared" si="54"/>
        <v>16</v>
      </c>
      <c r="CX17" s="217">
        <f t="shared" si="55"/>
        <v>0.44341463414634152</v>
      </c>
      <c r="CY17" s="217">
        <f t="shared" si="56"/>
        <v>0.22170731707317076</v>
      </c>
      <c r="CZ17" s="217">
        <f t="shared" si="57"/>
        <v>0.31862129399737121</v>
      </c>
      <c r="DA17" s="197">
        <f t="shared" si="58"/>
        <v>350</v>
      </c>
      <c r="DB17" s="443">
        <f t="shared" si="115"/>
        <v>350</v>
      </c>
      <c r="DD17" s="217">
        <f t="shared" si="59"/>
        <v>2.344682344682345</v>
      </c>
      <c r="DE17" s="173">
        <f t="shared" si="60"/>
        <v>1.6848016848016851</v>
      </c>
      <c r="DF17" s="173">
        <f t="shared" si="61"/>
        <v>0.69130683381297664</v>
      </c>
      <c r="DG17" s="173"/>
      <c r="DH17" s="173">
        <f t="shared" si="62"/>
        <v>0.71856287425149712</v>
      </c>
      <c r="DI17" s="545">
        <f t="shared" si="63"/>
        <v>333.99999999999994</v>
      </c>
      <c r="DJ17" s="528">
        <f t="shared" si="64"/>
        <v>0.125748502994012</v>
      </c>
      <c r="DL17" s="173">
        <f t="shared" si="65"/>
        <v>1.0141851056742199</v>
      </c>
      <c r="DM17" s="173">
        <f t="shared" si="66"/>
        <v>1.0141851056742199</v>
      </c>
      <c r="DN17" s="173">
        <f t="shared" si="67"/>
        <v>1.1908571428571428</v>
      </c>
      <c r="DP17" s="545">
        <f t="shared" si="68"/>
        <v>120</v>
      </c>
      <c r="DQ17" s="460">
        <f t="shared" si="69"/>
        <v>333.99999999999994</v>
      </c>
      <c r="DS17">
        <f t="shared" si="116"/>
        <v>120</v>
      </c>
      <c r="DT17" s="460">
        <f t="shared" si="70"/>
        <v>333.99999999999994</v>
      </c>
      <c r="DU17" s="460"/>
      <c r="DV17" s="5">
        <f t="shared" si="117"/>
        <v>2.9940119760479047</v>
      </c>
      <c r="DW17" s="5">
        <f t="shared" si="71"/>
        <v>0.50709255283710997</v>
      </c>
      <c r="DX17" s="5">
        <f t="shared" si="118"/>
        <v>2.4869194232107947</v>
      </c>
      <c r="DY17" s="173">
        <f t="shared" si="119"/>
        <v>0.16936891264759471</v>
      </c>
      <c r="EA17" s="5">
        <f t="shared" si="72"/>
        <v>0.38031941462783247</v>
      </c>
      <c r="EB17" s="5">
        <f t="shared" si="73"/>
        <v>0.19015970731391624</v>
      </c>
      <c r="EC17" s="5">
        <f t="shared" si="74"/>
        <v>0.16579462821405297</v>
      </c>
      <c r="ED17" s="5"/>
      <c r="EE17" s="173">
        <f t="shared" si="120"/>
        <v>0.24097581098354112</v>
      </c>
      <c r="EF17" s="173">
        <f t="shared" si="75"/>
        <v>0.53365513337544823</v>
      </c>
      <c r="EG17" s="173">
        <f t="shared" si="76"/>
        <v>0.13105942246132332</v>
      </c>
      <c r="EH17" s="173"/>
      <c r="EI17" s="528">
        <f t="shared" si="77"/>
        <v>1.1613868295835066E-3</v>
      </c>
      <c r="EJ17" s="528">
        <f t="shared" si="78"/>
        <v>0.26194596030077</v>
      </c>
      <c r="EK17" s="528">
        <f t="shared" si="79"/>
        <v>3.841E-2</v>
      </c>
      <c r="EL17" s="528">
        <f t="shared" si="80"/>
        <v>0.27248432255000005</v>
      </c>
      <c r="EM17">
        <f t="shared" si="81"/>
        <v>1.0800000000000001E-2</v>
      </c>
      <c r="EN17" s="460">
        <f t="shared" si="121"/>
        <v>49.21</v>
      </c>
      <c r="EO17">
        <f t="shared" si="82"/>
        <v>0.58527674861564405</v>
      </c>
      <c r="EP17" s="460">
        <f t="shared" si="122"/>
        <v>585.27674861564401</v>
      </c>
      <c r="EQ17" s="173">
        <f t="shared" si="83"/>
        <v>7.4549999999999991E-2</v>
      </c>
      <c r="ER17" s="173">
        <f t="shared" si="84"/>
        <v>1.33125E-2</v>
      </c>
      <c r="ES17" s="528"/>
      <c r="EU17" s="460">
        <f t="shared" si="123"/>
        <v>87.862499999999997</v>
      </c>
      <c r="EV17" s="528">
        <f t="shared" si="85"/>
        <v>1.7420802443752601E-3</v>
      </c>
      <c r="EW17" s="528">
        <f t="shared" si="124"/>
        <v>8.5436340413390221E-3</v>
      </c>
      <c r="EX17" s="528">
        <f t="shared" si="86"/>
        <v>8.5882861079478095E-5</v>
      </c>
      <c r="EY17" s="528">
        <f t="shared" si="87"/>
        <v>0.10559156868790157</v>
      </c>
      <c r="EZ17" s="528">
        <f t="shared" si="88"/>
        <v>0.11855071396966649</v>
      </c>
      <c r="FA17" s="625">
        <f t="shared" si="89"/>
        <v>1.7177142857142857E-3</v>
      </c>
      <c r="FB17" s="460">
        <f t="shared" si="125"/>
        <v>120.26842825538077</v>
      </c>
      <c r="FC17" s="173">
        <f t="shared" si="126"/>
        <v>0.79340767687102476</v>
      </c>
      <c r="FD17" s="5">
        <f t="shared" si="127"/>
        <v>2.16</v>
      </c>
      <c r="FE17" s="173">
        <f t="shared" si="128"/>
        <v>0.73135856485901829</v>
      </c>
      <c r="FF17" s="5">
        <f t="shared" si="129"/>
        <v>73.135856485901826</v>
      </c>
      <c r="FG17">
        <f t="shared" si="130"/>
        <v>12</v>
      </c>
      <c r="FI17" s="562">
        <f t="shared" si="90"/>
        <v>-50</v>
      </c>
      <c r="FJ17">
        <f t="shared" si="91"/>
        <v>-50</v>
      </c>
      <c r="FL17">
        <f t="shared" si="92"/>
        <v>0.24218517406436207</v>
      </c>
    </row>
    <row r="18" spans="5:168">
      <c r="E18" s="170">
        <v>13</v>
      </c>
      <c r="F18" s="217">
        <f t="shared" si="131"/>
        <v>0.13</v>
      </c>
      <c r="G18" s="217">
        <f t="shared" si="93"/>
        <v>3.2500000000000001E-2</v>
      </c>
      <c r="H18" s="217">
        <f t="shared" si="0"/>
        <v>2.08</v>
      </c>
      <c r="I18" s="217">
        <f t="shared" si="132"/>
        <v>0.26</v>
      </c>
      <c r="J18" s="541">
        <f t="shared" si="1"/>
        <v>23.96574287047229</v>
      </c>
      <c r="K18" s="443">
        <f t="shared" si="2"/>
        <v>16.715113853626015</v>
      </c>
      <c r="L18" s="172">
        <f t="shared" si="3"/>
        <v>40.680856724098305</v>
      </c>
      <c r="M18" s="443"/>
      <c r="N18" s="217">
        <f t="shared" si="4"/>
        <v>0.41088401768403288</v>
      </c>
      <c r="O18" s="172">
        <f t="shared" si="94"/>
        <v>21.882534927560268</v>
      </c>
      <c r="P18" s="172">
        <f t="shared" si="5"/>
        <v>3.0772314741881628</v>
      </c>
      <c r="Q18" s="217">
        <f t="shared" si="6"/>
        <v>1.3676584329725168</v>
      </c>
      <c r="R18" s="217">
        <f t="shared" si="7"/>
        <v>2.7353168659450335</v>
      </c>
      <c r="S18" s="443">
        <f t="shared" si="8"/>
        <v>16</v>
      </c>
      <c r="T18" s="217">
        <f t="shared" si="9"/>
        <v>0.4752648646250564</v>
      </c>
      <c r="U18" s="217">
        <f t="shared" si="10"/>
        <v>0.23797210903599605</v>
      </c>
      <c r="V18" s="217">
        <f t="shared" si="11"/>
        <v>0.34119889493085831</v>
      </c>
      <c r="W18" s="197">
        <f t="shared" si="12"/>
        <v>350</v>
      </c>
      <c r="X18" s="443">
        <f t="shared" si="95"/>
        <v>350</v>
      </c>
      <c r="Z18" s="217">
        <f t="shared" si="13"/>
        <v>2.3445573136671718</v>
      </c>
      <c r="AA18" s="173">
        <f t="shared" si="14"/>
        <v>1.6831885209027633</v>
      </c>
      <c r="AB18" s="173">
        <f t="shared" si="15"/>
        <v>0.69060809246856047</v>
      </c>
      <c r="AC18" s="173"/>
      <c r="AD18" s="173">
        <f t="shared" si="16"/>
        <v>0.71791314765091097</v>
      </c>
      <c r="AE18" s="545">
        <f t="shared" si="17"/>
        <v>362.16080016189704</v>
      </c>
      <c r="AF18" s="528">
        <f t="shared" si="18"/>
        <v>0.12563480083890941</v>
      </c>
      <c r="AH18" s="173">
        <f t="shared" si="19"/>
        <v>1.0555973258234952</v>
      </c>
      <c r="AI18" s="173">
        <f t="shared" si="20"/>
        <v>1.0555973258234952</v>
      </c>
      <c r="AJ18" s="173">
        <f t="shared" si="21"/>
        <v>1.2411832043137001</v>
      </c>
      <c r="AL18" s="545">
        <f t="shared" si="22"/>
        <v>130</v>
      </c>
      <c r="AM18" s="460">
        <f t="shared" si="23"/>
        <v>350</v>
      </c>
      <c r="AO18">
        <f t="shared" si="96"/>
        <v>130</v>
      </c>
      <c r="AP18" s="460">
        <f t="shared" si="24"/>
        <v>350</v>
      </c>
      <c r="AQ18" s="460"/>
      <c r="AR18" s="5">
        <f t="shared" si="97"/>
        <v>2.8571428571428572</v>
      </c>
      <c r="AS18" s="5">
        <f t="shared" si="25"/>
        <v>0.52855310925867049</v>
      </c>
      <c r="AT18" s="5">
        <f t="shared" si="98"/>
        <v>2.3285897478841866</v>
      </c>
      <c r="AU18" s="173">
        <f t="shared" si="99"/>
        <v>0.18499358824053466</v>
      </c>
      <c r="AW18" s="5">
        <f t="shared" si="26"/>
        <v>0.42944940127266973</v>
      </c>
      <c r="AX18" s="5">
        <f t="shared" si="27"/>
        <v>0.21472470063633486</v>
      </c>
      <c r="AY18" s="5">
        <f t="shared" si="28"/>
        <v>0.16841632039033813</v>
      </c>
      <c r="AZ18" s="5"/>
      <c r="BA18" s="173">
        <f t="shared" si="100"/>
        <v>0.26212955614281114</v>
      </c>
      <c r="BB18" s="173">
        <f t="shared" si="29"/>
        <v>0.55019693494688271</v>
      </c>
      <c r="BC18" s="173">
        <f t="shared" si="30"/>
        <v>0.13512189431783736</v>
      </c>
      <c r="BD18" s="173"/>
      <c r="BE18" s="528">
        <f t="shared" si="31"/>
        <v>1.3742380840725435E-3</v>
      </c>
      <c r="BF18" s="528">
        <f t="shared" si="32"/>
        <v>0.27429588030444124</v>
      </c>
      <c r="BG18" s="528">
        <f t="shared" si="33"/>
        <v>0.19292423010730192</v>
      </c>
      <c r="BH18" s="528">
        <f t="shared" si="34"/>
        <v>0.28526892139366516</v>
      </c>
      <c r="BI18">
        <f t="shared" si="35"/>
        <v>1.0784584291712531E-2</v>
      </c>
      <c r="BJ18" s="460">
        <f t="shared" si="101"/>
        <v>203.70881439901444</v>
      </c>
      <c r="BK18">
        <f t="shared" si="36"/>
        <v>0.56149342231810817</v>
      </c>
      <c r="BL18" s="460">
        <f t="shared" si="102"/>
        <v>561.49342231810817</v>
      </c>
      <c r="BM18" s="173">
        <f t="shared" si="37"/>
        <v>8.0762499999999987E-2</v>
      </c>
      <c r="BN18" s="173">
        <f t="shared" si="38"/>
        <v>1.4421874999999999E-2</v>
      </c>
      <c r="BO18" s="528"/>
      <c r="BQ18" s="460">
        <f t="shared" si="103"/>
        <v>95.184374999999989</v>
      </c>
      <c r="BR18" s="528">
        <f t="shared" si="39"/>
        <v>2.061357126108815E-3</v>
      </c>
      <c r="BS18" s="528">
        <f t="shared" si="104"/>
        <v>9.0815000167483277E-3</v>
      </c>
      <c r="BT18" s="528">
        <f t="shared" si="40"/>
        <v>9.1289631620204042E-5</v>
      </c>
      <c r="BU18" s="528">
        <f t="shared" si="41"/>
        <v>0.13118549506258462</v>
      </c>
      <c r="BV18" s="528">
        <f t="shared" si="42"/>
        <v>0.14524637459018508</v>
      </c>
      <c r="BW18" s="625">
        <f t="shared" si="43"/>
        <v>1.9500000000000003E-3</v>
      </c>
      <c r="BX18" s="460">
        <f t="shared" si="105"/>
        <v>147.19637459018509</v>
      </c>
      <c r="BY18" s="173">
        <f t="shared" si="106"/>
        <v>0.80387417190829324</v>
      </c>
      <c r="BZ18" s="5">
        <f t="shared" si="107"/>
        <v>2.34</v>
      </c>
      <c r="CA18" s="173">
        <f t="shared" si="108"/>
        <v>0.74430459746410538</v>
      </c>
      <c r="CB18" s="5">
        <f t="shared" si="109"/>
        <v>74.430459746410534</v>
      </c>
      <c r="CC18">
        <f t="shared" si="110"/>
        <v>13</v>
      </c>
      <c r="CE18" s="562">
        <f t="shared" si="44"/>
        <v>-50</v>
      </c>
      <c r="CF18">
        <f t="shared" si="45"/>
        <v>-50</v>
      </c>
      <c r="CG18" s="173">
        <f t="shared" si="46"/>
        <v>0.25804140337096787</v>
      </c>
      <c r="CH18" s="173">
        <f t="shared" si="47"/>
        <v>9.1216691339606831E-2</v>
      </c>
      <c r="CI18" s="170">
        <v>13</v>
      </c>
      <c r="CJ18" s="217">
        <f t="shared" si="133"/>
        <v>0.13</v>
      </c>
      <c r="CK18" s="217">
        <f t="shared" si="111"/>
        <v>3.2500000000000001E-2</v>
      </c>
      <c r="CL18" s="217">
        <f t="shared" si="48"/>
        <v>2.08</v>
      </c>
      <c r="CM18" s="217">
        <f t="shared" si="134"/>
        <v>0.26</v>
      </c>
      <c r="CN18" s="541">
        <f t="shared" si="112"/>
        <v>24</v>
      </c>
      <c r="CO18" s="443">
        <f t="shared" si="49"/>
        <v>16.7</v>
      </c>
      <c r="CP18" s="443">
        <f t="shared" si="50"/>
        <v>40.700000000000003</v>
      </c>
      <c r="CQ18" s="443"/>
      <c r="CR18" s="217">
        <f t="shared" si="113"/>
        <v>0.40594059405940591</v>
      </c>
      <c r="CS18" s="172">
        <f t="shared" si="114"/>
        <v>21.650165016501649</v>
      </c>
      <c r="CT18" s="172">
        <f t="shared" si="51"/>
        <v>3.0445544554455446</v>
      </c>
      <c r="CU18" s="217">
        <f t="shared" si="52"/>
        <v>1.3531353135313531</v>
      </c>
      <c r="CV18" s="217">
        <f t="shared" si="53"/>
        <v>2.7062706270627062</v>
      </c>
      <c r="CW18" s="443">
        <f t="shared" si="54"/>
        <v>16</v>
      </c>
      <c r="CX18" s="217">
        <f t="shared" si="55"/>
        <v>0.48036585365853657</v>
      </c>
      <c r="CY18" s="217">
        <f t="shared" si="56"/>
        <v>0.24018292682926828</v>
      </c>
      <c r="CZ18" s="217">
        <f t="shared" si="57"/>
        <v>0.34517306849715201</v>
      </c>
      <c r="DA18" s="197">
        <f t="shared" si="58"/>
        <v>350</v>
      </c>
      <c r="DB18" s="443">
        <f t="shared" si="115"/>
        <v>350</v>
      </c>
      <c r="DD18" s="217">
        <f t="shared" si="59"/>
        <v>2.344682344682345</v>
      </c>
      <c r="DE18" s="173">
        <f t="shared" si="60"/>
        <v>1.6848016848016851</v>
      </c>
      <c r="DF18" s="173">
        <f t="shared" si="61"/>
        <v>0.69130683381297664</v>
      </c>
      <c r="DG18" s="173"/>
      <c r="DH18" s="173">
        <f t="shared" si="62"/>
        <v>0.71856287425149712</v>
      </c>
      <c r="DI18" s="545">
        <f t="shared" si="63"/>
        <v>361.83333333333331</v>
      </c>
      <c r="DJ18" s="528">
        <f t="shared" si="64"/>
        <v>0.125748502994012</v>
      </c>
      <c r="DL18" s="173">
        <f t="shared" si="65"/>
        <v>1.0555973258234952</v>
      </c>
      <c r="DM18" s="173">
        <f t="shared" si="66"/>
        <v>1.0555973258234952</v>
      </c>
      <c r="DN18" s="173">
        <f t="shared" si="67"/>
        <v>1.2411832043137001</v>
      </c>
      <c r="DP18" s="545">
        <f t="shared" si="68"/>
        <v>130</v>
      </c>
      <c r="DQ18" s="460">
        <f t="shared" si="69"/>
        <v>350</v>
      </c>
      <c r="DS18">
        <f t="shared" si="116"/>
        <v>130</v>
      </c>
      <c r="DT18" s="460">
        <f t="shared" si="70"/>
        <v>350</v>
      </c>
      <c r="DU18" s="460"/>
      <c r="DV18" s="5">
        <f t="shared" si="117"/>
        <v>2.8571428571428572</v>
      </c>
      <c r="DW18" s="5">
        <f t="shared" si="71"/>
        <v>0.5277986629117476</v>
      </c>
      <c r="DX18" s="5">
        <f t="shared" si="118"/>
        <v>2.3293441942311097</v>
      </c>
      <c r="DY18" s="173">
        <f t="shared" si="119"/>
        <v>0.18472953201911166</v>
      </c>
      <c r="EA18" s="5">
        <f t="shared" si="72"/>
        <v>0.428836413615795</v>
      </c>
      <c r="EB18" s="5">
        <f t="shared" si="73"/>
        <v>0.2144182068078975</v>
      </c>
      <c r="EC18" s="5">
        <f t="shared" si="74"/>
        <v>0.16823041402780234</v>
      </c>
      <c r="ED18" s="5"/>
      <c r="EE18" s="173">
        <f t="shared" si="120"/>
        <v>0.26194241004183949</v>
      </c>
      <c r="EF18" s="173">
        <f t="shared" si="75"/>
        <v>0.55028605765551086</v>
      </c>
      <c r="EG18" s="173">
        <f t="shared" si="76"/>
        <v>0.13514378180657399</v>
      </c>
      <c r="EH18" s="173"/>
      <c r="EI18" s="528">
        <f t="shared" si="77"/>
        <v>1.3722765235705434E-3</v>
      </c>
      <c r="EJ18" s="528">
        <f t="shared" si="78"/>
        <v>0.28570269422075811</v>
      </c>
      <c r="EK18" s="528">
        <f t="shared" si="79"/>
        <v>4.0250000000000001E-2</v>
      </c>
      <c r="EL18" s="528">
        <f t="shared" si="80"/>
        <v>0.28553746375000005</v>
      </c>
      <c r="EM18">
        <f t="shared" si="81"/>
        <v>1.0800000000000001E-2</v>
      </c>
      <c r="EN18" s="460">
        <f t="shared" si="121"/>
        <v>51.05</v>
      </c>
      <c r="EO18">
        <f t="shared" si="82"/>
        <v>0.62423648327259829</v>
      </c>
      <c r="EP18" s="460">
        <f t="shared" si="122"/>
        <v>624.23648327259832</v>
      </c>
      <c r="EQ18" s="173">
        <f t="shared" si="83"/>
        <v>8.0762499999999987E-2</v>
      </c>
      <c r="ER18" s="173">
        <f t="shared" si="84"/>
        <v>1.4421874999999999E-2</v>
      </c>
      <c r="ES18" s="528"/>
      <c r="EU18" s="460">
        <f t="shared" si="123"/>
        <v>95.184374999999989</v>
      </c>
      <c r="EV18" s="528">
        <f t="shared" si="85"/>
        <v>2.0584147853558148E-3</v>
      </c>
      <c r="EW18" s="528">
        <f t="shared" si="124"/>
        <v>9.0844423575013253E-3</v>
      </c>
      <c r="EX18" s="528">
        <f t="shared" si="86"/>
        <v>9.131920880491441E-5</v>
      </c>
      <c r="EY18" s="528">
        <f t="shared" si="87"/>
        <v>0.13118549506258462</v>
      </c>
      <c r="EZ18" s="528">
        <f t="shared" si="88"/>
        <v>0.14524641164287294</v>
      </c>
      <c r="FA18" s="625">
        <f t="shared" si="89"/>
        <v>1.9500000000000003E-3</v>
      </c>
      <c r="FB18" s="460">
        <f t="shared" si="125"/>
        <v>147.19641164287296</v>
      </c>
      <c r="FC18" s="173">
        <f t="shared" si="126"/>
        <v>0.86661726991547117</v>
      </c>
      <c r="FD18" s="5">
        <f t="shared" si="127"/>
        <v>2.34</v>
      </c>
      <c r="FE18" s="173">
        <f t="shared" si="128"/>
        <v>0.72974097094589785</v>
      </c>
      <c r="FF18" s="5">
        <f t="shared" si="129"/>
        <v>72.97409709458978</v>
      </c>
      <c r="FG18">
        <f t="shared" si="130"/>
        <v>13</v>
      </c>
      <c r="FI18" s="562">
        <f t="shared" si="90"/>
        <v>-50</v>
      </c>
      <c r="FJ18">
        <f t="shared" si="91"/>
        <v>-50</v>
      </c>
      <c r="FL18">
        <f t="shared" si="92"/>
        <v>0.25804140337096787</v>
      </c>
    </row>
    <row r="19" spans="5:168">
      <c r="E19" s="170">
        <v>14</v>
      </c>
      <c r="F19" s="217">
        <f t="shared" si="131"/>
        <v>0.14000000000000001</v>
      </c>
      <c r="G19" s="217">
        <f t="shared" si="93"/>
        <v>3.5000000000000003E-2</v>
      </c>
      <c r="H19" s="217">
        <f t="shared" si="0"/>
        <v>2.2400000000000002</v>
      </c>
      <c r="I19" s="217">
        <f t="shared" si="132"/>
        <v>0.28000000000000003</v>
      </c>
      <c r="J19" s="541">
        <f t="shared" si="1"/>
        <v>23.964449696605541</v>
      </c>
      <c r="K19" s="443">
        <f t="shared" si="2"/>
        <v>16.715684387141359</v>
      </c>
      <c r="L19" s="172">
        <f t="shared" si="3"/>
        <v>40.6801340837469</v>
      </c>
      <c r="M19" s="443"/>
      <c r="N19" s="217">
        <f t="shared" si="4"/>
        <v>0.41090534148017582</v>
      </c>
      <c r="O19" s="172">
        <f t="shared" si="94"/>
        <v>21.882489746595994</v>
      </c>
      <c r="P19" s="172">
        <f t="shared" si="5"/>
        <v>3.0772251206150614</v>
      </c>
      <c r="Q19" s="217">
        <f t="shared" si="6"/>
        <v>1.3676556091622496</v>
      </c>
      <c r="R19" s="217">
        <f t="shared" si="7"/>
        <v>2.7353112183244992</v>
      </c>
      <c r="S19" s="443">
        <f t="shared" si="8"/>
        <v>16</v>
      </c>
      <c r="T19" s="217">
        <f t="shared" si="9"/>
        <v>0.51182475713222975</v>
      </c>
      <c r="U19" s="217">
        <f t="shared" si="10"/>
        <v>0.25629201435227322</v>
      </c>
      <c r="V19" s="217">
        <f t="shared" si="11"/>
        <v>0.36743318091788385</v>
      </c>
      <c r="W19" s="197">
        <f t="shared" si="12"/>
        <v>350</v>
      </c>
      <c r="X19" s="443">
        <f t="shared" si="95"/>
        <v>350</v>
      </c>
      <c r="Z19" s="217">
        <f t="shared" si="13"/>
        <v>2.3445524728495699</v>
      </c>
      <c r="AA19" s="173">
        <f t="shared" si="14"/>
        <v>1.683127595770926</v>
      </c>
      <c r="AB19" s="173">
        <f t="shared" si="15"/>
        <v>0.69058166918756314</v>
      </c>
      <c r="AC19" s="173"/>
      <c r="AD19" s="173">
        <f t="shared" si="16"/>
        <v>0.71788864410667341</v>
      </c>
      <c r="AE19" s="545">
        <f t="shared" si="17"/>
        <v>390.03263569996506</v>
      </c>
      <c r="AF19" s="528">
        <f t="shared" si="18"/>
        <v>0.12563051271866785</v>
      </c>
      <c r="AH19" s="173">
        <f t="shared" si="19"/>
        <v>1.0954451150103324</v>
      </c>
      <c r="AI19" s="173">
        <f t="shared" si="20"/>
        <v>1.0954451150103324</v>
      </c>
      <c r="AJ19" s="173">
        <f t="shared" si="21"/>
        <v>1.2707000851928387</v>
      </c>
      <c r="AL19" s="545">
        <f t="shared" si="22"/>
        <v>140</v>
      </c>
      <c r="AM19" s="460">
        <f t="shared" si="23"/>
        <v>350</v>
      </c>
      <c r="AO19">
        <f t="shared" si="96"/>
        <v>140</v>
      </c>
      <c r="AP19" s="460">
        <f t="shared" si="24"/>
        <v>350</v>
      </c>
      <c r="AQ19" s="460"/>
      <c r="AR19" s="5">
        <f t="shared" si="97"/>
        <v>2.8571428571428572</v>
      </c>
      <c r="AS19" s="5">
        <f t="shared" si="25"/>
        <v>0.5485350820296937</v>
      </c>
      <c r="AT19" s="5">
        <f t="shared" si="98"/>
        <v>2.3086077751131633</v>
      </c>
      <c r="AU19" s="173">
        <f t="shared" si="99"/>
        <v>0.19198727871039278</v>
      </c>
      <c r="AW19" s="5">
        <f t="shared" si="26"/>
        <v>0.47996819677598201</v>
      </c>
      <c r="AX19" s="5">
        <f t="shared" si="27"/>
        <v>0.23998409838799101</v>
      </c>
      <c r="AY19" s="5">
        <f t="shared" si="28"/>
        <v>0.17982475019326838</v>
      </c>
      <c r="AZ19" s="5"/>
      <c r="BA19" s="173">
        <f t="shared" si="100"/>
        <v>0.27711894825896904</v>
      </c>
      <c r="BB19" s="173">
        <f t="shared" si="29"/>
        <v>0.56851129145852763</v>
      </c>
      <c r="BC19" s="173">
        <f t="shared" si="30"/>
        <v>0.13961968481407958</v>
      </c>
      <c r="BD19" s="173"/>
      <c r="BE19" s="528">
        <f t="shared" si="31"/>
        <v>1.5358982296831433E-3</v>
      </c>
      <c r="BF19" s="528">
        <f t="shared" si="32"/>
        <v>0.28464523094703748</v>
      </c>
      <c r="BG19" s="528">
        <f t="shared" si="33"/>
        <v>0.1929138200576746</v>
      </c>
      <c r="BH19" s="528">
        <f t="shared" si="34"/>
        <v>0.28525878665122156</v>
      </c>
      <c r="BI19">
        <f t="shared" si="35"/>
        <v>1.0784002363472493E-2</v>
      </c>
      <c r="BJ19" s="460">
        <f t="shared" si="101"/>
        <v>203.69782242114709</v>
      </c>
      <c r="BK19">
        <f t="shared" si="36"/>
        <v>0.57206337110381789</v>
      </c>
      <c r="BL19" s="460">
        <f t="shared" si="102"/>
        <v>572.06337110381787</v>
      </c>
      <c r="BM19" s="173">
        <f t="shared" si="37"/>
        <v>8.6974999999999997E-2</v>
      </c>
      <c r="BN19" s="173">
        <f t="shared" si="38"/>
        <v>1.553125E-2</v>
      </c>
      <c r="BO19" s="528"/>
      <c r="BQ19" s="460">
        <f t="shared" si="103"/>
        <v>102.50624999999999</v>
      </c>
      <c r="BR19" s="528">
        <f t="shared" si="39"/>
        <v>2.3038473445247151E-3</v>
      </c>
      <c r="BS19" s="528">
        <f t="shared" si="104"/>
        <v>9.6961526554752882E-3</v>
      </c>
      <c r="BT19" s="528">
        <f t="shared" si="40"/>
        <v>9.7468281937914607E-5</v>
      </c>
      <c r="BU19" s="528">
        <f t="shared" si="41"/>
        <v>0.1439185161957138</v>
      </c>
      <c r="BV19" s="528">
        <f t="shared" si="42"/>
        <v>0.15907332762815554</v>
      </c>
      <c r="BW19" s="625">
        <f t="shared" si="43"/>
        <v>2.1000000000000007E-3</v>
      </c>
      <c r="BX19" s="460">
        <f t="shared" si="105"/>
        <v>161.17332762815553</v>
      </c>
      <c r="BY19" s="173">
        <f t="shared" si="106"/>
        <v>0.83574294873197341</v>
      </c>
      <c r="BZ19" s="5">
        <f t="shared" si="107"/>
        <v>2.5200000000000005</v>
      </c>
      <c r="CA19" s="173">
        <f t="shared" si="108"/>
        <v>0.75095144011320247</v>
      </c>
      <c r="CB19" s="5">
        <f t="shared" si="109"/>
        <v>75.095144011320244</v>
      </c>
      <c r="CC19">
        <f t="shared" si="110"/>
        <v>14.000000000000002</v>
      </c>
      <c r="CE19" s="562">
        <f t="shared" si="44"/>
        <v>-50</v>
      </c>
      <c r="CF19">
        <f t="shared" si="45"/>
        <v>-50</v>
      </c>
      <c r="CG19" s="173">
        <f t="shared" si="46"/>
        <v>0.26778221948660214</v>
      </c>
      <c r="CH19" s="173">
        <f t="shared" si="47"/>
        <v>9.4660034172998217E-2</v>
      </c>
      <c r="CI19" s="170">
        <v>14</v>
      </c>
      <c r="CJ19" s="217">
        <f t="shared" si="133"/>
        <v>0.14000000000000001</v>
      </c>
      <c r="CK19" s="217">
        <f t="shared" si="111"/>
        <v>3.5000000000000003E-2</v>
      </c>
      <c r="CL19" s="217">
        <f t="shared" si="48"/>
        <v>2.2400000000000002</v>
      </c>
      <c r="CM19" s="217">
        <f t="shared" si="134"/>
        <v>0.28000000000000003</v>
      </c>
      <c r="CN19" s="541">
        <f t="shared" si="112"/>
        <v>24</v>
      </c>
      <c r="CO19" s="443">
        <f t="shared" si="49"/>
        <v>16.7</v>
      </c>
      <c r="CP19" s="443">
        <f t="shared" si="50"/>
        <v>40.700000000000003</v>
      </c>
      <c r="CQ19" s="443"/>
      <c r="CR19" s="217">
        <f t="shared" si="113"/>
        <v>0.40594059405940591</v>
      </c>
      <c r="CS19" s="172">
        <f t="shared" si="114"/>
        <v>21.650165016501649</v>
      </c>
      <c r="CT19" s="172">
        <f t="shared" si="51"/>
        <v>3.0445544554455446</v>
      </c>
      <c r="CU19" s="217">
        <f t="shared" si="52"/>
        <v>1.3531353135313531</v>
      </c>
      <c r="CV19" s="217">
        <f t="shared" si="53"/>
        <v>2.7062706270627062</v>
      </c>
      <c r="CW19" s="443">
        <f t="shared" si="54"/>
        <v>16</v>
      </c>
      <c r="CX19" s="217">
        <f t="shared" si="55"/>
        <v>0.51731707317073183</v>
      </c>
      <c r="CY19" s="217">
        <f t="shared" si="56"/>
        <v>0.25865853658536592</v>
      </c>
      <c r="CZ19" s="217">
        <f t="shared" si="57"/>
        <v>0.37172484299693309</v>
      </c>
      <c r="DA19" s="197">
        <f t="shared" si="58"/>
        <v>350</v>
      </c>
      <c r="DB19" s="443">
        <f t="shared" si="115"/>
        <v>350</v>
      </c>
      <c r="DD19" s="217">
        <f t="shared" si="59"/>
        <v>2.344682344682345</v>
      </c>
      <c r="DE19" s="173">
        <f t="shared" si="60"/>
        <v>1.6848016848016851</v>
      </c>
      <c r="DF19" s="173">
        <f t="shared" si="61"/>
        <v>0.69130683381297664</v>
      </c>
      <c r="DG19" s="173"/>
      <c r="DH19" s="173">
        <f t="shared" si="62"/>
        <v>0.71856287425149712</v>
      </c>
      <c r="DI19" s="545">
        <f t="shared" si="63"/>
        <v>389.66666666666663</v>
      </c>
      <c r="DJ19" s="528">
        <f t="shared" si="64"/>
        <v>0.125748502994012</v>
      </c>
      <c r="DL19" s="173">
        <f t="shared" si="65"/>
        <v>1.0954451150103324</v>
      </c>
      <c r="DM19" s="173">
        <f t="shared" si="66"/>
        <v>1.0954451150103324</v>
      </c>
      <c r="DN19" s="173">
        <f t="shared" si="67"/>
        <v>1.2707000851928387</v>
      </c>
      <c r="DP19" s="545">
        <f t="shared" si="68"/>
        <v>140</v>
      </c>
      <c r="DQ19" s="460">
        <f t="shared" si="69"/>
        <v>350</v>
      </c>
      <c r="DS19">
        <f t="shared" si="116"/>
        <v>140</v>
      </c>
      <c r="DT19" s="460">
        <f t="shared" si="70"/>
        <v>350</v>
      </c>
      <c r="DU19" s="460"/>
      <c r="DV19" s="5">
        <f t="shared" si="117"/>
        <v>2.8571428571428572</v>
      </c>
      <c r="DW19" s="5">
        <f t="shared" si="71"/>
        <v>0.54772255750516619</v>
      </c>
      <c r="DX19" s="5">
        <f t="shared" si="118"/>
        <v>2.3094202996376909</v>
      </c>
      <c r="DY19" s="173">
        <f t="shared" si="119"/>
        <v>0.19170289512680816</v>
      </c>
      <c r="EA19" s="5">
        <f t="shared" si="72"/>
        <v>0.47925723781702045</v>
      </c>
      <c r="EB19" s="5">
        <f t="shared" si="73"/>
        <v>0.23962861890851023</v>
      </c>
      <c r="EC19" s="5">
        <f t="shared" si="74"/>
        <v>0.17962157886070926</v>
      </c>
      <c r="ED19" s="5"/>
      <c r="EE19" s="173">
        <f t="shared" si="120"/>
        <v>0.27691362922529339</v>
      </c>
      <c r="EF19" s="173">
        <f t="shared" si="75"/>
        <v>0.56861132766528388</v>
      </c>
      <c r="EG19" s="173">
        <f t="shared" si="76"/>
        <v>0.13964425252956233</v>
      </c>
      <c r="EH19" s="173"/>
      <c r="EI19" s="528">
        <f t="shared" si="77"/>
        <v>1.5336231610144652E-3</v>
      </c>
      <c r="EJ19" s="528">
        <f t="shared" si="78"/>
        <v>0.2964876976031216</v>
      </c>
      <c r="EK19" s="528">
        <f t="shared" si="79"/>
        <v>4.0250000000000001E-2</v>
      </c>
      <c r="EL19" s="528">
        <f t="shared" si="80"/>
        <v>0.28553746375000005</v>
      </c>
      <c r="EM19">
        <f t="shared" si="81"/>
        <v>1.0800000000000001E-2</v>
      </c>
      <c r="EN19" s="460">
        <f t="shared" si="121"/>
        <v>51.05</v>
      </c>
      <c r="EO19">
        <f t="shared" si="82"/>
        <v>0.63525434237518019</v>
      </c>
      <c r="EP19" s="460">
        <f t="shared" si="122"/>
        <v>635.25434237518016</v>
      </c>
      <c r="EQ19" s="173">
        <f t="shared" si="83"/>
        <v>8.6974999999999997E-2</v>
      </c>
      <c r="ER19" s="173">
        <f t="shared" si="84"/>
        <v>1.553125E-2</v>
      </c>
      <c r="ES19" s="528"/>
      <c r="EU19" s="460">
        <f t="shared" si="123"/>
        <v>102.50624999999999</v>
      </c>
      <c r="EV19" s="528">
        <f t="shared" si="85"/>
        <v>2.3004347415216978E-3</v>
      </c>
      <c r="EW19" s="528">
        <f t="shared" si="124"/>
        <v>9.699565258478305E-3</v>
      </c>
      <c r="EX19" s="528">
        <f t="shared" si="86"/>
        <v>9.7502586322700883E-5</v>
      </c>
      <c r="EY19" s="528">
        <f t="shared" si="87"/>
        <v>0.1439185161957138</v>
      </c>
      <c r="EZ19" s="528">
        <f t="shared" si="88"/>
        <v>0.15907337064377619</v>
      </c>
      <c r="FA19" s="625">
        <f t="shared" si="89"/>
        <v>2.1000000000000007E-3</v>
      </c>
      <c r="FB19" s="460">
        <f t="shared" si="125"/>
        <v>161.1733706437762</v>
      </c>
      <c r="FC19" s="173">
        <f t="shared" si="126"/>
        <v>0.89893396301895634</v>
      </c>
      <c r="FD19" s="5">
        <f t="shared" si="127"/>
        <v>2.5200000000000005</v>
      </c>
      <c r="FE19" s="173">
        <f t="shared" si="128"/>
        <v>0.73707185551335197</v>
      </c>
      <c r="FF19" s="5">
        <f t="shared" si="129"/>
        <v>73.707185551335201</v>
      </c>
      <c r="FG19">
        <f t="shared" si="130"/>
        <v>14.000000000000002</v>
      </c>
      <c r="FI19" s="562">
        <f t="shared" si="90"/>
        <v>-50</v>
      </c>
      <c r="FJ19">
        <f t="shared" si="91"/>
        <v>-50</v>
      </c>
      <c r="FL19">
        <f t="shared" si="92"/>
        <v>0.26778221948660214</v>
      </c>
    </row>
    <row r="20" spans="5:168">
      <c r="E20" s="170">
        <v>15</v>
      </c>
      <c r="F20" s="217">
        <f t="shared" si="131"/>
        <v>0.15</v>
      </c>
      <c r="G20" s="217">
        <f t="shared" si="93"/>
        <v>3.7499999999999999E-2</v>
      </c>
      <c r="H20" s="217">
        <f t="shared" si="0"/>
        <v>2.4</v>
      </c>
      <c r="I20" s="217">
        <f t="shared" si="132"/>
        <v>0.3</v>
      </c>
      <c r="J20" s="541">
        <f t="shared" si="1"/>
        <v>23.963201940004968</v>
      </c>
      <c r="K20" s="443">
        <f t="shared" si="2"/>
        <v>16.716234883078464</v>
      </c>
      <c r="L20" s="172">
        <f t="shared" si="3"/>
        <v>40.679436823083435</v>
      </c>
      <c r="M20" s="443"/>
      <c r="N20" s="217">
        <f t="shared" si="4"/>
        <v>0.41092591708626808</v>
      </c>
      <c r="O20" s="172">
        <f t="shared" si="94"/>
        <v>21.882446074488843</v>
      </c>
      <c r="P20" s="172">
        <f t="shared" si="5"/>
        <v>3.0772189792249938</v>
      </c>
      <c r="Q20" s="217">
        <f t="shared" si="6"/>
        <v>1.3676528796555527</v>
      </c>
      <c r="R20" s="217">
        <f t="shared" si="7"/>
        <v>2.7353057593111054</v>
      </c>
      <c r="S20" s="443">
        <f t="shared" si="8"/>
        <v>16</v>
      </c>
      <c r="T20" s="217">
        <f t="shared" si="9"/>
        <v>0.54838476279806436</v>
      </c>
      <c r="U20" s="217">
        <f t="shared" si="10"/>
        <v>0.27461343313185838</v>
      </c>
      <c r="V20" s="217">
        <f t="shared" si="11"/>
        <v>0.39366622924389572</v>
      </c>
      <c r="W20" s="197">
        <f t="shared" si="12"/>
        <v>350</v>
      </c>
      <c r="X20" s="443">
        <f t="shared" si="95"/>
        <v>350</v>
      </c>
      <c r="Z20" s="217">
        <f t="shared" si="13"/>
        <v>2.3445477936952335</v>
      </c>
      <c r="AA20" s="173">
        <f t="shared" si="14"/>
        <v>1.6830688083249485</v>
      </c>
      <c r="AB20" s="173">
        <f t="shared" si="15"/>
        <v>0.69055617070921671</v>
      </c>
      <c r="AC20" s="173"/>
      <c r="AD20" s="173">
        <f t="shared" si="16"/>
        <v>0.7178650027314093</v>
      </c>
      <c r="AE20" s="545">
        <f t="shared" si="17"/>
        <v>417.90587207696154</v>
      </c>
      <c r="AF20" s="528">
        <f t="shared" si="18"/>
        <v>0.12562637547799663</v>
      </c>
      <c r="AH20" s="173">
        <f t="shared" si="19"/>
        <v>1.1338934190276817</v>
      </c>
      <c r="AI20" s="173">
        <f t="shared" si="20"/>
        <v>1.1338934190276817</v>
      </c>
      <c r="AJ20" s="173">
        <f t="shared" si="21"/>
        <v>1.2991803103908752</v>
      </c>
      <c r="AL20" s="545">
        <f t="shared" si="22"/>
        <v>150</v>
      </c>
      <c r="AM20" s="460">
        <f t="shared" si="23"/>
        <v>350</v>
      </c>
      <c r="AO20">
        <f t="shared" si="96"/>
        <v>150</v>
      </c>
      <c r="AP20" s="460">
        <f t="shared" si="24"/>
        <v>350</v>
      </c>
      <c r="AQ20" s="460"/>
      <c r="AR20" s="5">
        <f t="shared" si="97"/>
        <v>2.8571428571428572</v>
      </c>
      <c r="AS20" s="5">
        <f t="shared" si="25"/>
        <v>0.56781731683430281</v>
      </c>
      <c r="AT20" s="5">
        <f t="shared" si="98"/>
        <v>2.2893255403085542</v>
      </c>
      <c r="AU20" s="173">
        <f t="shared" si="99"/>
        <v>0.19873606089200599</v>
      </c>
      <c r="AW20" s="5">
        <f t="shared" si="26"/>
        <v>0.53232873453215879</v>
      </c>
      <c r="AX20" s="5">
        <f t="shared" si="27"/>
        <v>0.26616436726607939</v>
      </c>
      <c r="AY20" s="5">
        <f t="shared" si="28"/>
        <v>0.19107008704764761</v>
      </c>
      <c r="AZ20" s="5"/>
      <c r="BA20" s="173">
        <f t="shared" si="100"/>
        <v>0.29184344694569631</v>
      </c>
      <c r="BB20" s="173">
        <f t="shared" si="29"/>
        <v>0.58600241556352228</v>
      </c>
      <c r="BC20" s="173">
        <f t="shared" si="30"/>
        <v>0.1439152991163356</v>
      </c>
      <c r="BD20" s="173"/>
      <c r="BE20" s="528">
        <f t="shared" si="31"/>
        <v>1.7034519505029092E-3</v>
      </c>
      <c r="BF20" s="528">
        <f t="shared" si="32"/>
        <v>0.29463075568076552</v>
      </c>
      <c r="BG20" s="528">
        <f t="shared" si="33"/>
        <v>0.19290377561704</v>
      </c>
      <c r="BH20" s="528">
        <f t="shared" si="34"/>
        <v>0.28524900801942787</v>
      </c>
      <c r="BI20">
        <f t="shared" si="35"/>
        <v>1.0783440873002235E-2</v>
      </c>
      <c r="BJ20" s="460">
        <f t="shared" si="101"/>
        <v>203.68721649004223</v>
      </c>
      <c r="BK20">
        <f t="shared" si="36"/>
        <v>0.58227881931347392</v>
      </c>
      <c r="BL20" s="460">
        <f t="shared" si="102"/>
        <v>582.27881931347395</v>
      </c>
      <c r="BM20" s="173">
        <f t="shared" si="37"/>
        <v>9.3187499999999993E-2</v>
      </c>
      <c r="BN20" s="173">
        <f t="shared" si="38"/>
        <v>1.6640624999999999E-2</v>
      </c>
      <c r="BO20" s="528"/>
      <c r="BQ20" s="460">
        <f t="shared" si="103"/>
        <v>109.828125</v>
      </c>
      <c r="BR20" s="528">
        <f t="shared" si="39"/>
        <v>2.5551779257543638E-3</v>
      </c>
      <c r="BS20" s="528">
        <f t="shared" si="104"/>
        <v>1.0301964931388491E-2</v>
      </c>
      <c r="BT20" s="528">
        <f t="shared" si="40"/>
        <v>1.0355806659872175E-4</v>
      </c>
      <c r="BU20" s="528">
        <f t="shared" si="41"/>
        <v>0.15688112752187858</v>
      </c>
      <c r="BV20" s="528">
        <f t="shared" si="42"/>
        <v>0.17313190953930976</v>
      </c>
      <c r="BW20" s="625">
        <f t="shared" si="43"/>
        <v>2.2500000000000003E-3</v>
      </c>
      <c r="BX20" s="460">
        <f t="shared" si="105"/>
        <v>175.38190953930976</v>
      </c>
      <c r="BY20" s="173">
        <f t="shared" si="106"/>
        <v>0.86748885385278363</v>
      </c>
      <c r="BZ20" s="5">
        <f t="shared" si="107"/>
        <v>2.6999999999999997</v>
      </c>
      <c r="CA20" s="173">
        <f t="shared" si="108"/>
        <v>0.7568348803904682</v>
      </c>
      <c r="CB20" s="5">
        <f t="shared" si="109"/>
        <v>75.683488039046821</v>
      </c>
      <c r="CC20">
        <f t="shared" si="110"/>
        <v>15</v>
      </c>
      <c r="CE20" s="562">
        <f t="shared" si="44"/>
        <v>-50</v>
      </c>
      <c r="CF20">
        <f t="shared" si="45"/>
        <v>-50</v>
      </c>
      <c r="CG20" s="173">
        <f t="shared" si="46"/>
        <v>0.27718093060793869</v>
      </c>
      <c r="CH20" s="173">
        <f t="shared" si="47"/>
        <v>9.7982444143434572E-2</v>
      </c>
      <c r="CI20" s="170">
        <v>15</v>
      </c>
      <c r="CJ20" s="217">
        <f t="shared" si="133"/>
        <v>0.15</v>
      </c>
      <c r="CK20" s="217">
        <f t="shared" si="111"/>
        <v>3.7499999999999999E-2</v>
      </c>
      <c r="CL20" s="217">
        <f t="shared" si="48"/>
        <v>2.4</v>
      </c>
      <c r="CM20" s="217">
        <f t="shared" si="134"/>
        <v>0.3</v>
      </c>
      <c r="CN20" s="541">
        <f t="shared" si="112"/>
        <v>24</v>
      </c>
      <c r="CO20" s="443">
        <f t="shared" si="49"/>
        <v>16.7</v>
      </c>
      <c r="CP20" s="443">
        <f t="shared" si="50"/>
        <v>40.700000000000003</v>
      </c>
      <c r="CQ20" s="443"/>
      <c r="CR20" s="217">
        <f t="shared" si="113"/>
        <v>0.40594059405940591</v>
      </c>
      <c r="CS20" s="172">
        <f t="shared" si="114"/>
        <v>21.650165016501649</v>
      </c>
      <c r="CT20" s="172">
        <f t="shared" si="51"/>
        <v>3.0445544554455446</v>
      </c>
      <c r="CU20" s="217">
        <f t="shared" si="52"/>
        <v>1.3531353135313531</v>
      </c>
      <c r="CV20" s="217">
        <f t="shared" si="53"/>
        <v>2.7062706270627062</v>
      </c>
      <c r="CW20" s="443">
        <f t="shared" si="54"/>
        <v>16</v>
      </c>
      <c r="CX20" s="217">
        <f t="shared" si="55"/>
        <v>0.55426829268292677</v>
      </c>
      <c r="CY20" s="217">
        <f t="shared" si="56"/>
        <v>0.27713414634146338</v>
      </c>
      <c r="CZ20" s="217">
        <f t="shared" si="57"/>
        <v>0.39827661749671389</v>
      </c>
      <c r="DA20" s="197">
        <f t="shared" si="58"/>
        <v>350</v>
      </c>
      <c r="DB20" s="443">
        <f t="shared" si="115"/>
        <v>350</v>
      </c>
      <c r="DD20" s="217">
        <f t="shared" si="59"/>
        <v>2.344682344682345</v>
      </c>
      <c r="DE20" s="173">
        <f t="shared" si="60"/>
        <v>1.6848016848016851</v>
      </c>
      <c r="DF20" s="173">
        <f t="shared" si="61"/>
        <v>0.69130683381297664</v>
      </c>
      <c r="DG20" s="173"/>
      <c r="DH20" s="173">
        <f t="shared" si="62"/>
        <v>0.71856287425149712</v>
      </c>
      <c r="DI20" s="545">
        <f t="shared" si="63"/>
        <v>417.49999999999994</v>
      </c>
      <c r="DJ20" s="528">
        <f t="shared" si="64"/>
        <v>0.125748502994012</v>
      </c>
      <c r="DL20" s="173">
        <f t="shared" si="65"/>
        <v>1.1338934190276817</v>
      </c>
      <c r="DM20" s="173">
        <f t="shared" si="66"/>
        <v>1.1338934190276817</v>
      </c>
      <c r="DN20" s="173">
        <f t="shared" si="67"/>
        <v>1.2991803103908752</v>
      </c>
      <c r="DP20" s="545">
        <f t="shared" si="68"/>
        <v>150</v>
      </c>
      <c r="DQ20" s="460">
        <f t="shared" si="69"/>
        <v>350</v>
      </c>
      <c r="DS20">
        <f t="shared" si="116"/>
        <v>150</v>
      </c>
      <c r="DT20" s="460">
        <f t="shared" si="70"/>
        <v>350</v>
      </c>
      <c r="DU20" s="460"/>
      <c r="DV20" s="5">
        <f t="shared" si="117"/>
        <v>2.8571428571428572</v>
      </c>
      <c r="DW20" s="5">
        <f t="shared" si="71"/>
        <v>0.56694670951384085</v>
      </c>
      <c r="DX20" s="5">
        <f t="shared" si="118"/>
        <v>2.2901961476290165</v>
      </c>
      <c r="DY20" s="173">
        <f t="shared" si="119"/>
        <v>0.1984313483298443</v>
      </c>
      <c r="EA20" s="5">
        <f t="shared" si="72"/>
        <v>0.53151254016922578</v>
      </c>
      <c r="EB20" s="5">
        <f t="shared" si="73"/>
        <v>0.26575627008461289</v>
      </c>
      <c r="EC20" s="5">
        <f t="shared" si="74"/>
        <v>0.19084967896908467</v>
      </c>
      <c r="ED20" s="5"/>
      <c r="EE20" s="173">
        <f t="shared" si="120"/>
        <v>0.29161962627209459</v>
      </c>
      <c r="EF20" s="173">
        <f t="shared" si="75"/>
        <v>0.58611383036433495</v>
      </c>
      <c r="EG20" s="173">
        <f t="shared" si="76"/>
        <v>0.14394266128065283</v>
      </c>
      <c r="EH20" s="173"/>
      <c r="EI20" s="528">
        <f t="shared" si="77"/>
        <v>1.7008401285415226E-3</v>
      </c>
      <c r="EJ20" s="528">
        <f t="shared" si="78"/>
        <v>0.30689392332693721</v>
      </c>
      <c r="EK20" s="528">
        <f t="shared" si="79"/>
        <v>4.0250000000000001E-2</v>
      </c>
      <c r="EL20" s="528">
        <f t="shared" si="80"/>
        <v>0.28553746375000005</v>
      </c>
      <c r="EM20">
        <f t="shared" si="81"/>
        <v>1.0800000000000001E-2</v>
      </c>
      <c r="EN20" s="460">
        <f t="shared" si="121"/>
        <v>51.05</v>
      </c>
      <c r="EO20">
        <f t="shared" si="82"/>
        <v>0.64590247589977701</v>
      </c>
      <c r="EP20" s="460">
        <f t="shared" si="122"/>
        <v>645.90247589977696</v>
      </c>
      <c r="EQ20" s="173">
        <f t="shared" si="83"/>
        <v>9.3187499999999993E-2</v>
      </c>
      <c r="ER20" s="173">
        <f t="shared" si="84"/>
        <v>1.6640624999999999E-2</v>
      </c>
      <c r="ES20" s="528"/>
      <c r="EU20" s="460">
        <f t="shared" si="123"/>
        <v>109.828125</v>
      </c>
      <c r="EV20" s="528">
        <f t="shared" si="85"/>
        <v>2.5512601928122836E-3</v>
      </c>
      <c r="EW20" s="528">
        <f t="shared" si="124"/>
        <v>1.0305882664330572E-2</v>
      </c>
      <c r="EX20" s="528">
        <f t="shared" si="86"/>
        <v>1.0359744868278378E-4</v>
      </c>
      <c r="EY20" s="528">
        <f t="shared" si="87"/>
        <v>0.15688112752187858</v>
      </c>
      <c r="EZ20" s="528">
        <f t="shared" si="88"/>
        <v>0.1731319589698101</v>
      </c>
      <c r="FA20" s="625">
        <f t="shared" si="89"/>
        <v>2.2500000000000003E-3</v>
      </c>
      <c r="FB20" s="460">
        <f t="shared" si="125"/>
        <v>175.38195896981009</v>
      </c>
      <c r="FC20" s="173">
        <f t="shared" si="126"/>
        <v>0.93111255986958696</v>
      </c>
      <c r="FD20" s="5">
        <f t="shared" si="127"/>
        <v>2.6999999999999997</v>
      </c>
      <c r="FE20" s="173">
        <f t="shared" si="128"/>
        <v>0.74357375473289422</v>
      </c>
      <c r="FF20" s="5">
        <f t="shared" si="129"/>
        <v>74.357375473289423</v>
      </c>
      <c r="FG20">
        <f t="shared" si="130"/>
        <v>15</v>
      </c>
      <c r="FI20" s="562">
        <f t="shared" si="90"/>
        <v>-50</v>
      </c>
      <c r="FJ20">
        <f t="shared" si="91"/>
        <v>-50</v>
      </c>
      <c r="FL20">
        <f t="shared" si="92"/>
        <v>0.27718093060793869</v>
      </c>
    </row>
    <row r="21" spans="5:168" s="76" customFormat="1">
      <c r="E21" s="189">
        <v>16</v>
      </c>
      <c r="F21" s="329">
        <f t="shared" si="131"/>
        <v>0.16</v>
      </c>
      <c r="G21" s="217">
        <f t="shared" si="93"/>
        <v>0.04</v>
      </c>
      <c r="H21" s="217">
        <f t="shared" si="0"/>
        <v>2.56</v>
      </c>
      <c r="I21" s="217">
        <f t="shared" si="132"/>
        <v>0.32</v>
      </c>
      <c r="J21" s="541">
        <f t="shared" si="1"/>
        <v>23.961995127057733</v>
      </c>
      <c r="K21" s="443">
        <f t="shared" si="2"/>
        <v>16.716767315144139</v>
      </c>
      <c r="L21" s="172">
        <f t="shared" si="3"/>
        <v>40.678762442201872</v>
      </c>
      <c r="M21" s="443"/>
      <c r="N21" s="217">
        <f t="shared" si="4"/>
        <v>0.41094581819926401</v>
      </c>
      <c r="O21" s="172">
        <f t="shared" si="94"/>
        <v>21.882403762612263</v>
      </c>
      <c r="P21" s="172">
        <f t="shared" si="5"/>
        <v>3.0772130291173494</v>
      </c>
      <c r="Q21" s="329">
        <f t="shared" si="6"/>
        <v>1.3676502351632664</v>
      </c>
      <c r="R21" s="217">
        <f t="shared" si="7"/>
        <v>2.7353004703265329</v>
      </c>
      <c r="S21" s="443">
        <f t="shared" si="8"/>
        <v>16</v>
      </c>
      <c r="T21" s="217">
        <f t="shared" si="9"/>
        <v>0.58494487803345285</v>
      </c>
      <c r="U21" s="329">
        <f t="shared" si="10"/>
        <v>0.29293631432531431</v>
      </c>
      <c r="V21" s="217">
        <f t="shared" si="11"/>
        <v>0.4198980822112921</v>
      </c>
      <c r="W21" s="537">
        <f t="shared" si="12"/>
        <v>350</v>
      </c>
      <c r="X21" s="443">
        <f t="shared" si="95"/>
        <v>350</v>
      </c>
      <c r="Z21" s="329">
        <f t="shared" si="13"/>
        <v>2.344543260279885</v>
      </c>
      <c r="AA21" s="173">
        <f t="shared" si="14"/>
        <v>1.6830119480021029</v>
      </c>
      <c r="AB21" s="173">
        <f t="shared" si="15"/>
        <v>0.69053150594029888</v>
      </c>
      <c r="AC21" s="538"/>
      <c r="AD21" s="173">
        <f t="shared" si="16"/>
        <v>0.7178421386010978</v>
      </c>
      <c r="AE21" s="545">
        <f t="shared" si="17"/>
        <v>445.78046173717706</v>
      </c>
      <c r="AF21" s="528">
        <f t="shared" si="18"/>
        <v>0.12562237425519213</v>
      </c>
      <c r="AG21"/>
      <c r="AH21" s="173">
        <f t="shared" si="19"/>
        <v>1.1710800875382397</v>
      </c>
      <c r="AI21" s="173">
        <f t="shared" si="20"/>
        <v>1.1710800875382397</v>
      </c>
      <c r="AJ21" s="173">
        <f t="shared" si="21"/>
        <v>1.3267259907690663</v>
      </c>
      <c r="AL21" s="545">
        <f t="shared" si="22"/>
        <v>160</v>
      </c>
      <c r="AM21" s="460">
        <f t="shared" si="23"/>
        <v>350</v>
      </c>
      <c r="AO21">
        <f t="shared" si="96"/>
        <v>160</v>
      </c>
      <c r="AP21" s="460">
        <f t="shared" si="24"/>
        <v>350</v>
      </c>
      <c r="AQ21" s="460"/>
      <c r="AR21" s="5">
        <f t="shared" si="97"/>
        <v>2.8571428571428572</v>
      </c>
      <c r="AS21" s="5">
        <f t="shared" si="25"/>
        <v>0.58646873834768298</v>
      </c>
      <c r="AT21" s="5">
        <f t="shared" si="98"/>
        <v>2.2706741187951742</v>
      </c>
      <c r="AU21" s="173">
        <f t="shared" si="99"/>
        <v>0.20526405842168904</v>
      </c>
      <c r="AW21" s="5">
        <f t="shared" si="26"/>
        <v>0.58646873834768298</v>
      </c>
      <c r="AX21" s="5">
        <f t="shared" si="27"/>
        <v>0.29323436917384149</v>
      </c>
      <c r="AY21" s="5">
        <f t="shared" si="28"/>
        <v>0.20215782371531765</v>
      </c>
      <c r="AZ21" s="5"/>
      <c r="BA21" s="173">
        <f t="shared" si="100"/>
        <v>0.30632498777544942</v>
      </c>
      <c r="BB21" s="173">
        <f t="shared" si="29"/>
        <v>0.60275024596198035</v>
      </c>
      <c r="BC21" s="173">
        <f t="shared" si="30"/>
        <v>0.14802836922889812</v>
      </c>
      <c r="BD21" s="173"/>
      <c r="BE21" s="528">
        <f t="shared" si="31"/>
        <v>1.8766999627125847E-3</v>
      </c>
      <c r="BF21" s="528">
        <f t="shared" si="32"/>
        <v>0.30428829145474856</v>
      </c>
      <c r="BG21" s="528">
        <f t="shared" si="33"/>
        <v>0.19289406077281476</v>
      </c>
      <c r="BH21" s="528">
        <f t="shared" si="34"/>
        <v>0.28523955042129007</v>
      </c>
      <c r="BI21">
        <f t="shared" si="35"/>
        <v>1.078289780717598E-2</v>
      </c>
      <c r="BJ21" s="460">
        <f t="shared" si="101"/>
        <v>203.67695857999075</v>
      </c>
      <c r="BK21">
        <f t="shared" si="36"/>
        <v>0.59217530411286834</v>
      </c>
      <c r="BL21" s="460">
        <f t="shared" si="102"/>
        <v>592.17530411286839</v>
      </c>
      <c r="BM21" s="173">
        <f t="shared" si="37"/>
        <v>9.9399999999999988E-2</v>
      </c>
      <c r="BN21" s="173">
        <f t="shared" si="38"/>
        <v>1.7749999999999998E-2</v>
      </c>
      <c r="BO21" s="528"/>
      <c r="BQ21" s="460">
        <f t="shared" si="103"/>
        <v>117.14999999999999</v>
      </c>
      <c r="BR21" s="528">
        <f t="shared" si="39"/>
        <v>2.8150499440688769E-3</v>
      </c>
      <c r="BS21" s="528">
        <f t="shared" si="104"/>
        <v>1.0899235770216833E-2</v>
      </c>
      <c r="BT21" s="528">
        <f t="shared" si="40"/>
        <v>1.0956199048283495E-4</v>
      </c>
      <c r="BU21" s="528">
        <f t="shared" si="41"/>
        <v>0.17006173538407826</v>
      </c>
      <c r="BV21" s="528">
        <f t="shared" si="42"/>
        <v>0.18741056534708106</v>
      </c>
      <c r="BW21" s="625">
        <f t="shared" si="43"/>
        <v>2.3999999999999989E-3</v>
      </c>
      <c r="BX21" s="460">
        <f t="shared" si="105"/>
        <v>189.81056534708105</v>
      </c>
      <c r="BY21" s="173">
        <f t="shared" si="106"/>
        <v>0.89913586945994939</v>
      </c>
      <c r="BZ21" s="5">
        <f t="shared" si="107"/>
        <v>2.88</v>
      </c>
      <c r="CA21" s="173">
        <f t="shared" si="108"/>
        <v>0.76207897770332378</v>
      </c>
      <c r="CB21" s="5">
        <f t="shared" si="109"/>
        <v>76.20789777033238</v>
      </c>
      <c r="CC21">
        <f t="shared" si="110"/>
        <v>16</v>
      </c>
      <c r="CE21" s="562">
        <f t="shared" si="44"/>
        <v>-50</v>
      </c>
      <c r="CF21">
        <f t="shared" si="45"/>
        <v>-50</v>
      </c>
      <c r="CG21" s="173">
        <f t="shared" si="46"/>
        <v>0.28627123416821876</v>
      </c>
      <c r="CH21" s="173">
        <f t="shared" si="47"/>
        <v>0.10119583317019214</v>
      </c>
      <c r="CI21" s="189">
        <v>16</v>
      </c>
      <c r="CJ21" s="329">
        <f t="shared" si="133"/>
        <v>0.16</v>
      </c>
      <c r="CK21" s="217">
        <f t="shared" si="111"/>
        <v>0.04</v>
      </c>
      <c r="CL21" s="217">
        <f t="shared" si="48"/>
        <v>2.56</v>
      </c>
      <c r="CM21" s="217">
        <f t="shared" si="134"/>
        <v>0.32</v>
      </c>
      <c r="CN21" s="541">
        <f t="shared" si="112"/>
        <v>24</v>
      </c>
      <c r="CO21" s="443">
        <f t="shared" si="49"/>
        <v>16.7</v>
      </c>
      <c r="CP21" s="443">
        <f t="shared" si="50"/>
        <v>40.700000000000003</v>
      </c>
      <c r="CQ21" s="535"/>
      <c r="CR21" s="329">
        <f t="shared" si="113"/>
        <v>0.40594059405940591</v>
      </c>
      <c r="CS21" s="172">
        <f t="shared" si="114"/>
        <v>21.650165016501649</v>
      </c>
      <c r="CT21" s="172">
        <f t="shared" si="51"/>
        <v>3.0445544554455446</v>
      </c>
      <c r="CU21" s="329">
        <f t="shared" si="52"/>
        <v>1.3531353135313531</v>
      </c>
      <c r="CV21" s="217">
        <f t="shared" si="53"/>
        <v>2.7062706270627062</v>
      </c>
      <c r="CW21" s="443">
        <f t="shared" si="54"/>
        <v>16</v>
      </c>
      <c r="CX21" s="217">
        <f t="shared" si="55"/>
        <v>0.59121951219512192</v>
      </c>
      <c r="CY21" s="329">
        <f t="shared" si="56"/>
        <v>0.29560975609756102</v>
      </c>
      <c r="CZ21" s="217">
        <f t="shared" si="57"/>
        <v>0.42482839199649486</v>
      </c>
      <c r="DA21" s="537">
        <f t="shared" si="58"/>
        <v>350</v>
      </c>
      <c r="DB21" s="535">
        <f t="shared" si="115"/>
        <v>350</v>
      </c>
      <c r="DD21" s="329">
        <f t="shared" si="59"/>
        <v>2.344682344682345</v>
      </c>
      <c r="DE21" s="173">
        <f t="shared" si="60"/>
        <v>1.6848016848016851</v>
      </c>
      <c r="DF21" s="173">
        <f t="shared" si="61"/>
        <v>0.69130683381297664</v>
      </c>
      <c r="DG21" s="538"/>
      <c r="DH21" s="173">
        <f t="shared" si="62"/>
        <v>0.71856287425149712</v>
      </c>
      <c r="DI21" s="545">
        <f t="shared" si="63"/>
        <v>445.33333333333331</v>
      </c>
      <c r="DJ21" s="528">
        <f t="shared" si="64"/>
        <v>0.125748502994012</v>
      </c>
      <c r="DK21"/>
      <c r="DL21" s="173">
        <f t="shared" si="65"/>
        <v>1.1710800875382397</v>
      </c>
      <c r="DM21" s="173">
        <f t="shared" si="66"/>
        <v>1.1710800875382397</v>
      </c>
      <c r="DN21" s="173">
        <f t="shared" si="67"/>
        <v>1.3267259907690663</v>
      </c>
      <c r="DP21" s="545">
        <f t="shared" si="68"/>
        <v>160</v>
      </c>
      <c r="DQ21" s="460">
        <f t="shared" si="69"/>
        <v>350</v>
      </c>
      <c r="DS21">
        <f t="shared" si="116"/>
        <v>160</v>
      </c>
      <c r="DT21" s="460">
        <f t="shared" si="70"/>
        <v>350</v>
      </c>
      <c r="DU21" s="460"/>
      <c r="DV21" s="5">
        <f t="shared" si="117"/>
        <v>2.8571428571428572</v>
      </c>
      <c r="DW21" s="5">
        <f t="shared" si="71"/>
        <v>0.58554004376911983</v>
      </c>
      <c r="DX21" s="5">
        <f t="shared" si="118"/>
        <v>2.2716028133737374</v>
      </c>
      <c r="DY21" s="173">
        <f t="shared" si="119"/>
        <v>0.20493901531919193</v>
      </c>
      <c r="EA21" s="5">
        <f t="shared" si="72"/>
        <v>0.58554004376911994</v>
      </c>
      <c r="EB21" s="5">
        <f t="shared" si="73"/>
        <v>0.29277002188455997</v>
      </c>
      <c r="EC21" s="5">
        <f t="shared" si="74"/>
        <v>0.20192025007766554</v>
      </c>
      <c r="ED21" s="5"/>
      <c r="EE21" s="173">
        <f t="shared" si="120"/>
        <v>0.30608235330227573</v>
      </c>
      <c r="EF21" s="173">
        <f t="shared" si="75"/>
        <v>0.60287349430854731</v>
      </c>
      <c r="EG21" s="173">
        <f t="shared" si="76"/>
        <v>0.14805863757283441</v>
      </c>
      <c r="EH21" s="173"/>
      <c r="EI21" s="528">
        <f t="shared" si="77"/>
        <v>1.873728140061183E-3</v>
      </c>
      <c r="EJ21" s="528">
        <f t="shared" si="78"/>
        <v>0.31695868109266229</v>
      </c>
      <c r="EK21" s="528">
        <f t="shared" si="79"/>
        <v>4.0250000000000001E-2</v>
      </c>
      <c r="EL21" s="528">
        <f t="shared" si="80"/>
        <v>0.28553746375000005</v>
      </c>
      <c r="EM21">
        <f t="shared" si="81"/>
        <v>1.0800000000000001E-2</v>
      </c>
      <c r="EN21" s="460">
        <f t="shared" si="121"/>
        <v>51.05</v>
      </c>
      <c r="EO21">
        <f t="shared" si="82"/>
        <v>0.65621792636166576</v>
      </c>
      <c r="EP21" s="460">
        <f t="shared" si="122"/>
        <v>656.21792636166572</v>
      </c>
      <c r="EQ21" s="173">
        <f t="shared" si="83"/>
        <v>9.9399999999999988E-2</v>
      </c>
      <c r="ER21" s="173">
        <f t="shared" si="84"/>
        <v>1.7749999999999998E-2</v>
      </c>
      <c r="ES21" s="528"/>
      <c r="EU21" s="460">
        <f t="shared" si="123"/>
        <v>117.14999999999999</v>
      </c>
      <c r="EV21" s="528">
        <f t="shared" si="85"/>
        <v>2.8105922100917745E-3</v>
      </c>
      <c r="EW21" s="528">
        <f t="shared" si="124"/>
        <v>1.0903693504193941E-2</v>
      </c>
      <c r="EX21" s="528">
        <f t="shared" si="86"/>
        <v>1.0960680079961967E-4</v>
      </c>
      <c r="EY21" s="528">
        <f t="shared" si="87"/>
        <v>0.17006173538407826</v>
      </c>
      <c r="EZ21" s="528">
        <f t="shared" si="88"/>
        <v>0.18741062164596961</v>
      </c>
      <c r="FA21" s="625">
        <f t="shared" si="89"/>
        <v>2.3999999999999989E-3</v>
      </c>
      <c r="FB21" s="460">
        <f t="shared" si="125"/>
        <v>189.8106216459696</v>
      </c>
      <c r="FC21" s="173">
        <f t="shared" si="126"/>
        <v>0.96317854800763536</v>
      </c>
      <c r="FD21" s="5">
        <f t="shared" si="127"/>
        <v>2.88</v>
      </c>
      <c r="FE21" s="173">
        <f t="shared" si="128"/>
        <v>0.74937970329092241</v>
      </c>
      <c r="FF21" s="5">
        <f t="shared" si="129"/>
        <v>74.937970329092238</v>
      </c>
      <c r="FG21">
        <f t="shared" si="130"/>
        <v>16</v>
      </c>
      <c r="FI21" s="562">
        <f t="shared" si="90"/>
        <v>-50</v>
      </c>
      <c r="FJ21">
        <f t="shared" si="91"/>
        <v>-50</v>
      </c>
      <c r="FL21">
        <f t="shared" si="92"/>
        <v>0.28627123416821876</v>
      </c>
    </row>
    <row r="22" spans="5:168">
      <c r="E22" s="170">
        <v>17</v>
      </c>
      <c r="F22" s="217">
        <f t="shared" si="131"/>
        <v>0.17</v>
      </c>
      <c r="G22" s="217">
        <f t="shared" si="93"/>
        <v>4.2500000000000003E-2</v>
      </c>
      <c r="H22" s="217">
        <f t="shared" si="0"/>
        <v>2.72</v>
      </c>
      <c r="I22" s="217">
        <f t="shared" si="132"/>
        <v>0.34</v>
      </c>
      <c r="J22" s="541">
        <f t="shared" si="1"/>
        <v>23.960825473642714</v>
      </c>
      <c r="K22" s="443">
        <f t="shared" si="2"/>
        <v>16.717283352849325</v>
      </c>
      <c r="L22" s="172">
        <f t="shared" si="3"/>
        <v>40.678108826492036</v>
      </c>
      <c r="M22" s="443"/>
      <c r="N22" s="217">
        <f t="shared" si="4"/>
        <v>0.41096510715763718</v>
      </c>
      <c r="O22" s="172">
        <f t="shared" si="94"/>
        <v>21.882362685246715</v>
      </c>
      <c r="P22" s="172">
        <f t="shared" si="5"/>
        <v>3.0772072526128191</v>
      </c>
      <c r="Q22" s="217">
        <f t="shared" si="6"/>
        <v>1.3676476678279197</v>
      </c>
      <c r="R22" s="217">
        <f t="shared" si="7"/>
        <v>2.7352953356558394</v>
      </c>
      <c r="S22" s="443">
        <f t="shared" si="8"/>
        <v>16</v>
      </c>
      <c r="T22" s="217">
        <f t="shared" si="9"/>
        <v>0.62150509959188471</v>
      </c>
      <c r="U22" s="217">
        <f t="shared" si="10"/>
        <v>0.31126061175590969</v>
      </c>
      <c r="V22" s="217">
        <f t="shared" si="11"/>
        <v>0.44612877808471502</v>
      </c>
      <c r="W22" s="197">
        <f t="shared" si="12"/>
        <v>350</v>
      </c>
      <c r="X22" s="443">
        <f t="shared" si="95"/>
        <v>350</v>
      </c>
      <c r="Z22" s="217">
        <f t="shared" si="13"/>
        <v>2.3445388591335758</v>
      </c>
      <c r="AA22" s="173">
        <f t="shared" si="14"/>
        <v>1.6829568366924654</v>
      </c>
      <c r="AB22" s="173">
        <f t="shared" si="15"/>
        <v>0.6905075978272508</v>
      </c>
      <c r="AC22" s="173"/>
      <c r="AD22" s="173">
        <f t="shared" si="16"/>
        <v>0.71781997988056467</v>
      </c>
      <c r="AE22" s="545">
        <f t="shared" si="17"/>
        <v>473.65636166406421</v>
      </c>
      <c r="AF22" s="528">
        <f t="shared" si="18"/>
        <v>0.12561849647909881</v>
      </c>
      <c r="AH22" s="173">
        <f t="shared" si="19"/>
        <v>1.2071217242444348</v>
      </c>
      <c r="AI22" s="173">
        <f t="shared" si="20"/>
        <v>1.2071217242444348</v>
      </c>
      <c r="AJ22" s="173">
        <f t="shared" si="21"/>
        <v>1.353423499440322</v>
      </c>
      <c r="AL22" s="545">
        <f t="shared" si="22"/>
        <v>170</v>
      </c>
      <c r="AM22" s="460">
        <f t="shared" si="23"/>
        <v>350</v>
      </c>
      <c r="AO22">
        <f t="shared" si="96"/>
        <v>170</v>
      </c>
      <c r="AP22" s="460">
        <f t="shared" si="24"/>
        <v>350</v>
      </c>
      <c r="AQ22" s="460"/>
      <c r="AR22" s="5">
        <f t="shared" si="97"/>
        <v>2.8571428571428572</v>
      </c>
      <c r="AS22" s="5">
        <f t="shared" si="25"/>
        <v>0.60454764827979124</v>
      </c>
      <c r="AT22" s="5">
        <f t="shared" si="98"/>
        <v>2.2525952088630659</v>
      </c>
      <c r="AU22" s="173">
        <f t="shared" si="99"/>
        <v>0.21159167689792693</v>
      </c>
      <c r="AW22" s="5">
        <f t="shared" si="26"/>
        <v>0.64233187629727828</v>
      </c>
      <c r="AX22" s="5">
        <f t="shared" si="27"/>
        <v>0.32116593814863914</v>
      </c>
      <c r="AY22" s="5">
        <f t="shared" si="28"/>
        <v>0.2130929286655629</v>
      </c>
      <c r="AZ22" s="5"/>
      <c r="BA22" s="173">
        <f t="shared" si="100"/>
        <v>0.320582439019302</v>
      </c>
      <c r="BB22" s="173">
        <f t="shared" si="29"/>
        <v>0.61882241839377572</v>
      </c>
      <c r="BC22" s="173">
        <f t="shared" si="30"/>
        <v>0.1519755056937655</v>
      </c>
      <c r="BD22" s="173"/>
      <c r="BE22" s="528">
        <f t="shared" si="31"/>
        <v>2.0554620041512896E-3</v>
      </c>
      <c r="BF22" s="528">
        <f t="shared" si="32"/>
        <v>0.31364815187926159</v>
      </c>
      <c r="BG22" s="528">
        <f t="shared" si="33"/>
        <v>0.19288464506282385</v>
      </c>
      <c r="BH22" s="528">
        <f t="shared" si="34"/>
        <v>0.28523038418602531</v>
      </c>
      <c r="BI22">
        <f t="shared" si="35"/>
        <v>1.078237146313922E-2</v>
      </c>
      <c r="BJ22" s="460">
        <f t="shared" si="101"/>
        <v>203.66701652596308</v>
      </c>
      <c r="BK22">
        <f t="shared" si="36"/>
        <v>0.60178287018804133</v>
      </c>
      <c r="BL22" s="460">
        <f t="shared" si="102"/>
        <v>601.78287018804133</v>
      </c>
      <c r="BM22" s="173">
        <f t="shared" si="37"/>
        <v>0.10561249999999998</v>
      </c>
      <c r="BN22" s="173">
        <f t="shared" si="38"/>
        <v>1.8859375000000001E-2</v>
      </c>
      <c r="BO22" s="528"/>
      <c r="BQ22" s="460">
        <f t="shared" si="103"/>
        <v>124.47187499999998</v>
      </c>
      <c r="BR22" s="528">
        <f t="shared" si="39"/>
        <v>3.0831930062269345E-3</v>
      </c>
      <c r="BS22" s="528">
        <f t="shared" si="104"/>
        <v>1.1488235565201635E-2</v>
      </c>
      <c r="BT22" s="528">
        <f t="shared" si="40"/>
        <v>1.1548277165437874E-4</v>
      </c>
      <c r="BU22" s="528">
        <f t="shared" si="41"/>
        <v>0.18345002695153451</v>
      </c>
      <c r="BV22" s="528">
        <f t="shared" si="42"/>
        <v>0.20189901885617303</v>
      </c>
      <c r="BW22" s="625">
        <f t="shared" si="43"/>
        <v>2.5500000000000006E-3</v>
      </c>
      <c r="BX22" s="460">
        <f t="shared" si="105"/>
        <v>204.44901885617304</v>
      </c>
      <c r="BY22" s="173">
        <f t="shared" si="106"/>
        <v>0.9307037640442144</v>
      </c>
      <c r="BZ22" s="5">
        <f t="shared" si="107"/>
        <v>3.06</v>
      </c>
      <c r="CA22" s="173">
        <f t="shared" si="108"/>
        <v>0.76678204670821493</v>
      </c>
      <c r="CB22" s="5">
        <f t="shared" si="109"/>
        <v>76.678204670821486</v>
      </c>
      <c r="CC22">
        <f t="shared" si="110"/>
        <v>17</v>
      </c>
      <c r="CE22" s="562">
        <f t="shared" si="44"/>
        <v>-50</v>
      </c>
      <c r="CF22">
        <f t="shared" si="45"/>
        <v>-50</v>
      </c>
      <c r="CG22" s="173">
        <f t="shared" si="46"/>
        <v>0.29508163401287335</v>
      </c>
      <c r="CH22" s="173">
        <f t="shared" si="47"/>
        <v>0.10431027725827137</v>
      </c>
      <c r="CI22" s="170">
        <v>17</v>
      </c>
      <c r="CJ22" s="217">
        <f t="shared" si="133"/>
        <v>0.17</v>
      </c>
      <c r="CK22" s="217">
        <f t="shared" si="111"/>
        <v>4.2500000000000003E-2</v>
      </c>
      <c r="CL22" s="217">
        <f t="shared" si="48"/>
        <v>2.72</v>
      </c>
      <c r="CM22" s="217">
        <f t="shared" si="134"/>
        <v>0.34</v>
      </c>
      <c r="CN22" s="541">
        <f t="shared" si="112"/>
        <v>24</v>
      </c>
      <c r="CO22" s="443">
        <f t="shared" si="49"/>
        <v>16.7</v>
      </c>
      <c r="CP22" s="443">
        <f t="shared" si="50"/>
        <v>40.700000000000003</v>
      </c>
      <c r="CQ22" s="443"/>
      <c r="CR22" s="217">
        <f t="shared" si="113"/>
        <v>0.40594059405940591</v>
      </c>
      <c r="CS22" s="172">
        <f t="shared" si="114"/>
        <v>21.650165016501649</v>
      </c>
      <c r="CT22" s="172">
        <f t="shared" si="51"/>
        <v>3.0445544554455446</v>
      </c>
      <c r="CU22" s="217">
        <f t="shared" si="52"/>
        <v>1.3531353135313531</v>
      </c>
      <c r="CV22" s="217">
        <f t="shared" si="53"/>
        <v>2.7062706270627062</v>
      </c>
      <c r="CW22" s="443">
        <f t="shared" si="54"/>
        <v>16</v>
      </c>
      <c r="CX22" s="217">
        <f t="shared" si="55"/>
        <v>0.62817073170731708</v>
      </c>
      <c r="CY22" s="217">
        <f t="shared" si="56"/>
        <v>0.31408536585365854</v>
      </c>
      <c r="CZ22" s="217">
        <f t="shared" si="57"/>
        <v>0.45138016649627577</v>
      </c>
      <c r="DA22" s="197">
        <f t="shared" si="58"/>
        <v>350</v>
      </c>
      <c r="DB22" s="443">
        <f t="shared" si="115"/>
        <v>350</v>
      </c>
      <c r="DD22" s="217">
        <f t="shared" si="59"/>
        <v>2.344682344682345</v>
      </c>
      <c r="DE22" s="173">
        <f t="shared" si="60"/>
        <v>1.6848016848016851</v>
      </c>
      <c r="DF22" s="173">
        <f t="shared" si="61"/>
        <v>0.69130683381297664</v>
      </c>
      <c r="DG22" s="173"/>
      <c r="DH22" s="173">
        <f t="shared" si="62"/>
        <v>0.71856287425149712</v>
      </c>
      <c r="DI22" s="545">
        <f t="shared" si="63"/>
        <v>473.16666666666663</v>
      </c>
      <c r="DJ22" s="528">
        <f t="shared" si="64"/>
        <v>0.125748502994012</v>
      </c>
      <c r="DL22" s="173">
        <f t="shared" si="65"/>
        <v>1.2071217242444348</v>
      </c>
      <c r="DM22" s="173">
        <f t="shared" si="66"/>
        <v>1.2071217242444348</v>
      </c>
      <c r="DN22" s="173">
        <f t="shared" si="67"/>
        <v>1.353423499440322</v>
      </c>
      <c r="DP22" s="545">
        <f t="shared" si="68"/>
        <v>170</v>
      </c>
      <c r="DQ22" s="460">
        <f t="shared" si="69"/>
        <v>350</v>
      </c>
      <c r="DS22">
        <f t="shared" si="116"/>
        <v>170</v>
      </c>
      <c r="DT22" s="460">
        <f t="shared" si="70"/>
        <v>350</v>
      </c>
      <c r="DU22" s="460"/>
      <c r="DV22" s="5">
        <f t="shared" si="117"/>
        <v>2.8571428571428572</v>
      </c>
      <c r="DW22" s="5">
        <f t="shared" si="71"/>
        <v>0.60356086212221738</v>
      </c>
      <c r="DX22" s="5">
        <f t="shared" si="118"/>
        <v>2.2535819950206397</v>
      </c>
      <c r="DY22" s="173">
        <f t="shared" si="119"/>
        <v>0.21124630174277609</v>
      </c>
      <c r="EA22" s="5">
        <f t="shared" si="72"/>
        <v>0.64128341600485606</v>
      </c>
      <c r="EB22" s="5">
        <f t="shared" si="73"/>
        <v>0.32064170800242803</v>
      </c>
      <c r="EC22" s="5">
        <f t="shared" si="74"/>
        <v>0.21283829952972708</v>
      </c>
      <c r="ED22" s="5"/>
      <c r="EE22" s="173">
        <f t="shared" si="120"/>
        <v>0.32032069330715579</v>
      </c>
      <c r="EF22" s="173">
        <f t="shared" si="75"/>
        <v>0.61895794619142641</v>
      </c>
      <c r="EG22" s="173">
        <f t="shared" si="76"/>
        <v>0.15200878972642384</v>
      </c>
      <c r="EH22" s="173"/>
      <c r="EI22" s="528">
        <f t="shared" si="77"/>
        <v>2.0521069312155393E-3</v>
      </c>
      <c r="EJ22" s="528">
        <f t="shared" si="78"/>
        <v>0.32671353027537758</v>
      </c>
      <c r="EK22" s="528">
        <f t="shared" si="79"/>
        <v>4.0250000000000001E-2</v>
      </c>
      <c r="EL22" s="528">
        <f t="shared" si="80"/>
        <v>0.28553746375000005</v>
      </c>
      <c r="EM22">
        <f t="shared" si="81"/>
        <v>1.0800000000000001E-2</v>
      </c>
      <c r="EN22" s="460">
        <f t="shared" si="121"/>
        <v>51.05</v>
      </c>
      <c r="EO22">
        <f t="shared" si="82"/>
        <v>0.66623201163656265</v>
      </c>
      <c r="EP22" s="460">
        <f t="shared" si="122"/>
        <v>666.23201163656267</v>
      </c>
      <c r="EQ22" s="173">
        <f t="shared" si="83"/>
        <v>0.10561249999999998</v>
      </c>
      <c r="ER22" s="173">
        <f t="shared" si="84"/>
        <v>1.8859375000000001E-2</v>
      </c>
      <c r="ES22" s="528"/>
      <c r="EU22" s="460">
        <f t="shared" si="123"/>
        <v>124.47187499999998</v>
      </c>
      <c r="EV22" s="528">
        <f t="shared" si="85"/>
        <v>3.0781603968233089E-3</v>
      </c>
      <c r="EW22" s="528">
        <f t="shared" si="124"/>
        <v>1.149326817460526E-2</v>
      </c>
      <c r="EX22" s="528">
        <f t="shared" si="86"/>
        <v>1.155333607704607E-4</v>
      </c>
      <c r="EY22" s="528">
        <f t="shared" si="87"/>
        <v>0.18345002695153451</v>
      </c>
      <c r="EZ22" s="528">
        <f t="shared" si="88"/>
        <v>0.20189908247854196</v>
      </c>
      <c r="FA22" s="625">
        <f t="shared" si="89"/>
        <v>2.5500000000000006E-3</v>
      </c>
      <c r="FB22" s="460">
        <f t="shared" si="125"/>
        <v>204.44908247854195</v>
      </c>
      <c r="FC22" s="173">
        <f t="shared" si="126"/>
        <v>0.99515296911510465</v>
      </c>
      <c r="FD22" s="5">
        <f t="shared" si="127"/>
        <v>3.06</v>
      </c>
      <c r="FE22" s="173">
        <f t="shared" si="128"/>
        <v>0.75459545504339831</v>
      </c>
      <c r="FF22" s="5">
        <f t="shared" si="129"/>
        <v>75.459545504339829</v>
      </c>
      <c r="FG22">
        <f t="shared" si="130"/>
        <v>17</v>
      </c>
      <c r="FI22" s="562">
        <f t="shared" si="90"/>
        <v>-50</v>
      </c>
      <c r="FJ22">
        <f t="shared" si="91"/>
        <v>-50</v>
      </c>
      <c r="FL22">
        <f t="shared" si="92"/>
        <v>0.29508163401287335</v>
      </c>
    </row>
    <row r="23" spans="5:168">
      <c r="E23" s="170">
        <v>18</v>
      </c>
      <c r="F23" s="217">
        <f t="shared" si="131"/>
        <v>0.18</v>
      </c>
      <c r="G23" s="217">
        <f t="shared" si="93"/>
        <v>4.4999999999999998E-2</v>
      </c>
      <c r="H23" s="217">
        <f t="shared" si="0"/>
        <v>2.88</v>
      </c>
      <c r="I23" s="217">
        <f t="shared" si="132"/>
        <v>0.36</v>
      </c>
      <c r="J23" s="541">
        <f t="shared" si="1"/>
        <v>23.959689744936583</v>
      </c>
      <c r="K23" s="443">
        <f t="shared" si="2"/>
        <v>16.717784423361067</v>
      </c>
      <c r="L23" s="172">
        <f t="shared" si="3"/>
        <v>40.67747416829765</v>
      </c>
      <c r="M23" s="443"/>
      <c r="N23" s="217">
        <f t="shared" si="4"/>
        <v>0.41098383725089355</v>
      </c>
      <c r="O23" s="172">
        <f t="shared" si="94"/>
        <v>21.882322734922042</v>
      </c>
      <c r="P23" s="172">
        <f t="shared" si="5"/>
        <v>3.0772016345984121</v>
      </c>
      <c r="Q23" s="217">
        <f t="shared" si="6"/>
        <v>1.3676451709326276</v>
      </c>
      <c r="R23" s="217">
        <f t="shared" si="7"/>
        <v>2.7352903418652552</v>
      </c>
      <c r="S23" s="443">
        <f t="shared" si="8"/>
        <v>16</v>
      </c>
      <c r="T23" s="217">
        <f t="shared" si="9"/>
        <v>0.65806542451816652</v>
      </c>
      <c r="U23" s="217">
        <f t="shared" si="10"/>
        <v>0.32958628339028606</v>
      </c>
      <c r="V23" s="217">
        <f t="shared" si="11"/>
        <v>0.47235835169540785</v>
      </c>
      <c r="W23" s="197">
        <f t="shared" si="12"/>
        <v>350</v>
      </c>
      <c r="X23" s="443">
        <f t="shared" si="95"/>
        <v>350</v>
      </c>
      <c r="Z23" s="217">
        <f t="shared" si="13"/>
        <v>2.3445345787416474</v>
      </c>
      <c r="AA23" s="173">
        <f t="shared" si="14"/>
        <v>1.6829033221403042</v>
      </c>
      <c r="AB23" s="173">
        <f t="shared" si="15"/>
        <v>0.69048438050149896</v>
      </c>
      <c r="AC23" s="173"/>
      <c r="AD23" s="173">
        <f t="shared" si="16"/>
        <v>0.71779846516213375</v>
      </c>
      <c r="AE23" s="545">
        <f t="shared" si="17"/>
        <v>501.53353270083193</v>
      </c>
      <c r="AF23" s="528">
        <f t="shared" si="18"/>
        <v>0.1256147314033734</v>
      </c>
      <c r="AH23" s="173">
        <f t="shared" si="19"/>
        <v>1.2421180068162376</v>
      </c>
      <c r="AI23" s="173">
        <f t="shared" si="20"/>
        <v>1.2421180068162376</v>
      </c>
      <c r="AJ23" s="173">
        <f t="shared" si="21"/>
        <v>1.3793466717157314</v>
      </c>
      <c r="AL23" s="545">
        <f t="shared" si="22"/>
        <v>180</v>
      </c>
      <c r="AM23" s="460">
        <f t="shared" si="23"/>
        <v>350</v>
      </c>
      <c r="AO23">
        <f t="shared" si="96"/>
        <v>180</v>
      </c>
      <c r="AP23" s="460">
        <f t="shared" si="24"/>
        <v>350</v>
      </c>
      <c r="AQ23" s="460"/>
      <c r="AR23" s="5">
        <f t="shared" si="97"/>
        <v>2.8571428571428572</v>
      </c>
      <c r="AS23" s="5">
        <f t="shared" si="25"/>
        <v>0.62210388533703043</v>
      </c>
      <c r="AT23" s="5">
        <f t="shared" si="98"/>
        <v>2.2350389718058268</v>
      </c>
      <c r="AU23" s="173">
        <f t="shared" si="99"/>
        <v>0.21773635986796064</v>
      </c>
      <c r="AW23" s="5">
        <f t="shared" si="26"/>
        <v>0.69986687100415912</v>
      </c>
      <c r="AX23" s="5">
        <f t="shared" si="27"/>
        <v>0.34993343550207956</v>
      </c>
      <c r="AY23" s="5">
        <f t="shared" si="28"/>
        <v>0.22387992454984024</v>
      </c>
      <c r="AZ23" s="5"/>
      <c r="BA23" s="173">
        <f t="shared" si="100"/>
        <v>0.33463218518347199</v>
      </c>
      <c r="BB23" s="173">
        <f t="shared" si="29"/>
        <v>0.63427676524136423</v>
      </c>
      <c r="BC23" s="173">
        <f t="shared" si="30"/>
        <v>0.15577091146368799</v>
      </c>
      <c r="BD23" s="173"/>
      <c r="BE23" s="528">
        <f t="shared" si="31"/>
        <v>2.2395739872133097E-3</v>
      </c>
      <c r="BF23" s="528">
        <f t="shared" si="32"/>
        <v>0.32273625028276415</v>
      </c>
      <c r="BG23" s="528">
        <f t="shared" si="33"/>
        <v>0.19287550244673951</v>
      </c>
      <c r="BH23" s="528">
        <f t="shared" si="34"/>
        <v>0.28522148394982111</v>
      </c>
      <c r="BI23">
        <f t="shared" si="35"/>
        <v>1.0781860385221461E-2</v>
      </c>
      <c r="BJ23" s="460">
        <f t="shared" si="101"/>
        <v>203.65736283196097</v>
      </c>
      <c r="BK23">
        <f t="shared" si="36"/>
        <v>0.61112718789411202</v>
      </c>
      <c r="BL23" s="460">
        <f t="shared" si="102"/>
        <v>611.12718789411201</v>
      </c>
      <c r="BM23" s="173">
        <f t="shared" si="37"/>
        <v>0.11182499999999999</v>
      </c>
      <c r="BN23" s="173">
        <f t="shared" si="38"/>
        <v>1.9968749999999997E-2</v>
      </c>
      <c r="BO23" s="528"/>
      <c r="BQ23" s="460">
        <f t="shared" si="103"/>
        <v>131.79374999999999</v>
      </c>
      <c r="BR23" s="528">
        <f t="shared" si="39"/>
        <v>3.3593609808199643E-3</v>
      </c>
      <c r="BS23" s="528">
        <f t="shared" si="104"/>
        <v>1.206921044775146E-2</v>
      </c>
      <c r="BT23" s="528">
        <f t="shared" si="40"/>
        <v>1.2132288429114063E-4</v>
      </c>
      <c r="BU23" s="528">
        <f t="shared" si="41"/>
        <v>0.19703676092622247</v>
      </c>
      <c r="BV23" s="528">
        <f t="shared" si="42"/>
        <v>0.21658806359403723</v>
      </c>
      <c r="BW23" s="625">
        <f t="shared" si="43"/>
        <v>2.7000000000000001E-3</v>
      </c>
      <c r="BX23" s="460">
        <f t="shared" si="105"/>
        <v>219.28806359403725</v>
      </c>
      <c r="BY23" s="173">
        <f t="shared" si="106"/>
        <v>0.96220900148814925</v>
      </c>
      <c r="BZ23" s="5">
        <f t="shared" si="107"/>
        <v>3.2399999999999998</v>
      </c>
      <c r="CA23" s="173">
        <f t="shared" si="108"/>
        <v>0.77102304974659819</v>
      </c>
      <c r="CB23" s="5">
        <f t="shared" si="109"/>
        <v>77.102304974659816</v>
      </c>
      <c r="CC23">
        <f t="shared" si="110"/>
        <v>18</v>
      </c>
      <c r="CE23" s="562">
        <f t="shared" si="44"/>
        <v>-50</v>
      </c>
      <c r="CF23">
        <f t="shared" si="45"/>
        <v>-50</v>
      </c>
      <c r="CG23" s="173">
        <f t="shared" si="46"/>
        <v>0.30363649640848434</v>
      </c>
      <c r="CH23" s="173">
        <f t="shared" si="47"/>
        <v>0.10733438979369814</v>
      </c>
      <c r="CI23" s="170">
        <v>18</v>
      </c>
      <c r="CJ23" s="217">
        <f t="shared" si="133"/>
        <v>0.18</v>
      </c>
      <c r="CK23" s="217">
        <f t="shared" si="111"/>
        <v>4.4999999999999998E-2</v>
      </c>
      <c r="CL23" s="217">
        <f t="shared" si="48"/>
        <v>2.88</v>
      </c>
      <c r="CM23" s="217">
        <f t="shared" si="134"/>
        <v>0.36</v>
      </c>
      <c r="CN23" s="541">
        <f t="shared" si="112"/>
        <v>24</v>
      </c>
      <c r="CO23" s="443">
        <f t="shared" si="49"/>
        <v>16.7</v>
      </c>
      <c r="CP23" s="443">
        <f t="shared" si="50"/>
        <v>40.700000000000003</v>
      </c>
      <c r="CQ23" s="443"/>
      <c r="CR23" s="217">
        <f t="shared" si="113"/>
        <v>0.40594059405940591</v>
      </c>
      <c r="CS23" s="172">
        <f t="shared" si="114"/>
        <v>21.650165016501649</v>
      </c>
      <c r="CT23" s="172">
        <f t="shared" si="51"/>
        <v>3.0445544554455446</v>
      </c>
      <c r="CU23" s="217">
        <f t="shared" si="52"/>
        <v>1.3531353135313531</v>
      </c>
      <c r="CV23" s="217">
        <f t="shared" si="53"/>
        <v>2.7062706270627062</v>
      </c>
      <c r="CW23" s="443">
        <f t="shared" si="54"/>
        <v>16</v>
      </c>
      <c r="CX23" s="217">
        <f t="shared" si="55"/>
        <v>0.66512195121951212</v>
      </c>
      <c r="CY23" s="217">
        <f t="shared" si="56"/>
        <v>0.33256097560975612</v>
      </c>
      <c r="CZ23" s="217">
        <f t="shared" si="57"/>
        <v>0.47793194099605668</v>
      </c>
      <c r="DA23" s="197">
        <f t="shared" si="58"/>
        <v>350</v>
      </c>
      <c r="DB23" s="443">
        <f t="shared" si="115"/>
        <v>350</v>
      </c>
      <c r="DD23" s="217">
        <f t="shared" si="59"/>
        <v>2.344682344682345</v>
      </c>
      <c r="DE23" s="173">
        <f t="shared" si="60"/>
        <v>1.6848016848016851</v>
      </c>
      <c r="DF23" s="173">
        <f t="shared" si="61"/>
        <v>0.69130683381297664</v>
      </c>
      <c r="DG23" s="173"/>
      <c r="DH23" s="173">
        <f t="shared" si="62"/>
        <v>0.71856287425149712</v>
      </c>
      <c r="DI23" s="545">
        <f t="shared" si="63"/>
        <v>500.99999999999994</v>
      </c>
      <c r="DJ23" s="528">
        <f t="shared" si="64"/>
        <v>0.125748502994012</v>
      </c>
      <c r="DL23" s="173">
        <f t="shared" si="65"/>
        <v>1.2421180068162376</v>
      </c>
      <c r="DM23" s="173">
        <f t="shared" si="66"/>
        <v>1.2421180068162376</v>
      </c>
      <c r="DN23" s="173">
        <f t="shared" si="67"/>
        <v>1.3793466717157314</v>
      </c>
      <c r="DP23" s="545">
        <f t="shared" si="68"/>
        <v>180</v>
      </c>
      <c r="DQ23" s="460">
        <f t="shared" si="69"/>
        <v>350</v>
      </c>
      <c r="DS23">
        <f t="shared" si="116"/>
        <v>180</v>
      </c>
      <c r="DT23" s="460">
        <f t="shared" si="70"/>
        <v>350</v>
      </c>
      <c r="DU23" s="460"/>
      <c r="DV23" s="5">
        <f t="shared" si="117"/>
        <v>2.8571428571428572</v>
      </c>
      <c r="DW23" s="5">
        <f t="shared" si="71"/>
        <v>0.62105900340811881</v>
      </c>
      <c r="DX23" s="5">
        <f t="shared" si="118"/>
        <v>2.2360838537347383</v>
      </c>
      <c r="DY23" s="173">
        <f t="shared" si="119"/>
        <v>0.21737065119284157</v>
      </c>
      <c r="EA23" s="5">
        <f t="shared" si="72"/>
        <v>0.69869137883413368</v>
      </c>
      <c r="EB23" s="5">
        <f t="shared" si="73"/>
        <v>0.34934568941706684</v>
      </c>
      <c r="EC23" s="5">
        <f t="shared" si="74"/>
        <v>0.2236083853734738</v>
      </c>
      <c r="ED23" s="5"/>
      <c r="EE23" s="173">
        <f t="shared" si="120"/>
        <v>0.33435104398440479</v>
      </c>
      <c r="EF23" s="173">
        <f t="shared" si="75"/>
        <v>0.63442501028273857</v>
      </c>
      <c r="EG23" s="173">
        <f t="shared" si="76"/>
        <v>0.15580731870179021</v>
      </c>
      <c r="EH23" s="173"/>
      <c r="EI23" s="528">
        <f t="shared" si="77"/>
        <v>2.2358124122692277E-3</v>
      </c>
      <c r="EJ23" s="528">
        <f t="shared" si="78"/>
        <v>0.33618544913484888</v>
      </c>
      <c r="EK23" s="528">
        <f t="shared" si="79"/>
        <v>4.0250000000000001E-2</v>
      </c>
      <c r="EL23" s="528">
        <f t="shared" si="80"/>
        <v>0.28553746375000005</v>
      </c>
      <c r="EM23">
        <f t="shared" si="81"/>
        <v>1.0800000000000001E-2</v>
      </c>
      <c r="EN23" s="460">
        <f t="shared" si="121"/>
        <v>51.05</v>
      </c>
      <c r="EO23">
        <f t="shared" si="82"/>
        <v>0.6759714903269739</v>
      </c>
      <c r="EP23" s="460">
        <f t="shared" si="122"/>
        <v>675.97149032697394</v>
      </c>
      <c r="EQ23" s="173">
        <f t="shared" si="83"/>
        <v>0.11182499999999999</v>
      </c>
      <c r="ER23" s="173">
        <f t="shared" si="84"/>
        <v>1.9968749999999997E-2</v>
      </c>
      <c r="ES23" s="528"/>
      <c r="EU23" s="460">
        <f t="shared" si="123"/>
        <v>131.79374999999999</v>
      </c>
      <c r="EV23" s="528">
        <f t="shared" si="85"/>
        <v>3.3537186184038415E-3</v>
      </c>
      <c r="EW23" s="528">
        <f t="shared" si="124"/>
        <v>1.2074852810167588E-2</v>
      </c>
      <c r="EX23" s="528">
        <f t="shared" si="86"/>
        <v>1.2137960280520613E-4</v>
      </c>
      <c r="EY23" s="528">
        <f t="shared" si="87"/>
        <v>0.19703676092622247</v>
      </c>
      <c r="EZ23" s="528">
        <f t="shared" si="88"/>
        <v>0.21658813499658341</v>
      </c>
      <c r="FA23" s="625">
        <f t="shared" si="89"/>
        <v>2.7000000000000001E-3</v>
      </c>
      <c r="FB23" s="460">
        <f t="shared" si="125"/>
        <v>219.28813499658341</v>
      </c>
      <c r="FC23" s="173">
        <f t="shared" si="126"/>
        <v>1.0270533753235571</v>
      </c>
      <c r="FD23" s="5">
        <f t="shared" si="127"/>
        <v>3.2399999999999998</v>
      </c>
      <c r="FE23" s="173">
        <f t="shared" si="128"/>
        <v>0.75930618040472042</v>
      </c>
      <c r="FF23" s="5">
        <f t="shared" si="129"/>
        <v>75.930618040472041</v>
      </c>
      <c r="FG23">
        <f t="shared" si="130"/>
        <v>18</v>
      </c>
      <c r="FI23" s="562">
        <f t="shared" si="90"/>
        <v>-50</v>
      </c>
      <c r="FJ23">
        <f t="shared" si="91"/>
        <v>-50</v>
      </c>
      <c r="FL23">
        <f t="shared" si="92"/>
        <v>0.30363649640848434</v>
      </c>
    </row>
    <row r="24" spans="5:168">
      <c r="E24" s="170">
        <v>19</v>
      </c>
      <c r="F24" s="217">
        <f t="shared" si="131"/>
        <v>0.19</v>
      </c>
      <c r="G24" s="217">
        <f t="shared" si="93"/>
        <v>4.7500000000000001E-2</v>
      </c>
      <c r="H24" s="217">
        <f t="shared" si="0"/>
        <v>3.04</v>
      </c>
      <c r="I24" s="217">
        <f t="shared" si="132"/>
        <v>0.38</v>
      </c>
      <c r="J24" s="541">
        <f t="shared" si="1"/>
        <v>23.958585149870636</v>
      </c>
      <c r="K24" s="443">
        <f t="shared" si="2"/>
        <v>16.718271758066948</v>
      </c>
      <c r="L24" s="172">
        <f t="shared" si="3"/>
        <v>40.676856907937584</v>
      </c>
      <c r="M24" s="443"/>
      <c r="N24" s="217">
        <f t="shared" si="4"/>
        <v>0.41100205445825844</v>
      </c>
      <c r="O24" s="172">
        <f t="shared" si="94"/>
        <v>21.882283818911006</v>
      </c>
      <c r="P24" s="172">
        <f t="shared" si="5"/>
        <v>3.07719616203436</v>
      </c>
      <c r="Q24" s="217">
        <f t="shared" si="6"/>
        <v>1.3676427386819379</v>
      </c>
      <c r="R24" s="217">
        <f t="shared" si="7"/>
        <v>2.7352854773638757</v>
      </c>
      <c r="S24" s="443">
        <f t="shared" si="8"/>
        <v>16</v>
      </c>
      <c r="T24" s="217">
        <f t="shared" si="9"/>
        <v>0.6946258501072875</v>
      </c>
      <c r="U24" s="217">
        <f t="shared" si="10"/>
        <v>0.34791329075341737</v>
      </c>
      <c r="V24" s="217">
        <f t="shared" si="11"/>
        <v>0.49858683492600697</v>
      </c>
      <c r="W24" s="197">
        <f t="shared" si="12"/>
        <v>350</v>
      </c>
      <c r="X24" s="443">
        <f t="shared" si="95"/>
        <v>350</v>
      </c>
      <c r="Z24" s="217">
        <f t="shared" si="13"/>
        <v>2.3445304091690358</v>
      </c>
      <c r="AA24" s="173">
        <f t="shared" si="14"/>
        <v>1.6828512729764042</v>
      </c>
      <c r="AB24" s="173">
        <f t="shared" si="15"/>
        <v>0.69046179713035027</v>
      </c>
      <c r="AC24" s="173"/>
      <c r="AD24" s="173">
        <f t="shared" si="16"/>
        <v>0.71777754146206685</v>
      </c>
      <c r="AE24" s="545">
        <f t="shared" si="17"/>
        <v>529.41193900545341</v>
      </c>
      <c r="AF24" s="528">
        <f t="shared" si="18"/>
        <v>0.1256110697558617</v>
      </c>
      <c r="AH24" s="173">
        <f t="shared" si="19"/>
        <v>1.2761549390929883</v>
      </c>
      <c r="AI24" s="173">
        <f t="shared" si="20"/>
        <v>1.2761549390929883</v>
      </c>
      <c r="AJ24" s="173">
        <f t="shared" si="21"/>
        <v>1.4045592141429544</v>
      </c>
      <c r="AL24" s="545">
        <f t="shared" si="22"/>
        <v>190</v>
      </c>
      <c r="AM24" s="460">
        <f t="shared" si="23"/>
        <v>350</v>
      </c>
      <c r="AO24">
        <f t="shared" si="96"/>
        <v>190</v>
      </c>
      <c r="AP24" s="460">
        <f t="shared" si="24"/>
        <v>350</v>
      </c>
      <c r="AQ24" s="460"/>
      <c r="AR24" s="5">
        <f t="shared" si="97"/>
        <v>2.8571428571428572</v>
      </c>
      <c r="AS24" s="5">
        <f t="shared" si="25"/>
        <v>0.63918045132137302</v>
      </c>
      <c r="AT24" s="5">
        <f t="shared" si="98"/>
        <v>2.217962405821484</v>
      </c>
      <c r="AU24" s="173">
        <f t="shared" si="99"/>
        <v>0.22371315796248056</v>
      </c>
      <c r="AW24" s="5">
        <f t="shared" si="26"/>
        <v>0.75902678594413053</v>
      </c>
      <c r="AX24" s="5">
        <f t="shared" si="27"/>
        <v>0.37951339297206527</v>
      </c>
      <c r="AY24" s="5">
        <f t="shared" si="28"/>
        <v>0.23452295115089866</v>
      </c>
      <c r="AZ24" s="5"/>
      <c r="BA24" s="173">
        <f t="shared" si="100"/>
        <v>0.34848857334360456</v>
      </c>
      <c r="BB24" s="173">
        <f t="shared" si="29"/>
        <v>0.6491631975906228</v>
      </c>
      <c r="BC24" s="173">
        <f t="shared" si="30"/>
        <v>0.15942684411416766</v>
      </c>
      <c r="BD24" s="173"/>
      <c r="BE24" s="528">
        <f t="shared" si="31"/>
        <v>2.4288857150212171E-3</v>
      </c>
      <c r="BF24" s="528">
        <f t="shared" si="32"/>
        <v>0.33157494519087399</v>
      </c>
      <c r="BG24" s="528">
        <f t="shared" si="33"/>
        <v>0.19286661045645864</v>
      </c>
      <c r="BH24" s="528">
        <f t="shared" si="34"/>
        <v>0.2852128278282845</v>
      </c>
      <c r="BI24">
        <f t="shared" si="35"/>
        <v>1.0781363317441787E-2</v>
      </c>
      <c r="BJ24" s="460">
        <f t="shared" si="101"/>
        <v>203.64797377390042</v>
      </c>
      <c r="BK24">
        <f t="shared" si="36"/>
        <v>0.62023039485130305</v>
      </c>
      <c r="BL24" s="460">
        <f t="shared" si="102"/>
        <v>620.230394851303</v>
      </c>
      <c r="BM24" s="173">
        <f t="shared" si="37"/>
        <v>0.11803749999999998</v>
      </c>
      <c r="BN24" s="173">
        <f t="shared" si="38"/>
        <v>2.1078125E-2</v>
      </c>
      <c r="BO24" s="528"/>
      <c r="BQ24" s="460">
        <f t="shared" si="103"/>
        <v>139.11562499999997</v>
      </c>
      <c r="BR24" s="528">
        <f t="shared" si="39"/>
        <v>3.6433285725318253E-3</v>
      </c>
      <c r="BS24" s="528">
        <f t="shared" si="104"/>
        <v>1.2642385713182458E-2</v>
      </c>
      <c r="BT24" s="528">
        <f t="shared" si="40"/>
        <v>1.2708459312101559E-4</v>
      </c>
      <c r="BU24" s="528">
        <f t="shared" si="41"/>
        <v>0.21081360229550203</v>
      </c>
      <c r="BV24" s="528">
        <f t="shared" si="42"/>
        <v>0.23146939775901973</v>
      </c>
      <c r="BW24" s="625">
        <f t="shared" si="43"/>
        <v>2.8500000000000001E-3</v>
      </c>
      <c r="BX24" s="460">
        <f t="shared" si="105"/>
        <v>234.31939775901972</v>
      </c>
      <c r="BY24" s="173">
        <f t="shared" si="106"/>
        <v>0.99366541761032279</v>
      </c>
      <c r="BZ24" s="5">
        <f t="shared" si="107"/>
        <v>3.42</v>
      </c>
      <c r="CA24" s="173">
        <f t="shared" si="108"/>
        <v>0.7748661659659013</v>
      </c>
      <c r="CB24" s="5">
        <f t="shared" si="109"/>
        <v>77.486616596590125</v>
      </c>
      <c r="CC24">
        <f t="shared" si="110"/>
        <v>19</v>
      </c>
      <c r="CE24" s="562">
        <f t="shared" si="44"/>
        <v>-50</v>
      </c>
      <c r="CF24">
        <f t="shared" si="45"/>
        <v>-50</v>
      </c>
      <c r="CG24" s="173">
        <f t="shared" si="46"/>
        <v>0.31195684504548338</v>
      </c>
      <c r="CH24" s="173">
        <f t="shared" si="47"/>
        <v>0.11027560257406718</v>
      </c>
      <c r="CI24" s="170">
        <v>19</v>
      </c>
      <c r="CJ24" s="217">
        <f t="shared" si="133"/>
        <v>0.19</v>
      </c>
      <c r="CK24" s="217">
        <f t="shared" si="111"/>
        <v>4.7500000000000001E-2</v>
      </c>
      <c r="CL24" s="217">
        <f t="shared" si="48"/>
        <v>3.04</v>
      </c>
      <c r="CM24" s="217">
        <f t="shared" si="134"/>
        <v>0.38</v>
      </c>
      <c r="CN24" s="541">
        <f t="shared" si="112"/>
        <v>24</v>
      </c>
      <c r="CO24" s="443">
        <f t="shared" si="49"/>
        <v>16.7</v>
      </c>
      <c r="CP24" s="443">
        <f t="shared" si="50"/>
        <v>40.700000000000003</v>
      </c>
      <c r="CQ24" s="443"/>
      <c r="CR24" s="217">
        <f t="shared" si="113"/>
        <v>0.40594059405940591</v>
      </c>
      <c r="CS24" s="172">
        <f t="shared" si="114"/>
        <v>21.650165016501649</v>
      </c>
      <c r="CT24" s="172">
        <f t="shared" si="51"/>
        <v>3.0445544554455446</v>
      </c>
      <c r="CU24" s="217">
        <f t="shared" si="52"/>
        <v>1.3531353135313531</v>
      </c>
      <c r="CV24" s="217">
        <f t="shared" si="53"/>
        <v>2.7062706270627062</v>
      </c>
      <c r="CW24" s="443">
        <f t="shared" si="54"/>
        <v>16</v>
      </c>
      <c r="CX24" s="217">
        <f t="shared" si="55"/>
        <v>0.70207317073170727</v>
      </c>
      <c r="CY24" s="217">
        <f t="shared" si="56"/>
        <v>0.35103658536585364</v>
      </c>
      <c r="CZ24" s="217">
        <f t="shared" si="57"/>
        <v>0.50448371549583759</v>
      </c>
      <c r="DA24" s="197">
        <f t="shared" si="58"/>
        <v>350</v>
      </c>
      <c r="DB24" s="443">
        <f t="shared" si="115"/>
        <v>350</v>
      </c>
      <c r="DD24" s="217">
        <f t="shared" si="59"/>
        <v>2.344682344682345</v>
      </c>
      <c r="DE24" s="173">
        <f t="shared" si="60"/>
        <v>1.6848016848016851</v>
      </c>
      <c r="DF24" s="173">
        <f t="shared" si="61"/>
        <v>0.69130683381297664</v>
      </c>
      <c r="DG24" s="173"/>
      <c r="DH24" s="173">
        <f t="shared" si="62"/>
        <v>0.71856287425149712</v>
      </c>
      <c r="DI24" s="545">
        <f t="shared" si="63"/>
        <v>528.83333333333326</v>
      </c>
      <c r="DJ24" s="528">
        <f t="shared" si="64"/>
        <v>0.125748502994012</v>
      </c>
      <c r="DL24" s="173">
        <f t="shared" si="65"/>
        <v>1.2761549390929883</v>
      </c>
      <c r="DM24" s="173">
        <f t="shared" si="66"/>
        <v>1.2761549390929883</v>
      </c>
      <c r="DN24" s="173">
        <f t="shared" si="67"/>
        <v>1.4045592141429544</v>
      </c>
      <c r="DP24" s="545">
        <f t="shared" si="68"/>
        <v>190</v>
      </c>
      <c r="DQ24" s="460">
        <f t="shared" si="69"/>
        <v>350</v>
      </c>
      <c r="DS24">
        <f t="shared" si="116"/>
        <v>190</v>
      </c>
      <c r="DT24" s="460">
        <f t="shared" si="70"/>
        <v>350</v>
      </c>
      <c r="DU24" s="460"/>
      <c r="DV24" s="5">
        <f t="shared" si="117"/>
        <v>2.8571428571428572</v>
      </c>
      <c r="DW24" s="5">
        <f t="shared" si="71"/>
        <v>0.63807746954649414</v>
      </c>
      <c r="DX24" s="5">
        <f t="shared" si="118"/>
        <v>2.2190653875963631</v>
      </c>
      <c r="DY24" s="173">
        <f t="shared" si="119"/>
        <v>0.22332711434127295</v>
      </c>
      <c r="EA24" s="5">
        <f t="shared" si="72"/>
        <v>0.75771699508646173</v>
      </c>
      <c r="EB24" s="5">
        <f t="shared" si="73"/>
        <v>0.37885849754323087</v>
      </c>
      <c r="EC24" s="5">
        <f t="shared" si="74"/>
        <v>0.23423467980183832</v>
      </c>
      <c r="ED24" s="5"/>
      <c r="EE24" s="173">
        <f t="shared" si="120"/>
        <v>0.34818776430804382</v>
      </c>
      <c r="EF24" s="173">
        <f t="shared" si="75"/>
        <v>0.64932459035778778</v>
      </c>
      <c r="EG24" s="173">
        <f t="shared" si="76"/>
        <v>0.15946648027904492</v>
      </c>
      <c r="EH24" s="173"/>
      <c r="EI24" s="528">
        <f t="shared" si="77"/>
        <v>2.4246943842766776E-3</v>
      </c>
      <c r="EJ24" s="528">
        <f t="shared" si="78"/>
        <v>0.34539771504021277</v>
      </c>
      <c r="EK24" s="528">
        <f t="shared" si="79"/>
        <v>4.0250000000000001E-2</v>
      </c>
      <c r="EL24" s="528">
        <f t="shared" si="80"/>
        <v>0.28553746375000005</v>
      </c>
      <c r="EM24">
        <f t="shared" si="81"/>
        <v>1.0800000000000001E-2</v>
      </c>
      <c r="EN24" s="460">
        <f t="shared" si="121"/>
        <v>51.05</v>
      </c>
      <c r="EO24">
        <f t="shared" si="82"/>
        <v>0.68545943890359717</v>
      </c>
      <c r="EP24" s="460">
        <f t="shared" si="122"/>
        <v>685.45943890359717</v>
      </c>
      <c r="EQ24" s="173">
        <f t="shared" si="83"/>
        <v>0.11803749999999998</v>
      </c>
      <c r="ER24" s="173">
        <f t="shared" si="84"/>
        <v>2.1078125E-2</v>
      </c>
      <c r="ES24" s="528"/>
      <c r="EU24" s="460">
        <f t="shared" si="123"/>
        <v>139.11562499999997</v>
      </c>
      <c r="EV24" s="528">
        <f t="shared" si="85"/>
        <v>3.6370415764150161E-3</v>
      </c>
      <c r="EW24" s="528">
        <f t="shared" si="124"/>
        <v>1.2648672709299267E-2</v>
      </c>
      <c r="EX24" s="528">
        <f t="shared" si="86"/>
        <v>1.2714779166293511E-4</v>
      </c>
      <c r="EY24" s="528">
        <f t="shared" si="87"/>
        <v>0.21081360229550203</v>
      </c>
      <c r="EZ24" s="528">
        <f t="shared" si="88"/>
        <v>0.23146947740006499</v>
      </c>
      <c r="FA24" s="625">
        <f t="shared" si="89"/>
        <v>2.8500000000000001E-3</v>
      </c>
      <c r="FB24" s="460">
        <f t="shared" si="125"/>
        <v>234.31947740006498</v>
      </c>
      <c r="FC24" s="173">
        <f t="shared" si="126"/>
        <v>1.0588945413036621</v>
      </c>
      <c r="FD24" s="5">
        <f t="shared" si="127"/>
        <v>3.42</v>
      </c>
      <c r="FE24" s="173">
        <f t="shared" si="128"/>
        <v>0.76358127400886477</v>
      </c>
      <c r="FF24" s="5">
        <f t="shared" si="129"/>
        <v>76.358127400886474</v>
      </c>
      <c r="FG24">
        <f t="shared" si="130"/>
        <v>19</v>
      </c>
      <c r="FI24" s="562">
        <f t="shared" si="90"/>
        <v>-50</v>
      </c>
      <c r="FJ24">
        <f t="shared" si="91"/>
        <v>-50</v>
      </c>
      <c r="FL24">
        <f t="shared" si="92"/>
        <v>0.31195684504548338</v>
      </c>
    </row>
    <row r="25" spans="5:168">
      <c r="E25" s="170">
        <v>20</v>
      </c>
      <c r="F25" s="217">
        <f t="shared" si="131"/>
        <v>0.2</v>
      </c>
      <c r="G25" s="217">
        <f t="shared" si="93"/>
        <v>0.05</v>
      </c>
      <c r="H25" s="217">
        <f t="shared" si="0"/>
        <v>3.2</v>
      </c>
      <c r="I25" s="217">
        <f t="shared" si="132"/>
        <v>0.4</v>
      </c>
      <c r="J25" s="541">
        <f t="shared" si="1"/>
        <v>23.957509260312424</v>
      </c>
      <c r="K25" s="443">
        <f t="shared" si="2"/>
        <v>16.718746428231228</v>
      </c>
      <c r="L25" s="172">
        <f t="shared" si="3"/>
        <v>40.676255688543648</v>
      </c>
      <c r="M25" s="443"/>
      <c r="N25" s="217">
        <f t="shared" si="4"/>
        <v>0.41101979878005379</v>
      </c>
      <c r="O25" s="172">
        <f t="shared" si="94"/>
        <v>21.882245856544195</v>
      </c>
      <c r="P25" s="172">
        <f t="shared" si="5"/>
        <v>3.0771908235765273</v>
      </c>
      <c r="Q25" s="217">
        <f t="shared" si="6"/>
        <v>1.3676403660340122</v>
      </c>
      <c r="R25" s="217">
        <f t="shared" si="7"/>
        <v>2.7352807320680244</v>
      </c>
      <c r="S25" s="443">
        <f t="shared" si="8"/>
        <v>16</v>
      </c>
      <c r="T25" s="217">
        <f t="shared" si="9"/>
        <v>0.73118637387098795</v>
      </c>
      <c r="U25" s="217">
        <f t="shared" si="10"/>
        <v>0.36624159845310367</v>
      </c>
      <c r="V25" s="217">
        <f t="shared" si="11"/>
        <v>0.52481425710456997</v>
      </c>
      <c r="W25" s="197">
        <f t="shared" si="12"/>
        <v>350</v>
      </c>
      <c r="X25" s="443">
        <f t="shared" si="95"/>
        <v>350</v>
      </c>
      <c r="Z25" s="217">
        <f t="shared" si="13"/>
        <v>2.3445263417725917</v>
      </c>
      <c r="AA25" s="173">
        <f t="shared" si="14"/>
        <v>1.6828005749141319</v>
      </c>
      <c r="AB25" s="173">
        <f t="shared" si="15"/>
        <v>0.69043979827134261</v>
      </c>
      <c r="AC25" s="173"/>
      <c r="AD25" s="173">
        <f t="shared" si="16"/>
        <v>0.71775716268636225</v>
      </c>
      <c r="AE25" s="545">
        <f t="shared" si="17"/>
        <v>557.29154760770768</v>
      </c>
      <c r="AF25" s="528">
        <f t="shared" si="18"/>
        <v>0.12560750347011337</v>
      </c>
      <c r="AH25" s="173">
        <f t="shared" si="19"/>
        <v>1.3093073414159542</v>
      </c>
      <c r="AI25" s="173">
        <f t="shared" si="20"/>
        <v>1.3093073414159542</v>
      </c>
      <c r="AJ25" s="173">
        <f t="shared" si="21"/>
        <v>1.429116549197003</v>
      </c>
      <c r="AL25" s="545">
        <f t="shared" si="22"/>
        <v>200</v>
      </c>
      <c r="AM25" s="460">
        <f t="shared" si="23"/>
        <v>350</v>
      </c>
      <c r="AO25">
        <f t="shared" si="96"/>
        <v>200</v>
      </c>
      <c r="AP25" s="460">
        <f t="shared" si="24"/>
        <v>350</v>
      </c>
      <c r="AQ25" s="460"/>
      <c r="AR25" s="5">
        <f t="shared" si="97"/>
        <v>2.8571428571428572</v>
      </c>
      <c r="AS25" s="5">
        <f t="shared" si="25"/>
        <v>0.65581475629518593</v>
      </c>
      <c r="AT25" s="5">
        <f t="shared" si="98"/>
        <v>2.2013281008476713</v>
      </c>
      <c r="AU25" s="173">
        <f t="shared" si="99"/>
        <v>0.22953516470331506</v>
      </c>
      <c r="AW25" s="5">
        <f t="shared" si="26"/>
        <v>0.81976844536898241</v>
      </c>
      <c r="AX25" s="5">
        <f t="shared" si="27"/>
        <v>0.40988422268449121</v>
      </c>
      <c r="AY25" s="5">
        <f t="shared" si="28"/>
        <v>0.24502581654644723</v>
      </c>
      <c r="AZ25" s="5"/>
      <c r="BA25" s="173">
        <f t="shared" si="100"/>
        <v>0.36216426005203378</v>
      </c>
      <c r="BB25" s="173">
        <f t="shared" si="29"/>
        <v>0.66352514659923345</v>
      </c>
      <c r="BC25" s="173">
        <f t="shared" si="30"/>
        <v>0.16295396982657645</v>
      </c>
      <c r="BD25" s="173"/>
      <c r="BE25" s="528">
        <f t="shared" si="31"/>
        <v>2.6232590251807431E-3</v>
      </c>
      <c r="BF25" s="528">
        <f t="shared" si="32"/>
        <v>0.34018368774123603</v>
      </c>
      <c r="BG25" s="528">
        <f t="shared" si="33"/>
        <v>0.19285794954551502</v>
      </c>
      <c r="BH25" s="528">
        <f t="shared" si="34"/>
        <v>0.285204396782757</v>
      </c>
      <c r="BI25">
        <f t="shared" si="35"/>
        <v>1.078087916714059E-2</v>
      </c>
      <c r="BJ25" s="460">
        <f t="shared" si="101"/>
        <v>203.63882871265562</v>
      </c>
      <c r="BK25">
        <f t="shared" si="36"/>
        <v>0.62911174024275685</v>
      </c>
      <c r="BL25" s="460">
        <f t="shared" si="102"/>
        <v>629.11174024275681</v>
      </c>
      <c r="BM25" s="173">
        <f t="shared" si="37"/>
        <v>0.12424999999999999</v>
      </c>
      <c r="BN25" s="173">
        <f t="shared" si="38"/>
        <v>2.2187499999999999E-2</v>
      </c>
      <c r="BO25" s="528"/>
      <c r="BQ25" s="460">
        <f t="shared" si="103"/>
        <v>146.4375</v>
      </c>
      <c r="BR25" s="528">
        <f t="shared" si="39"/>
        <v>3.9348885377711142E-3</v>
      </c>
      <c r="BS25" s="528">
        <f t="shared" si="104"/>
        <v>1.3207968605086027E-2</v>
      </c>
      <c r="BT25" s="528">
        <f t="shared" si="40"/>
        <v>1.3276998141120396E-4</v>
      </c>
      <c r="BU25" s="528">
        <f t="shared" si="41"/>
        <v>0.22477299000744716</v>
      </c>
      <c r="BV25" s="528">
        <f t="shared" si="42"/>
        <v>0.24653549206023836</v>
      </c>
      <c r="BW25" s="625">
        <f t="shared" si="43"/>
        <v>2.9999999999999996E-3</v>
      </c>
      <c r="BX25" s="460">
        <f t="shared" si="105"/>
        <v>249.53549206023837</v>
      </c>
      <c r="BY25" s="173">
        <f t="shared" si="106"/>
        <v>1.025084732302995</v>
      </c>
      <c r="BZ25" s="5">
        <f t="shared" si="107"/>
        <v>3.6</v>
      </c>
      <c r="CA25" s="173">
        <f t="shared" si="108"/>
        <v>0.77836411836014752</v>
      </c>
      <c r="CB25" s="5">
        <f t="shared" si="109"/>
        <v>77.836411836014747</v>
      </c>
      <c r="CC25">
        <f t="shared" si="110"/>
        <v>20</v>
      </c>
      <c r="CE25" s="562">
        <f t="shared" si="44"/>
        <v>-50</v>
      </c>
      <c r="CF25">
        <f t="shared" si="45"/>
        <v>-50</v>
      </c>
      <c r="CG25" s="173">
        <f t="shared" si="46"/>
        <v>0.32006096980144882</v>
      </c>
      <c r="CH25" s="173">
        <f t="shared" si="47"/>
        <v>0.11314038100413883</v>
      </c>
      <c r="CI25" s="170">
        <v>20</v>
      </c>
      <c r="CJ25" s="217">
        <f t="shared" si="133"/>
        <v>0.2</v>
      </c>
      <c r="CK25" s="217">
        <f t="shared" si="111"/>
        <v>0.05</v>
      </c>
      <c r="CL25" s="217">
        <f t="shared" si="48"/>
        <v>3.2</v>
      </c>
      <c r="CM25" s="217">
        <f t="shared" si="134"/>
        <v>0.4</v>
      </c>
      <c r="CN25" s="541">
        <f t="shared" si="112"/>
        <v>24</v>
      </c>
      <c r="CO25" s="443">
        <f t="shared" si="49"/>
        <v>16.7</v>
      </c>
      <c r="CP25" s="443">
        <f t="shared" si="50"/>
        <v>40.700000000000003</v>
      </c>
      <c r="CQ25" s="443"/>
      <c r="CR25" s="217">
        <f t="shared" si="113"/>
        <v>0.40594059405940591</v>
      </c>
      <c r="CS25" s="172">
        <f t="shared" si="114"/>
        <v>21.650165016501649</v>
      </c>
      <c r="CT25" s="172">
        <f t="shared" si="51"/>
        <v>3.0445544554455446</v>
      </c>
      <c r="CU25" s="217">
        <f t="shared" si="52"/>
        <v>1.3531353135313531</v>
      </c>
      <c r="CV25" s="217">
        <f t="shared" si="53"/>
        <v>2.7062706270627062</v>
      </c>
      <c r="CW25" s="443">
        <f t="shared" si="54"/>
        <v>16</v>
      </c>
      <c r="CX25" s="217">
        <f t="shared" si="55"/>
        <v>0.73902439024390243</v>
      </c>
      <c r="CY25" s="217">
        <f t="shared" si="56"/>
        <v>0.36951219512195127</v>
      </c>
      <c r="CZ25" s="217">
        <f t="shared" si="57"/>
        <v>0.53103548999561856</v>
      </c>
      <c r="DA25" s="197">
        <f t="shared" si="58"/>
        <v>350</v>
      </c>
      <c r="DB25" s="443">
        <f t="shared" si="115"/>
        <v>350</v>
      </c>
      <c r="DD25" s="217">
        <f t="shared" si="59"/>
        <v>2.344682344682345</v>
      </c>
      <c r="DE25" s="173">
        <f t="shared" si="60"/>
        <v>1.6848016848016851</v>
      </c>
      <c r="DF25" s="173">
        <f t="shared" si="61"/>
        <v>0.69130683381297664</v>
      </c>
      <c r="DG25" s="173"/>
      <c r="DH25" s="173">
        <f t="shared" si="62"/>
        <v>0.71856287425149712</v>
      </c>
      <c r="DI25" s="545">
        <f t="shared" si="63"/>
        <v>556.66666666666663</v>
      </c>
      <c r="DJ25" s="528">
        <f t="shared" si="64"/>
        <v>0.125748502994012</v>
      </c>
      <c r="DL25" s="173">
        <f t="shared" si="65"/>
        <v>1.3093073414159542</v>
      </c>
      <c r="DM25" s="173">
        <f t="shared" si="66"/>
        <v>1.3093073414159542</v>
      </c>
      <c r="DN25" s="173">
        <f t="shared" si="67"/>
        <v>1.429116549197003</v>
      </c>
      <c r="DP25" s="545">
        <f t="shared" si="68"/>
        <v>200</v>
      </c>
      <c r="DQ25" s="460">
        <f t="shared" si="69"/>
        <v>350</v>
      </c>
      <c r="DS25">
        <f t="shared" si="116"/>
        <v>200</v>
      </c>
      <c r="DT25" s="460">
        <f t="shared" si="70"/>
        <v>350</v>
      </c>
      <c r="DU25" s="460"/>
      <c r="DV25" s="5">
        <f t="shared" si="117"/>
        <v>2.8571428571428572</v>
      </c>
      <c r="DW25" s="5">
        <f t="shared" si="71"/>
        <v>0.65465367070797709</v>
      </c>
      <c r="DX25" s="5">
        <f t="shared" si="118"/>
        <v>2.2024891864348799</v>
      </c>
      <c r="DY25" s="173">
        <f t="shared" si="119"/>
        <v>0.22912878474779197</v>
      </c>
      <c r="EA25" s="5">
        <f t="shared" si="72"/>
        <v>0.81831708838497141</v>
      </c>
      <c r="EB25" s="5">
        <f t="shared" si="73"/>
        <v>0.40915854419248571</v>
      </c>
      <c r="EC25" s="5">
        <f t="shared" si="74"/>
        <v>0.24472102071498661</v>
      </c>
      <c r="ED25" s="5"/>
      <c r="EE25" s="173">
        <f t="shared" si="120"/>
        <v>0.36184352162446592</v>
      </c>
      <c r="EF25" s="173">
        <f t="shared" si="75"/>
        <v>0.66370011095899017</v>
      </c>
      <c r="EG25" s="173">
        <f t="shared" si="76"/>
        <v>0.16299693901492848</v>
      </c>
      <c r="EH25" s="173"/>
      <c r="EI25" s="528">
        <f t="shared" si="77"/>
        <v>2.6186146828319069E-3</v>
      </c>
      <c r="EJ25" s="528">
        <f t="shared" si="78"/>
        <v>0.35437057849093512</v>
      </c>
      <c r="EK25" s="528">
        <f t="shared" si="79"/>
        <v>4.0250000000000001E-2</v>
      </c>
      <c r="EL25" s="528">
        <f t="shared" si="80"/>
        <v>0.28553746375000005</v>
      </c>
      <c r="EM25">
        <f t="shared" si="81"/>
        <v>1.0800000000000001E-2</v>
      </c>
      <c r="EN25" s="460">
        <f t="shared" si="121"/>
        <v>51.05</v>
      </c>
      <c r="EO25">
        <f t="shared" si="82"/>
        <v>0.69471592322023712</v>
      </c>
      <c r="EP25" s="460">
        <f t="shared" si="122"/>
        <v>694.71592322023707</v>
      </c>
      <c r="EQ25" s="173">
        <f t="shared" si="83"/>
        <v>0.12424999999999999</v>
      </c>
      <c r="ER25" s="173">
        <f t="shared" si="84"/>
        <v>2.2187499999999999E-2</v>
      </c>
      <c r="ES25" s="528"/>
      <c r="EU25" s="460">
        <f t="shared" si="123"/>
        <v>146.4375</v>
      </c>
      <c r="EV25" s="528">
        <f t="shared" si="85"/>
        <v>3.9279220242478602E-3</v>
      </c>
      <c r="EW25" s="528">
        <f t="shared" si="124"/>
        <v>1.3214935118609276E-2</v>
      </c>
      <c r="EX25" s="528">
        <f t="shared" si="86"/>
        <v>1.3284001064118158E-4</v>
      </c>
      <c r="EY25" s="528">
        <f t="shared" si="87"/>
        <v>0.22477299000744716</v>
      </c>
      <c r="EZ25" s="528">
        <f t="shared" si="88"/>
        <v>0.24653558039974893</v>
      </c>
      <c r="FA25" s="625">
        <f t="shared" si="89"/>
        <v>2.9999999999999996E-3</v>
      </c>
      <c r="FB25" s="460">
        <f t="shared" si="125"/>
        <v>249.53558039974894</v>
      </c>
      <c r="FC25" s="173">
        <f t="shared" si="126"/>
        <v>1.0906890036199859</v>
      </c>
      <c r="FD25" s="5">
        <f t="shared" si="127"/>
        <v>3.6</v>
      </c>
      <c r="FE25" s="173">
        <f t="shared" si="128"/>
        <v>0.76747786886355951</v>
      </c>
      <c r="FF25" s="5">
        <f t="shared" si="129"/>
        <v>76.747786886355954</v>
      </c>
      <c r="FG25">
        <f t="shared" si="130"/>
        <v>20</v>
      </c>
      <c r="FI25" s="562">
        <f t="shared" si="90"/>
        <v>-50</v>
      </c>
      <c r="FJ25">
        <f t="shared" si="91"/>
        <v>-50</v>
      </c>
      <c r="FL25">
        <f t="shared" si="92"/>
        <v>0.32006096980144877</v>
      </c>
    </row>
    <row r="26" spans="5:168">
      <c r="E26" s="170">
        <v>21</v>
      </c>
      <c r="F26" s="217">
        <f t="shared" si="131"/>
        <v>0.21</v>
      </c>
      <c r="G26" s="217">
        <f t="shared" si="93"/>
        <v>5.2499999999999998E-2</v>
      </c>
      <c r="H26" s="217">
        <f t="shared" si="0"/>
        <v>3.36</v>
      </c>
      <c r="I26" s="217">
        <f t="shared" si="132"/>
        <v>0.42</v>
      </c>
      <c r="J26" s="541">
        <f t="shared" si="1"/>
        <v>23.956459948241221</v>
      </c>
      <c r="K26" s="443">
        <f t="shared" si="2"/>
        <v>16.719209372712299</v>
      </c>
      <c r="L26" s="172">
        <f t="shared" si="3"/>
        <v>40.675669320953517</v>
      </c>
      <c r="M26" s="443"/>
      <c r="N26" s="217">
        <f t="shared" si="4"/>
        <v>0.41103710527265069</v>
      </c>
      <c r="O26" s="172">
        <f t="shared" si="94"/>
        <v>21.882208777122813</v>
      </c>
      <c r="P26" s="172">
        <f t="shared" si="5"/>
        <v>3.0771856092828958</v>
      </c>
      <c r="Q26" s="217">
        <f t="shared" si="6"/>
        <v>1.3676380485701758</v>
      </c>
      <c r="R26" s="217">
        <f t="shared" si="7"/>
        <v>2.7352760971403516</v>
      </c>
      <c r="S26" s="443">
        <f t="shared" si="8"/>
        <v>16</v>
      </c>
      <c r="T26" s="217">
        <f t="shared" si="9"/>
        <v>0.76774699351026621</v>
      </c>
      <c r="U26" s="217">
        <f t="shared" si="10"/>
        <v>0.38457117378895417</v>
      </c>
      <c r="V26" s="217">
        <f t="shared" si="11"/>
        <v>0.55104064532858987</v>
      </c>
      <c r="W26" s="197">
        <f t="shared" si="12"/>
        <v>350</v>
      </c>
      <c r="X26" s="443">
        <f t="shared" si="95"/>
        <v>350</v>
      </c>
      <c r="Z26" s="217">
        <f t="shared" si="13"/>
        <v>2.3445223689774441</v>
      </c>
      <c r="AA26" s="173">
        <f t="shared" si="14"/>
        <v>1.6827511277924265</v>
      </c>
      <c r="AB26" s="173">
        <f t="shared" si="15"/>
        <v>0.69041834059298901</v>
      </c>
      <c r="AC26" s="173"/>
      <c r="AD26" s="173">
        <f t="shared" si="16"/>
        <v>0.71773728843813633</v>
      </c>
      <c r="AE26" s="545">
        <f t="shared" si="17"/>
        <v>585.17232804493051</v>
      </c>
      <c r="AF26" s="528">
        <f t="shared" si="18"/>
        <v>0.12560402547667385</v>
      </c>
      <c r="AH26" s="173">
        <f t="shared" si="19"/>
        <v>1.3416407864998738</v>
      </c>
      <c r="AI26" s="173">
        <f t="shared" si="20"/>
        <v>1.3416407864998738</v>
      </c>
      <c r="AJ26" s="173">
        <f t="shared" si="21"/>
        <v>1.4530672492591656</v>
      </c>
      <c r="AL26" s="545">
        <f t="shared" si="22"/>
        <v>210</v>
      </c>
      <c r="AM26" s="460">
        <f t="shared" si="23"/>
        <v>350</v>
      </c>
      <c r="AO26">
        <f t="shared" si="96"/>
        <v>210</v>
      </c>
      <c r="AP26" s="460">
        <f t="shared" si="24"/>
        <v>350</v>
      </c>
      <c r="AQ26" s="460"/>
      <c r="AR26" s="5">
        <f t="shared" si="97"/>
        <v>2.8571428571428572</v>
      </c>
      <c r="AS26" s="5">
        <f t="shared" si="25"/>
        <v>0.67203958651580553</v>
      </c>
      <c r="AT26" s="5">
        <f t="shared" si="98"/>
        <v>2.1851032706270517</v>
      </c>
      <c r="AU26" s="173">
        <f t="shared" si="99"/>
        <v>0.23521385528053193</v>
      </c>
      <c r="AW26" s="5">
        <f t="shared" si="26"/>
        <v>0.88205195730199482</v>
      </c>
      <c r="AX26" s="5">
        <f t="shared" si="27"/>
        <v>0.44102597865099741</v>
      </c>
      <c r="AY26" s="5">
        <f t="shared" si="28"/>
        <v>0.25539203918168729</v>
      </c>
      <c r="AZ26" s="5"/>
      <c r="BA26" s="173">
        <f t="shared" si="100"/>
        <v>0.37567048482455895</v>
      </c>
      <c r="BB26" s="173">
        <f t="shared" si="29"/>
        <v>0.67740068410925058</v>
      </c>
      <c r="BC26" s="173">
        <f t="shared" si="30"/>
        <v>0.1663616385974189</v>
      </c>
      <c r="BD26" s="173"/>
      <c r="BE26" s="528">
        <f t="shared" si="31"/>
        <v>2.8225662633663833E-3</v>
      </c>
      <c r="BF26" s="528">
        <f t="shared" si="32"/>
        <v>0.3485795249544667</v>
      </c>
      <c r="BG26" s="528">
        <f t="shared" si="33"/>
        <v>0.19284950258334183</v>
      </c>
      <c r="BH26" s="528">
        <f t="shared" si="34"/>
        <v>0.28519617412771547</v>
      </c>
      <c r="BI26">
        <f t="shared" si="35"/>
        <v>1.0780406976708548E-2</v>
      </c>
      <c r="BJ26" s="460">
        <f t="shared" si="101"/>
        <v>203.62990956005038</v>
      </c>
      <c r="BK26">
        <f t="shared" si="36"/>
        <v>0.63778808555076572</v>
      </c>
      <c r="BL26" s="460">
        <f t="shared" si="102"/>
        <v>637.78808555076569</v>
      </c>
      <c r="BM26" s="173">
        <f t="shared" si="37"/>
        <v>0.13046249999999998</v>
      </c>
      <c r="BN26" s="173">
        <f t="shared" si="38"/>
        <v>2.3296874999999998E-2</v>
      </c>
      <c r="BO26" s="528"/>
      <c r="BQ26" s="460">
        <f t="shared" si="103"/>
        <v>153.75937499999998</v>
      </c>
      <c r="BR26" s="528">
        <f t="shared" si="39"/>
        <v>4.2338493950495751E-3</v>
      </c>
      <c r="BS26" s="528">
        <f t="shared" si="104"/>
        <v>1.3766150604950419E-2</v>
      </c>
      <c r="BT26" s="528">
        <f t="shared" si="40"/>
        <v>1.3838097398409109E-4</v>
      </c>
      <c r="BU26" s="528">
        <f t="shared" si="41"/>
        <v>0.23890802967584152</v>
      </c>
      <c r="BV26" s="528">
        <f t="shared" si="42"/>
        <v>0.26177948256245304</v>
      </c>
      <c r="BW26" s="625">
        <f t="shared" si="43"/>
        <v>3.1500000000000005E-3</v>
      </c>
      <c r="BX26" s="460">
        <f t="shared" si="105"/>
        <v>264.92948256245302</v>
      </c>
      <c r="BY26" s="173">
        <f t="shared" si="106"/>
        <v>1.0564769431132188</v>
      </c>
      <c r="BZ26" s="5">
        <f t="shared" si="107"/>
        <v>3.78</v>
      </c>
      <c r="CA26" s="173">
        <f t="shared" si="108"/>
        <v>0.78156063689757416</v>
      </c>
      <c r="CB26" s="5">
        <f t="shared" si="109"/>
        <v>78.156063689757417</v>
      </c>
      <c r="CC26">
        <f t="shared" si="110"/>
        <v>21</v>
      </c>
      <c r="CE26" s="562">
        <f t="shared" si="44"/>
        <v>-50</v>
      </c>
      <c r="CF26">
        <f t="shared" si="45"/>
        <v>-50</v>
      </c>
      <c r="CG26" s="173">
        <f t="shared" si="46"/>
        <v>0.32796489996607275</v>
      </c>
      <c r="CH26" s="173">
        <f t="shared" si="47"/>
        <v>0.11593439137913211</v>
      </c>
      <c r="CI26" s="170">
        <v>21</v>
      </c>
      <c r="CJ26" s="217">
        <f t="shared" si="133"/>
        <v>0.21</v>
      </c>
      <c r="CK26" s="217">
        <f t="shared" si="111"/>
        <v>5.2499999999999998E-2</v>
      </c>
      <c r="CL26" s="217">
        <f t="shared" si="48"/>
        <v>3.36</v>
      </c>
      <c r="CM26" s="217">
        <f t="shared" si="134"/>
        <v>0.42</v>
      </c>
      <c r="CN26" s="541">
        <f t="shared" si="112"/>
        <v>24</v>
      </c>
      <c r="CO26" s="443">
        <f t="shared" si="49"/>
        <v>16.7</v>
      </c>
      <c r="CP26" s="443">
        <f t="shared" si="50"/>
        <v>40.700000000000003</v>
      </c>
      <c r="CQ26" s="443"/>
      <c r="CR26" s="217">
        <f t="shared" si="113"/>
        <v>0.40594059405940591</v>
      </c>
      <c r="CS26" s="172">
        <f t="shared" si="114"/>
        <v>21.650165016501649</v>
      </c>
      <c r="CT26" s="172">
        <f t="shared" si="51"/>
        <v>3.0445544554455446</v>
      </c>
      <c r="CU26" s="217">
        <f t="shared" si="52"/>
        <v>1.3531353135313531</v>
      </c>
      <c r="CV26" s="217">
        <f t="shared" si="53"/>
        <v>2.7062706270627062</v>
      </c>
      <c r="CW26" s="443">
        <f t="shared" si="54"/>
        <v>16</v>
      </c>
      <c r="CX26" s="217">
        <f t="shared" si="55"/>
        <v>0.77597560975609758</v>
      </c>
      <c r="CY26" s="217">
        <f t="shared" si="56"/>
        <v>0.38798780487804874</v>
      </c>
      <c r="CZ26" s="217">
        <f t="shared" si="57"/>
        <v>0.55758726449539942</v>
      </c>
      <c r="DA26" s="197">
        <f t="shared" si="58"/>
        <v>350</v>
      </c>
      <c r="DB26" s="443">
        <f t="shared" si="115"/>
        <v>350</v>
      </c>
      <c r="DD26" s="217">
        <f t="shared" si="59"/>
        <v>2.344682344682345</v>
      </c>
      <c r="DE26" s="173">
        <f t="shared" si="60"/>
        <v>1.6848016848016851</v>
      </c>
      <c r="DF26" s="173">
        <f t="shared" si="61"/>
        <v>0.69130683381297664</v>
      </c>
      <c r="DG26" s="173"/>
      <c r="DH26" s="173">
        <f t="shared" si="62"/>
        <v>0.71856287425149712</v>
      </c>
      <c r="DI26" s="545">
        <f t="shared" si="63"/>
        <v>584.49999999999989</v>
      </c>
      <c r="DJ26" s="528">
        <f t="shared" si="64"/>
        <v>0.125748502994012</v>
      </c>
      <c r="DL26" s="173">
        <f t="shared" si="65"/>
        <v>1.3416407864998738</v>
      </c>
      <c r="DM26" s="173">
        <f t="shared" si="66"/>
        <v>1.3416407864998738</v>
      </c>
      <c r="DN26" s="173">
        <f t="shared" si="67"/>
        <v>1.4530672492591656</v>
      </c>
      <c r="DP26" s="545">
        <f t="shared" si="68"/>
        <v>210</v>
      </c>
      <c r="DQ26" s="460">
        <f t="shared" si="69"/>
        <v>350</v>
      </c>
      <c r="DS26">
        <f t="shared" si="116"/>
        <v>210</v>
      </c>
      <c r="DT26" s="460">
        <f t="shared" si="70"/>
        <v>350</v>
      </c>
      <c r="DU26" s="460"/>
      <c r="DV26" s="5">
        <f t="shared" si="117"/>
        <v>2.8571428571428572</v>
      </c>
      <c r="DW26" s="5">
        <f t="shared" si="71"/>
        <v>0.67082039324993681</v>
      </c>
      <c r="DX26" s="5">
        <f t="shared" si="118"/>
        <v>2.1863224638929202</v>
      </c>
      <c r="DY26" s="173">
        <f t="shared" si="119"/>
        <v>0.23478713763747788</v>
      </c>
      <c r="EA26" s="5">
        <f t="shared" si="72"/>
        <v>0.88045176614054188</v>
      </c>
      <c r="EB26" s="5">
        <f t="shared" si="73"/>
        <v>0.44022588307027094</v>
      </c>
      <c r="EC26" s="5">
        <f t="shared" si="74"/>
        <v>0.25507095412084058</v>
      </c>
      <c r="ED26" s="5"/>
      <c r="EE26" s="173">
        <f t="shared" si="120"/>
        <v>0.37532956529227313</v>
      </c>
      <c r="EF26" s="173">
        <f t="shared" si="75"/>
        <v>0.67758963792070592</v>
      </c>
      <c r="EG26" s="173">
        <f t="shared" si="76"/>
        <v>0.16640804343052629</v>
      </c>
      <c r="EH26" s="173"/>
      <c r="EI26" s="528">
        <f t="shared" si="77"/>
        <v>2.8174456516497342E-3</v>
      </c>
      <c r="EJ26" s="528">
        <f t="shared" si="78"/>
        <v>0.36312178707012344</v>
      </c>
      <c r="EK26" s="528">
        <f t="shared" si="79"/>
        <v>4.0250000000000001E-2</v>
      </c>
      <c r="EL26" s="528">
        <f t="shared" si="80"/>
        <v>0.28553746375000005</v>
      </c>
      <c r="EM26">
        <f t="shared" si="81"/>
        <v>1.0800000000000001E-2</v>
      </c>
      <c r="EN26" s="460">
        <f t="shared" si="121"/>
        <v>51.05</v>
      </c>
      <c r="EO26">
        <f t="shared" si="82"/>
        <v>0.70375852040635045</v>
      </c>
      <c r="EP26" s="460">
        <f t="shared" si="122"/>
        <v>703.7585204063505</v>
      </c>
      <c r="EQ26" s="173">
        <f t="shared" si="83"/>
        <v>0.13046249999999998</v>
      </c>
      <c r="ER26" s="173">
        <f t="shared" si="84"/>
        <v>2.3296874999999998E-2</v>
      </c>
      <c r="ES26" s="528"/>
      <c r="EU26" s="460">
        <f t="shared" si="123"/>
        <v>153.75937499999998</v>
      </c>
      <c r="EV26" s="528">
        <f t="shared" si="85"/>
        <v>4.2261684774746013E-3</v>
      </c>
      <c r="EW26" s="528">
        <f t="shared" si="124"/>
        <v>1.37738315225254E-2</v>
      </c>
      <c r="EX26" s="528">
        <f t="shared" si="86"/>
        <v>1.3845818459187962E-4</v>
      </c>
      <c r="EY26" s="528">
        <f t="shared" si="87"/>
        <v>0.23890802967584152</v>
      </c>
      <c r="EZ26" s="528">
        <f t="shared" si="88"/>
        <v>0.26177958006205837</v>
      </c>
      <c r="FA26" s="625">
        <f t="shared" si="89"/>
        <v>3.1500000000000005E-3</v>
      </c>
      <c r="FB26" s="460">
        <f t="shared" si="125"/>
        <v>264.92958006205833</v>
      </c>
      <c r="FC26" s="173">
        <f t="shared" si="126"/>
        <v>1.1224474754684088</v>
      </c>
      <c r="FD26" s="5">
        <f t="shared" si="127"/>
        <v>3.78</v>
      </c>
      <c r="FE26" s="173">
        <f t="shared" si="128"/>
        <v>0.7710434469547961</v>
      </c>
      <c r="FF26" s="5">
        <f t="shared" si="129"/>
        <v>77.104344695479611</v>
      </c>
      <c r="FG26">
        <f t="shared" si="130"/>
        <v>21</v>
      </c>
      <c r="FI26" s="562">
        <f t="shared" si="90"/>
        <v>-50</v>
      </c>
      <c r="FJ26">
        <f t="shared" si="91"/>
        <v>-50</v>
      </c>
      <c r="FL26">
        <f t="shared" si="92"/>
        <v>0.32796489996607275</v>
      </c>
    </row>
    <row r="27" spans="5:168">
      <c r="E27" s="170">
        <v>22</v>
      </c>
      <c r="F27" s="217">
        <f t="shared" si="131"/>
        <v>0.22</v>
      </c>
      <c r="G27" s="217">
        <f t="shared" si="93"/>
        <v>5.5E-2</v>
      </c>
      <c r="H27" s="217">
        <f t="shared" si="0"/>
        <v>3.52</v>
      </c>
      <c r="I27" s="217">
        <f t="shared" si="132"/>
        <v>0.44</v>
      </c>
      <c r="J27" s="541">
        <f t="shared" si="1"/>
        <v>23.955435336250375</v>
      </c>
      <c r="K27" s="443">
        <f t="shared" si="2"/>
        <v>16.719661419800499</v>
      </c>
      <c r="L27" s="172">
        <f t="shared" si="3"/>
        <v>40.675096756050877</v>
      </c>
      <c r="M27" s="443"/>
      <c r="N27" s="217">
        <f t="shared" si="4"/>
        <v>0.41105400486387933</v>
      </c>
      <c r="O27" s="172">
        <f t="shared" si="94"/>
        <v>21.882172518274242</v>
      </c>
      <c r="P27" s="172">
        <f t="shared" si="5"/>
        <v>3.0771805103823153</v>
      </c>
      <c r="Q27" s="217">
        <f t="shared" si="6"/>
        <v>1.3676357823921401</v>
      </c>
      <c r="R27" s="217">
        <f t="shared" si="7"/>
        <v>2.7352715647842802</v>
      </c>
      <c r="S27" s="443">
        <f t="shared" si="8"/>
        <v>16</v>
      </c>
      <c r="T27" s="217">
        <f t="shared" si="9"/>
        <v>0.80430770689253483</v>
      </c>
      <c r="U27" s="217">
        <f t="shared" si="10"/>
        <v>0.40290198642748398</v>
      </c>
      <c r="V27" s="217">
        <f t="shared" si="11"/>
        <v>0.57726602473422473</v>
      </c>
      <c r="W27" s="197">
        <f t="shared" si="12"/>
        <v>350</v>
      </c>
      <c r="X27" s="443">
        <f t="shared" si="95"/>
        <v>350</v>
      </c>
      <c r="Z27" s="217">
        <f t="shared" si="13"/>
        <v>2.3445184841008109</v>
      </c>
      <c r="AA27" s="173">
        <f t="shared" si="14"/>
        <v>1.6827028432460585</v>
      </c>
      <c r="AB27" s="173">
        <f t="shared" si="15"/>
        <v>0.69039738586689037</v>
      </c>
      <c r="AC27" s="173"/>
      <c r="AD27" s="173">
        <f t="shared" si="16"/>
        <v>0.71771788307799278</v>
      </c>
      <c r="AE27" s="545">
        <f t="shared" si="17"/>
        <v>613.05425205935148</v>
      </c>
      <c r="AF27" s="528">
        <f t="shared" si="18"/>
        <v>0.12560062953864873</v>
      </c>
      <c r="AH27" s="173">
        <f t="shared" si="19"/>
        <v>1.3732131246511903</v>
      </c>
      <c r="AI27" s="173">
        <f t="shared" si="20"/>
        <v>1.3732131246511903</v>
      </c>
      <c r="AJ27" s="173">
        <f t="shared" si="21"/>
        <v>1.4764541664082891</v>
      </c>
      <c r="AL27" s="545">
        <f t="shared" si="22"/>
        <v>220</v>
      </c>
      <c r="AM27" s="460">
        <f t="shared" si="23"/>
        <v>350</v>
      </c>
      <c r="AO27">
        <f t="shared" si="96"/>
        <v>220</v>
      </c>
      <c r="AP27" s="460">
        <f t="shared" si="24"/>
        <v>350</v>
      </c>
      <c r="AQ27" s="460"/>
      <c r="AR27" s="5">
        <f t="shared" si="97"/>
        <v>2.8571428571428572</v>
      </c>
      <c r="AS27" s="5">
        <f t="shared" si="25"/>
        <v>0.68788386704366156</v>
      </c>
      <c r="AT27" s="5">
        <f t="shared" si="98"/>
        <v>2.1692589900991956</v>
      </c>
      <c r="AU27" s="173">
        <f t="shared" si="99"/>
        <v>0.24075935346528154</v>
      </c>
      <c r="AW27" s="5">
        <f t="shared" si="26"/>
        <v>0.9458403171850347</v>
      </c>
      <c r="AX27" s="5">
        <f t="shared" si="27"/>
        <v>0.47292015859251735</v>
      </c>
      <c r="AY27" s="5">
        <f t="shared" si="28"/>
        <v>0.26562488282823943</v>
      </c>
      <c r="AZ27" s="5"/>
      <c r="BA27" s="173">
        <f t="shared" si="100"/>
        <v>0.38901728849706091</v>
      </c>
      <c r="BB27" s="173">
        <f t="shared" si="29"/>
        <v>0.6908234056702357</v>
      </c>
      <c r="BC27" s="173">
        <f t="shared" si="30"/>
        <v>0.16965810109842552</v>
      </c>
      <c r="BD27" s="173"/>
      <c r="BE27" s="528">
        <f t="shared" si="31"/>
        <v>3.0266890149921108E-3</v>
      </c>
      <c r="BF27" s="528">
        <f t="shared" si="32"/>
        <v>0.35677749624704486</v>
      </c>
      <c r="BG27" s="528">
        <f t="shared" si="33"/>
        <v>0.19284125445681552</v>
      </c>
      <c r="BH27" s="528">
        <f t="shared" si="34"/>
        <v>0.2851881451426681</v>
      </c>
      <c r="BI27">
        <f t="shared" si="35"/>
        <v>1.0779945901312668E-2</v>
      </c>
      <c r="BJ27" s="460">
        <f t="shared" si="101"/>
        <v>203.62120035812819</v>
      </c>
      <c r="BK27">
        <f t="shared" si="36"/>
        <v>0.64627429898471977</v>
      </c>
      <c r="BL27" s="460">
        <f t="shared" si="102"/>
        <v>646.27429898471974</v>
      </c>
      <c r="BM27" s="173">
        <f t="shared" si="37"/>
        <v>0.13667499999999999</v>
      </c>
      <c r="BN27" s="173">
        <f t="shared" si="38"/>
        <v>2.4406249999999997E-2</v>
      </c>
      <c r="BO27" s="528"/>
      <c r="BQ27" s="460">
        <f t="shared" si="103"/>
        <v>161.08124999999998</v>
      </c>
      <c r="BR27" s="528">
        <f t="shared" si="39"/>
        <v>4.5400335224881653E-3</v>
      </c>
      <c r="BS27" s="528">
        <f t="shared" si="104"/>
        <v>1.4317109334654691E-2</v>
      </c>
      <c r="BT27" s="528">
        <f t="shared" si="40"/>
        <v>1.4391935634161786E-4</v>
      </c>
      <c r="BU27" s="528">
        <f t="shared" si="41"/>
        <v>0.2532124056033746</v>
      </c>
      <c r="BV27" s="528">
        <f t="shared" si="42"/>
        <v>0.27719508282922417</v>
      </c>
      <c r="BW27" s="625">
        <f t="shared" si="43"/>
        <v>3.2999999999999995E-3</v>
      </c>
      <c r="BX27" s="460">
        <f t="shared" si="105"/>
        <v>280.4950828292242</v>
      </c>
      <c r="BY27" s="173">
        <f t="shared" si="106"/>
        <v>1.087850631813944</v>
      </c>
      <c r="BZ27" s="5">
        <f t="shared" si="107"/>
        <v>3.96</v>
      </c>
      <c r="CA27" s="173">
        <f t="shared" si="108"/>
        <v>0.78449230946775761</v>
      </c>
      <c r="CB27" s="5">
        <f t="shared" si="109"/>
        <v>78.449230946775756</v>
      </c>
      <c r="CC27">
        <f t="shared" si="110"/>
        <v>22</v>
      </c>
      <c r="CE27" s="562">
        <f t="shared" si="44"/>
        <v>-50</v>
      </c>
      <c r="CF27">
        <f t="shared" si="45"/>
        <v>-50</v>
      </c>
      <c r="CG27" s="173">
        <f t="shared" si="46"/>
        <v>0.33568277708167915</v>
      </c>
      <c r="CH27" s="173">
        <f t="shared" si="47"/>
        <v>0.11866263268248295</v>
      </c>
      <c r="CI27" s="170">
        <v>22</v>
      </c>
      <c r="CJ27" s="217">
        <f t="shared" si="133"/>
        <v>0.22</v>
      </c>
      <c r="CK27" s="217">
        <f t="shared" si="111"/>
        <v>5.5E-2</v>
      </c>
      <c r="CL27" s="217">
        <f t="shared" si="48"/>
        <v>3.52</v>
      </c>
      <c r="CM27" s="217">
        <f t="shared" si="134"/>
        <v>0.44</v>
      </c>
      <c r="CN27" s="541">
        <f t="shared" si="112"/>
        <v>24</v>
      </c>
      <c r="CO27" s="443">
        <f t="shared" si="49"/>
        <v>16.7</v>
      </c>
      <c r="CP27" s="443">
        <f t="shared" si="50"/>
        <v>40.700000000000003</v>
      </c>
      <c r="CQ27" s="443"/>
      <c r="CR27" s="217">
        <f t="shared" si="113"/>
        <v>0.40594059405940591</v>
      </c>
      <c r="CS27" s="172">
        <f t="shared" si="114"/>
        <v>21.650165016501649</v>
      </c>
      <c r="CT27" s="172">
        <f t="shared" si="51"/>
        <v>3.0445544554455446</v>
      </c>
      <c r="CU27" s="217">
        <f t="shared" si="52"/>
        <v>1.3531353135313531</v>
      </c>
      <c r="CV27" s="217">
        <f t="shared" si="53"/>
        <v>2.7062706270627062</v>
      </c>
      <c r="CW27" s="443">
        <f t="shared" si="54"/>
        <v>16</v>
      </c>
      <c r="CX27" s="217">
        <f t="shared" si="55"/>
        <v>0.81292682926829274</v>
      </c>
      <c r="CY27" s="217">
        <f t="shared" si="56"/>
        <v>0.40646341463414637</v>
      </c>
      <c r="CZ27" s="217">
        <f t="shared" si="57"/>
        <v>0.58413903899518038</v>
      </c>
      <c r="DA27" s="197">
        <f t="shared" si="58"/>
        <v>350</v>
      </c>
      <c r="DB27" s="443">
        <f t="shared" si="115"/>
        <v>350</v>
      </c>
      <c r="DD27" s="217">
        <f t="shared" si="59"/>
        <v>2.344682344682345</v>
      </c>
      <c r="DE27" s="173">
        <f t="shared" si="60"/>
        <v>1.6848016848016851</v>
      </c>
      <c r="DF27" s="173">
        <f t="shared" si="61"/>
        <v>0.69130683381297664</v>
      </c>
      <c r="DG27" s="173"/>
      <c r="DH27" s="173">
        <f t="shared" si="62"/>
        <v>0.71856287425149712</v>
      </c>
      <c r="DI27" s="545">
        <f t="shared" si="63"/>
        <v>612.33333333333326</v>
      </c>
      <c r="DJ27" s="528">
        <f t="shared" si="64"/>
        <v>0.125748502994012</v>
      </c>
      <c r="DL27" s="173">
        <f t="shared" si="65"/>
        <v>1.3732131246511903</v>
      </c>
      <c r="DM27" s="173">
        <f t="shared" si="66"/>
        <v>1.3732131246511903</v>
      </c>
      <c r="DN27" s="173">
        <f t="shared" si="67"/>
        <v>1.4764541664082891</v>
      </c>
      <c r="DP27" s="545">
        <f t="shared" si="68"/>
        <v>220</v>
      </c>
      <c r="DQ27" s="460">
        <f t="shared" si="69"/>
        <v>350</v>
      </c>
      <c r="DS27">
        <f t="shared" si="116"/>
        <v>220</v>
      </c>
      <c r="DT27" s="460">
        <f t="shared" si="70"/>
        <v>350</v>
      </c>
      <c r="DU27" s="460"/>
      <c r="DV27" s="5">
        <f t="shared" si="117"/>
        <v>2.8571428571428572</v>
      </c>
      <c r="DW27" s="5">
        <f t="shared" si="71"/>
        <v>0.68660656232559514</v>
      </c>
      <c r="DX27" s="5">
        <f t="shared" si="118"/>
        <v>2.170536294817262</v>
      </c>
      <c r="DY27" s="173">
        <f t="shared" si="119"/>
        <v>0.2403122968139583</v>
      </c>
      <c r="EA27" s="5">
        <f t="shared" si="72"/>
        <v>0.94408402319769336</v>
      </c>
      <c r="EB27" s="5">
        <f t="shared" si="73"/>
        <v>0.47204201159884668</v>
      </c>
      <c r="EC27" s="5">
        <f t="shared" si="74"/>
        <v>0.26528776936655418</v>
      </c>
      <c r="ED27" s="5"/>
      <c r="EE27" s="173">
        <f t="shared" si="120"/>
        <v>0.38865594516439717</v>
      </c>
      <c r="EF27" s="173">
        <f t="shared" si="75"/>
        <v>0.69102676131955809</v>
      </c>
      <c r="EG27" s="173">
        <f t="shared" si="76"/>
        <v>0.16970804285347968</v>
      </c>
      <c r="EH27" s="173"/>
      <c r="EI27" s="528">
        <f t="shared" si="77"/>
        <v>3.0210688742326182E-3</v>
      </c>
      <c r="EJ27" s="528">
        <f t="shared" si="78"/>
        <v>0.37166699825246796</v>
      </c>
      <c r="EK27" s="528">
        <f t="shared" si="79"/>
        <v>4.0250000000000001E-2</v>
      </c>
      <c r="EL27" s="528">
        <f t="shared" si="80"/>
        <v>0.28553746375000005</v>
      </c>
      <c r="EM27">
        <f t="shared" si="81"/>
        <v>1.0800000000000001E-2</v>
      </c>
      <c r="EN27" s="460">
        <f t="shared" si="121"/>
        <v>51.05</v>
      </c>
      <c r="EO27">
        <f t="shared" si="82"/>
        <v>0.71260272996264229</v>
      </c>
      <c r="EP27" s="460">
        <f t="shared" si="122"/>
        <v>712.60272996264234</v>
      </c>
      <c r="EQ27" s="173">
        <f t="shared" si="83"/>
        <v>0.13667499999999999</v>
      </c>
      <c r="ER27" s="173">
        <f t="shared" si="84"/>
        <v>2.4406249999999997E-2</v>
      </c>
      <c r="ES27" s="528"/>
      <c r="EU27" s="460">
        <f t="shared" si="123"/>
        <v>161.08124999999998</v>
      </c>
      <c r="EV27" s="528">
        <f t="shared" si="85"/>
        <v>4.531603311348927E-3</v>
      </c>
      <c r="EW27" s="528">
        <f t="shared" si="124"/>
        <v>1.4325539545793926E-2</v>
      </c>
      <c r="EX27" s="528">
        <f t="shared" si="86"/>
        <v>1.4400409904579247E-4</v>
      </c>
      <c r="EY27" s="528">
        <f t="shared" si="87"/>
        <v>0.2532124056033746</v>
      </c>
      <c r="EZ27" s="528">
        <f t="shared" si="88"/>
        <v>0.27719518995223502</v>
      </c>
      <c r="FA27" s="625">
        <f t="shared" si="89"/>
        <v>3.2999999999999995E-3</v>
      </c>
      <c r="FB27" s="460">
        <f t="shared" si="125"/>
        <v>280.49518995223502</v>
      </c>
      <c r="FC27" s="173">
        <f t="shared" si="126"/>
        <v>1.1541791699148773</v>
      </c>
      <c r="FD27" s="5">
        <f t="shared" si="127"/>
        <v>3.96</v>
      </c>
      <c r="FE27" s="173">
        <f t="shared" si="128"/>
        <v>0.7743178071068465</v>
      </c>
      <c r="FF27" s="5">
        <f t="shared" si="129"/>
        <v>77.431780710684649</v>
      </c>
      <c r="FG27">
        <f t="shared" si="130"/>
        <v>22</v>
      </c>
      <c r="FI27" s="562">
        <f t="shared" si="90"/>
        <v>-50</v>
      </c>
      <c r="FJ27">
        <f t="shared" si="91"/>
        <v>-50</v>
      </c>
      <c r="FL27">
        <f t="shared" si="92"/>
        <v>0.33568277708167915</v>
      </c>
    </row>
    <row r="28" spans="5:168">
      <c r="E28" s="170">
        <v>23</v>
      </c>
      <c r="F28" s="217">
        <f t="shared" si="131"/>
        <v>0.23</v>
      </c>
      <c r="G28" s="217">
        <f t="shared" si="93"/>
        <v>5.7500000000000002E-2</v>
      </c>
      <c r="H28" s="217">
        <f t="shared" si="0"/>
        <v>3.68</v>
      </c>
      <c r="I28" s="217">
        <f t="shared" si="132"/>
        <v>0.46</v>
      </c>
      <c r="J28" s="541">
        <f t="shared" si="1"/>
        <v>23.954433758075993</v>
      </c>
      <c r="K28" s="443">
        <f t="shared" si="2"/>
        <v>16.720103304632392</v>
      </c>
      <c r="L28" s="172">
        <f t="shared" si="3"/>
        <v>40.674537062708382</v>
      </c>
      <c r="M28" s="443"/>
      <c r="N28" s="217">
        <f t="shared" si="4"/>
        <v>0.41107052500326741</v>
      </c>
      <c r="O28" s="172">
        <f t="shared" si="94"/>
        <v>21.882137024640642</v>
      </c>
      <c r="P28" s="172">
        <f t="shared" si="5"/>
        <v>3.0771755190900905</v>
      </c>
      <c r="Q28" s="217">
        <f t="shared" si="6"/>
        <v>1.3676335640400401</v>
      </c>
      <c r="R28" s="217">
        <f t="shared" si="7"/>
        <v>2.7352671280800802</v>
      </c>
      <c r="S28" s="443">
        <f t="shared" si="8"/>
        <v>16</v>
      </c>
      <c r="T28" s="217">
        <f t="shared" si="9"/>
        <v>0.84086851203246105</v>
      </c>
      <c r="U28" s="217">
        <f t="shared" si="10"/>
        <v>0.42123400812960776</v>
      </c>
      <c r="V28" s="217">
        <f t="shared" si="11"/>
        <v>0.60349041872210973</v>
      </c>
      <c r="W28" s="197">
        <f t="shared" si="12"/>
        <v>350</v>
      </c>
      <c r="X28" s="443">
        <f t="shared" si="95"/>
        <v>350</v>
      </c>
      <c r="Z28" s="217">
        <f t="shared" si="13"/>
        <v>2.3445146812114972</v>
      </c>
      <c r="AA28" s="173">
        <f t="shared" si="14"/>
        <v>1.6826556428478074</v>
      </c>
      <c r="AB28" s="173">
        <f t="shared" si="15"/>
        <v>0.69037690016400954</v>
      </c>
      <c r="AC28" s="173"/>
      <c r="AD28" s="173">
        <f t="shared" si="16"/>
        <v>0.71769891497472615</v>
      </c>
      <c r="AE28" s="545">
        <f t="shared" si="17"/>
        <v>640.93729334424165</v>
      </c>
      <c r="AF28" s="528">
        <f t="shared" si="18"/>
        <v>0.12559731012057709</v>
      </c>
      <c r="AH28" s="173">
        <f t="shared" si="19"/>
        <v>1.4040757000349275</v>
      </c>
      <c r="AI28" s="173">
        <f t="shared" si="20"/>
        <v>1.4040757000349275</v>
      </c>
      <c r="AJ28" s="173">
        <f t="shared" si="21"/>
        <v>1.4993153333592055</v>
      </c>
      <c r="AL28" s="545">
        <f t="shared" si="22"/>
        <v>230</v>
      </c>
      <c r="AM28" s="460">
        <f t="shared" si="23"/>
        <v>350</v>
      </c>
      <c r="AO28">
        <f t="shared" si="96"/>
        <v>230</v>
      </c>
      <c r="AP28" s="460">
        <f t="shared" si="24"/>
        <v>350</v>
      </c>
      <c r="AQ28" s="460"/>
      <c r="AR28" s="5">
        <f t="shared" si="97"/>
        <v>2.8571428571428572</v>
      </c>
      <c r="AS28" s="5">
        <f t="shared" si="25"/>
        <v>0.70337326987488047</v>
      </c>
      <c r="AT28" s="5">
        <f t="shared" si="98"/>
        <v>2.153769587267977</v>
      </c>
      <c r="AU28" s="173">
        <f t="shared" si="99"/>
        <v>0.24618064445620816</v>
      </c>
      <c r="AW28" s="5">
        <f t="shared" si="26"/>
        <v>1.0110990754451408</v>
      </c>
      <c r="AX28" s="5">
        <f t="shared" si="27"/>
        <v>0.50554953772257039</v>
      </c>
      <c r="AY28" s="5">
        <f t="shared" si="28"/>
        <v>0.27572738590526508</v>
      </c>
      <c r="AZ28" s="5"/>
      <c r="BA28" s="173">
        <f t="shared" si="100"/>
        <v>0.40221368956218106</v>
      </c>
      <c r="BB28" s="173">
        <f t="shared" si="29"/>
        <v>0.70382313479427117</v>
      </c>
      <c r="BC28" s="173">
        <f t="shared" si="30"/>
        <v>0.17285068163329892</v>
      </c>
      <c r="BD28" s="173"/>
      <c r="BE28" s="528">
        <f t="shared" si="31"/>
        <v>3.2355170414244509E-3</v>
      </c>
      <c r="BF28" s="528">
        <f t="shared" si="32"/>
        <v>0.36479094962573189</v>
      </c>
      <c r="BG28" s="528">
        <f t="shared" si="33"/>
        <v>0.19283319175251176</v>
      </c>
      <c r="BH28" s="528">
        <f t="shared" si="34"/>
        <v>0.28518029676266432</v>
      </c>
      <c r="BI28">
        <f t="shared" si="35"/>
        <v>1.0779495191134197E-2</v>
      </c>
      <c r="BJ28" s="460">
        <f t="shared" si="101"/>
        <v>203.61268694364594</v>
      </c>
      <c r="BK28">
        <f t="shared" si="36"/>
        <v>0.65458356994283673</v>
      </c>
      <c r="BL28" s="460">
        <f t="shared" si="102"/>
        <v>654.58356994283668</v>
      </c>
      <c r="BM28" s="173">
        <f t="shared" si="37"/>
        <v>0.1428875</v>
      </c>
      <c r="BN28" s="173">
        <f t="shared" si="38"/>
        <v>2.5515625E-2</v>
      </c>
      <c r="BO28" s="528"/>
      <c r="BQ28" s="460">
        <f t="shared" si="103"/>
        <v>168.40312499999999</v>
      </c>
      <c r="BR28" s="528">
        <f t="shared" si="39"/>
        <v>4.8532755621366764E-3</v>
      </c>
      <c r="BS28" s="528">
        <f t="shared" si="104"/>
        <v>1.4861010152149043E-2</v>
      </c>
      <c r="BT28" s="528">
        <f t="shared" si="40"/>
        <v>1.4938679070548031E-4</v>
      </c>
      <c r="BU28" s="528">
        <f t="shared" si="41"/>
        <v>0.26768030791751679</v>
      </c>
      <c r="BV28" s="528">
        <f t="shared" si="42"/>
        <v>0.2927765111624967</v>
      </c>
      <c r="BW28" s="625">
        <f t="shared" si="43"/>
        <v>3.4500000000000004E-3</v>
      </c>
      <c r="BX28" s="460">
        <f t="shared" si="105"/>
        <v>296.22651116249671</v>
      </c>
      <c r="BY28" s="173">
        <f t="shared" si="106"/>
        <v>1.1192132061053335</v>
      </c>
      <c r="BZ28" s="5">
        <f t="shared" si="107"/>
        <v>4.1400000000000006</v>
      </c>
      <c r="CA28" s="173">
        <f t="shared" si="108"/>
        <v>0.78718999168809933</v>
      </c>
      <c r="CB28" s="5">
        <f t="shared" si="109"/>
        <v>78.71899916880993</v>
      </c>
      <c r="CC28">
        <f t="shared" si="110"/>
        <v>23</v>
      </c>
      <c r="CE28" s="562">
        <f t="shared" si="44"/>
        <v>-50</v>
      </c>
      <c r="CF28">
        <f t="shared" si="45"/>
        <v>-50</v>
      </c>
      <c r="CG28" s="173">
        <f t="shared" si="46"/>
        <v>0.34322715226039519</v>
      </c>
      <c r="CH28" s="173">
        <f t="shared" si="47"/>
        <v>0.12132954168637561</v>
      </c>
      <c r="CI28" s="170">
        <v>23</v>
      </c>
      <c r="CJ28" s="217">
        <f t="shared" si="133"/>
        <v>0.23</v>
      </c>
      <c r="CK28" s="217">
        <f t="shared" si="111"/>
        <v>5.7500000000000002E-2</v>
      </c>
      <c r="CL28" s="217">
        <f t="shared" si="48"/>
        <v>3.68</v>
      </c>
      <c r="CM28" s="217">
        <f t="shared" si="134"/>
        <v>0.46</v>
      </c>
      <c r="CN28" s="541">
        <f t="shared" si="112"/>
        <v>24</v>
      </c>
      <c r="CO28" s="443">
        <f t="shared" si="49"/>
        <v>16.7</v>
      </c>
      <c r="CP28" s="443">
        <f t="shared" si="50"/>
        <v>40.700000000000003</v>
      </c>
      <c r="CQ28" s="443"/>
      <c r="CR28" s="217">
        <f t="shared" si="113"/>
        <v>0.40594059405940591</v>
      </c>
      <c r="CS28" s="172">
        <f t="shared" si="114"/>
        <v>21.650165016501649</v>
      </c>
      <c r="CT28" s="172">
        <f t="shared" si="51"/>
        <v>3.0445544554455446</v>
      </c>
      <c r="CU28" s="217">
        <f t="shared" si="52"/>
        <v>1.3531353135313531</v>
      </c>
      <c r="CV28" s="217">
        <f t="shared" si="53"/>
        <v>2.7062706270627062</v>
      </c>
      <c r="CW28" s="443">
        <f t="shared" si="54"/>
        <v>16</v>
      </c>
      <c r="CX28" s="217">
        <f t="shared" si="55"/>
        <v>0.84987804878048789</v>
      </c>
      <c r="CY28" s="217">
        <f t="shared" si="56"/>
        <v>0.42493902439024395</v>
      </c>
      <c r="CZ28" s="217">
        <f t="shared" si="57"/>
        <v>0.61069081349496135</v>
      </c>
      <c r="DA28" s="197">
        <f t="shared" si="58"/>
        <v>350</v>
      </c>
      <c r="DB28" s="443">
        <f t="shared" si="115"/>
        <v>350</v>
      </c>
      <c r="DD28" s="217">
        <f t="shared" si="59"/>
        <v>2.344682344682345</v>
      </c>
      <c r="DE28" s="173">
        <f t="shared" si="60"/>
        <v>1.6848016848016851</v>
      </c>
      <c r="DF28" s="173">
        <f t="shared" si="61"/>
        <v>0.69130683381297664</v>
      </c>
      <c r="DG28" s="173"/>
      <c r="DH28" s="173">
        <f t="shared" si="62"/>
        <v>0.71856287425149712</v>
      </c>
      <c r="DI28" s="545">
        <f t="shared" si="63"/>
        <v>640.16666666666663</v>
      </c>
      <c r="DJ28" s="528">
        <f t="shared" si="64"/>
        <v>0.125748502994012</v>
      </c>
      <c r="DL28" s="173">
        <f t="shared" si="65"/>
        <v>1.4040757000349275</v>
      </c>
      <c r="DM28" s="173">
        <f t="shared" si="66"/>
        <v>1.4040757000349275</v>
      </c>
      <c r="DN28" s="173">
        <f t="shared" si="67"/>
        <v>1.4993153333592055</v>
      </c>
      <c r="DP28" s="545">
        <f t="shared" si="68"/>
        <v>230</v>
      </c>
      <c r="DQ28" s="460">
        <f t="shared" si="69"/>
        <v>350</v>
      </c>
      <c r="DS28">
        <f t="shared" si="116"/>
        <v>230</v>
      </c>
      <c r="DT28" s="460">
        <f t="shared" si="70"/>
        <v>350</v>
      </c>
      <c r="DU28" s="460"/>
      <c r="DV28" s="5">
        <f t="shared" si="117"/>
        <v>2.8571428571428572</v>
      </c>
      <c r="DW28" s="5">
        <f t="shared" si="71"/>
        <v>0.70203785001746377</v>
      </c>
      <c r="DX28" s="5">
        <f t="shared" si="118"/>
        <v>2.1551050071253934</v>
      </c>
      <c r="DY28" s="173">
        <f t="shared" si="119"/>
        <v>0.24571324750611231</v>
      </c>
      <c r="EA28" s="5">
        <f t="shared" si="72"/>
        <v>1.0091794094001043</v>
      </c>
      <c r="EB28" s="5">
        <f t="shared" si="73"/>
        <v>0.50458970470005216</v>
      </c>
      <c r="EC28" s="5">
        <f t="shared" si="74"/>
        <v>0.27537452868824469</v>
      </c>
      <c r="ED28" s="5"/>
      <c r="EE28" s="173">
        <f t="shared" si="120"/>
        <v>0.40183168802872765</v>
      </c>
      <c r="EF28" s="173">
        <f t="shared" si="75"/>
        <v>0.70404129966845019</v>
      </c>
      <c r="EG28" s="173">
        <f t="shared" si="76"/>
        <v>0.1729042603597517</v>
      </c>
      <c r="EH28" s="173"/>
      <c r="EI28" s="528">
        <f t="shared" si="77"/>
        <v>3.2293741100803343E-3</v>
      </c>
      <c r="EJ28" s="528">
        <f t="shared" si="78"/>
        <v>0.38002010859295343</v>
      </c>
      <c r="EK28" s="528">
        <f t="shared" si="79"/>
        <v>4.0250000000000001E-2</v>
      </c>
      <c r="EL28" s="528">
        <f t="shared" si="80"/>
        <v>0.28553746375000005</v>
      </c>
      <c r="EM28">
        <f t="shared" si="81"/>
        <v>1.0800000000000001E-2</v>
      </c>
      <c r="EN28" s="460">
        <f t="shared" si="121"/>
        <v>51.05</v>
      </c>
      <c r="EO28">
        <f t="shared" si="82"/>
        <v>0.72126230151356863</v>
      </c>
      <c r="EP28" s="460">
        <f t="shared" si="122"/>
        <v>721.26230151356867</v>
      </c>
      <c r="EQ28" s="173">
        <f t="shared" si="83"/>
        <v>0.1428875</v>
      </c>
      <c r="ER28" s="173">
        <f t="shared" si="84"/>
        <v>2.5515625E-2</v>
      </c>
      <c r="ES28" s="528"/>
      <c r="EU28" s="460">
        <f t="shared" si="123"/>
        <v>168.40312499999999</v>
      </c>
      <c r="EV28" s="528">
        <f t="shared" si="85"/>
        <v>4.8440611651205008E-3</v>
      </c>
      <c r="EW28" s="528">
        <f t="shared" si="124"/>
        <v>1.4870224549165215E-2</v>
      </c>
      <c r="EX28" s="528">
        <f t="shared" si="86"/>
        <v>1.4947941625276402E-4</v>
      </c>
      <c r="EY28" s="528">
        <f t="shared" si="87"/>
        <v>0.26768030791751679</v>
      </c>
      <c r="EZ28" s="528">
        <f t="shared" si="88"/>
        <v>0.29277662837392293</v>
      </c>
      <c r="FA28" s="625">
        <f t="shared" si="89"/>
        <v>3.4500000000000004E-3</v>
      </c>
      <c r="FB28" s="460">
        <f t="shared" si="125"/>
        <v>296.22662837392295</v>
      </c>
      <c r="FC28" s="173">
        <f t="shared" si="126"/>
        <v>1.1858920548874916</v>
      </c>
      <c r="FD28" s="5">
        <f t="shared" si="127"/>
        <v>4.1400000000000006</v>
      </c>
      <c r="FE28" s="173">
        <f t="shared" si="128"/>
        <v>0.77733456805621581</v>
      </c>
      <c r="FF28" s="5">
        <f t="shared" si="129"/>
        <v>77.733456805621586</v>
      </c>
      <c r="FG28">
        <f t="shared" si="130"/>
        <v>23</v>
      </c>
      <c r="FI28" s="562">
        <f t="shared" si="90"/>
        <v>-50</v>
      </c>
      <c r="FJ28">
        <f t="shared" si="91"/>
        <v>-50</v>
      </c>
      <c r="FL28">
        <f t="shared" si="92"/>
        <v>0.34322715226039519</v>
      </c>
    </row>
    <row r="29" spans="5:168">
      <c r="E29" s="170">
        <v>24</v>
      </c>
      <c r="F29" s="217">
        <f t="shared" si="131"/>
        <v>0.24</v>
      </c>
      <c r="G29" s="217">
        <f t="shared" si="93"/>
        <v>0.06</v>
      </c>
      <c r="H29" s="217">
        <f t="shared" si="0"/>
        <v>3.84</v>
      </c>
      <c r="I29" s="217">
        <f t="shared" si="132"/>
        <v>0.48</v>
      </c>
      <c r="J29" s="541">
        <f t="shared" si="1"/>
        <v>23.953453726776068</v>
      </c>
      <c r="K29" s="443">
        <f t="shared" si="2"/>
        <v>16.720535683229791</v>
      </c>
      <c r="L29" s="172">
        <f t="shared" si="3"/>
        <v>40.673989410005859</v>
      </c>
      <c r="M29" s="443"/>
      <c r="N29" s="217">
        <f t="shared" si="4"/>
        <v>0.41108669018624749</v>
      </c>
      <c r="O29" s="172">
        <f t="shared" si="94"/>
        <v>21.882102246821798</v>
      </c>
      <c r="P29" s="172">
        <f t="shared" si="5"/>
        <v>3.0771706284593154</v>
      </c>
      <c r="Q29" s="217">
        <f t="shared" si="6"/>
        <v>1.3676313904263624</v>
      </c>
      <c r="R29" s="217">
        <f t="shared" si="7"/>
        <v>2.7352627808527248</v>
      </c>
      <c r="S29" s="443">
        <f t="shared" si="8"/>
        <v>16</v>
      </c>
      <c r="T29" s="217">
        <f t="shared" si="9"/>
        <v>0.87742940707575978</v>
      </c>
      <c r="U29" s="217">
        <f t="shared" si="10"/>
        <v>0.43956721252014008</v>
      </c>
      <c r="V29" s="217">
        <f t="shared" si="11"/>
        <v>0.62971384914835893</v>
      </c>
      <c r="W29" s="197">
        <f t="shared" si="12"/>
        <v>350</v>
      </c>
      <c r="X29" s="443">
        <f t="shared" si="95"/>
        <v>350</v>
      </c>
      <c r="Z29" s="217">
        <f t="shared" si="13"/>
        <v>2.3445109550166214</v>
      </c>
      <c r="AA29" s="173">
        <f t="shared" si="14"/>
        <v>1.6826094566107215</v>
      </c>
      <c r="AB29" s="173">
        <f t="shared" si="15"/>
        <v>0.69035685320672013</v>
      </c>
      <c r="AC29" s="173"/>
      <c r="AD29" s="173">
        <f t="shared" si="16"/>
        <v>0.71768035590125556</v>
      </c>
      <c r="AE29" s="545">
        <f t="shared" si="17"/>
        <v>668.82142732919158</v>
      </c>
      <c r="AF29" s="528">
        <f t="shared" si="18"/>
        <v>0.12559406228271974</v>
      </c>
      <c r="AH29" s="173">
        <f t="shared" si="19"/>
        <v>1.4342743312012725</v>
      </c>
      <c r="AI29" s="173">
        <f t="shared" si="20"/>
        <v>1.4342743312012725</v>
      </c>
      <c r="AJ29" s="173">
        <f t="shared" si="21"/>
        <v>1.5216846897787204</v>
      </c>
      <c r="AL29" s="545">
        <f t="shared" si="22"/>
        <v>240</v>
      </c>
      <c r="AM29" s="460">
        <f t="shared" si="23"/>
        <v>350</v>
      </c>
      <c r="AO29">
        <f t="shared" si="96"/>
        <v>240</v>
      </c>
      <c r="AP29" s="460">
        <f t="shared" si="24"/>
        <v>350</v>
      </c>
      <c r="AQ29" s="460"/>
      <c r="AR29" s="5">
        <f t="shared" si="97"/>
        <v>2.8571428571428572</v>
      </c>
      <c r="AS29" s="5">
        <f t="shared" si="25"/>
        <v>0.71853070420387188</v>
      </c>
      <c r="AT29" s="5">
        <f t="shared" si="98"/>
        <v>2.1386121529389852</v>
      </c>
      <c r="AU29" s="173">
        <f t="shared" si="99"/>
        <v>0.25148574647135513</v>
      </c>
      <c r="AW29" s="5">
        <f t="shared" si="26"/>
        <v>1.0777960563058078</v>
      </c>
      <c r="AX29" s="5">
        <f t="shared" si="27"/>
        <v>0.53889802815290389</v>
      </c>
      <c r="AY29" s="5">
        <f t="shared" si="28"/>
        <v>0.28570238628072098</v>
      </c>
      <c r="AZ29" s="5"/>
      <c r="BA29" s="173">
        <f t="shared" si="100"/>
        <v>0.41526782804465995</v>
      </c>
      <c r="BB29" s="173">
        <f t="shared" si="29"/>
        <v>0.71642649078977849</v>
      </c>
      <c r="BC29" s="173">
        <f t="shared" si="30"/>
        <v>0.1759459175910191</v>
      </c>
      <c r="BD29" s="173"/>
      <c r="BE29" s="528">
        <f t="shared" si="31"/>
        <v>3.4489473801785852E-3</v>
      </c>
      <c r="BF29" s="528">
        <f t="shared" si="32"/>
        <v>0.37263179659629325</v>
      </c>
      <c r="BG29" s="528">
        <f t="shared" si="33"/>
        <v>0.19282530250054736</v>
      </c>
      <c r="BH29" s="528">
        <f t="shared" si="34"/>
        <v>0.28517261732879323</v>
      </c>
      <c r="BI29">
        <f t="shared" si="35"/>
        <v>1.0779054177049231E-2</v>
      </c>
      <c r="BJ29" s="460">
        <f t="shared" si="101"/>
        <v>203.60435667759657</v>
      </c>
      <c r="BK29">
        <f t="shared" si="36"/>
        <v>0.6627276624675662</v>
      </c>
      <c r="BL29" s="460">
        <f t="shared" si="102"/>
        <v>662.72766246756623</v>
      </c>
      <c r="BM29" s="173">
        <f t="shared" si="37"/>
        <v>0.14909999999999998</v>
      </c>
      <c r="BN29" s="173">
        <f t="shared" si="38"/>
        <v>2.6624999999999999E-2</v>
      </c>
      <c r="BO29" s="528"/>
      <c r="BQ29" s="460">
        <f t="shared" si="103"/>
        <v>175.72499999999999</v>
      </c>
      <c r="BR29" s="528">
        <f t="shared" si="39"/>
        <v>5.1734210702678776E-3</v>
      </c>
      <c r="BS29" s="528">
        <f t="shared" si="104"/>
        <v>1.5398007501160695E-2</v>
      </c>
      <c r="BT29" s="528">
        <f t="shared" si="40"/>
        <v>1.5478482958472843E-4</v>
      </c>
      <c r="BU29" s="528">
        <f t="shared" si="41"/>
        <v>0.28230637167362993</v>
      </c>
      <c r="BV29" s="528">
        <f t="shared" si="42"/>
        <v>0.30851842979601424</v>
      </c>
      <c r="BW29" s="625">
        <f t="shared" si="43"/>
        <v>3.6000000000000003E-3</v>
      </c>
      <c r="BX29" s="460">
        <f t="shared" si="105"/>
        <v>312.11842979601425</v>
      </c>
      <c r="BY29" s="173">
        <f t="shared" si="106"/>
        <v>1.1505710922635806</v>
      </c>
      <c r="BZ29" s="5">
        <f t="shared" si="107"/>
        <v>4.32</v>
      </c>
      <c r="CA29" s="173">
        <f t="shared" si="108"/>
        <v>0.78967989395280769</v>
      </c>
      <c r="CB29" s="5">
        <f t="shared" si="109"/>
        <v>78.967989395280767</v>
      </c>
      <c r="CC29">
        <f t="shared" si="110"/>
        <v>24</v>
      </c>
      <c r="CE29" s="562">
        <f t="shared" si="44"/>
        <v>-50</v>
      </c>
      <c r="CF29">
        <f t="shared" si="45"/>
        <v>-50</v>
      </c>
      <c r="CG29" s="173">
        <f t="shared" si="46"/>
        <v>0.35060922587446658</v>
      </c>
      <c r="CH29" s="173">
        <f t="shared" si="47"/>
        <v>0.12393907768139167</v>
      </c>
      <c r="CI29" s="170">
        <v>24</v>
      </c>
      <c r="CJ29" s="217">
        <f t="shared" si="133"/>
        <v>0.24</v>
      </c>
      <c r="CK29" s="217">
        <f t="shared" si="111"/>
        <v>0.06</v>
      </c>
      <c r="CL29" s="217">
        <f t="shared" si="48"/>
        <v>3.84</v>
      </c>
      <c r="CM29" s="217">
        <f t="shared" si="134"/>
        <v>0.48</v>
      </c>
      <c r="CN29" s="541">
        <f t="shared" si="112"/>
        <v>24</v>
      </c>
      <c r="CO29" s="443">
        <f t="shared" si="49"/>
        <v>16.7</v>
      </c>
      <c r="CP29" s="443">
        <f t="shared" si="50"/>
        <v>40.700000000000003</v>
      </c>
      <c r="CQ29" s="443"/>
      <c r="CR29" s="217">
        <f t="shared" si="113"/>
        <v>0.40594059405940591</v>
      </c>
      <c r="CS29" s="172">
        <f t="shared" si="114"/>
        <v>21.650165016501649</v>
      </c>
      <c r="CT29" s="172">
        <f t="shared" si="51"/>
        <v>3.0445544554455446</v>
      </c>
      <c r="CU29" s="217">
        <f t="shared" si="52"/>
        <v>1.3531353135313531</v>
      </c>
      <c r="CV29" s="217">
        <f t="shared" si="53"/>
        <v>2.7062706270627062</v>
      </c>
      <c r="CW29" s="443">
        <f t="shared" si="54"/>
        <v>16</v>
      </c>
      <c r="CX29" s="217">
        <f t="shared" si="55"/>
        <v>0.88682926829268305</v>
      </c>
      <c r="CY29" s="217">
        <f t="shared" si="56"/>
        <v>0.44341463414634152</v>
      </c>
      <c r="CZ29" s="217">
        <f t="shared" si="57"/>
        <v>0.63724258799474243</v>
      </c>
      <c r="DA29" s="197">
        <f t="shared" si="58"/>
        <v>350</v>
      </c>
      <c r="DB29" s="443">
        <f t="shared" si="115"/>
        <v>350</v>
      </c>
      <c r="DD29" s="217">
        <f t="shared" si="59"/>
        <v>2.344682344682345</v>
      </c>
      <c r="DE29" s="173">
        <f t="shared" si="60"/>
        <v>1.6848016848016851</v>
      </c>
      <c r="DF29" s="173">
        <f t="shared" si="61"/>
        <v>0.69130683381297664</v>
      </c>
      <c r="DG29" s="173"/>
      <c r="DH29" s="173">
        <f t="shared" si="62"/>
        <v>0.71856287425149712</v>
      </c>
      <c r="DI29" s="545">
        <f t="shared" si="63"/>
        <v>667.99999999999989</v>
      </c>
      <c r="DJ29" s="528">
        <f t="shared" si="64"/>
        <v>0.125748502994012</v>
      </c>
      <c r="DL29" s="173">
        <f t="shared" si="65"/>
        <v>1.4342743312012725</v>
      </c>
      <c r="DM29" s="173">
        <f t="shared" si="66"/>
        <v>1.4342743312012725</v>
      </c>
      <c r="DN29" s="173">
        <f t="shared" si="67"/>
        <v>1.5216846897787204</v>
      </c>
      <c r="DP29" s="545">
        <f t="shared" si="68"/>
        <v>240</v>
      </c>
      <c r="DQ29" s="460">
        <f t="shared" si="69"/>
        <v>350</v>
      </c>
      <c r="DS29">
        <f t="shared" si="116"/>
        <v>240</v>
      </c>
      <c r="DT29" s="460">
        <f t="shared" si="70"/>
        <v>350</v>
      </c>
      <c r="DU29" s="460"/>
      <c r="DV29" s="5">
        <f t="shared" si="117"/>
        <v>2.8571428571428572</v>
      </c>
      <c r="DW29" s="5">
        <f t="shared" si="71"/>
        <v>0.71713716560063612</v>
      </c>
      <c r="DX29" s="5">
        <f t="shared" si="118"/>
        <v>2.1400056915422212</v>
      </c>
      <c r="DY29" s="173">
        <f t="shared" si="119"/>
        <v>0.25099800796022265</v>
      </c>
      <c r="EA29" s="5">
        <f t="shared" si="72"/>
        <v>1.0757057484009542</v>
      </c>
      <c r="EB29" s="5">
        <f t="shared" si="73"/>
        <v>0.53785287420047712</v>
      </c>
      <c r="EC29" s="5">
        <f t="shared" si="74"/>
        <v>0.28533409220562944</v>
      </c>
      <c r="ED29" s="5"/>
      <c r="EE29" s="173">
        <f t="shared" si="120"/>
        <v>0.41486494157032927</v>
      </c>
      <c r="EF29" s="173">
        <f t="shared" si="75"/>
        <v>0.71665986769884993</v>
      </c>
      <c r="EG29" s="173">
        <f t="shared" si="76"/>
        <v>0.17600323221427636</v>
      </c>
      <c r="EH29" s="173"/>
      <c r="EI29" s="528">
        <f t="shared" si="77"/>
        <v>3.4422583948830543E-3</v>
      </c>
      <c r="EJ29" s="528">
        <f t="shared" si="78"/>
        <v>0.38819351911128047</v>
      </c>
      <c r="EK29" s="528">
        <f t="shared" si="79"/>
        <v>4.0250000000000001E-2</v>
      </c>
      <c r="EL29" s="528">
        <f t="shared" si="80"/>
        <v>0.28553746375000005</v>
      </c>
      <c r="EM29">
        <f t="shared" si="81"/>
        <v>1.0800000000000001E-2</v>
      </c>
      <c r="EN29" s="460">
        <f t="shared" si="121"/>
        <v>51.05</v>
      </c>
      <c r="EO29">
        <f t="shared" si="82"/>
        <v>0.72974949897693198</v>
      </c>
      <c r="EP29" s="460">
        <f t="shared" si="122"/>
        <v>729.74949897693193</v>
      </c>
      <c r="EQ29" s="173">
        <f t="shared" si="83"/>
        <v>0.14909999999999998</v>
      </c>
      <c r="ER29" s="173">
        <f t="shared" si="84"/>
        <v>2.6624999999999999E-2</v>
      </c>
      <c r="ES29" s="528"/>
      <c r="EU29" s="460">
        <f t="shared" si="123"/>
        <v>175.72499999999999</v>
      </c>
      <c r="EV29" s="528">
        <f t="shared" si="85"/>
        <v>5.1633875923245811E-3</v>
      </c>
      <c r="EW29" s="528">
        <f t="shared" si="124"/>
        <v>1.5408040979103992E-2</v>
      </c>
      <c r="EX29" s="528">
        <f t="shared" si="86"/>
        <v>1.5488568874936243E-4</v>
      </c>
      <c r="EY29" s="528">
        <f t="shared" si="87"/>
        <v>0.28230637167362993</v>
      </c>
      <c r="EZ29" s="528">
        <f t="shared" si="88"/>
        <v>0.30851855756258167</v>
      </c>
      <c r="FA29" s="625">
        <f t="shared" si="89"/>
        <v>3.6000000000000003E-3</v>
      </c>
      <c r="FB29" s="460">
        <f t="shared" si="125"/>
        <v>312.11855756258166</v>
      </c>
      <c r="FC29" s="173">
        <f t="shared" si="126"/>
        <v>1.2175930565395137</v>
      </c>
      <c r="FD29" s="5">
        <f t="shared" si="127"/>
        <v>4.32</v>
      </c>
      <c r="FE29" s="173">
        <f t="shared" si="128"/>
        <v>0.78012233038655299</v>
      </c>
      <c r="FF29" s="5">
        <f t="shared" si="129"/>
        <v>78.012233038655296</v>
      </c>
      <c r="FG29">
        <f t="shared" si="130"/>
        <v>24</v>
      </c>
      <c r="FI29" s="562">
        <f t="shared" si="90"/>
        <v>-50</v>
      </c>
      <c r="FJ29">
        <f t="shared" si="91"/>
        <v>-50</v>
      </c>
      <c r="FL29">
        <f t="shared" si="92"/>
        <v>0.35060922587446652</v>
      </c>
    </row>
    <row r="30" spans="5:168">
      <c r="E30" s="170">
        <v>25</v>
      </c>
      <c r="F30" s="217">
        <f t="shared" si="131"/>
        <v>0.25</v>
      </c>
      <c r="G30" s="217">
        <f t="shared" si="93"/>
        <v>6.25E-2</v>
      </c>
      <c r="H30" s="217">
        <f t="shared" si="0"/>
        <v>4</v>
      </c>
      <c r="I30" s="217">
        <f t="shared" si="132"/>
        <v>0.5</v>
      </c>
      <c r="J30" s="541">
        <f t="shared" si="1"/>
        <v>23.952493908822166</v>
      </c>
      <c r="K30" s="443">
        <f t="shared" si="2"/>
        <v>16.720959143930173</v>
      </c>
      <c r="L30" s="172">
        <f t="shared" si="3"/>
        <v>40.673453052752336</v>
      </c>
      <c r="M30" s="443"/>
      <c r="N30" s="217">
        <f t="shared" si="4"/>
        <v>0.41110252238096318</v>
      </c>
      <c r="O30" s="172">
        <f t="shared" si="94"/>
        <v>21.882068140514331</v>
      </c>
      <c r="P30" s="172">
        <f t="shared" si="5"/>
        <v>3.0771658322598276</v>
      </c>
      <c r="Q30" s="217">
        <f t="shared" si="6"/>
        <v>1.3676292587821457</v>
      </c>
      <c r="R30" s="217">
        <f t="shared" si="7"/>
        <v>2.7352585175642914</v>
      </c>
      <c r="S30" s="443">
        <f t="shared" si="8"/>
        <v>16</v>
      </c>
      <c r="T30" s="217">
        <f t="shared" si="9"/>
        <v>0.9139903902853812</v>
      </c>
      <c r="U30" s="217">
        <f t="shared" si="10"/>
        <v>0.45790157489132643</v>
      </c>
      <c r="V30" s="217">
        <f t="shared" si="11"/>
        <v>0.6559363364873716</v>
      </c>
      <c r="W30" s="197">
        <f t="shared" si="12"/>
        <v>350</v>
      </c>
      <c r="X30" s="443">
        <f t="shared" si="95"/>
        <v>350</v>
      </c>
      <c r="Z30" s="217">
        <f t="shared" si="13"/>
        <v>2.3445073007693926</v>
      </c>
      <c r="AA30" s="173">
        <f t="shared" si="14"/>
        <v>1.6825642217686767</v>
      </c>
      <c r="AB30" s="173">
        <f t="shared" si="15"/>
        <v>0.69033721784125601</v>
      </c>
      <c r="AC30" s="173"/>
      <c r="AD30" s="173">
        <f t="shared" si="16"/>
        <v>0.71766218054280018</v>
      </c>
      <c r="AE30" s="545">
        <f t="shared" si="17"/>
        <v>696.70663099709043</v>
      </c>
      <c r="AF30" s="528">
        <f t="shared" si="18"/>
        <v>0.12559088159499004</v>
      </c>
      <c r="AH30" s="173">
        <f t="shared" si="19"/>
        <v>1.4638501094227998</v>
      </c>
      <c r="AI30" s="173">
        <f t="shared" si="20"/>
        <v>1.4638501094227998</v>
      </c>
      <c r="AJ30" s="173">
        <f t="shared" si="21"/>
        <v>1.5435926736465184</v>
      </c>
      <c r="AL30" s="545">
        <f t="shared" si="22"/>
        <v>250</v>
      </c>
      <c r="AM30" s="460">
        <f t="shared" si="23"/>
        <v>350</v>
      </c>
      <c r="AO30">
        <f t="shared" si="96"/>
        <v>250</v>
      </c>
      <c r="AP30" s="460">
        <f t="shared" si="24"/>
        <v>350</v>
      </c>
      <c r="AQ30" s="460"/>
      <c r="AR30" s="5">
        <f t="shared" si="97"/>
        <v>2.8571428571428572</v>
      </c>
      <c r="AS30" s="5">
        <f t="shared" si="25"/>
        <v>0.73337671559134077</v>
      </c>
      <c r="AT30" s="5">
        <f t="shared" si="98"/>
        <v>2.1237661415515166</v>
      </c>
      <c r="AU30" s="173">
        <f t="shared" si="99"/>
        <v>0.25668185045696928</v>
      </c>
      <c r="AW30" s="5">
        <f t="shared" si="26"/>
        <v>1.14590111811147</v>
      </c>
      <c r="AX30" s="5">
        <f t="shared" si="27"/>
        <v>0.572950559055735</v>
      </c>
      <c r="AY30" s="5">
        <f t="shared" si="28"/>
        <v>0.2955525424110837</v>
      </c>
      <c r="AZ30" s="5"/>
      <c r="BA30" s="173">
        <f t="shared" si="100"/>
        <v>0.42818708399230726</v>
      </c>
      <c r="BB30" s="173">
        <f t="shared" si="29"/>
        <v>0.72865735115202068</v>
      </c>
      <c r="BC30" s="173">
        <f t="shared" si="30"/>
        <v>0.17894967300351097</v>
      </c>
      <c r="BD30" s="173"/>
      <c r="BE30" s="528">
        <f t="shared" si="31"/>
        <v>3.6668835779567039E-3</v>
      </c>
      <c r="BF30" s="528">
        <f t="shared" si="32"/>
        <v>0.38031071970822411</v>
      </c>
      <c r="BG30" s="528">
        <f t="shared" si="33"/>
        <v>0.19281757596601845</v>
      </c>
      <c r="BH30" s="528">
        <f t="shared" si="34"/>
        <v>0.28516509638503801</v>
      </c>
      <c r="BI30">
        <f t="shared" si="35"/>
        <v>1.0778622258969974E-2</v>
      </c>
      <c r="BJ30" s="460">
        <f t="shared" si="101"/>
        <v>203.59619822498843</v>
      </c>
      <c r="BK30">
        <f t="shared" si="36"/>
        <v>0.67071712156107233</v>
      </c>
      <c r="BL30" s="460">
        <f t="shared" si="102"/>
        <v>670.7171215610723</v>
      </c>
      <c r="BM30" s="173">
        <f t="shared" si="37"/>
        <v>0.15531249999999999</v>
      </c>
      <c r="BN30" s="173">
        <f t="shared" si="38"/>
        <v>2.7734374999999999E-2</v>
      </c>
      <c r="BO30" s="528"/>
      <c r="BQ30" s="460">
        <f t="shared" si="103"/>
        <v>183.046875</v>
      </c>
      <c r="BR30" s="528">
        <f t="shared" si="39"/>
        <v>5.5003253669350556E-3</v>
      </c>
      <c r="BS30" s="528">
        <f t="shared" si="104"/>
        <v>1.5928246061636373E-2</v>
      </c>
      <c r="BT30" s="528">
        <f t="shared" si="40"/>
        <v>1.6011492734031751E-4</v>
      </c>
      <c r="BU30" s="528">
        <f t="shared" si="41"/>
        <v>0.2970856255393598</v>
      </c>
      <c r="BV30" s="528">
        <f t="shared" si="42"/>
        <v>0.32441589365885626</v>
      </c>
      <c r="BW30" s="625">
        <f t="shared" si="43"/>
        <v>3.7500000000000003E-3</v>
      </c>
      <c r="BX30" s="460">
        <f t="shared" si="105"/>
        <v>328.16589365885625</v>
      </c>
      <c r="BY30" s="173">
        <f t="shared" si="106"/>
        <v>1.1819298902199284</v>
      </c>
      <c r="BZ30" s="5">
        <f t="shared" si="107"/>
        <v>4.5</v>
      </c>
      <c r="CA30" s="173">
        <f t="shared" si="108"/>
        <v>0.79198442904859923</v>
      </c>
      <c r="CB30" s="5">
        <f t="shared" si="109"/>
        <v>79.198442904859917</v>
      </c>
      <c r="CC30">
        <f t="shared" si="110"/>
        <v>25</v>
      </c>
      <c r="CE30" s="562">
        <f t="shared" si="44"/>
        <v>-50</v>
      </c>
      <c r="CF30">
        <f t="shared" si="45"/>
        <v>-50</v>
      </c>
      <c r="CG30" s="173">
        <f t="shared" si="46"/>
        <v>0.35783904271027339</v>
      </c>
      <c r="CH30" s="173">
        <f t="shared" si="47"/>
        <v>0.12649479146274015</v>
      </c>
      <c r="CI30" s="170">
        <v>25</v>
      </c>
      <c r="CJ30" s="217">
        <f t="shared" si="133"/>
        <v>0.25</v>
      </c>
      <c r="CK30" s="217">
        <f t="shared" si="111"/>
        <v>6.25E-2</v>
      </c>
      <c r="CL30" s="217">
        <f t="shared" si="48"/>
        <v>4</v>
      </c>
      <c r="CM30" s="217">
        <f t="shared" si="134"/>
        <v>0.5</v>
      </c>
      <c r="CN30" s="541">
        <f t="shared" si="112"/>
        <v>24</v>
      </c>
      <c r="CO30" s="443">
        <f t="shared" si="49"/>
        <v>16.7</v>
      </c>
      <c r="CP30" s="443">
        <f t="shared" si="50"/>
        <v>40.700000000000003</v>
      </c>
      <c r="CQ30" s="443"/>
      <c r="CR30" s="217">
        <f t="shared" si="113"/>
        <v>0.40594059405940591</v>
      </c>
      <c r="CS30" s="172">
        <f t="shared" si="114"/>
        <v>21.650165016501649</v>
      </c>
      <c r="CT30" s="172">
        <f t="shared" si="51"/>
        <v>3.0445544554455446</v>
      </c>
      <c r="CU30" s="217">
        <f t="shared" si="52"/>
        <v>1.3531353135313531</v>
      </c>
      <c r="CV30" s="217">
        <f t="shared" si="53"/>
        <v>2.7062706270627062</v>
      </c>
      <c r="CW30" s="443">
        <f t="shared" si="54"/>
        <v>16</v>
      </c>
      <c r="CX30" s="217">
        <f t="shared" si="55"/>
        <v>0.92378048780487809</v>
      </c>
      <c r="CY30" s="217">
        <f t="shared" si="56"/>
        <v>0.46189024390243905</v>
      </c>
      <c r="CZ30" s="217">
        <f t="shared" si="57"/>
        <v>0.66379436249452328</v>
      </c>
      <c r="DA30" s="197">
        <f t="shared" si="58"/>
        <v>350</v>
      </c>
      <c r="DB30" s="443">
        <f t="shared" si="115"/>
        <v>350</v>
      </c>
      <c r="DD30" s="217">
        <f t="shared" si="59"/>
        <v>2.344682344682345</v>
      </c>
      <c r="DE30" s="173">
        <f t="shared" si="60"/>
        <v>1.6848016848016851</v>
      </c>
      <c r="DF30" s="173">
        <f t="shared" si="61"/>
        <v>0.69130683381297664</v>
      </c>
      <c r="DG30" s="173"/>
      <c r="DH30" s="173">
        <f t="shared" si="62"/>
        <v>0.71856287425149712</v>
      </c>
      <c r="DI30" s="545">
        <f t="shared" si="63"/>
        <v>695.83333333333326</v>
      </c>
      <c r="DJ30" s="528">
        <f t="shared" si="64"/>
        <v>0.125748502994012</v>
      </c>
      <c r="DL30" s="173">
        <f t="shared" si="65"/>
        <v>1.4638501094227998</v>
      </c>
      <c r="DM30" s="173">
        <f t="shared" si="66"/>
        <v>1.4638501094227998</v>
      </c>
      <c r="DN30" s="173">
        <f t="shared" si="67"/>
        <v>1.5435926736465184</v>
      </c>
      <c r="DP30" s="545">
        <f t="shared" si="68"/>
        <v>250</v>
      </c>
      <c r="DQ30" s="460">
        <f t="shared" si="69"/>
        <v>350</v>
      </c>
      <c r="DS30">
        <f t="shared" si="116"/>
        <v>250</v>
      </c>
      <c r="DT30" s="460">
        <f t="shared" si="70"/>
        <v>350</v>
      </c>
      <c r="DU30" s="460"/>
      <c r="DV30" s="5">
        <f t="shared" si="117"/>
        <v>2.8571428571428572</v>
      </c>
      <c r="DW30" s="5">
        <f t="shared" si="71"/>
        <v>0.7319250547113999</v>
      </c>
      <c r="DX30" s="5">
        <f t="shared" si="118"/>
        <v>2.1252178024314574</v>
      </c>
      <c r="DY30" s="173">
        <f t="shared" si="119"/>
        <v>0.25617376914898998</v>
      </c>
      <c r="EA30" s="5">
        <f t="shared" si="72"/>
        <v>1.1436328979865624</v>
      </c>
      <c r="EB30" s="5">
        <f t="shared" si="73"/>
        <v>0.57181644899328121</v>
      </c>
      <c r="EC30" s="5">
        <f t="shared" si="74"/>
        <v>0.29516913922659127</v>
      </c>
      <c r="ED30" s="5"/>
      <c r="EE30" s="173">
        <f t="shared" si="120"/>
        <v>0.42776309293562242</v>
      </c>
      <c r="EF30" s="173">
        <f t="shared" si="75"/>
        <v>0.72890633870742561</v>
      </c>
      <c r="EG30" s="173">
        <f t="shared" si="76"/>
        <v>0.17901082141785304</v>
      </c>
      <c r="EH30" s="173"/>
      <c r="EI30" s="528">
        <f t="shared" si="77"/>
        <v>3.6596252735569992E-3</v>
      </c>
      <c r="EJ30" s="528">
        <f t="shared" si="78"/>
        <v>0.39619835136582798</v>
      </c>
      <c r="EK30" s="528">
        <f t="shared" si="79"/>
        <v>4.0250000000000001E-2</v>
      </c>
      <c r="EL30" s="528">
        <f t="shared" si="80"/>
        <v>0.28553746375000005</v>
      </c>
      <c r="EM30">
        <f t="shared" si="81"/>
        <v>1.0800000000000001E-2</v>
      </c>
      <c r="EN30" s="460">
        <f t="shared" si="121"/>
        <v>51.05</v>
      </c>
      <c r="EO30">
        <f t="shared" si="82"/>
        <v>0.7380753156023605</v>
      </c>
      <c r="EP30" s="460">
        <f t="shared" si="122"/>
        <v>738.07531560236055</v>
      </c>
      <c r="EQ30" s="173">
        <f t="shared" si="83"/>
        <v>0.15531249999999999</v>
      </c>
      <c r="ER30" s="173">
        <f t="shared" si="84"/>
        <v>2.7734374999999999E-2</v>
      </c>
      <c r="ES30" s="528"/>
      <c r="EU30" s="460">
        <f t="shared" si="123"/>
        <v>183.046875</v>
      </c>
      <c r="EV30" s="528">
        <f t="shared" si="85"/>
        <v>5.4894379103354986E-3</v>
      </c>
      <c r="EW30" s="528">
        <f t="shared" si="124"/>
        <v>1.5939133518235928E-2</v>
      </c>
      <c r="EX30" s="528">
        <f t="shared" si="86"/>
        <v>1.6022437092347237E-4</v>
      </c>
      <c r="EY30" s="528">
        <f t="shared" si="87"/>
        <v>0.2970856255393598</v>
      </c>
      <c r="EZ30" s="528">
        <f t="shared" si="88"/>
        <v>0.32441603244902339</v>
      </c>
      <c r="FA30" s="625">
        <f t="shared" si="89"/>
        <v>3.7500000000000003E-3</v>
      </c>
      <c r="FB30" s="460">
        <f t="shared" si="125"/>
        <v>328.16603244902336</v>
      </c>
      <c r="FC30" s="173">
        <f t="shared" si="126"/>
        <v>1.2492882230513838</v>
      </c>
      <c r="FD30" s="5">
        <f t="shared" si="127"/>
        <v>4.5</v>
      </c>
      <c r="FE30" s="173">
        <f t="shared" si="128"/>
        <v>0.78270558465960249</v>
      </c>
      <c r="FF30" s="5">
        <f t="shared" si="129"/>
        <v>78.270558465960249</v>
      </c>
      <c r="FG30">
        <f t="shared" si="130"/>
        <v>25</v>
      </c>
      <c r="FI30" s="562">
        <f t="shared" si="90"/>
        <v>-50</v>
      </c>
      <c r="FJ30">
        <f t="shared" si="91"/>
        <v>-50</v>
      </c>
      <c r="FL30">
        <f t="shared" si="92"/>
        <v>0.35783904271027339</v>
      </c>
    </row>
    <row r="31" spans="5:168">
      <c r="E31" s="170">
        <v>26</v>
      </c>
      <c r="F31" s="217">
        <f t="shared" si="131"/>
        <v>0.26</v>
      </c>
      <c r="G31" s="217">
        <f t="shared" si="93"/>
        <v>6.5000000000000002E-2</v>
      </c>
      <c r="H31" s="217">
        <f t="shared" si="0"/>
        <v>4.16</v>
      </c>
      <c r="I31" s="217">
        <f t="shared" si="132"/>
        <v>0.52</v>
      </c>
      <c r="J31" s="541">
        <f t="shared" si="1"/>
        <v>23.951553102813939</v>
      </c>
      <c r="K31" s="443">
        <f t="shared" si="2"/>
        <v>16.72137421677763</v>
      </c>
      <c r="L31" s="172">
        <f t="shared" si="3"/>
        <v>40.672927319591565</v>
      </c>
      <c r="M31" s="443"/>
      <c r="N31" s="217">
        <f t="shared" si="4"/>
        <v>0.4111180413789195</v>
      </c>
      <c r="O31" s="172">
        <f t="shared" si="94"/>
        <v>21.88203466580455</v>
      </c>
      <c r="P31" s="172">
        <f t="shared" si="5"/>
        <v>3.0771611248787649</v>
      </c>
      <c r="Q31" s="217">
        <f t="shared" si="6"/>
        <v>1.3676271666127844</v>
      </c>
      <c r="R31" s="217">
        <f t="shared" si="7"/>
        <v>2.7352543332255688</v>
      </c>
      <c r="S31" s="443">
        <f t="shared" si="8"/>
        <v>16</v>
      </c>
      <c r="T31" s="217">
        <f t="shared" si="9"/>
        <v>0.95055146002965307</v>
      </c>
      <c r="U31" s="217">
        <f t="shared" si="10"/>
        <v>0.47623707203420285</v>
      </c>
      <c r="V31" s="217">
        <f t="shared" si="11"/>
        <v>0.68215789997157328</v>
      </c>
      <c r="W31" s="197">
        <f t="shared" si="12"/>
        <v>350</v>
      </c>
      <c r="X31" s="443">
        <f t="shared" si="95"/>
        <v>350</v>
      </c>
      <c r="Z31" s="217">
        <f t="shared" si="13"/>
        <v>2.3445037141933445</v>
      </c>
      <c r="AA31" s="173">
        <f t="shared" si="14"/>
        <v>1.6825198817745157</v>
      </c>
      <c r="AB31" s="173">
        <f t="shared" si="15"/>
        <v>0.69031796960428737</v>
      </c>
      <c r="AC31" s="173"/>
      <c r="AD31" s="173">
        <f t="shared" si="16"/>
        <v>0.71764436609280757</v>
      </c>
      <c r="AE31" s="545">
        <f t="shared" si="17"/>
        <v>724.59288272703066</v>
      </c>
      <c r="AF31" s="528">
        <f t="shared" si="18"/>
        <v>0.12558776406624134</v>
      </c>
      <c r="AH31" s="173">
        <f t="shared" si="19"/>
        <v>1.4928400545843576</v>
      </c>
      <c r="AI31" s="173">
        <f t="shared" si="20"/>
        <v>1.4928400545843576</v>
      </c>
      <c r="AJ31" s="173">
        <f t="shared" si="21"/>
        <v>1.5650667070995241</v>
      </c>
      <c r="AL31" s="545">
        <f t="shared" si="22"/>
        <v>260</v>
      </c>
      <c r="AM31" s="460">
        <f t="shared" si="23"/>
        <v>350</v>
      </c>
      <c r="AO31">
        <f t="shared" si="96"/>
        <v>260</v>
      </c>
      <c r="AP31" s="460">
        <f t="shared" si="24"/>
        <v>350</v>
      </c>
      <c r="AQ31" s="460"/>
      <c r="AR31" s="5">
        <f t="shared" si="97"/>
        <v>2.8571428571428572</v>
      </c>
      <c r="AS31" s="5">
        <f t="shared" si="25"/>
        <v>0.74792981390871327</v>
      </c>
      <c r="AT31" s="5">
        <f t="shared" si="98"/>
        <v>2.1092130432341438</v>
      </c>
      <c r="AU31" s="173">
        <f t="shared" si="99"/>
        <v>0.26177543486804966</v>
      </c>
      <c r="AW31" s="5">
        <f t="shared" si="26"/>
        <v>1.2153859476016591</v>
      </c>
      <c r="AX31" s="5">
        <f t="shared" si="27"/>
        <v>0.60769297380082954</v>
      </c>
      <c r="AY31" s="5">
        <f t="shared" si="28"/>
        <v>0.30528035148665678</v>
      </c>
      <c r="AZ31" s="5"/>
      <c r="BA31" s="173">
        <f t="shared" si="100"/>
        <v>0.44097817589566196</v>
      </c>
      <c r="BB31" s="173">
        <f t="shared" si="29"/>
        <v>0.74053723150215556</v>
      </c>
      <c r="BC31" s="173">
        <f t="shared" si="30"/>
        <v>0.18186723185420584</v>
      </c>
      <c r="BD31" s="173"/>
      <c r="BE31" s="528">
        <f t="shared" si="31"/>
        <v>3.8892350323253078E-3</v>
      </c>
      <c r="BF31" s="528">
        <f t="shared" si="32"/>
        <v>0.38783734306726342</v>
      </c>
      <c r="BG31" s="528">
        <f t="shared" si="33"/>
        <v>0.1928100024776522</v>
      </c>
      <c r="BH31" s="528">
        <f t="shared" si="34"/>
        <v>0.28515772451138116</v>
      </c>
      <c r="BI31">
        <f t="shared" si="35"/>
        <v>1.0778198896266272E-2</v>
      </c>
      <c r="BJ31" s="460">
        <f t="shared" si="101"/>
        <v>203.58820137391848</v>
      </c>
      <c r="BK31">
        <f t="shared" si="36"/>
        <v>0.67856144265009688</v>
      </c>
      <c r="BL31" s="460">
        <f t="shared" si="102"/>
        <v>678.56144265009686</v>
      </c>
      <c r="BM31" s="173">
        <f t="shared" si="37"/>
        <v>0.16152499999999997</v>
      </c>
      <c r="BN31" s="173">
        <f t="shared" si="38"/>
        <v>2.8843749999999998E-2</v>
      </c>
      <c r="BO31" s="528"/>
      <c r="BQ31" s="460">
        <f t="shared" si="103"/>
        <v>190.36874999999998</v>
      </c>
      <c r="BR31" s="528">
        <f t="shared" si="39"/>
        <v>5.8338525484879613E-3</v>
      </c>
      <c r="BS31" s="528">
        <f t="shared" si="104"/>
        <v>1.6451861737226313E-2</v>
      </c>
      <c r="BT31" s="528">
        <f t="shared" si="40"/>
        <v>1.6537845011155731E-4</v>
      </c>
      <c r="BU31" s="528">
        <f t="shared" si="41"/>
        <v>0.31201344822715982</v>
      </c>
      <c r="BV31" s="528">
        <f t="shared" si="42"/>
        <v>0.34046430687773988</v>
      </c>
      <c r="BW31" s="625">
        <f t="shared" si="43"/>
        <v>3.899999999999999E-3</v>
      </c>
      <c r="BX31" s="460">
        <f t="shared" si="105"/>
        <v>344.36430687773986</v>
      </c>
      <c r="BY31" s="173">
        <f t="shared" si="106"/>
        <v>1.2132944995278367</v>
      </c>
      <c r="BZ31" s="5">
        <f t="shared" si="107"/>
        <v>4.68</v>
      </c>
      <c r="CA31" s="173">
        <f t="shared" si="108"/>
        <v>0.7941228798891613</v>
      </c>
      <c r="CB31" s="5">
        <f t="shared" si="109"/>
        <v>79.412287988916134</v>
      </c>
      <c r="CC31">
        <f t="shared" si="110"/>
        <v>26</v>
      </c>
      <c r="CE31" s="562">
        <f t="shared" si="44"/>
        <v>-50</v>
      </c>
      <c r="CF31">
        <f t="shared" si="45"/>
        <v>-50</v>
      </c>
      <c r="CG31" s="173">
        <f t="shared" si="46"/>
        <v>0.36492565230100932</v>
      </c>
      <c r="CH31" s="173">
        <f t="shared" si="47"/>
        <v>0.12899988200727242</v>
      </c>
      <c r="CI31" s="170">
        <v>26</v>
      </c>
      <c r="CJ31" s="217">
        <f t="shared" si="133"/>
        <v>0.26</v>
      </c>
      <c r="CK31" s="217">
        <f t="shared" si="111"/>
        <v>6.5000000000000002E-2</v>
      </c>
      <c r="CL31" s="217">
        <f t="shared" si="48"/>
        <v>4.16</v>
      </c>
      <c r="CM31" s="217">
        <f t="shared" si="134"/>
        <v>0.52</v>
      </c>
      <c r="CN31" s="541">
        <f t="shared" si="112"/>
        <v>24</v>
      </c>
      <c r="CO31" s="443">
        <f t="shared" si="49"/>
        <v>16.7</v>
      </c>
      <c r="CP31" s="443">
        <f t="shared" si="50"/>
        <v>40.700000000000003</v>
      </c>
      <c r="CQ31" s="443"/>
      <c r="CR31" s="217">
        <f t="shared" si="113"/>
        <v>0.40594059405940591</v>
      </c>
      <c r="CS31" s="172">
        <f t="shared" si="114"/>
        <v>21.650165016501649</v>
      </c>
      <c r="CT31" s="172">
        <f t="shared" si="51"/>
        <v>3.0445544554455446</v>
      </c>
      <c r="CU31" s="217">
        <f t="shared" si="52"/>
        <v>1.3531353135313531</v>
      </c>
      <c r="CV31" s="217">
        <f t="shared" si="53"/>
        <v>2.7062706270627062</v>
      </c>
      <c r="CW31" s="443">
        <f t="shared" si="54"/>
        <v>16</v>
      </c>
      <c r="CX31" s="217">
        <f t="shared" si="55"/>
        <v>0.96073170731707314</v>
      </c>
      <c r="CY31" s="217">
        <f t="shared" si="56"/>
        <v>0.48036585365853657</v>
      </c>
      <c r="CZ31" s="217">
        <f t="shared" si="57"/>
        <v>0.69034613699430403</v>
      </c>
      <c r="DA31" s="197">
        <f t="shared" si="58"/>
        <v>350</v>
      </c>
      <c r="DB31" s="443">
        <f t="shared" si="115"/>
        <v>350</v>
      </c>
      <c r="DD31" s="217">
        <f t="shared" si="59"/>
        <v>2.344682344682345</v>
      </c>
      <c r="DE31" s="173">
        <f t="shared" si="60"/>
        <v>1.6848016848016851</v>
      </c>
      <c r="DF31" s="173">
        <f t="shared" si="61"/>
        <v>0.69130683381297664</v>
      </c>
      <c r="DG31" s="173"/>
      <c r="DH31" s="173">
        <f t="shared" si="62"/>
        <v>0.71856287425149712</v>
      </c>
      <c r="DI31" s="545">
        <f t="shared" si="63"/>
        <v>723.66666666666663</v>
      </c>
      <c r="DJ31" s="528">
        <f t="shared" si="64"/>
        <v>0.125748502994012</v>
      </c>
      <c r="DL31" s="173">
        <f t="shared" si="65"/>
        <v>1.4928400545843576</v>
      </c>
      <c r="DM31" s="173">
        <f t="shared" si="66"/>
        <v>1.4928400545843576</v>
      </c>
      <c r="DN31" s="173">
        <f t="shared" si="67"/>
        <v>1.5650667070995241</v>
      </c>
      <c r="DP31" s="545">
        <f t="shared" si="68"/>
        <v>260</v>
      </c>
      <c r="DQ31" s="460">
        <f t="shared" si="69"/>
        <v>350</v>
      </c>
      <c r="DS31">
        <f t="shared" si="116"/>
        <v>260</v>
      </c>
      <c r="DT31" s="460">
        <f t="shared" si="70"/>
        <v>350</v>
      </c>
      <c r="DU31" s="460"/>
      <c r="DV31" s="5">
        <f t="shared" si="117"/>
        <v>2.8571428571428572</v>
      </c>
      <c r="DW31" s="5">
        <f t="shared" si="71"/>
        <v>0.74642002729217893</v>
      </c>
      <c r="DX31" s="5">
        <f t="shared" si="118"/>
        <v>2.1107228298506784</v>
      </c>
      <c r="DY31" s="173">
        <f t="shared" si="119"/>
        <v>0.2612470095522626</v>
      </c>
      <c r="EA31" s="5">
        <f t="shared" si="72"/>
        <v>1.2129325443497909</v>
      </c>
      <c r="EB31" s="5">
        <f t="shared" si="73"/>
        <v>0.60646627217489546</v>
      </c>
      <c r="EC31" s="5">
        <f t="shared" si="74"/>
        <v>0.30488218653398685</v>
      </c>
      <c r="ED31" s="5"/>
      <c r="EE31" s="173">
        <f t="shared" si="120"/>
        <v>0.44053286721420282</v>
      </c>
      <c r="EF31" s="173">
        <f t="shared" si="75"/>
        <v>0.74080222445749733</v>
      </c>
      <c r="EG31" s="173">
        <f t="shared" si="76"/>
        <v>0.18193231100647358</v>
      </c>
      <c r="EH31" s="173"/>
      <c r="EI31" s="528">
        <f t="shared" si="77"/>
        <v>3.881384141919329E-3</v>
      </c>
      <c r="EJ31" s="528">
        <f t="shared" si="78"/>
        <v>0.40404462497352939</v>
      </c>
      <c r="EK31" s="528">
        <f t="shared" si="79"/>
        <v>4.0250000000000001E-2</v>
      </c>
      <c r="EL31" s="528">
        <f t="shared" si="80"/>
        <v>0.28553746375000005</v>
      </c>
      <c r="EM31">
        <f t="shared" si="81"/>
        <v>1.0800000000000001E-2</v>
      </c>
      <c r="EN31" s="460">
        <f t="shared" si="121"/>
        <v>51.05</v>
      </c>
      <c r="EO31">
        <f t="shared" si="82"/>
        <v>0.74624965060236614</v>
      </c>
      <c r="EP31" s="460">
        <f t="shared" si="122"/>
        <v>746.24965060236616</v>
      </c>
      <c r="EQ31" s="173">
        <f t="shared" si="83"/>
        <v>0.16152499999999997</v>
      </c>
      <c r="ER31" s="173">
        <f t="shared" si="84"/>
        <v>2.8843749999999998E-2</v>
      </c>
      <c r="ES31" s="528"/>
      <c r="EU31" s="460">
        <f t="shared" si="123"/>
        <v>190.36874999999998</v>
      </c>
      <c r="EV31" s="528">
        <f t="shared" si="85"/>
        <v>5.8220762128789929E-3</v>
      </c>
      <c r="EW31" s="528">
        <f t="shared" si="124"/>
        <v>1.6463638072835286E-2</v>
      </c>
      <c r="EX31" s="528">
        <f t="shared" si="86"/>
        <v>1.6549682894078115E-4</v>
      </c>
      <c r="EY31" s="528">
        <f t="shared" si="87"/>
        <v>0.31201344822715982</v>
      </c>
      <c r="EZ31" s="528">
        <f t="shared" si="88"/>
        <v>0.34046445716171397</v>
      </c>
      <c r="FA31" s="625">
        <f t="shared" si="89"/>
        <v>3.899999999999999E-3</v>
      </c>
      <c r="FB31" s="460">
        <f t="shared" si="125"/>
        <v>344.36445716171397</v>
      </c>
      <c r="FC31" s="173">
        <f t="shared" si="126"/>
        <v>1.2809828577640801</v>
      </c>
      <c r="FD31" s="5">
        <f t="shared" si="127"/>
        <v>4.68</v>
      </c>
      <c r="FE31" s="173">
        <f t="shared" si="128"/>
        <v>0.78510542836142849</v>
      </c>
      <c r="FF31" s="5">
        <f t="shared" si="129"/>
        <v>78.510542836142847</v>
      </c>
      <c r="FG31">
        <f t="shared" si="130"/>
        <v>26</v>
      </c>
      <c r="FI31" s="562">
        <f t="shared" si="90"/>
        <v>-50</v>
      </c>
      <c r="FJ31">
        <f t="shared" si="91"/>
        <v>-50</v>
      </c>
      <c r="FL31">
        <f t="shared" si="92"/>
        <v>0.36492565230100926</v>
      </c>
    </row>
    <row r="32" spans="5:168">
      <c r="E32" s="170">
        <v>27</v>
      </c>
      <c r="F32" s="217">
        <f t="shared" si="131"/>
        <v>0.27</v>
      </c>
      <c r="G32" s="217">
        <f t="shared" si="93"/>
        <v>6.7500000000000004E-2</v>
      </c>
      <c r="H32" s="217">
        <f t="shared" si="0"/>
        <v>4.32</v>
      </c>
      <c r="I32" s="217">
        <f t="shared" si="132"/>
        <v>0.54</v>
      </c>
      <c r="J32" s="541">
        <f t="shared" si="1"/>
        <v>23.950630221846595</v>
      </c>
      <c r="K32" s="443">
        <f t="shared" si="2"/>
        <v>16.721781381302126</v>
      </c>
      <c r="L32" s="172">
        <f t="shared" si="3"/>
        <v>40.672411603148717</v>
      </c>
      <c r="M32" s="443"/>
      <c r="N32" s="217">
        <f t="shared" si="4"/>
        <v>0.41113326508545617</v>
      </c>
      <c r="O32" s="172">
        <f t="shared" si="94"/>
        <v>21.882001786582652</v>
      </c>
      <c r="P32" s="172">
        <f t="shared" si="5"/>
        <v>3.0771565012381856</v>
      </c>
      <c r="Q32" s="217">
        <f t="shared" si="6"/>
        <v>1.3676251116614158</v>
      </c>
      <c r="R32" s="217">
        <f t="shared" si="7"/>
        <v>2.7352502233228315</v>
      </c>
      <c r="S32" s="443">
        <f t="shared" si="8"/>
        <v>16</v>
      </c>
      <c r="T32" s="217">
        <f t="shared" si="9"/>
        <v>0.9871126147720376</v>
      </c>
      <c r="U32" s="217">
        <f t="shared" si="10"/>
        <v>0.49457368209291214</v>
      </c>
      <c r="V32" s="217">
        <f t="shared" si="11"/>
        <v>0.70837855771213609</v>
      </c>
      <c r="W32" s="197">
        <f t="shared" si="12"/>
        <v>350</v>
      </c>
      <c r="X32" s="443">
        <f t="shared" si="95"/>
        <v>350</v>
      </c>
      <c r="Z32" s="217">
        <f t="shared" si="13"/>
        <v>2.3445001914195696</v>
      </c>
      <c r="AA32" s="173">
        <f t="shared" si="14"/>
        <v>1.682476385470125</v>
      </c>
      <c r="AB32" s="173">
        <f t="shared" si="15"/>
        <v>0.69029908636388237</v>
      </c>
      <c r="AC32" s="173"/>
      <c r="AD32" s="173">
        <f t="shared" si="16"/>
        <v>0.7176268919182317</v>
      </c>
      <c r="AE32" s="545">
        <f t="shared" si="17"/>
        <v>752.4801621585957</v>
      </c>
      <c r="AF32" s="528">
        <f t="shared" si="18"/>
        <v>0.12558470608569056</v>
      </c>
      <c r="AH32" s="173">
        <f t="shared" si="19"/>
        <v>1.5212776585113299</v>
      </c>
      <c r="AI32" s="173">
        <f t="shared" si="20"/>
        <v>1.5212776585113299</v>
      </c>
      <c r="AJ32" s="173">
        <f t="shared" si="21"/>
        <v>1.5861315988972813</v>
      </c>
      <c r="AL32" s="545">
        <f t="shared" si="22"/>
        <v>270</v>
      </c>
      <c r="AM32" s="460">
        <f t="shared" si="23"/>
        <v>350</v>
      </c>
      <c r="AO32">
        <f t="shared" si="96"/>
        <v>270</v>
      </c>
      <c r="AP32" s="460">
        <f t="shared" si="24"/>
        <v>350</v>
      </c>
      <c r="AQ32" s="460"/>
      <c r="AR32" s="5">
        <f t="shared" si="97"/>
        <v>2.8571428571428572</v>
      </c>
      <c r="AS32" s="5">
        <f t="shared" si="25"/>
        <v>0.76220674500182206</v>
      </c>
      <c r="AT32" s="5">
        <f t="shared" si="98"/>
        <v>2.0949361121410353</v>
      </c>
      <c r="AU32" s="173">
        <f t="shared" si="99"/>
        <v>0.2667723607506377</v>
      </c>
      <c r="AW32" s="5">
        <f t="shared" si="26"/>
        <v>1.2862238821905749</v>
      </c>
      <c r="AX32" s="5">
        <f t="shared" si="27"/>
        <v>0.64311194109528746</v>
      </c>
      <c r="AY32" s="5">
        <f t="shared" si="28"/>
        <v>0.31488816510675743</v>
      </c>
      <c r="AZ32" s="5"/>
      <c r="BA32" s="173">
        <f t="shared" si="100"/>
        <v>0.45364724307604026</v>
      </c>
      <c r="BB32" s="173">
        <f t="shared" si="29"/>
        <v>0.75208560036612826</v>
      </c>
      <c r="BC32" s="173">
        <f t="shared" si="30"/>
        <v>0.18470337538403442</v>
      </c>
      <c r="BD32" s="173"/>
      <c r="BE32" s="528">
        <f t="shared" si="31"/>
        <v>4.1159164230098397E-3</v>
      </c>
      <c r="BF32" s="528">
        <f t="shared" si="32"/>
        <v>0.39522037358512102</v>
      </c>
      <c r="BG32" s="528">
        <f t="shared" si="33"/>
        <v>0.19280257328586506</v>
      </c>
      <c r="BH32" s="528">
        <f t="shared" si="34"/>
        <v>0.2851504931855488</v>
      </c>
      <c r="BI32">
        <f t="shared" si="35"/>
        <v>1.0777783599830967E-2</v>
      </c>
      <c r="BJ32" s="460">
        <f t="shared" si="101"/>
        <v>203.58035688569603</v>
      </c>
      <c r="BK32">
        <f t="shared" si="36"/>
        <v>0.68626921193656809</v>
      </c>
      <c r="BL32" s="460">
        <f t="shared" si="102"/>
        <v>686.26921193656813</v>
      </c>
      <c r="BM32" s="173">
        <f t="shared" si="37"/>
        <v>0.16773749999999998</v>
      </c>
      <c r="BN32" s="173">
        <f t="shared" si="38"/>
        <v>2.9953125000000001E-2</v>
      </c>
      <c r="BO32" s="528"/>
      <c r="BQ32" s="460">
        <f t="shared" si="103"/>
        <v>197.69062499999998</v>
      </c>
      <c r="BR32" s="528">
        <f t="shared" si="39"/>
        <v>6.1738746345147586E-3</v>
      </c>
      <c r="BS32" s="528">
        <f t="shared" si="104"/>
        <v>1.6968982508342386E-2</v>
      </c>
      <c r="BT32" s="528">
        <f t="shared" si="40"/>
        <v>1.7057668439127767E-4</v>
      </c>
      <c r="BU32" s="528">
        <f t="shared" si="41"/>
        <v>0.3270855312500478</v>
      </c>
      <c r="BV32" s="528">
        <f t="shared" si="42"/>
        <v>0.35665938559463006</v>
      </c>
      <c r="BW32" s="625">
        <f t="shared" si="43"/>
        <v>4.0499999999999998E-3</v>
      </c>
      <c r="BX32" s="460">
        <f t="shared" si="105"/>
        <v>360.70938559463008</v>
      </c>
      <c r="BY32" s="173">
        <f t="shared" si="106"/>
        <v>1.2446692225311982</v>
      </c>
      <c r="BZ32" s="5">
        <f t="shared" si="107"/>
        <v>4.8600000000000003</v>
      </c>
      <c r="CA32" s="173">
        <f t="shared" si="108"/>
        <v>0.79611193053059204</v>
      </c>
      <c r="CB32" s="5">
        <f t="shared" si="109"/>
        <v>79.61119305305921</v>
      </c>
      <c r="CC32">
        <f t="shared" si="110"/>
        <v>27</v>
      </c>
      <c r="CE32" s="562">
        <f t="shared" si="44"/>
        <v>-50</v>
      </c>
      <c r="CF32">
        <f t="shared" si="45"/>
        <v>-50</v>
      </c>
      <c r="CG32" s="173">
        <f t="shared" si="46"/>
        <v>0.37187724174360182</v>
      </c>
      <c r="CH32" s="173">
        <f t="shared" si="47"/>
        <v>0.13145724342377751</v>
      </c>
      <c r="CI32" s="170">
        <v>27</v>
      </c>
      <c r="CJ32" s="217">
        <f t="shared" si="133"/>
        <v>0.27</v>
      </c>
      <c r="CK32" s="217">
        <f t="shared" si="111"/>
        <v>6.7500000000000004E-2</v>
      </c>
      <c r="CL32" s="217">
        <f t="shared" si="48"/>
        <v>4.32</v>
      </c>
      <c r="CM32" s="217">
        <f t="shared" si="134"/>
        <v>0.54</v>
      </c>
      <c r="CN32" s="541">
        <f t="shared" si="112"/>
        <v>24</v>
      </c>
      <c r="CO32" s="443">
        <f t="shared" si="49"/>
        <v>16.7</v>
      </c>
      <c r="CP32" s="443">
        <f t="shared" si="50"/>
        <v>40.700000000000003</v>
      </c>
      <c r="CQ32" s="443"/>
      <c r="CR32" s="217">
        <f t="shared" si="113"/>
        <v>0.40594059405940591</v>
      </c>
      <c r="CS32" s="172">
        <f t="shared" si="114"/>
        <v>21.650165016501649</v>
      </c>
      <c r="CT32" s="172">
        <f t="shared" si="51"/>
        <v>3.0445544554455446</v>
      </c>
      <c r="CU32" s="217">
        <f t="shared" si="52"/>
        <v>1.3531353135313531</v>
      </c>
      <c r="CV32" s="217">
        <f t="shared" si="53"/>
        <v>2.7062706270627062</v>
      </c>
      <c r="CW32" s="443">
        <f t="shared" si="54"/>
        <v>16</v>
      </c>
      <c r="CX32" s="217">
        <f t="shared" si="55"/>
        <v>0.9976829268292684</v>
      </c>
      <c r="CY32" s="217">
        <f t="shared" si="56"/>
        <v>0.4988414634146342</v>
      </c>
      <c r="CZ32" s="217">
        <f t="shared" si="57"/>
        <v>0.7168979114940851</v>
      </c>
      <c r="DA32" s="197">
        <f t="shared" si="58"/>
        <v>350</v>
      </c>
      <c r="DB32" s="443">
        <f t="shared" si="115"/>
        <v>350</v>
      </c>
      <c r="DD32" s="217">
        <f t="shared" si="59"/>
        <v>2.344682344682345</v>
      </c>
      <c r="DE32" s="173">
        <f t="shared" si="60"/>
        <v>1.6848016848016851</v>
      </c>
      <c r="DF32" s="173">
        <f t="shared" si="61"/>
        <v>0.69130683381297664</v>
      </c>
      <c r="DG32" s="173"/>
      <c r="DH32" s="173">
        <f t="shared" si="62"/>
        <v>0.71856287425149712</v>
      </c>
      <c r="DI32" s="545">
        <f t="shared" si="63"/>
        <v>751.5</v>
      </c>
      <c r="DJ32" s="528">
        <f t="shared" si="64"/>
        <v>0.125748502994012</v>
      </c>
      <c r="DL32" s="173">
        <f t="shared" si="65"/>
        <v>1.5212776585113299</v>
      </c>
      <c r="DM32" s="173">
        <f t="shared" si="66"/>
        <v>1.5212776585113299</v>
      </c>
      <c r="DN32" s="173">
        <f t="shared" si="67"/>
        <v>1.5861315988972813</v>
      </c>
      <c r="DP32" s="545">
        <f t="shared" si="68"/>
        <v>270</v>
      </c>
      <c r="DQ32" s="460">
        <f t="shared" si="69"/>
        <v>350</v>
      </c>
      <c r="DS32">
        <f t="shared" si="116"/>
        <v>270</v>
      </c>
      <c r="DT32" s="460">
        <f t="shared" si="70"/>
        <v>350</v>
      </c>
      <c r="DU32" s="460"/>
      <c r="DV32" s="5">
        <f t="shared" si="117"/>
        <v>2.8571428571428572</v>
      </c>
      <c r="DW32" s="5">
        <f t="shared" si="71"/>
        <v>0.76063882925566506</v>
      </c>
      <c r="DX32" s="5">
        <f t="shared" si="118"/>
        <v>2.096504027887192</v>
      </c>
      <c r="DY32" s="173">
        <f t="shared" si="119"/>
        <v>0.26622359023948278</v>
      </c>
      <c r="EA32" s="5">
        <f t="shared" si="72"/>
        <v>1.283578024368935</v>
      </c>
      <c r="EB32" s="5">
        <f t="shared" si="73"/>
        <v>0.64178901218446749</v>
      </c>
      <c r="EC32" s="5">
        <f t="shared" si="74"/>
        <v>0.31447560418307879</v>
      </c>
      <c r="ED32" s="5"/>
      <c r="EE32" s="173">
        <f t="shared" si="120"/>
        <v>0.45318040988002734</v>
      </c>
      <c r="EF32" s="173">
        <f t="shared" si="75"/>
        <v>0.75236698992548978</v>
      </c>
      <c r="EG32" s="173">
        <f t="shared" si="76"/>
        <v>0.18477248134934821</v>
      </c>
      <c r="EH32" s="173"/>
      <c r="EI32" s="528">
        <f t="shared" si="77"/>
        <v>4.1074496779805918E-3</v>
      </c>
      <c r="EJ32" s="528">
        <f t="shared" si="78"/>
        <v>0.41174140466438397</v>
      </c>
      <c r="EK32" s="528">
        <f t="shared" si="79"/>
        <v>4.0250000000000001E-2</v>
      </c>
      <c r="EL32" s="528">
        <f t="shared" si="80"/>
        <v>0.28553746375000005</v>
      </c>
      <c r="EM32">
        <f t="shared" si="81"/>
        <v>1.0800000000000001E-2</v>
      </c>
      <c r="EN32" s="460">
        <f t="shared" si="121"/>
        <v>51.05</v>
      </c>
      <c r="EO32">
        <f t="shared" si="82"/>
        <v>0.75428145543902836</v>
      </c>
      <c r="EP32" s="460">
        <f t="shared" si="122"/>
        <v>754.28145543902838</v>
      </c>
      <c r="EQ32" s="173">
        <f t="shared" si="83"/>
        <v>0.16773749999999998</v>
      </c>
      <c r="ER32" s="173">
        <f t="shared" si="84"/>
        <v>2.9953125000000001E-2</v>
      </c>
      <c r="ES32" s="528"/>
      <c r="EU32" s="460">
        <f t="shared" si="123"/>
        <v>197.69062499999998</v>
      </c>
      <c r="EV32" s="528">
        <f t="shared" si="85"/>
        <v>6.1611745169708864E-3</v>
      </c>
      <c r="EW32" s="528">
        <f t="shared" si="124"/>
        <v>1.6981682625886261E-2</v>
      </c>
      <c r="EX32" s="528">
        <f t="shared" si="86"/>
        <v>1.7070434931997617E-4</v>
      </c>
      <c r="EY32" s="528">
        <f t="shared" si="87"/>
        <v>0.3270855312500478</v>
      </c>
      <c r="EZ32" s="528">
        <f t="shared" si="88"/>
        <v>0.35665954784438281</v>
      </c>
      <c r="FA32" s="625">
        <f t="shared" si="89"/>
        <v>4.0499999999999998E-3</v>
      </c>
      <c r="FB32" s="460">
        <f t="shared" si="125"/>
        <v>360.70954784438283</v>
      </c>
      <c r="FC32" s="173">
        <f t="shared" si="126"/>
        <v>1.3126816282834113</v>
      </c>
      <c r="FD32" s="5">
        <f t="shared" si="127"/>
        <v>4.8600000000000003</v>
      </c>
      <c r="FE32" s="173">
        <f t="shared" si="128"/>
        <v>0.78734013718305751</v>
      </c>
      <c r="FF32" s="5">
        <f t="shared" si="129"/>
        <v>78.734013718305746</v>
      </c>
      <c r="FG32">
        <f t="shared" si="130"/>
        <v>27</v>
      </c>
      <c r="FI32" s="562">
        <f t="shared" si="90"/>
        <v>-50</v>
      </c>
      <c r="FJ32">
        <f t="shared" si="91"/>
        <v>-50</v>
      </c>
      <c r="FL32">
        <f t="shared" si="92"/>
        <v>0.37187724174360182</v>
      </c>
    </row>
    <row r="33" spans="5:168">
      <c r="E33" s="170">
        <v>28</v>
      </c>
      <c r="F33" s="217">
        <f t="shared" si="131"/>
        <v>0.28000000000000003</v>
      </c>
      <c r="G33" s="217">
        <f t="shared" si="93"/>
        <v>7.0000000000000007E-2</v>
      </c>
      <c r="H33" s="217">
        <f t="shared" si="0"/>
        <v>4.4800000000000004</v>
      </c>
      <c r="I33" s="217">
        <f t="shared" si="132"/>
        <v>0.56000000000000005</v>
      </c>
      <c r="J33" s="541">
        <f t="shared" si="1"/>
        <v>23.949724278793077</v>
      </c>
      <c r="K33" s="443">
        <f t="shared" si="2"/>
        <v>16.72218107301282</v>
      </c>
      <c r="L33" s="172">
        <f t="shared" si="3"/>
        <v>40.671905351805897</v>
      </c>
      <c r="M33" s="443"/>
      <c r="N33" s="217">
        <f t="shared" si="4"/>
        <v>0.41114820976220451</v>
      </c>
      <c r="O33" s="172">
        <f t="shared" si="94"/>
        <v>21.881969470053729</v>
      </c>
      <c r="P33" s="172">
        <f t="shared" si="5"/>
        <v>3.0771519567263055</v>
      </c>
      <c r="Q33" s="217">
        <f t="shared" si="6"/>
        <v>1.3676230918783581</v>
      </c>
      <c r="R33" s="217">
        <f t="shared" si="7"/>
        <v>2.7352461837567161</v>
      </c>
      <c r="S33" s="443">
        <f t="shared" si="8"/>
        <v>16</v>
      </c>
      <c r="T33" s="217">
        <f t="shared" si="9"/>
        <v>1.0236738530622309</v>
      </c>
      <c r="U33" s="217">
        <f t="shared" si="10"/>
        <v>0.51291138443810991</v>
      </c>
      <c r="V33" s="217">
        <f t="shared" si="11"/>
        <v>0.73459832680388248</v>
      </c>
      <c r="W33" s="197">
        <f t="shared" si="12"/>
        <v>350</v>
      </c>
      <c r="X33" s="443">
        <f t="shared" si="95"/>
        <v>350</v>
      </c>
      <c r="Z33" s="217">
        <f t="shared" si="13"/>
        <v>2.3444967289343279</v>
      </c>
      <c r="AA33" s="173">
        <f t="shared" si="14"/>
        <v>1.6824336863937011</v>
      </c>
      <c r="AB33" s="173">
        <f t="shared" si="15"/>
        <v>0.6902805480198172</v>
      </c>
      <c r="AC33" s="173"/>
      <c r="AD33" s="173">
        <f t="shared" si="16"/>
        <v>0.71760973928013871</v>
      </c>
      <c r="AE33" s="545">
        <f t="shared" si="17"/>
        <v>780.36845007393174</v>
      </c>
      <c r="AF33" s="528">
        <f t="shared" si="18"/>
        <v>0.12558170437402427</v>
      </c>
      <c r="AH33" s="173">
        <f t="shared" si="19"/>
        <v>1.5491933384829668</v>
      </c>
      <c r="AI33" s="173">
        <f t="shared" si="20"/>
        <v>1.5491933384829668</v>
      </c>
      <c r="AJ33" s="173">
        <f t="shared" si="21"/>
        <v>1.6068098803577531</v>
      </c>
      <c r="AL33" s="545">
        <f t="shared" si="22"/>
        <v>280</v>
      </c>
      <c r="AM33" s="460">
        <f t="shared" si="23"/>
        <v>350</v>
      </c>
      <c r="AO33">
        <f t="shared" si="96"/>
        <v>280</v>
      </c>
      <c r="AP33" s="460">
        <f t="shared" si="24"/>
        <v>350</v>
      </c>
      <c r="AQ33" s="460"/>
      <c r="AR33" s="5">
        <f t="shared" si="97"/>
        <v>2.8571428571428572</v>
      </c>
      <c r="AS33" s="5">
        <f t="shared" si="25"/>
        <v>0.77622271744718574</v>
      </c>
      <c r="AT33" s="5">
        <f t="shared" si="98"/>
        <v>2.0809201396956714</v>
      </c>
      <c r="AU33" s="173">
        <f t="shared" si="99"/>
        <v>0.27167795110651499</v>
      </c>
      <c r="AW33" s="5">
        <f t="shared" si="26"/>
        <v>1.358389755532575</v>
      </c>
      <c r="AX33" s="5">
        <f t="shared" si="27"/>
        <v>0.67919487776628751</v>
      </c>
      <c r="AY33" s="5">
        <f t="shared" si="28"/>
        <v>0.32437820290104846</v>
      </c>
      <c r="AZ33" s="5"/>
      <c r="BA33" s="173">
        <f t="shared" si="100"/>
        <v>0.46619991514929732</v>
      </c>
      <c r="BB33" s="173">
        <f t="shared" si="29"/>
        <v>0.76332014195538422</v>
      </c>
      <c r="BC33" s="173">
        <f t="shared" si="30"/>
        <v>0.18746244662727818</v>
      </c>
      <c r="BD33" s="173"/>
      <c r="BE33" s="528">
        <f t="shared" si="31"/>
        <v>4.346847217704241E-3</v>
      </c>
      <c r="BF33" s="528">
        <f t="shared" si="32"/>
        <v>0.40246771887990518</v>
      </c>
      <c r="BG33" s="528">
        <f t="shared" si="33"/>
        <v>0.19279528044428432</v>
      </c>
      <c r="BH33" s="528">
        <f t="shared" si="34"/>
        <v>0.28514339466761107</v>
      </c>
      <c r="BI33">
        <f t="shared" si="35"/>
        <v>1.0777375925456885E-2</v>
      </c>
      <c r="BJ33" s="460">
        <f t="shared" si="101"/>
        <v>203.5726563697412</v>
      </c>
      <c r="BK33">
        <f t="shared" si="36"/>
        <v>0.69384822352145437</v>
      </c>
      <c r="BL33" s="460">
        <f t="shared" si="102"/>
        <v>693.84822352145432</v>
      </c>
      <c r="BM33" s="173">
        <f t="shared" si="37"/>
        <v>0.17394999999999999</v>
      </c>
      <c r="BN33" s="173">
        <f t="shared" si="38"/>
        <v>3.10625E-2</v>
      </c>
      <c r="BO33" s="528"/>
      <c r="BQ33" s="460">
        <f t="shared" si="103"/>
        <v>205.01249999999999</v>
      </c>
      <c r="BR33" s="528">
        <f t="shared" si="39"/>
        <v>6.5202708265563606E-3</v>
      </c>
      <c r="BS33" s="528">
        <f t="shared" si="104"/>
        <v>1.7479729173443637E-2</v>
      </c>
      <c r="BT33" s="528">
        <f t="shared" si="40"/>
        <v>1.7571084447742561E-4</v>
      </c>
      <c r="BU33" s="528">
        <f t="shared" si="41"/>
        <v>0.34229784688115428</v>
      </c>
      <c r="BV33" s="528">
        <f t="shared" si="42"/>
        <v>0.37299712598139007</v>
      </c>
      <c r="BW33" s="625">
        <f t="shared" si="43"/>
        <v>4.2000000000000006E-3</v>
      </c>
      <c r="BX33" s="460">
        <f t="shared" si="105"/>
        <v>377.19712598139006</v>
      </c>
      <c r="BY33" s="173">
        <f t="shared" si="106"/>
        <v>1.2760578495028443</v>
      </c>
      <c r="BZ33" s="5">
        <f t="shared" si="107"/>
        <v>5.0400000000000009</v>
      </c>
      <c r="CA33" s="173">
        <f t="shared" si="108"/>
        <v>0.7979660921561561</v>
      </c>
      <c r="CB33" s="5">
        <f t="shared" si="109"/>
        <v>79.796609215615604</v>
      </c>
      <c r="CC33">
        <f t="shared" si="110"/>
        <v>28.000000000000004</v>
      </c>
      <c r="CE33" s="562">
        <f t="shared" si="44"/>
        <v>-50</v>
      </c>
      <c r="CF33">
        <f t="shared" si="45"/>
        <v>-50</v>
      </c>
      <c r="CG33" s="173">
        <f t="shared" si="46"/>
        <v>0.37870124656032161</v>
      </c>
      <c r="CH33" s="173">
        <f t="shared" si="47"/>
        <v>0.1338695041421547</v>
      </c>
      <c r="CI33" s="170">
        <v>28</v>
      </c>
      <c r="CJ33" s="217">
        <f t="shared" si="133"/>
        <v>0.28000000000000003</v>
      </c>
      <c r="CK33" s="217">
        <f t="shared" si="111"/>
        <v>7.0000000000000007E-2</v>
      </c>
      <c r="CL33" s="217">
        <f t="shared" si="48"/>
        <v>4.4800000000000004</v>
      </c>
      <c r="CM33" s="217">
        <f t="shared" si="134"/>
        <v>0.56000000000000005</v>
      </c>
      <c r="CN33" s="541">
        <f t="shared" si="112"/>
        <v>24</v>
      </c>
      <c r="CO33" s="443">
        <f t="shared" si="49"/>
        <v>16.7</v>
      </c>
      <c r="CP33" s="443">
        <f t="shared" si="50"/>
        <v>40.700000000000003</v>
      </c>
      <c r="CQ33" s="443"/>
      <c r="CR33" s="217">
        <f t="shared" si="113"/>
        <v>0.40594059405940591</v>
      </c>
      <c r="CS33" s="172">
        <f t="shared" si="114"/>
        <v>21.650165016501649</v>
      </c>
      <c r="CT33" s="172">
        <f t="shared" si="51"/>
        <v>3.0445544554455446</v>
      </c>
      <c r="CU33" s="217">
        <f t="shared" si="52"/>
        <v>1.3531353135313531</v>
      </c>
      <c r="CV33" s="217">
        <f t="shared" si="53"/>
        <v>2.7062706270627062</v>
      </c>
      <c r="CW33" s="443">
        <f t="shared" si="54"/>
        <v>16</v>
      </c>
      <c r="CX33" s="217">
        <f t="shared" si="55"/>
        <v>1.0346341463414637</v>
      </c>
      <c r="CY33" s="217">
        <f t="shared" si="56"/>
        <v>0.51731707317073183</v>
      </c>
      <c r="CZ33" s="217">
        <f t="shared" si="57"/>
        <v>0.74344968599386618</v>
      </c>
      <c r="DA33" s="197">
        <f t="shared" si="58"/>
        <v>350</v>
      </c>
      <c r="DB33" s="443">
        <f t="shared" si="115"/>
        <v>350</v>
      </c>
      <c r="DD33" s="217">
        <f t="shared" si="59"/>
        <v>2.344682344682345</v>
      </c>
      <c r="DE33" s="173">
        <f t="shared" si="60"/>
        <v>1.6848016848016851</v>
      </c>
      <c r="DF33" s="173">
        <f t="shared" si="61"/>
        <v>0.69130683381297664</v>
      </c>
      <c r="DG33" s="173"/>
      <c r="DH33" s="173">
        <f t="shared" si="62"/>
        <v>0.71856287425149712</v>
      </c>
      <c r="DI33" s="545">
        <f t="shared" si="63"/>
        <v>779.33333333333326</v>
      </c>
      <c r="DJ33" s="528">
        <f t="shared" si="64"/>
        <v>0.125748502994012</v>
      </c>
      <c r="DL33" s="173">
        <f t="shared" si="65"/>
        <v>1.5491933384829668</v>
      </c>
      <c r="DM33" s="173">
        <f t="shared" si="66"/>
        <v>1.5491933384829668</v>
      </c>
      <c r="DN33" s="173">
        <f t="shared" si="67"/>
        <v>1.6068098803577531</v>
      </c>
      <c r="DP33" s="545">
        <f t="shared" si="68"/>
        <v>280</v>
      </c>
      <c r="DQ33" s="460">
        <f t="shared" si="69"/>
        <v>350</v>
      </c>
      <c r="DS33">
        <f t="shared" si="116"/>
        <v>280</v>
      </c>
      <c r="DT33" s="460">
        <f t="shared" si="70"/>
        <v>350</v>
      </c>
      <c r="DU33" s="460"/>
      <c r="DV33" s="5">
        <f t="shared" si="117"/>
        <v>2.8571428571428572</v>
      </c>
      <c r="DW33" s="5">
        <f t="shared" si="71"/>
        <v>0.7745966692414834</v>
      </c>
      <c r="DX33" s="5">
        <f t="shared" si="118"/>
        <v>2.0825461879013738</v>
      </c>
      <c r="DY33" s="173">
        <f t="shared" si="119"/>
        <v>0.2711088342345192</v>
      </c>
      <c r="EA33" s="5">
        <f t="shared" si="72"/>
        <v>1.355544171172596</v>
      </c>
      <c r="EB33" s="5">
        <f t="shared" si="73"/>
        <v>0.67777208558629798</v>
      </c>
      <c r="EC33" s="5">
        <f t="shared" si="74"/>
        <v>0.32395162922910259</v>
      </c>
      <c r="ED33" s="5"/>
      <c r="EE33" s="173">
        <f t="shared" si="120"/>
        <v>0.46571135630089094</v>
      </c>
      <c r="EF33" s="173">
        <f t="shared" si="75"/>
        <v>0.76361831605350106</v>
      </c>
      <c r="EG33" s="173">
        <f t="shared" si="76"/>
        <v>0.18753567467784513</v>
      </c>
      <c r="EH33" s="173"/>
      <c r="EI33" s="528">
        <f t="shared" si="77"/>
        <v>4.3377413477523078E-3</v>
      </c>
      <c r="EJ33" s="528">
        <f t="shared" si="78"/>
        <v>0.41929692302710742</v>
      </c>
      <c r="EK33" s="528">
        <f t="shared" si="79"/>
        <v>4.0250000000000001E-2</v>
      </c>
      <c r="EL33" s="528">
        <f t="shared" si="80"/>
        <v>0.28553746375000005</v>
      </c>
      <c r="EM33">
        <f t="shared" si="81"/>
        <v>1.0800000000000001E-2</v>
      </c>
      <c r="EN33" s="460">
        <f t="shared" si="121"/>
        <v>51.05</v>
      </c>
      <c r="EO33">
        <f t="shared" si="82"/>
        <v>0.76217885590241408</v>
      </c>
      <c r="EP33" s="460">
        <f t="shared" si="122"/>
        <v>762.17885590241406</v>
      </c>
      <c r="EQ33" s="173">
        <f t="shared" si="83"/>
        <v>0.17394999999999999</v>
      </c>
      <c r="ER33" s="173">
        <f t="shared" si="84"/>
        <v>3.10625E-2</v>
      </c>
      <c r="ES33" s="528"/>
      <c r="EU33" s="460">
        <f t="shared" si="123"/>
        <v>205.01249999999999</v>
      </c>
      <c r="EV33" s="528">
        <f t="shared" si="85"/>
        <v>6.5066120216284622E-3</v>
      </c>
      <c r="EW33" s="528">
        <f t="shared" si="124"/>
        <v>1.7493387978371539E-2</v>
      </c>
      <c r="EX33" s="528">
        <f t="shared" si="86"/>
        <v>1.7584814638437279E-4</v>
      </c>
      <c r="EY33" s="528">
        <f t="shared" si="87"/>
        <v>0.34229784688115428</v>
      </c>
      <c r="EZ33" s="528">
        <f t="shared" si="88"/>
        <v>0.37299730067067294</v>
      </c>
      <c r="FA33" s="625">
        <f t="shared" si="89"/>
        <v>4.2000000000000006E-3</v>
      </c>
      <c r="FB33" s="460">
        <f t="shared" si="125"/>
        <v>377.19730067067292</v>
      </c>
      <c r="FC33" s="173">
        <f t="shared" si="126"/>
        <v>1.3443886565730869</v>
      </c>
      <c r="FD33" s="5">
        <f t="shared" si="127"/>
        <v>5.0400000000000009</v>
      </c>
      <c r="FE33" s="173">
        <f t="shared" si="128"/>
        <v>0.78942562414508344</v>
      </c>
      <c r="FF33" s="5">
        <f t="shared" si="129"/>
        <v>78.942562414508345</v>
      </c>
      <c r="FG33">
        <f t="shared" si="130"/>
        <v>28.000000000000004</v>
      </c>
      <c r="FI33" s="562">
        <f t="shared" si="90"/>
        <v>-50</v>
      </c>
      <c r="FJ33">
        <f t="shared" si="91"/>
        <v>-50</v>
      </c>
      <c r="FL33">
        <f t="shared" si="92"/>
        <v>0.37870124656032161</v>
      </c>
    </row>
    <row r="34" spans="5:168">
      <c r="E34" s="170">
        <v>29</v>
      </c>
      <c r="F34" s="217">
        <f t="shared" si="131"/>
        <v>0.28999999999999998</v>
      </c>
      <c r="G34" s="217">
        <f t="shared" si="93"/>
        <v>7.2499999999999995E-2</v>
      </c>
      <c r="H34" s="217">
        <f t="shared" si="0"/>
        <v>4.6399999999999997</v>
      </c>
      <c r="I34" s="217">
        <f t="shared" si="132"/>
        <v>0.57999999999999996</v>
      </c>
      <c r="J34" s="541">
        <f t="shared" si="1"/>
        <v>23.948834373932922</v>
      </c>
      <c r="K34" s="443">
        <f t="shared" si="2"/>
        <v>16.722573688856087</v>
      </c>
      <c r="L34" s="172">
        <f t="shared" si="3"/>
        <v>40.671408062789013</v>
      </c>
      <c r="M34" s="443"/>
      <c r="N34" s="217">
        <f t="shared" si="4"/>
        <v>0.41116289023088592</v>
      </c>
      <c r="O34" s="172">
        <f t="shared" si="94"/>
        <v>21.881937686326776</v>
      </c>
      <c r="P34" s="172">
        <f t="shared" si="5"/>
        <v>3.0771474871397029</v>
      </c>
      <c r="Q34" s="217">
        <f t="shared" si="6"/>
        <v>1.3676211053954235</v>
      </c>
      <c r="R34" s="217">
        <f t="shared" si="7"/>
        <v>2.735242210790847</v>
      </c>
      <c r="S34" s="443">
        <f t="shared" si="8"/>
        <v>16</v>
      </c>
      <c r="T34" s="217">
        <f t="shared" si="9"/>
        <v>1.0602351735283859</v>
      </c>
      <c r="U34" s="217">
        <f t="shared" si="10"/>
        <v>0.53125015955635702</v>
      </c>
      <c r="V34" s="217">
        <f t="shared" si="11"/>
        <v>0.76081722341693814</v>
      </c>
      <c r="W34" s="197">
        <f t="shared" si="12"/>
        <v>350</v>
      </c>
      <c r="X34" s="443">
        <f t="shared" si="95"/>
        <v>350</v>
      </c>
      <c r="Z34" s="217">
        <f t="shared" si="13"/>
        <v>2.3444933235350121</v>
      </c>
      <c r="AA34" s="173">
        <f t="shared" si="14"/>
        <v>1.6823917421974686</v>
      </c>
      <c r="AB34" s="173">
        <f t="shared" si="15"/>
        <v>0.69026233625167033</v>
      </c>
      <c r="AC34" s="173"/>
      <c r="AD34" s="173">
        <f t="shared" si="16"/>
        <v>0.71759289109886193</v>
      </c>
      <c r="AE34" s="545">
        <f t="shared" si="17"/>
        <v>808.25772829471089</v>
      </c>
      <c r="AF34" s="528">
        <f t="shared" si="18"/>
        <v>0.12557875594230083</v>
      </c>
      <c r="AH34" s="173">
        <f t="shared" si="19"/>
        <v>1.5766148184367308</v>
      </c>
      <c r="AI34" s="173">
        <f t="shared" si="20"/>
        <v>1.5766148184367308</v>
      </c>
      <c r="AJ34" s="173">
        <f t="shared" si="21"/>
        <v>1.6271220877309116</v>
      </c>
      <c r="AL34" s="545">
        <f t="shared" si="22"/>
        <v>290</v>
      </c>
      <c r="AM34" s="460">
        <f t="shared" si="23"/>
        <v>350</v>
      </c>
      <c r="AO34">
        <f t="shared" si="96"/>
        <v>290</v>
      </c>
      <c r="AP34" s="460">
        <f t="shared" si="24"/>
        <v>350</v>
      </c>
      <c r="AQ34" s="460"/>
      <c r="AR34" s="5">
        <f t="shared" si="97"/>
        <v>2.8571428571428572</v>
      </c>
      <c r="AS34" s="5">
        <f t="shared" si="25"/>
        <v>0.78999159315384226</v>
      </c>
      <c r="AT34" s="5">
        <f t="shared" si="98"/>
        <v>2.0671512639890151</v>
      </c>
      <c r="AU34" s="173">
        <f t="shared" si="99"/>
        <v>0.2764970576038448</v>
      </c>
      <c r="AW34" s="5">
        <f t="shared" si="26"/>
        <v>1.431859762591339</v>
      </c>
      <c r="AX34" s="5">
        <f t="shared" si="27"/>
        <v>0.71592988129566948</v>
      </c>
      <c r="AY34" s="5">
        <f t="shared" si="28"/>
        <v>0.33375256443061563</v>
      </c>
      <c r="AZ34" s="5"/>
      <c r="BA34" s="173">
        <f t="shared" si="100"/>
        <v>0.47864137098104487</v>
      </c>
      <c r="BB34" s="173">
        <f t="shared" si="29"/>
        <v>0.77425697707984165</v>
      </c>
      <c r="BC34" s="173">
        <f t="shared" si="30"/>
        <v>0.19014840466519639</v>
      </c>
      <c r="BD34" s="173"/>
      <c r="BE34" s="528">
        <f t="shared" si="31"/>
        <v>4.5819512402922851E-3</v>
      </c>
      <c r="BF34" s="528">
        <f t="shared" si="32"/>
        <v>0.40958658637829287</v>
      </c>
      <c r="BG34" s="528">
        <f t="shared" si="33"/>
        <v>0.19278811671016002</v>
      </c>
      <c r="BH34" s="528">
        <f t="shared" si="34"/>
        <v>0.28513642190298139</v>
      </c>
      <c r="BI34">
        <f t="shared" si="35"/>
        <v>1.0776975468269815E-2</v>
      </c>
      <c r="BJ34" s="460">
        <f t="shared" si="101"/>
        <v>203.56509217842984</v>
      </c>
      <c r="BK34">
        <f t="shared" si="36"/>
        <v>0.70130557783225766</v>
      </c>
      <c r="BL34" s="460">
        <f t="shared" si="102"/>
        <v>701.30557783225765</v>
      </c>
      <c r="BM34" s="173">
        <f t="shared" si="37"/>
        <v>0.18016249999999998</v>
      </c>
      <c r="BN34" s="173">
        <f t="shared" si="38"/>
        <v>3.2171874999999996E-2</v>
      </c>
      <c r="BO34" s="528"/>
      <c r="BQ34" s="460">
        <f t="shared" si="103"/>
        <v>212.33437499999997</v>
      </c>
      <c r="BR34" s="528">
        <f t="shared" si="39"/>
        <v>6.8729268604384268E-3</v>
      </c>
      <c r="BS34" s="528">
        <f t="shared" si="104"/>
        <v>1.7984215996704432E-2</v>
      </c>
      <c r="BT34" s="528">
        <f t="shared" si="40"/>
        <v>1.807820789835964E-4</v>
      </c>
      <c r="BU34" s="528">
        <f t="shared" si="41"/>
        <v>0.35764662042896911</v>
      </c>
      <c r="BV34" s="528">
        <f t="shared" si="42"/>
        <v>0.38947377656434251</v>
      </c>
      <c r="BW34" s="625">
        <f t="shared" si="43"/>
        <v>4.3500000000000006E-3</v>
      </c>
      <c r="BX34" s="460">
        <f t="shared" si="105"/>
        <v>393.82377656434255</v>
      </c>
      <c r="BY34" s="173">
        <f t="shared" si="106"/>
        <v>1.3074637293966003</v>
      </c>
      <c r="BZ34" s="5">
        <f t="shared" si="107"/>
        <v>5.22</v>
      </c>
      <c r="CA34" s="173">
        <f t="shared" si="108"/>
        <v>0.79969804757268836</v>
      </c>
      <c r="CB34" s="5">
        <f t="shared" si="109"/>
        <v>79.969804757268832</v>
      </c>
      <c r="CC34">
        <f t="shared" si="110"/>
        <v>28.999999999999996</v>
      </c>
      <c r="CE34" s="562">
        <f t="shared" si="44"/>
        <v>-50</v>
      </c>
      <c r="CF34">
        <f t="shared" si="45"/>
        <v>-50</v>
      </c>
      <c r="CG34" s="173">
        <f t="shared" si="46"/>
        <v>0.38540444388441303</v>
      </c>
      <c r="CH34" s="173">
        <f t="shared" si="47"/>
        <v>0.1362390598541933</v>
      </c>
      <c r="CI34" s="170">
        <v>29</v>
      </c>
      <c r="CJ34" s="217">
        <f t="shared" si="133"/>
        <v>0.28999999999999998</v>
      </c>
      <c r="CK34" s="217">
        <f t="shared" si="111"/>
        <v>7.2499999999999995E-2</v>
      </c>
      <c r="CL34" s="217">
        <f t="shared" si="48"/>
        <v>4.6399999999999997</v>
      </c>
      <c r="CM34" s="217">
        <f t="shared" si="134"/>
        <v>0.57999999999999996</v>
      </c>
      <c r="CN34" s="541">
        <f t="shared" si="112"/>
        <v>24</v>
      </c>
      <c r="CO34" s="443">
        <f t="shared" si="49"/>
        <v>16.7</v>
      </c>
      <c r="CP34" s="443">
        <f t="shared" si="50"/>
        <v>40.700000000000003</v>
      </c>
      <c r="CQ34" s="443"/>
      <c r="CR34" s="217">
        <f t="shared" si="113"/>
        <v>0.40594059405940591</v>
      </c>
      <c r="CS34" s="172">
        <f t="shared" si="114"/>
        <v>21.650165016501649</v>
      </c>
      <c r="CT34" s="172">
        <f t="shared" si="51"/>
        <v>3.0445544554455446</v>
      </c>
      <c r="CU34" s="217">
        <f t="shared" si="52"/>
        <v>1.3531353135313531</v>
      </c>
      <c r="CV34" s="217">
        <f t="shared" si="53"/>
        <v>2.7062706270627062</v>
      </c>
      <c r="CW34" s="443">
        <f t="shared" si="54"/>
        <v>16</v>
      </c>
      <c r="CX34" s="217">
        <f t="shared" si="55"/>
        <v>1.0715853658536585</v>
      </c>
      <c r="CY34" s="217">
        <f t="shared" si="56"/>
        <v>0.53579268292682924</v>
      </c>
      <c r="CZ34" s="217">
        <f t="shared" si="57"/>
        <v>0.77000146049364682</v>
      </c>
      <c r="DA34" s="197">
        <f t="shared" si="58"/>
        <v>350</v>
      </c>
      <c r="DB34" s="443">
        <f t="shared" si="115"/>
        <v>350</v>
      </c>
      <c r="DD34" s="217">
        <f t="shared" si="59"/>
        <v>2.344682344682345</v>
      </c>
      <c r="DE34" s="173">
        <f t="shared" si="60"/>
        <v>1.6848016848016851</v>
      </c>
      <c r="DF34" s="173">
        <f t="shared" si="61"/>
        <v>0.69130683381297664</v>
      </c>
      <c r="DG34" s="173"/>
      <c r="DH34" s="173">
        <f t="shared" si="62"/>
        <v>0.71856287425149712</v>
      </c>
      <c r="DI34" s="545">
        <f t="shared" si="63"/>
        <v>807.16666666666652</v>
      </c>
      <c r="DJ34" s="528">
        <f t="shared" si="64"/>
        <v>0.125748502994012</v>
      </c>
      <c r="DL34" s="173">
        <f t="shared" si="65"/>
        <v>1.5766148184367308</v>
      </c>
      <c r="DM34" s="173">
        <f t="shared" si="66"/>
        <v>1.5766148184367308</v>
      </c>
      <c r="DN34" s="173">
        <f t="shared" si="67"/>
        <v>1.6271220877309116</v>
      </c>
      <c r="DP34" s="545">
        <f t="shared" si="68"/>
        <v>290</v>
      </c>
      <c r="DQ34" s="460">
        <f t="shared" si="69"/>
        <v>350</v>
      </c>
      <c r="DS34">
        <f t="shared" si="116"/>
        <v>290</v>
      </c>
      <c r="DT34" s="460">
        <f t="shared" si="70"/>
        <v>350</v>
      </c>
      <c r="DU34" s="460"/>
      <c r="DV34" s="5">
        <f t="shared" si="117"/>
        <v>2.8571428571428572</v>
      </c>
      <c r="DW34" s="5">
        <f t="shared" si="71"/>
        <v>0.7883074092183654</v>
      </c>
      <c r="DX34" s="5">
        <f t="shared" si="118"/>
        <v>2.0688354479244917</v>
      </c>
      <c r="DY34" s="173">
        <f t="shared" si="119"/>
        <v>0.27590759322642788</v>
      </c>
      <c r="EA34" s="5">
        <f t="shared" si="72"/>
        <v>1.4288071792082873</v>
      </c>
      <c r="EB34" s="5">
        <f t="shared" si="73"/>
        <v>0.71440358960414363</v>
      </c>
      <c r="EC34" s="5">
        <f t="shared" si="74"/>
        <v>0.33331237772116806</v>
      </c>
      <c r="ED34" s="5"/>
      <c r="EE34" s="173">
        <f t="shared" si="120"/>
        <v>0.47813089073320286</v>
      </c>
      <c r="EF34" s="173">
        <f t="shared" si="75"/>
        <v>0.77457232063771986</v>
      </c>
      <c r="EG34" s="173">
        <f t="shared" si="76"/>
        <v>0.19022584933308706</v>
      </c>
      <c r="EH34" s="173"/>
      <c r="EI34" s="528">
        <f t="shared" si="77"/>
        <v>4.5721829734665194E-3</v>
      </c>
      <c r="EJ34" s="528">
        <f t="shared" si="78"/>
        <v>0.42671868368399352</v>
      </c>
      <c r="EK34" s="528">
        <f t="shared" si="79"/>
        <v>4.0250000000000001E-2</v>
      </c>
      <c r="EL34" s="528">
        <f t="shared" si="80"/>
        <v>0.28553746375000005</v>
      </c>
      <c r="EM34">
        <f t="shared" si="81"/>
        <v>1.0800000000000001E-2</v>
      </c>
      <c r="EN34" s="460">
        <f t="shared" si="121"/>
        <v>51.05</v>
      </c>
      <c r="EO34">
        <f t="shared" si="82"/>
        <v>0.76994925470246955</v>
      </c>
      <c r="EP34" s="460">
        <f t="shared" si="122"/>
        <v>769.9492547024696</v>
      </c>
      <c r="EQ34" s="173">
        <f t="shared" si="83"/>
        <v>0.18016249999999998</v>
      </c>
      <c r="ER34" s="173">
        <f t="shared" si="84"/>
        <v>3.2171874999999996E-2</v>
      </c>
      <c r="ES34" s="528"/>
      <c r="EU34" s="460">
        <f t="shared" si="123"/>
        <v>212.33437499999997</v>
      </c>
      <c r="EV34" s="528">
        <f t="shared" si="85"/>
        <v>6.8582744601997786E-3</v>
      </c>
      <c r="EW34" s="528">
        <f t="shared" si="124"/>
        <v>1.799886839694308E-2</v>
      </c>
      <c r="EX34" s="528">
        <f t="shared" si="86"/>
        <v>1.8092936877247168E-4</v>
      </c>
      <c r="EY34" s="528">
        <f t="shared" si="87"/>
        <v>0.35764662042896911</v>
      </c>
      <c r="EZ34" s="528">
        <f t="shared" si="88"/>
        <v>0.38947396416870167</v>
      </c>
      <c r="FA34" s="625">
        <f t="shared" si="89"/>
        <v>4.3500000000000006E-3</v>
      </c>
      <c r="FB34" s="460">
        <f t="shared" si="125"/>
        <v>393.82396416870171</v>
      </c>
      <c r="FC34" s="173">
        <f t="shared" si="126"/>
        <v>1.3761075938711713</v>
      </c>
      <c r="FD34" s="5">
        <f t="shared" si="127"/>
        <v>5.22</v>
      </c>
      <c r="FE34" s="173">
        <f t="shared" si="128"/>
        <v>0.79137581152408842</v>
      </c>
      <c r="FF34" s="5">
        <f t="shared" si="129"/>
        <v>79.137581152408842</v>
      </c>
      <c r="FG34">
        <f t="shared" si="130"/>
        <v>28.999999999999996</v>
      </c>
      <c r="FI34" s="562">
        <f t="shared" si="90"/>
        <v>-50</v>
      </c>
      <c r="FJ34">
        <f t="shared" si="91"/>
        <v>-50</v>
      </c>
      <c r="FL34">
        <f t="shared" si="92"/>
        <v>0.38540444388441303</v>
      </c>
    </row>
    <row r="35" spans="5:168">
      <c r="E35" s="170">
        <v>30</v>
      </c>
      <c r="F35" s="217">
        <f t="shared" si="131"/>
        <v>0.3</v>
      </c>
      <c r="G35" s="217">
        <f t="shared" si="93"/>
        <v>7.4999999999999997E-2</v>
      </c>
      <c r="H35" s="217">
        <f t="shared" si="0"/>
        <v>4.8</v>
      </c>
      <c r="I35" s="217">
        <f t="shared" si="132"/>
        <v>0.6</v>
      </c>
      <c r="J35" s="541">
        <f t="shared" si="1"/>
        <v>23.947959684486005</v>
      </c>
      <c r="K35" s="443">
        <f t="shared" si="2"/>
        <v>16.722959591833106</v>
      </c>
      <c r="L35" s="172">
        <f t="shared" si="3"/>
        <v>40.670919276319111</v>
      </c>
      <c r="M35" s="443"/>
      <c r="N35" s="217">
        <f t="shared" si="4"/>
        <v>0.41117732004572982</v>
      </c>
      <c r="O35" s="172">
        <f t="shared" si="94"/>
        <v>21.881906408066968</v>
      </c>
      <c r="P35" s="172">
        <f t="shared" si="5"/>
        <v>3.0771430886344175</v>
      </c>
      <c r="Q35" s="217">
        <f t="shared" si="6"/>
        <v>1.3676191505041855</v>
      </c>
      <c r="R35" s="217">
        <f t="shared" si="7"/>
        <v>2.735238301008371</v>
      </c>
      <c r="S35" s="443">
        <f t="shared" si="8"/>
        <v>16</v>
      </c>
      <c r="T35" s="217">
        <f t="shared" si="9"/>
        <v>1.0967965748702853</v>
      </c>
      <c r="U35" s="217">
        <f t="shared" si="10"/>
        <v>0.5495899889529946</v>
      </c>
      <c r="V35" s="217">
        <f t="shared" si="11"/>
        <v>0.78703526287721559</v>
      </c>
      <c r="W35" s="197">
        <f t="shared" si="12"/>
        <v>350</v>
      </c>
      <c r="X35" s="443">
        <f t="shared" si="95"/>
        <v>350</v>
      </c>
      <c r="Z35" s="217">
        <f t="shared" si="13"/>
        <v>2.34448997229289</v>
      </c>
      <c r="AA35" s="173">
        <f t="shared" si="14"/>
        <v>1.6823505141550577</v>
      </c>
      <c r="AB35" s="173">
        <f t="shared" si="15"/>
        <v>0.69024443430570614</v>
      </c>
      <c r="AC35" s="173"/>
      <c r="AD35" s="173">
        <f t="shared" si="16"/>
        <v>0.71757633175531743</v>
      </c>
      <c r="AE35" s="545">
        <f t="shared" si="17"/>
        <v>836.14797959165514</v>
      </c>
      <c r="AF35" s="528">
        <f t="shared" si="18"/>
        <v>0.12557585805718055</v>
      </c>
      <c r="AH35" s="173">
        <f t="shared" si="19"/>
        <v>1.6035674514745462</v>
      </c>
      <c r="AI35" s="173">
        <f t="shared" si="20"/>
        <v>1.6035674514745462</v>
      </c>
      <c r="AJ35" s="173">
        <f t="shared" si="21"/>
        <v>1.6470870010922565</v>
      </c>
      <c r="AL35" s="545">
        <f t="shared" si="22"/>
        <v>300</v>
      </c>
      <c r="AM35" s="460">
        <f t="shared" si="23"/>
        <v>350</v>
      </c>
      <c r="AO35">
        <f t="shared" si="96"/>
        <v>300</v>
      </c>
      <c r="AP35" s="460">
        <f t="shared" si="24"/>
        <v>350</v>
      </c>
      <c r="AQ35" s="460"/>
      <c r="AR35" s="5">
        <f t="shared" si="97"/>
        <v>2.8571428571428572</v>
      </c>
      <c r="AS35" s="5">
        <f t="shared" si="25"/>
        <v>0.80352604861617727</v>
      </c>
      <c r="AT35" s="5">
        <f t="shared" si="98"/>
        <v>2.0536168085266802</v>
      </c>
      <c r="AU35" s="173">
        <f t="shared" si="99"/>
        <v>0.28123411701566203</v>
      </c>
      <c r="AW35" s="5">
        <f t="shared" si="26"/>
        <v>1.5066113411553324</v>
      </c>
      <c r="AX35" s="5">
        <f t="shared" si="27"/>
        <v>0.75330567057766618</v>
      </c>
      <c r="AY35" s="5">
        <f t="shared" si="28"/>
        <v>0.34301323963845759</v>
      </c>
      <c r="AZ35" s="5"/>
      <c r="BA35" s="173">
        <f t="shared" si="100"/>
        <v>0.4909763890299137</v>
      </c>
      <c r="BB35" s="173">
        <f t="shared" si="29"/>
        <v>0.78491085007025085</v>
      </c>
      <c r="BC35" s="173">
        <f t="shared" si="30"/>
        <v>0.19276487053195865</v>
      </c>
      <c r="BD35" s="173"/>
      <c r="BE35" s="528">
        <f t="shared" si="31"/>
        <v>4.8211562916970633E-3</v>
      </c>
      <c r="BF35" s="528">
        <f t="shared" si="32"/>
        <v>0.41658356715788264</v>
      </c>
      <c r="BG35" s="528">
        <f t="shared" si="33"/>
        <v>0.19278107546011236</v>
      </c>
      <c r="BH35" s="528">
        <f t="shared" si="34"/>
        <v>0.2851295684403517</v>
      </c>
      <c r="BI35">
        <f t="shared" si="35"/>
        <v>1.0776581858018702E-2</v>
      </c>
      <c r="BJ35" s="460">
        <f t="shared" si="101"/>
        <v>203.55765731813105</v>
      </c>
      <c r="BK35">
        <f t="shared" si="36"/>
        <v>0.70864776487603209</v>
      </c>
      <c r="BL35" s="460">
        <f t="shared" si="102"/>
        <v>708.64776487603206</v>
      </c>
      <c r="BM35" s="173">
        <f t="shared" si="37"/>
        <v>0.18637499999999999</v>
      </c>
      <c r="BN35" s="173">
        <f t="shared" si="38"/>
        <v>3.3281249999999998E-2</v>
      </c>
      <c r="BO35" s="528"/>
      <c r="BQ35" s="460">
        <f t="shared" si="103"/>
        <v>219.65625</v>
      </c>
      <c r="BR35" s="528">
        <f t="shared" si="39"/>
        <v>7.2317344375455945E-3</v>
      </c>
      <c r="BS35" s="528">
        <f t="shared" si="104"/>
        <v>1.8482551276740113E-2</v>
      </c>
      <c r="BT35" s="528">
        <f t="shared" si="40"/>
        <v>1.857914765560139E-4</v>
      </c>
      <c r="BU35" s="528">
        <f t="shared" si="41"/>
        <v>0.37312830611733427</v>
      </c>
      <c r="BV35" s="528">
        <f t="shared" si="42"/>
        <v>0.40608581414858236</v>
      </c>
      <c r="BW35" s="625">
        <f t="shared" si="43"/>
        <v>4.4999999999999997E-3</v>
      </c>
      <c r="BX35" s="460">
        <f t="shared" si="105"/>
        <v>410.58581414858236</v>
      </c>
      <c r="BY35" s="173">
        <f t="shared" si="106"/>
        <v>1.3388898290246145</v>
      </c>
      <c r="BZ35" s="5">
        <f t="shared" si="107"/>
        <v>5.3999999999999995</v>
      </c>
      <c r="CA35" s="173">
        <f t="shared" si="108"/>
        <v>0.80131893190211045</v>
      </c>
      <c r="CB35" s="5">
        <f t="shared" si="109"/>
        <v>80.131893190211045</v>
      </c>
      <c r="CC35">
        <f t="shared" si="110"/>
        <v>30</v>
      </c>
      <c r="CE35" s="562">
        <f t="shared" si="44"/>
        <v>-50</v>
      </c>
      <c r="CF35">
        <f t="shared" si="45"/>
        <v>-50</v>
      </c>
      <c r="CG35" s="173">
        <f t="shared" si="46"/>
        <v>0.39199303129694268</v>
      </c>
      <c r="CH35" s="173">
        <f t="shared" si="47"/>
        <v>0.1385681013821094</v>
      </c>
      <c r="CI35" s="170">
        <v>30</v>
      </c>
      <c r="CJ35" s="217">
        <f t="shared" si="133"/>
        <v>0.3</v>
      </c>
      <c r="CK35" s="217">
        <f t="shared" si="111"/>
        <v>7.4999999999999997E-2</v>
      </c>
      <c r="CL35" s="217">
        <f t="shared" si="48"/>
        <v>4.8</v>
      </c>
      <c r="CM35" s="217">
        <f t="shared" si="134"/>
        <v>0.6</v>
      </c>
      <c r="CN35" s="541">
        <f t="shared" si="112"/>
        <v>24</v>
      </c>
      <c r="CO35" s="443">
        <f t="shared" si="49"/>
        <v>16.7</v>
      </c>
      <c r="CP35" s="443">
        <f t="shared" si="50"/>
        <v>40.700000000000003</v>
      </c>
      <c r="CQ35" s="443"/>
      <c r="CR35" s="217">
        <f t="shared" si="113"/>
        <v>0.40594059405940591</v>
      </c>
      <c r="CS35" s="172">
        <f t="shared" si="114"/>
        <v>21.650165016501649</v>
      </c>
      <c r="CT35" s="172">
        <f t="shared" si="51"/>
        <v>3.0445544554455446</v>
      </c>
      <c r="CU35" s="217">
        <f t="shared" si="52"/>
        <v>1.3531353135313531</v>
      </c>
      <c r="CV35" s="217">
        <f t="shared" si="53"/>
        <v>2.7062706270627062</v>
      </c>
      <c r="CW35" s="443">
        <f t="shared" si="54"/>
        <v>16</v>
      </c>
      <c r="CX35" s="217">
        <f t="shared" si="55"/>
        <v>1.1085365853658535</v>
      </c>
      <c r="CY35" s="217">
        <f t="shared" si="56"/>
        <v>0.55426829268292677</v>
      </c>
      <c r="CZ35" s="217">
        <f t="shared" si="57"/>
        <v>0.79655323499342778</v>
      </c>
      <c r="DA35" s="197">
        <f t="shared" si="58"/>
        <v>350</v>
      </c>
      <c r="DB35" s="443">
        <f t="shared" si="115"/>
        <v>350</v>
      </c>
      <c r="DD35" s="217">
        <f t="shared" si="59"/>
        <v>2.344682344682345</v>
      </c>
      <c r="DE35" s="173">
        <f t="shared" si="60"/>
        <v>1.6848016848016851</v>
      </c>
      <c r="DF35" s="173">
        <f t="shared" si="61"/>
        <v>0.69130683381297664</v>
      </c>
      <c r="DG35" s="173"/>
      <c r="DH35" s="173">
        <f t="shared" si="62"/>
        <v>0.71856287425149712</v>
      </c>
      <c r="DI35" s="545">
        <f t="shared" si="63"/>
        <v>834.99999999999989</v>
      </c>
      <c r="DJ35" s="528">
        <f t="shared" si="64"/>
        <v>0.125748502994012</v>
      </c>
      <c r="DL35" s="173">
        <f t="shared" si="65"/>
        <v>1.6035674514745462</v>
      </c>
      <c r="DM35" s="173">
        <f t="shared" si="66"/>
        <v>1.6035674514745462</v>
      </c>
      <c r="DN35" s="173">
        <f t="shared" si="67"/>
        <v>1.6470870010922565</v>
      </c>
      <c r="DP35" s="545">
        <f t="shared" si="68"/>
        <v>300</v>
      </c>
      <c r="DQ35" s="460">
        <f t="shared" si="69"/>
        <v>350</v>
      </c>
      <c r="DS35">
        <f t="shared" si="116"/>
        <v>300</v>
      </c>
      <c r="DT35" s="460">
        <f t="shared" si="70"/>
        <v>350</v>
      </c>
      <c r="DU35" s="460"/>
      <c r="DV35" s="5">
        <f t="shared" si="117"/>
        <v>2.8571428571428572</v>
      </c>
      <c r="DW35" s="5">
        <f t="shared" si="71"/>
        <v>0.80178372573727308</v>
      </c>
      <c r="DX35" s="5">
        <f t="shared" si="118"/>
        <v>2.0553591314055843</v>
      </c>
      <c r="DY35" s="173">
        <f t="shared" si="119"/>
        <v>0.28062430400804556</v>
      </c>
      <c r="EA35" s="5">
        <f t="shared" si="72"/>
        <v>1.503344485757387</v>
      </c>
      <c r="EB35" s="5">
        <f t="shared" si="73"/>
        <v>0.7516722428786935</v>
      </c>
      <c r="EC35" s="5">
        <f t="shared" si="74"/>
        <v>0.34255985523426397</v>
      </c>
      <c r="ED35" s="5"/>
      <c r="EE35" s="173">
        <f t="shared" si="120"/>
        <v>0.49044379669966448</v>
      </c>
      <c r="EF35" s="173">
        <f t="shared" si="75"/>
        <v>0.78524374522925999</v>
      </c>
      <c r="EG35" s="173">
        <f t="shared" si="76"/>
        <v>0.19284662566659766</v>
      </c>
      <c r="EH35" s="173"/>
      <c r="EI35" s="528">
        <f t="shared" si="77"/>
        <v>4.8107023544236363E-3</v>
      </c>
      <c r="EJ35" s="528">
        <f t="shared" si="78"/>
        <v>0.43401354857884344</v>
      </c>
      <c r="EK35" s="528">
        <f t="shared" si="79"/>
        <v>4.0250000000000001E-2</v>
      </c>
      <c r="EL35" s="528">
        <f t="shared" si="80"/>
        <v>0.28553746375000005</v>
      </c>
      <c r="EM35">
        <f t="shared" si="81"/>
        <v>1.0800000000000001E-2</v>
      </c>
      <c r="EN35" s="460">
        <f t="shared" si="121"/>
        <v>51.05</v>
      </c>
      <c r="EO35">
        <f t="shared" si="82"/>
        <v>0.77759941824503231</v>
      </c>
      <c r="EP35" s="460">
        <f t="shared" si="122"/>
        <v>777.59941824503233</v>
      </c>
      <c r="EQ35" s="173">
        <f t="shared" si="83"/>
        <v>0.18637499999999999</v>
      </c>
      <c r="ER35" s="173">
        <f t="shared" si="84"/>
        <v>3.3281249999999998E-2</v>
      </c>
      <c r="ES35" s="528"/>
      <c r="EU35" s="460">
        <f t="shared" si="123"/>
        <v>219.65625</v>
      </c>
      <c r="EV35" s="528">
        <f t="shared" si="85"/>
        <v>7.2160535316354545E-3</v>
      </c>
      <c r="EW35" s="528">
        <f t="shared" si="124"/>
        <v>1.8498232182650249E-2</v>
      </c>
      <c r="EX35" s="528">
        <f t="shared" si="86"/>
        <v>1.8594910515496422E-4</v>
      </c>
      <c r="EY35" s="528">
        <f t="shared" si="87"/>
        <v>0.37312830611733427</v>
      </c>
      <c r="EZ35" s="528">
        <f t="shared" si="88"/>
        <v>0.40608601514537318</v>
      </c>
      <c r="FA35" s="625">
        <f t="shared" si="89"/>
        <v>4.4999999999999997E-3</v>
      </c>
      <c r="FB35" s="460">
        <f t="shared" si="125"/>
        <v>410.58601514537321</v>
      </c>
      <c r="FC35" s="173">
        <f t="shared" si="126"/>
        <v>1.4078416833904055</v>
      </c>
      <c r="FD35" s="5">
        <f t="shared" si="127"/>
        <v>5.3999999999999995</v>
      </c>
      <c r="FE35" s="173">
        <f t="shared" si="128"/>
        <v>0.79320293437122347</v>
      </c>
      <c r="FF35" s="5">
        <f t="shared" si="129"/>
        <v>79.320293437122345</v>
      </c>
      <c r="FG35">
        <f t="shared" si="130"/>
        <v>30</v>
      </c>
      <c r="FI35" s="562">
        <f t="shared" si="90"/>
        <v>-50</v>
      </c>
      <c r="FJ35">
        <f t="shared" si="91"/>
        <v>-50</v>
      </c>
      <c r="FL35">
        <f t="shared" si="92"/>
        <v>0.39199303129694263</v>
      </c>
    </row>
    <row r="36" spans="5:168">
      <c r="E36" s="170">
        <v>31</v>
      </c>
      <c r="F36" s="217">
        <f t="shared" si="131"/>
        <v>0.31</v>
      </c>
      <c r="G36" s="217">
        <f t="shared" si="93"/>
        <v>7.7499999999999999E-2</v>
      </c>
      <c r="H36" s="217">
        <f t="shared" si="0"/>
        <v>4.96</v>
      </c>
      <c r="I36" s="217">
        <f t="shared" si="132"/>
        <v>0.62</v>
      </c>
      <c r="J36" s="541">
        <f t="shared" si="1"/>
        <v>23.947099455704539</v>
      </c>
      <c r="K36" s="443">
        <f t="shared" si="2"/>
        <v>16.723339114929967</v>
      </c>
      <c r="L36" s="172">
        <f t="shared" si="3"/>
        <v>40.670438570634502</v>
      </c>
      <c r="M36" s="443"/>
      <c r="N36" s="217">
        <f t="shared" si="4"/>
        <v>0.41119151164022144</v>
      </c>
      <c r="O36" s="172">
        <f t="shared" si="94"/>
        <v>21.881875610199717</v>
      </c>
      <c r="P36" s="172">
        <f t="shared" si="5"/>
        <v>3.0771387576843354</v>
      </c>
      <c r="Q36" s="217">
        <f t="shared" si="6"/>
        <v>1.3676172256374823</v>
      </c>
      <c r="R36" s="217">
        <f t="shared" si="7"/>
        <v>2.7352344512749647</v>
      </c>
      <c r="S36" s="443">
        <f t="shared" si="8"/>
        <v>16</v>
      </c>
      <c r="T36" s="217">
        <f t="shared" si="9"/>
        <v>1.1333580558533138</v>
      </c>
      <c r="U36" s="217">
        <f t="shared" si="10"/>
        <v>0.56793085506645702</v>
      </c>
      <c r="V36" s="217">
        <f t="shared" si="11"/>
        <v>0.81325245973741767</v>
      </c>
      <c r="W36" s="197">
        <f t="shared" si="12"/>
        <v>350</v>
      </c>
      <c r="X36" s="443">
        <f t="shared" si="95"/>
        <v>350</v>
      </c>
      <c r="Z36" s="217">
        <f t="shared" si="13"/>
        <v>2.344486672521398</v>
      </c>
      <c r="AA36" s="173">
        <f t="shared" si="14"/>
        <v>1.6823099667422245</v>
      </c>
      <c r="AB36" s="173">
        <f t="shared" si="15"/>
        <v>0.69022682681348579</v>
      </c>
      <c r="AC36" s="173"/>
      <c r="AD36" s="173">
        <f t="shared" si="16"/>
        <v>0.71756004692190045</v>
      </c>
      <c r="AE36" s="545">
        <f t="shared" si="17"/>
        <v>864.03918760471504</v>
      </c>
      <c r="AF36" s="528">
        <f t="shared" si="18"/>
        <v>0.12557300821133258</v>
      </c>
      <c r="AH36" s="173">
        <f t="shared" si="19"/>
        <v>1.6300744943538186</v>
      </c>
      <c r="AI36" s="173">
        <f t="shared" si="20"/>
        <v>1.6300744943538186</v>
      </c>
      <c r="AJ36" s="173">
        <f t="shared" si="21"/>
        <v>1.6667218476694952</v>
      </c>
      <c r="AL36" s="545">
        <f t="shared" si="22"/>
        <v>310</v>
      </c>
      <c r="AM36" s="460">
        <f t="shared" si="23"/>
        <v>350</v>
      </c>
      <c r="AO36">
        <f t="shared" si="96"/>
        <v>310</v>
      </c>
      <c r="AP36" s="460">
        <f t="shared" si="24"/>
        <v>350</v>
      </c>
      <c r="AQ36" s="460"/>
      <c r="AR36" s="5">
        <f t="shared" si="97"/>
        <v>2.8571428571428572</v>
      </c>
      <c r="AS36" s="5">
        <f t="shared" si="25"/>
        <v>0.81683771215917089</v>
      </c>
      <c r="AT36" s="5">
        <f t="shared" si="98"/>
        <v>2.0403051449836864</v>
      </c>
      <c r="AU36" s="173">
        <f t="shared" si="99"/>
        <v>0.28589319925570983</v>
      </c>
      <c r="AW36" s="5">
        <f t="shared" si="26"/>
        <v>1.5826230673083936</v>
      </c>
      <c r="AX36" s="5">
        <f t="shared" si="27"/>
        <v>0.79131153365419682</v>
      </c>
      <c r="AY36" s="5">
        <f t="shared" si="28"/>
        <v>0.35216211806911113</v>
      </c>
      <c r="AZ36" s="5"/>
      <c r="BA36" s="173">
        <f t="shared" si="100"/>
        <v>0.50320939058143876</v>
      </c>
      <c r="BB36" s="173">
        <f t="shared" si="29"/>
        <v>0.79529528789308357</v>
      </c>
      <c r="BC36" s="173">
        <f t="shared" si="30"/>
        <v>0.19531516629138965</v>
      </c>
      <c r="BD36" s="173"/>
      <c r="BE36" s="528">
        <f t="shared" si="31"/>
        <v>5.06439381538686E-3</v>
      </c>
      <c r="BF36" s="528">
        <f t="shared" si="32"/>
        <v>0.42346470730696834</v>
      </c>
      <c r="BG36" s="528">
        <f t="shared" si="33"/>
        <v>0.19277415061842154</v>
      </c>
      <c r="BH36" s="528">
        <f t="shared" si="34"/>
        <v>0.28512282836184671</v>
      </c>
      <c r="BI36">
        <f t="shared" si="35"/>
        <v>1.0776194755067043E-2</v>
      </c>
      <c r="BJ36" s="460">
        <f t="shared" si="101"/>
        <v>203.5503453734886</v>
      </c>
      <c r="BK36">
        <f t="shared" si="36"/>
        <v>0.71588073508178751</v>
      </c>
      <c r="BL36" s="460">
        <f t="shared" si="102"/>
        <v>715.88073508178752</v>
      </c>
      <c r="BM36" s="173">
        <f t="shared" si="37"/>
        <v>0.19258749999999999</v>
      </c>
      <c r="BN36" s="173">
        <f t="shared" si="38"/>
        <v>3.4390625000000001E-2</v>
      </c>
      <c r="BO36" s="528"/>
      <c r="BQ36" s="460">
        <f t="shared" si="103"/>
        <v>226.97812500000001</v>
      </c>
      <c r="BR36" s="528">
        <f t="shared" si="39"/>
        <v>7.5965907230802886E-3</v>
      </c>
      <c r="BS36" s="528">
        <f t="shared" si="104"/>
        <v>1.8974837848348278E-2</v>
      </c>
      <c r="BT36" s="528">
        <f t="shared" si="40"/>
        <v>1.9074007091716597E-4</v>
      </c>
      <c r="BU36" s="528">
        <f t="shared" si="41"/>
        <v>0.38873956599629</v>
      </c>
      <c r="BV36" s="528">
        <f t="shared" si="42"/>
        <v>0.42282992276881221</v>
      </c>
      <c r="BW36" s="625">
        <f t="shared" si="43"/>
        <v>4.6500000000000005E-3</v>
      </c>
      <c r="BX36" s="460">
        <f t="shared" si="105"/>
        <v>427.47992276881217</v>
      </c>
      <c r="BY36" s="173">
        <f t="shared" si="106"/>
        <v>1.3703387828505997</v>
      </c>
      <c r="BZ36" s="5">
        <f t="shared" si="107"/>
        <v>5.58</v>
      </c>
      <c r="CA36" s="173">
        <f t="shared" si="108"/>
        <v>0.80283856288677613</v>
      </c>
      <c r="CB36" s="5">
        <f t="shared" si="109"/>
        <v>80.283856288677612</v>
      </c>
      <c r="CC36">
        <f t="shared" si="110"/>
        <v>31</v>
      </c>
      <c r="CE36" s="562">
        <f t="shared" si="44"/>
        <v>-50</v>
      </c>
      <c r="CF36">
        <f t="shared" si="45"/>
        <v>-50</v>
      </c>
      <c r="CG36" s="173">
        <f t="shared" si="46"/>
        <v>0.39847269392629409</v>
      </c>
      <c r="CH36" s="173">
        <f t="shared" si="47"/>
        <v>0.140858638397972</v>
      </c>
      <c r="CI36" s="170">
        <v>31</v>
      </c>
      <c r="CJ36" s="217">
        <f t="shared" si="133"/>
        <v>0.31</v>
      </c>
      <c r="CK36" s="217">
        <f t="shared" si="111"/>
        <v>7.7499999999999999E-2</v>
      </c>
      <c r="CL36" s="217">
        <f t="shared" si="48"/>
        <v>4.96</v>
      </c>
      <c r="CM36" s="217">
        <f t="shared" si="134"/>
        <v>0.62</v>
      </c>
      <c r="CN36" s="541">
        <f t="shared" si="112"/>
        <v>24</v>
      </c>
      <c r="CO36" s="443">
        <f t="shared" si="49"/>
        <v>16.7</v>
      </c>
      <c r="CP36" s="443">
        <f t="shared" si="50"/>
        <v>40.700000000000003</v>
      </c>
      <c r="CQ36" s="443"/>
      <c r="CR36" s="217">
        <f t="shared" si="113"/>
        <v>0.40594059405940591</v>
      </c>
      <c r="CS36" s="172">
        <f t="shared" si="114"/>
        <v>21.650165016501649</v>
      </c>
      <c r="CT36" s="172">
        <f t="shared" si="51"/>
        <v>3.0445544554455446</v>
      </c>
      <c r="CU36" s="217">
        <f t="shared" si="52"/>
        <v>1.3531353135313531</v>
      </c>
      <c r="CV36" s="217">
        <f t="shared" si="53"/>
        <v>2.7062706270627062</v>
      </c>
      <c r="CW36" s="443">
        <f t="shared" si="54"/>
        <v>16</v>
      </c>
      <c r="CX36" s="217">
        <f t="shared" si="55"/>
        <v>1.1454878048780488</v>
      </c>
      <c r="CY36" s="217">
        <f t="shared" si="56"/>
        <v>0.5727439024390244</v>
      </c>
      <c r="CZ36" s="217">
        <f t="shared" si="57"/>
        <v>0.82310500949320886</v>
      </c>
      <c r="DA36" s="197">
        <f t="shared" si="58"/>
        <v>350</v>
      </c>
      <c r="DB36" s="443">
        <f t="shared" si="115"/>
        <v>350</v>
      </c>
      <c r="DD36" s="217">
        <f t="shared" si="59"/>
        <v>2.344682344682345</v>
      </c>
      <c r="DE36" s="173">
        <f t="shared" si="60"/>
        <v>1.6848016848016851</v>
      </c>
      <c r="DF36" s="173">
        <f t="shared" si="61"/>
        <v>0.69130683381297664</v>
      </c>
      <c r="DG36" s="173"/>
      <c r="DH36" s="173">
        <f t="shared" si="62"/>
        <v>0.71856287425149712</v>
      </c>
      <c r="DI36" s="545">
        <f t="shared" si="63"/>
        <v>862.83333333333326</v>
      </c>
      <c r="DJ36" s="528">
        <f t="shared" si="64"/>
        <v>0.125748502994012</v>
      </c>
      <c r="DL36" s="173">
        <f t="shared" si="65"/>
        <v>1.6300744943538186</v>
      </c>
      <c r="DM36" s="173">
        <f t="shared" si="66"/>
        <v>1.6300744943538186</v>
      </c>
      <c r="DN36" s="173">
        <f t="shared" si="67"/>
        <v>1.6667218476694952</v>
      </c>
      <c r="DP36" s="545">
        <f t="shared" si="68"/>
        <v>310</v>
      </c>
      <c r="DQ36" s="460">
        <f t="shared" si="69"/>
        <v>350</v>
      </c>
      <c r="DS36">
        <f t="shared" si="116"/>
        <v>310</v>
      </c>
      <c r="DT36" s="460">
        <f t="shared" si="70"/>
        <v>350</v>
      </c>
      <c r="DU36" s="460"/>
      <c r="DV36" s="5">
        <f t="shared" si="117"/>
        <v>2.8571428571428572</v>
      </c>
      <c r="DW36" s="5">
        <f t="shared" si="71"/>
        <v>0.81503724717690917</v>
      </c>
      <c r="DX36" s="5">
        <f t="shared" si="118"/>
        <v>2.0421056099659483</v>
      </c>
      <c r="DY36" s="173">
        <f t="shared" si="119"/>
        <v>0.2852630365119182</v>
      </c>
      <c r="EA36" s="5">
        <f t="shared" si="72"/>
        <v>1.5791346664052615</v>
      </c>
      <c r="EB36" s="5">
        <f t="shared" si="73"/>
        <v>0.78956733320263073</v>
      </c>
      <c r="EC36" s="5">
        <f t="shared" si="74"/>
        <v>0.35169596616080218</v>
      </c>
      <c r="ED36" s="5"/>
      <c r="EE36" s="173">
        <f t="shared" si="120"/>
        <v>0.50265450025324732</v>
      </c>
      <c r="EF36" s="173">
        <f t="shared" si="75"/>
        <v>0.79564611423009157</v>
      </c>
      <c r="EG36" s="173">
        <f t="shared" si="76"/>
        <v>0.19540132511239011</v>
      </c>
      <c r="EH36" s="173"/>
      <c r="EI36" s="528">
        <f t="shared" si="77"/>
        <v>5.0532309324968364E-3</v>
      </c>
      <c r="EJ36" s="528">
        <f t="shared" si="78"/>
        <v>0.44118781226933285</v>
      </c>
      <c r="EK36" s="528">
        <f t="shared" si="79"/>
        <v>4.0250000000000001E-2</v>
      </c>
      <c r="EL36" s="528">
        <f t="shared" si="80"/>
        <v>0.28553746375000005</v>
      </c>
      <c r="EM36">
        <f t="shared" si="81"/>
        <v>1.0800000000000001E-2</v>
      </c>
      <c r="EN36" s="460">
        <f t="shared" si="121"/>
        <v>51.05</v>
      </c>
      <c r="EO36">
        <f t="shared" si="82"/>
        <v>0.78513555047256856</v>
      </c>
      <c r="EP36" s="460">
        <f t="shared" si="122"/>
        <v>785.13555047256853</v>
      </c>
      <c r="EQ36" s="173">
        <f t="shared" si="83"/>
        <v>0.19258749999999999</v>
      </c>
      <c r="ER36" s="173">
        <f t="shared" si="84"/>
        <v>3.4390625000000001E-2</v>
      </c>
      <c r="ES36" s="528"/>
      <c r="EU36" s="460">
        <f t="shared" si="123"/>
        <v>226.97812500000001</v>
      </c>
      <c r="EV36" s="528">
        <f t="shared" si="85"/>
        <v>7.5798463987452542E-3</v>
      </c>
      <c r="EW36" s="528">
        <f t="shared" si="124"/>
        <v>1.8991582172683315E-2</v>
      </c>
      <c r="EX36" s="528">
        <f t="shared" si="86"/>
        <v>1.909083892783899E-4</v>
      </c>
      <c r="EY36" s="528">
        <f t="shared" si="87"/>
        <v>0.38873956599629</v>
      </c>
      <c r="EZ36" s="528">
        <f t="shared" si="88"/>
        <v>0.42283013763721378</v>
      </c>
      <c r="FA36" s="625">
        <f t="shared" si="89"/>
        <v>4.6500000000000005E-3</v>
      </c>
      <c r="FB36" s="460">
        <f t="shared" si="125"/>
        <v>427.48013763721377</v>
      </c>
      <c r="FC36" s="173">
        <f t="shared" si="126"/>
        <v>1.4395938131097823</v>
      </c>
      <c r="FD36" s="5">
        <f t="shared" si="127"/>
        <v>5.58</v>
      </c>
      <c r="FE36" s="173">
        <f t="shared" si="128"/>
        <v>0.79491778991240214</v>
      </c>
      <c r="FF36" s="5">
        <f t="shared" si="129"/>
        <v>79.49177899124021</v>
      </c>
      <c r="FG36">
        <f t="shared" si="130"/>
        <v>31</v>
      </c>
      <c r="FI36" s="562">
        <f t="shared" si="90"/>
        <v>-50</v>
      </c>
      <c r="FJ36">
        <f t="shared" si="91"/>
        <v>-50</v>
      </c>
      <c r="FL36">
        <f t="shared" si="92"/>
        <v>0.39847269392629409</v>
      </c>
    </row>
    <row r="37" spans="5:168">
      <c r="E37" s="170">
        <v>32</v>
      </c>
      <c r="F37" s="217">
        <f t="shared" si="131"/>
        <v>0.32</v>
      </c>
      <c r="G37" s="217">
        <f t="shared" si="93"/>
        <v>0.08</v>
      </c>
      <c r="H37" s="217">
        <f t="shared" ref="H37:H68" si="135">F37*Vout</f>
        <v>5.12</v>
      </c>
      <c r="I37" s="217">
        <f t="shared" si="132"/>
        <v>0.64</v>
      </c>
      <c r="J37" s="541">
        <f t="shared" ref="J37:J68" si="136">Vin-(F37/CG37/Nps+G37/CH37/(Nps/Nsec1sec2))*(Rdcr_pri+RON/1000)</f>
        <v>23.946252993248777</v>
      </c>
      <c r="K37" s="443">
        <f t="shared" ref="K37:K68" si="137">MAX((S37+Vfwd2+Rdcr_sec*F37/CG37)*Nps,(Vout2+Vfwd22+Rdcr_sec2*G37/CH37)*Nps/Nsec1sec2)</f>
        <v>16.723712564481424</v>
      </c>
      <c r="L37" s="172">
        <f t="shared" ref="L37:L68" si="138">MAX((Vout+Vfwd2+F37/CG37*Rdcr_sec)*Nps+J37, (Vout2+Vfwd22+G37/CH37*Rdcr_sec2)*Nps/Nsec1sec2+J37)</f>
        <v>40.669965557730201</v>
      </c>
      <c r="M37" s="443"/>
      <c r="N37" s="217">
        <f t="shared" ref="N37:N68" si="139">MAX((Vout+Vfwd2+F37/CG37*Rdcr_sec)*Nps/((Vout+Vfwd2+F37/CG37*Rdcr_sec)*Nps+J37), (Vout2+Vfwd22+G37/CH37*Rdcr_sec2)*Nps/Nsec1sec2/((Vout2+Vfwd22+G37/CH37*Rdcr_sec2)*Nps/Nsec1sec2+J37))</f>
        <v>0.41120547645270189</v>
      </c>
      <c r="O37" s="172">
        <f t="shared" si="94"/>
        <v>21.88184526965734</v>
      </c>
      <c r="P37" s="172">
        <f t="shared" ref="P37:P68" si="140">N37*J37*Isw_max*0.5*Efficiency*(Pout2/Pout_total)</f>
        <v>3.0771344910455634</v>
      </c>
      <c r="Q37" s="217">
        <f t="shared" si="6"/>
        <v>1.3676153293535838</v>
      </c>
      <c r="R37" s="217">
        <f t="shared" ref="R37:R68" si="141">O37/Vout2</f>
        <v>2.7352306587071675</v>
      </c>
      <c r="S37" s="443">
        <f t="shared" ref="S37:S68" si="142">MIN(Vout,O37/F37)</f>
        <v>16</v>
      </c>
      <c r="T37" s="217">
        <f t="shared" ref="T37:T68" si="143">MIN(2*(Vout*F37+Vout2*G37)/(Efficiency*J37*N37), Isw_max)</f>
        <v>1.1699196153031239</v>
      </c>
      <c r="U37" s="217">
        <f t="shared" si="10"/>
        <v>0.58627274119235051</v>
      </c>
      <c r="V37" s="217">
        <f t="shared" si="11"/>
        <v>0.83946882783995125</v>
      </c>
      <c r="W37" s="197">
        <f t="shared" si="12"/>
        <v>350</v>
      </c>
      <c r="X37" s="443">
        <f t="shared" si="95"/>
        <v>350</v>
      </c>
      <c r="Z37" s="217">
        <f t="shared" si="13"/>
        <v>2.3444834217490005</v>
      </c>
      <c r="AA37" s="173">
        <f t="shared" si="14"/>
        <v>1.6822700672779944</v>
      </c>
      <c r="AB37" s="173">
        <f t="shared" ref="AB37:AB68" si="144">0.5*AA37*Z37*Nps*W37/1000*(Pout/Pout_total)</f>
        <v>0.69020949963662093</v>
      </c>
      <c r="AC37" s="173"/>
      <c r="AD37" s="173">
        <f t="shared" si="16"/>
        <v>0.71754402341775125</v>
      </c>
      <c r="AE37" s="545">
        <f t="shared" ref="AE37:AE68" si="145">MAX(10, F37/(0.5*AD37/1000000*Isw_min*Nps)/1000*Pout_total/Pout)</f>
        <v>891.93133677234255</v>
      </c>
      <c r="AF37" s="528">
        <f t="shared" ref="AF37:AF68" si="146">0.5*AD37/1000000*Isw_min*Nps*W37*1000*(Pout/Pout_total)</f>
        <v>0.12557020409810649</v>
      </c>
      <c r="AH37" s="173">
        <f t="shared" ref="AH37:AH68" si="147">SQRT((H37+I37)/(0.5*L*Fsw_DCM))</f>
        <v>1.65615734242165</v>
      </c>
      <c r="AI37" s="173">
        <f t="shared" ref="AI37:AI68" si="148">MAX(IF(F37&gt;AB37,T37,AH37),Isw_min)</f>
        <v>1.65615734242165</v>
      </c>
      <c r="AJ37" s="173">
        <f t="shared" ref="AJ37:AJ68" si="149">IF(F37&gt;AF37, (AI37-Isw_min)/1.08*0.8+1.2, AE37*0.2/350+1)</f>
        <v>1.6860424758678889</v>
      </c>
      <c r="AL37" s="545">
        <f t="shared" ref="AL37:AL68" si="150">F37*1000</f>
        <v>320</v>
      </c>
      <c r="AM37" s="460">
        <f t="shared" ref="AM37:AM68" si="151">IF(F37&gt;AF37, X37, AE37)</f>
        <v>350</v>
      </c>
      <c r="AO37">
        <f t="shared" si="96"/>
        <v>320</v>
      </c>
      <c r="AP37" s="460">
        <f t="shared" si="24"/>
        <v>350</v>
      </c>
      <c r="AQ37" s="460"/>
      <c r="AR37" s="5">
        <f t="shared" si="97"/>
        <v>2.8571428571428572</v>
      </c>
      <c r="AS37" s="5">
        <f t="shared" si="25"/>
        <v>0.82993728140527423</v>
      </c>
      <c r="AT37" s="5">
        <f t="shared" si="98"/>
        <v>2.0272055757375829</v>
      </c>
      <c r="AU37" s="173">
        <f t="shared" si="99"/>
        <v>0.290478048491846</v>
      </c>
      <c r="AW37" s="5">
        <f t="shared" ref="AW37:AW68" si="152">F37*AS37/Vout_ripple*1000</f>
        <v>1.6598745628105487</v>
      </c>
      <c r="AX37" s="5">
        <f t="shared" ref="AX37:AX68" si="153">G37*AS37/Vout_ripple2*1000</f>
        <v>0.82993728140527434</v>
      </c>
      <c r="AY37" s="5">
        <f t="shared" si="28"/>
        <v>0.36120099703777875</v>
      </c>
      <c r="AZ37" s="5"/>
      <c r="BA37" s="173">
        <f t="shared" si="100"/>
        <v>0.51534447707304254</v>
      </c>
      <c r="BB37" s="173">
        <f t="shared" ref="BB37:BB68" si="154">AI37*Npri_sec1*SQRT((1-AU37)/3)*(Pout/Pout_total)</f>
        <v>0.80542273635403816</v>
      </c>
      <c r="BC37" s="173">
        <f t="shared" ref="BC37:BC68" si="155">AI37*Npri_sec2*SQRT((1-AU37)/3)*(Pout2/Pout_total)</f>
        <v>0.19780234848694761</v>
      </c>
      <c r="BD37" s="173"/>
      <c r="BE37" s="528">
        <f t="shared" si="31"/>
        <v>5.3115986009937537E-3</v>
      </c>
      <c r="BF37" s="528">
        <f t="shared" ref="BF37:BF68" si="156">0.5*L37*AI37*AM37*1000*Tfall</f>
        <v>0.43023556900068033</v>
      </c>
      <c r="BG37" s="528">
        <f t="shared" ref="BG37:BG68" si="157">Qg*Vdd*AM37*1000*0+Qg*J37*AM37*1000</f>
        <v>0.19276733659565265</v>
      </c>
      <c r="BH37" s="528">
        <f t="shared" si="34"/>
        <v>0.28511619622324236</v>
      </c>
      <c r="BI37">
        <f t="shared" si="35"/>
        <v>1.0775813846961949E-2</v>
      </c>
      <c r="BJ37" s="460">
        <f t="shared" si="101"/>
        <v>203.5431504426146</v>
      </c>
      <c r="BK37">
        <f t="shared" ref="BK37:BK68" si="158">(BF37+BG37*0+BH37+BI37*0+BE37*(1+RdsonTC*(Ta-25)))/(1-BE37*RdsonTC*ThetaJA)</f>
        <v>0.72300995992031303</v>
      </c>
      <c r="BL37" s="460">
        <f t="shared" si="102"/>
        <v>723.00995992031301</v>
      </c>
      <c r="BM37" s="173">
        <f t="shared" ref="BM37:BM68" si="159">Vfwd2*F37*(1+Diode_TC/1000*(Ta-25))</f>
        <v>0.19879999999999998</v>
      </c>
      <c r="BN37" s="173">
        <f t="shared" ref="BN37:BN68" si="160">Vfwd22*G37*(1+Diode_TC/1000*(Ta-25))</f>
        <v>3.5499999999999997E-2</v>
      </c>
      <c r="BO37" s="528"/>
      <c r="BQ37" s="460">
        <f t="shared" si="103"/>
        <v>234.29999999999998</v>
      </c>
      <c r="BR37" s="528">
        <f t="shared" si="39"/>
        <v>7.9673979014906297E-3</v>
      </c>
      <c r="BS37" s="528">
        <f t="shared" si="104"/>
        <v>1.946117352708079E-2</v>
      </c>
      <c r="BT37" s="528">
        <f t="shared" ref="BT37:BT68" si="161">Rdcr_sec2*BC37^2</f>
        <v>1.9562884533475932E-4</v>
      </c>
      <c r="BU37" s="528">
        <f t="shared" si="41"/>
        <v>0.40447725141691182</v>
      </c>
      <c r="BV37" s="528">
        <f t="shared" ref="BV37:BV68" si="162">(BU37+(BR37+BS37+BT37)*(1+Ltc*(Ta-25)))/(1-(BR37+BS37+BT37)*Ltc*ThetaCa)</f>
        <v>0.43970297520039286</v>
      </c>
      <c r="BW37" s="625">
        <f t="shared" ref="BW37:BW68" si="163">0.5*Lleak*0.000000001*AI37^2*AM37*1000</f>
        <v>4.7999999999999996E-3</v>
      </c>
      <c r="BX37" s="460">
        <f t="shared" si="105"/>
        <v>444.50297520039288</v>
      </c>
      <c r="BY37" s="173">
        <f t="shared" si="106"/>
        <v>1.4018129351207058</v>
      </c>
      <c r="BZ37" s="5">
        <f t="shared" si="107"/>
        <v>5.76</v>
      </c>
      <c r="CA37" s="173">
        <f t="shared" si="108"/>
        <v>0.80426563108813176</v>
      </c>
      <c r="CB37" s="5">
        <f t="shared" si="109"/>
        <v>80.42656310881317</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0.40484866187797919</v>
      </c>
      <c r="CH37" s="173">
        <f t="shared" ref="CH37:CH68" si="167">MIN(SQRT(2*DT37*1000*Ls2_*(CM37+CK37*Vfwd22))/(Vout2+Vfwd22), 1-DY37)</f>
        <v>0.14311251972493083</v>
      </c>
      <c r="CI37" s="170">
        <v>32</v>
      </c>
      <c r="CJ37" s="217">
        <f t="shared" si="133"/>
        <v>0.32</v>
      </c>
      <c r="CK37" s="217">
        <f t="shared" si="111"/>
        <v>0.08</v>
      </c>
      <c r="CL37" s="217">
        <f t="shared" si="48"/>
        <v>5.12</v>
      </c>
      <c r="CM37" s="217">
        <f t="shared" si="134"/>
        <v>0.64</v>
      </c>
      <c r="CN37" s="541">
        <f t="shared" si="112"/>
        <v>24</v>
      </c>
      <c r="CO37" s="443">
        <f t="shared" ref="CO37:CO68" si="168">(CW37+Vfwd2)*Nps</f>
        <v>16.7</v>
      </c>
      <c r="CP37" s="443">
        <f t="shared" ref="CP37:CP68" si="169">(Vout+Vfwd2)*Nps+CN37</f>
        <v>40.700000000000003</v>
      </c>
      <c r="CQ37" s="443"/>
      <c r="CR37" s="217">
        <f t="shared" si="113"/>
        <v>0.40594059405940591</v>
      </c>
      <c r="CS37" s="172">
        <f t="shared" si="114"/>
        <v>21.650165016501649</v>
      </c>
      <c r="CT37" s="172">
        <f t="shared" si="51"/>
        <v>3.0445544554455446</v>
      </c>
      <c r="CU37" s="217">
        <f t="shared" si="52"/>
        <v>1.3531353135313531</v>
      </c>
      <c r="CV37" s="217">
        <f t="shared" si="53"/>
        <v>2.7062706270627062</v>
      </c>
      <c r="CW37" s="443">
        <f t="shared" si="54"/>
        <v>16</v>
      </c>
      <c r="CX37" s="217">
        <f t="shared" si="55"/>
        <v>1.1824390243902438</v>
      </c>
      <c r="CY37" s="217">
        <f t="shared" si="56"/>
        <v>0.59121951219512203</v>
      </c>
      <c r="CZ37" s="217">
        <f t="shared" si="57"/>
        <v>0.84965678399298972</v>
      </c>
      <c r="DA37" s="197">
        <f t="shared" si="58"/>
        <v>350</v>
      </c>
      <c r="DB37" s="443">
        <f t="shared" si="115"/>
        <v>350</v>
      </c>
      <c r="DD37" s="217">
        <f t="shared" si="59"/>
        <v>2.344682344682345</v>
      </c>
      <c r="DE37" s="173">
        <f t="shared" si="60"/>
        <v>1.6848016848016851</v>
      </c>
      <c r="DF37" s="173">
        <f t="shared" si="61"/>
        <v>0.69130683381297664</v>
      </c>
      <c r="DG37" s="173"/>
      <c r="DH37" s="173">
        <f t="shared" si="62"/>
        <v>0.71856287425149712</v>
      </c>
      <c r="DI37" s="545">
        <f t="shared" si="63"/>
        <v>890.66666666666663</v>
      </c>
      <c r="DJ37" s="528">
        <f t="shared" si="64"/>
        <v>0.125748502994012</v>
      </c>
      <c r="DL37" s="173">
        <f t="shared" si="65"/>
        <v>1.65615734242165</v>
      </c>
      <c r="DM37" s="173">
        <f t="shared" si="66"/>
        <v>1.65615734242165</v>
      </c>
      <c r="DN37" s="173">
        <f t="shared" si="67"/>
        <v>1.6860424758678889</v>
      </c>
      <c r="DP37" s="545">
        <f t="shared" si="68"/>
        <v>320</v>
      </c>
      <c r="DQ37" s="460">
        <f t="shared" si="69"/>
        <v>350</v>
      </c>
      <c r="DS37">
        <f t="shared" si="116"/>
        <v>320</v>
      </c>
      <c r="DT37" s="460">
        <f t="shared" si="70"/>
        <v>350</v>
      </c>
      <c r="DU37" s="460"/>
      <c r="DV37" s="5">
        <f t="shared" si="117"/>
        <v>2.8571428571428572</v>
      </c>
      <c r="DW37" s="5">
        <f t="shared" si="71"/>
        <v>0.82807867121082512</v>
      </c>
      <c r="DX37" s="5">
        <f t="shared" si="118"/>
        <v>2.029064185932032</v>
      </c>
      <c r="DY37" s="173">
        <f t="shared" si="119"/>
        <v>0.28982753492378877</v>
      </c>
      <c r="EA37" s="5">
        <f t="shared" si="72"/>
        <v>1.6561573424216502</v>
      </c>
      <c r="EB37" s="5">
        <f t="shared" si="73"/>
        <v>0.82807867121082512</v>
      </c>
      <c r="EC37" s="5">
        <f t="shared" si="74"/>
        <v>0.36072252194347232</v>
      </c>
      <c r="ED37" s="5"/>
      <c r="EE37" s="173">
        <f t="shared" si="120"/>
        <v>0.51476710732860931</v>
      </c>
      <c r="EF37" s="173">
        <f t="shared" si="75"/>
        <v>0.80579187107977845</v>
      </c>
      <c r="EG37" s="173">
        <f t="shared" si="76"/>
        <v>0.19789300363282791</v>
      </c>
      <c r="EH37" s="173"/>
      <c r="EI37" s="528">
        <f t="shared" si="77"/>
        <v>5.2997034957492795E-3</v>
      </c>
      <c r="EJ37" s="528">
        <f t="shared" si="78"/>
        <v>0.44824726551313171</v>
      </c>
      <c r="EK37" s="528">
        <f t="shared" si="79"/>
        <v>4.0250000000000001E-2</v>
      </c>
      <c r="EL37" s="528">
        <f t="shared" si="80"/>
        <v>0.28553746375000005</v>
      </c>
      <c r="EM37">
        <f t="shared" si="81"/>
        <v>1.0800000000000001E-2</v>
      </c>
      <c r="EN37" s="460">
        <f t="shared" si="121"/>
        <v>51.05</v>
      </c>
      <c r="EO37">
        <f t="shared" si="82"/>
        <v>0.79256335605011941</v>
      </c>
      <c r="EP37" s="460">
        <f t="shared" si="122"/>
        <v>792.56335605011941</v>
      </c>
      <c r="EQ37" s="173">
        <f t="shared" si="83"/>
        <v>0.19879999999999998</v>
      </c>
      <c r="ER37" s="173">
        <f t="shared" ref="ER37:ER68" si="170">Vfwd22*CK37*(1+Diode_TC/1000*(Ta-25))</f>
        <v>3.5499999999999997E-2</v>
      </c>
      <c r="ES37" s="528"/>
      <c r="EU37" s="460">
        <f t="shared" si="123"/>
        <v>234.29999999999998</v>
      </c>
      <c r="EV37" s="528">
        <f t="shared" si="85"/>
        <v>7.9495552436239184E-3</v>
      </c>
      <c r="EW37" s="528">
        <f t="shared" si="124"/>
        <v>1.9479016184947507E-2</v>
      </c>
      <c r="EX37" s="528">
        <f t="shared" si="86"/>
        <v>1.958082044341122E-4</v>
      </c>
      <c r="EY37" s="528">
        <f t="shared" si="87"/>
        <v>0.40447725141691182</v>
      </c>
      <c r="EZ37" s="528">
        <f t="shared" si="88"/>
        <v>0.43970320442142158</v>
      </c>
      <c r="FA37" s="625">
        <f t="shared" si="89"/>
        <v>4.7999999999999996E-3</v>
      </c>
      <c r="FB37" s="460">
        <f t="shared" si="125"/>
        <v>444.50320442142163</v>
      </c>
      <c r="FC37" s="173">
        <f t="shared" si="126"/>
        <v>1.4713665604715409</v>
      </c>
      <c r="FD37" s="5">
        <f t="shared" si="127"/>
        <v>5.76</v>
      </c>
      <c r="FE37" s="173">
        <f t="shared" si="128"/>
        <v>0.79652994379867303</v>
      </c>
      <c r="FF37" s="5">
        <f t="shared" si="129"/>
        <v>79.652994379867309</v>
      </c>
      <c r="FG37">
        <f t="shared" si="130"/>
        <v>32</v>
      </c>
      <c r="FI37" s="562">
        <f t="shared" si="90"/>
        <v>-50</v>
      </c>
      <c r="FJ37">
        <f t="shared" si="91"/>
        <v>-50</v>
      </c>
      <c r="FL37">
        <f t="shared" si="92"/>
        <v>0.40484866187797913</v>
      </c>
    </row>
    <row r="38" spans="5:168">
      <c r="E38" s="170">
        <v>33</v>
      </c>
      <c r="F38" s="217">
        <f t="shared" si="131"/>
        <v>0.33</v>
      </c>
      <c r="G38" s="217">
        <f t="shared" ref="G38:G69" si="171">IF(PLOT_TYPE=1, E38/100*Iout2, min_I*EXP(Q38*rr/100))</f>
        <v>8.2500000000000004E-2</v>
      </c>
      <c r="H38" s="217">
        <f t="shared" si="135"/>
        <v>5.28</v>
      </c>
      <c r="I38" s="217">
        <f t="shared" si="132"/>
        <v>0.66</v>
      </c>
      <c r="J38" s="541">
        <f t="shared" si="136"/>
        <v>23.945419656627354</v>
      </c>
      <c r="K38" s="443">
        <f t="shared" si="137"/>
        <v>16.724080223064938</v>
      </c>
      <c r="L38" s="172">
        <f t="shared" si="138"/>
        <v>40.669499879692296</v>
      </c>
      <c r="M38" s="443"/>
      <c r="N38" s="217">
        <f t="shared" si="139"/>
        <v>0.4112192250344307</v>
      </c>
      <c r="O38" s="172">
        <f t="shared" ref="O38:O69" si="172">N38*J38*Isw_max*0.5*Efficiency*Pout/(Pout+Pout2)</f>
        <v>21.881815365161163</v>
      </c>
      <c r="P38" s="172">
        <f t="shared" si="140"/>
        <v>3.0771302857257887</v>
      </c>
      <c r="Q38" s="217">
        <f t="shared" si="6"/>
        <v>1.3676134603225727</v>
      </c>
      <c r="R38" s="217">
        <f t="shared" si="141"/>
        <v>2.7352269206451454</v>
      </c>
      <c r="S38" s="443">
        <f t="shared" si="142"/>
        <v>16</v>
      </c>
      <c r="T38" s="217">
        <f t="shared" si="143"/>
        <v>1.2064812521008839</v>
      </c>
      <c r="U38" s="217">
        <f t="shared" si="10"/>
        <v>0.60461563141590646</v>
      </c>
      <c r="V38" s="217">
        <f t="shared" si="11"/>
        <v>0.86568438037289785</v>
      </c>
      <c r="W38" s="197">
        <f t="shared" si="12"/>
        <v>350</v>
      </c>
      <c r="X38" s="443">
        <f t="shared" si="95"/>
        <v>350</v>
      </c>
      <c r="Z38" s="217">
        <f t="shared" si="13"/>
        <v>2.344480217695839</v>
      </c>
      <c r="AA38" s="173">
        <f t="shared" si="14"/>
        <v>1.682230785615912</v>
      </c>
      <c r="AB38" s="173">
        <f t="shared" si="144"/>
        <v>0.69019243973320121</v>
      </c>
      <c r="AC38" s="173"/>
      <c r="AD38" s="173">
        <f t="shared" si="16"/>
        <v>0.71752824908423096</v>
      </c>
      <c r="AE38" s="545">
        <f t="shared" si="145"/>
        <v>919.82441226857168</v>
      </c>
      <c r="AF38" s="528">
        <f t="shared" si="146"/>
        <v>0.12556744358974042</v>
      </c>
      <c r="AH38" s="173">
        <f t="shared" si="147"/>
        <v>1.6818357317441643</v>
      </c>
      <c r="AI38" s="173">
        <f t="shared" si="148"/>
        <v>1.6818357317441643</v>
      </c>
      <c r="AJ38" s="173">
        <f t="shared" si="149"/>
        <v>1.7050635049956773</v>
      </c>
      <c r="AL38" s="545">
        <f t="shared" si="150"/>
        <v>330</v>
      </c>
      <c r="AM38" s="460">
        <f t="shared" si="151"/>
        <v>350</v>
      </c>
      <c r="AO38">
        <f t="shared" si="96"/>
        <v>330</v>
      </c>
      <c r="AP38" s="460">
        <f t="shared" si="24"/>
        <v>350</v>
      </c>
      <c r="AQ38" s="460"/>
      <c r="AR38" s="5">
        <f t="shared" si="97"/>
        <v>2.8571428571428572</v>
      </c>
      <c r="AS38" s="5">
        <f t="shared" si="25"/>
        <v>0.84283462433886425</v>
      </c>
      <c r="AT38" s="5">
        <f t="shared" si="98"/>
        <v>2.0143082328039927</v>
      </c>
      <c r="AU38" s="173">
        <f t="shared" si="99"/>
        <v>0.29499211851860246</v>
      </c>
      <c r="AW38" s="5">
        <f t="shared" si="152"/>
        <v>1.7383464126989077</v>
      </c>
      <c r="AX38" s="5">
        <f t="shared" si="153"/>
        <v>0.86917320634945383</v>
      </c>
      <c r="AY38" s="5">
        <f t="shared" si="28"/>
        <v>0.3701315888980285</v>
      </c>
      <c r="AZ38" s="5"/>
      <c r="BA38" s="173">
        <f t="shared" si="100"/>
        <v>0.52738546247675921</v>
      </c>
      <c r="BB38" s="173">
        <f t="shared" si="154"/>
        <v>0.81530467729881062</v>
      </c>
      <c r="BC38" s="173">
        <f t="shared" si="155"/>
        <v>0.20022923692485495</v>
      </c>
      <c r="BD38" s="173"/>
      <c r="BE38" s="528">
        <f t="shared" si="31"/>
        <v>5.5627085206365048E-3</v>
      </c>
      <c r="BF38" s="528">
        <f t="shared" si="156"/>
        <v>0.43690128304879877</v>
      </c>
      <c r="BG38" s="528">
        <f t="shared" si="157"/>
        <v>0.19276062823585022</v>
      </c>
      <c r="BH38" s="528">
        <f t="shared" si="34"/>
        <v>0.28510966700253232</v>
      </c>
      <c r="BI38">
        <f t="shared" si="35"/>
        <v>1.0775438845482309E-2</v>
      </c>
      <c r="BJ38" s="460">
        <f t="shared" si="101"/>
        <v>203.53606708133253</v>
      </c>
      <c r="BK38">
        <f t="shared" si="158"/>
        <v>0.73004048404777422</v>
      </c>
      <c r="BL38" s="460">
        <f t="shared" si="102"/>
        <v>730.04048404777427</v>
      </c>
      <c r="BM38" s="173">
        <f t="shared" si="159"/>
        <v>0.20501249999999999</v>
      </c>
      <c r="BN38" s="173">
        <f t="shared" si="160"/>
        <v>3.6609375E-2</v>
      </c>
      <c r="BO38" s="528"/>
      <c r="BQ38" s="460">
        <f t="shared" si="103"/>
        <v>241.62187499999999</v>
      </c>
      <c r="BR38" s="528">
        <f t="shared" si="39"/>
        <v>8.3440627809547568E-3</v>
      </c>
      <c r="BS38" s="528">
        <f t="shared" si="104"/>
        <v>1.9941651504759534E-2</v>
      </c>
      <c r="BT38" s="528">
        <f t="shared" si="161"/>
        <v>2.0045873659754848E-4</v>
      </c>
      <c r="BU38" s="528">
        <f t="shared" si="41"/>
        <v>0.42033838668761875</v>
      </c>
      <c r="BV38" s="528">
        <f t="shared" si="162"/>
        <v>0.45670201664855653</v>
      </c>
      <c r="BW38" s="625">
        <f t="shared" si="163"/>
        <v>4.9500000000000013E-3</v>
      </c>
      <c r="BX38" s="460">
        <f t="shared" si="105"/>
        <v>461.65201664855653</v>
      </c>
      <c r="BY38" s="173">
        <f t="shared" si="106"/>
        <v>1.4333143756963307</v>
      </c>
      <c r="BZ38" s="5">
        <f t="shared" si="107"/>
        <v>5.94</v>
      </c>
      <c r="CA38" s="173">
        <f t="shared" si="108"/>
        <v>0.80560785792332779</v>
      </c>
      <c r="CB38" s="5">
        <f t="shared" si="109"/>
        <v>80.56078579233278</v>
      </c>
      <c r="CC38">
        <f t="shared" ref="CC38:CC69" si="173">F38/Iout*100</f>
        <v>33</v>
      </c>
      <c r="CE38" s="562">
        <f t="shared" si="164"/>
        <v>-50</v>
      </c>
      <c r="CF38">
        <f t="shared" si="165"/>
        <v>-50</v>
      </c>
      <c r="CG38" s="173">
        <f t="shared" si="166"/>
        <v>0.41112575964527259</v>
      </c>
      <c r="CH38" s="173">
        <f t="shared" si="167"/>
        <v>0.14533145080369494</v>
      </c>
      <c r="CI38" s="170">
        <v>33</v>
      </c>
      <c r="CJ38" s="217">
        <f t="shared" si="133"/>
        <v>0.33</v>
      </c>
      <c r="CK38" s="217">
        <f t="shared" si="111"/>
        <v>8.2500000000000004E-2</v>
      </c>
      <c r="CL38" s="217">
        <f t="shared" si="48"/>
        <v>5.28</v>
      </c>
      <c r="CM38" s="217">
        <f t="shared" si="134"/>
        <v>0.66</v>
      </c>
      <c r="CN38" s="541">
        <f t="shared" si="112"/>
        <v>24</v>
      </c>
      <c r="CO38" s="443">
        <f t="shared" si="168"/>
        <v>16.7</v>
      </c>
      <c r="CP38" s="443">
        <f t="shared" si="169"/>
        <v>40.700000000000003</v>
      </c>
      <c r="CQ38" s="443"/>
      <c r="CR38" s="217">
        <f t="shared" si="113"/>
        <v>0.40594059405940591</v>
      </c>
      <c r="CS38" s="172">
        <f t="shared" si="114"/>
        <v>21.650165016501649</v>
      </c>
      <c r="CT38" s="172">
        <f t="shared" si="51"/>
        <v>3.0445544554455446</v>
      </c>
      <c r="CU38" s="217">
        <f t="shared" si="52"/>
        <v>1.3531353135313531</v>
      </c>
      <c r="CV38" s="217">
        <f t="shared" si="53"/>
        <v>2.7062706270627062</v>
      </c>
      <c r="CW38" s="443">
        <f t="shared" si="54"/>
        <v>16</v>
      </c>
      <c r="CX38" s="217">
        <f t="shared" si="55"/>
        <v>1.2193902439024391</v>
      </c>
      <c r="CY38" s="217">
        <f t="shared" si="56"/>
        <v>0.60969512195121967</v>
      </c>
      <c r="CZ38" s="217">
        <f t="shared" si="57"/>
        <v>0.87620855849277068</v>
      </c>
      <c r="DA38" s="197">
        <f t="shared" si="58"/>
        <v>350</v>
      </c>
      <c r="DB38" s="443">
        <f t="shared" si="115"/>
        <v>350</v>
      </c>
      <c r="DD38" s="217">
        <f t="shared" si="59"/>
        <v>2.344682344682345</v>
      </c>
      <c r="DE38" s="173">
        <f t="shared" si="60"/>
        <v>1.6848016848016851</v>
      </c>
      <c r="DF38" s="173">
        <f t="shared" si="61"/>
        <v>0.69130683381297664</v>
      </c>
      <c r="DG38" s="173"/>
      <c r="DH38" s="173">
        <f t="shared" si="62"/>
        <v>0.71856287425149712</v>
      </c>
      <c r="DI38" s="545">
        <f t="shared" si="63"/>
        <v>918.49999999999989</v>
      </c>
      <c r="DJ38" s="528">
        <f t="shared" si="64"/>
        <v>0.125748502994012</v>
      </c>
      <c r="DL38" s="173">
        <f t="shared" si="65"/>
        <v>1.6818357317441643</v>
      </c>
      <c r="DM38" s="173">
        <f t="shared" si="66"/>
        <v>1.6818357317441643</v>
      </c>
      <c r="DN38" s="173">
        <f t="shared" si="67"/>
        <v>1.7050635049956773</v>
      </c>
      <c r="DP38" s="545">
        <f t="shared" si="68"/>
        <v>330</v>
      </c>
      <c r="DQ38" s="460">
        <f t="shared" si="69"/>
        <v>350</v>
      </c>
      <c r="DS38">
        <f t="shared" si="116"/>
        <v>330</v>
      </c>
      <c r="DT38" s="460">
        <f t="shared" si="70"/>
        <v>350</v>
      </c>
      <c r="DU38" s="460"/>
      <c r="DV38" s="5">
        <f t="shared" si="117"/>
        <v>2.8571428571428572</v>
      </c>
      <c r="DW38" s="5">
        <f t="shared" si="71"/>
        <v>0.84091786587208217</v>
      </c>
      <c r="DX38" s="5">
        <f t="shared" si="118"/>
        <v>2.016224991270775</v>
      </c>
      <c r="DY38" s="173">
        <f t="shared" si="119"/>
        <v>0.29432125305522877</v>
      </c>
      <c r="EA38" s="5">
        <f t="shared" si="72"/>
        <v>1.7343930983611695</v>
      </c>
      <c r="EB38" s="5">
        <f t="shared" si="73"/>
        <v>0.86719654918058475</v>
      </c>
      <c r="EC38" s="5">
        <f t="shared" si="74"/>
        <v>0.36964124839964208</v>
      </c>
      <c r="ED38" s="5"/>
      <c r="EE38" s="173">
        <f t="shared" si="120"/>
        <v>0.526785436148141</v>
      </c>
      <c r="EF38" s="173">
        <f t="shared" si="75"/>
        <v>0.81569249544136158</v>
      </c>
      <c r="EG38" s="173">
        <f t="shared" si="76"/>
        <v>0.20032448049809909</v>
      </c>
      <c r="EH38" s="173"/>
      <c r="EI38" s="528">
        <f t="shared" si="77"/>
        <v>5.5500579147557431E-3</v>
      </c>
      <c r="EJ38" s="528">
        <f t="shared" si="78"/>
        <v>0.45519724997521682</v>
      </c>
      <c r="EK38" s="528">
        <f t="shared" si="79"/>
        <v>4.0250000000000001E-2</v>
      </c>
      <c r="EL38" s="528">
        <f t="shared" si="80"/>
        <v>0.28553746375000005</v>
      </c>
      <c r="EM38">
        <f t="shared" si="81"/>
        <v>1.0800000000000001E-2</v>
      </c>
      <c r="EN38" s="460">
        <f t="shared" si="121"/>
        <v>51.05</v>
      </c>
      <c r="EO38">
        <f t="shared" si="82"/>
        <v>0.79988809471659439</v>
      </c>
      <c r="EP38" s="460">
        <f t="shared" si="122"/>
        <v>799.88809471659442</v>
      </c>
      <c r="EQ38" s="173">
        <f t="shared" si="83"/>
        <v>0.20501249999999999</v>
      </c>
      <c r="ER38" s="173">
        <f t="shared" si="170"/>
        <v>3.6609375E-2</v>
      </c>
      <c r="ES38" s="528"/>
      <c r="EU38" s="460">
        <f t="shared" si="123"/>
        <v>241.62187499999999</v>
      </c>
      <c r="EV38" s="528">
        <f t="shared" si="85"/>
        <v>8.3250868721336142E-3</v>
      </c>
      <c r="EW38" s="528">
        <f t="shared" si="124"/>
        <v>1.9960627413580668E-2</v>
      </c>
      <c r="EX38" s="528">
        <f t="shared" si="86"/>
        <v>2.0064948743416639E-4</v>
      </c>
      <c r="EY38" s="528">
        <f t="shared" si="87"/>
        <v>0.42033838668761875</v>
      </c>
      <c r="EZ38" s="528">
        <f t="shared" si="88"/>
        <v>0.45670226070507997</v>
      </c>
      <c r="FA38" s="625">
        <f t="shared" si="89"/>
        <v>4.9500000000000013E-3</v>
      </c>
      <c r="FB38" s="460">
        <f t="shared" si="125"/>
        <v>461.65226070507998</v>
      </c>
      <c r="FC38" s="173">
        <f t="shared" si="126"/>
        <v>1.5031622304216743</v>
      </c>
      <c r="FD38" s="5">
        <f t="shared" si="127"/>
        <v>5.94</v>
      </c>
      <c r="FE38" s="173">
        <f t="shared" si="128"/>
        <v>0.79804790169990469</v>
      </c>
      <c r="FF38" s="5">
        <f t="shared" si="129"/>
        <v>79.804790169990468</v>
      </c>
      <c r="FG38">
        <f t="shared" si="130"/>
        <v>33</v>
      </c>
      <c r="FI38" s="562">
        <f t="shared" si="90"/>
        <v>-50</v>
      </c>
      <c r="FJ38">
        <f t="shared" si="91"/>
        <v>-50</v>
      </c>
      <c r="FL38">
        <f t="shared" si="92"/>
        <v>0.41112575964527259</v>
      </c>
    </row>
    <row r="39" spans="5:168">
      <c r="E39" s="170">
        <v>34</v>
      </c>
      <c r="F39" s="217">
        <f t="shared" si="131"/>
        <v>0.34</v>
      </c>
      <c r="G39" s="217">
        <f t="shared" si="171"/>
        <v>8.5000000000000006E-2</v>
      </c>
      <c r="H39" s="217">
        <f t="shared" si="135"/>
        <v>5.44</v>
      </c>
      <c r="I39" s="217">
        <f t="shared" si="132"/>
        <v>0.68</v>
      </c>
      <c r="J39" s="541">
        <f t="shared" si="136"/>
        <v>23.944598853525981</v>
      </c>
      <c r="K39" s="443">
        <f t="shared" si="137"/>
        <v>16.724442352002796</v>
      </c>
      <c r="L39" s="172">
        <f t="shared" si="138"/>
        <v>40.669041205528778</v>
      </c>
      <c r="M39" s="443"/>
      <c r="N39" s="217">
        <f t="shared" si="139"/>
        <v>0.41123276714301249</v>
      </c>
      <c r="O39" s="172">
        <f t="shared" si="172"/>
        <v>21.881785877033096</v>
      </c>
      <c r="P39" s="172">
        <f t="shared" si="140"/>
        <v>3.0771261389577793</v>
      </c>
      <c r="Q39" s="217">
        <f t="shared" si="6"/>
        <v>1.3676116173145685</v>
      </c>
      <c r="R39" s="217">
        <f t="shared" si="141"/>
        <v>2.735223234629137</v>
      </c>
      <c r="S39" s="443">
        <f t="shared" si="142"/>
        <v>16</v>
      </c>
      <c r="T39" s="217">
        <f t="shared" si="143"/>
        <v>1.2430429651790373</v>
      </c>
      <c r="U39" s="217">
        <f t="shared" si="10"/>
        <v>0.62295951055166254</v>
      </c>
      <c r="V39" s="217">
        <f t="shared" si="11"/>
        <v>0.89189912991999731</v>
      </c>
      <c r="W39" s="197">
        <f t="shared" si="12"/>
        <v>350</v>
      </c>
      <c r="X39" s="443">
        <f t="shared" si="95"/>
        <v>350</v>
      </c>
      <c r="Z39" s="217">
        <f t="shared" si="13"/>
        <v>2.3444770582535459</v>
      </c>
      <c r="AA39" s="173">
        <f t="shared" si="14"/>
        <v>1.6821920938771071</v>
      </c>
      <c r="AB39" s="173">
        <f t="shared" si="144"/>
        <v>0.69017563504231516</v>
      </c>
      <c r="AC39" s="173"/>
      <c r="AD39" s="173">
        <f t="shared" si="16"/>
        <v>0.71751271267726113</v>
      </c>
      <c r="AE39" s="545">
        <f t="shared" si="145"/>
        <v>947.71839994682523</v>
      </c>
      <c r="AF39" s="528">
        <f t="shared" si="146"/>
        <v>0.1255647247185207</v>
      </c>
      <c r="AH39" s="173">
        <f t="shared" si="147"/>
        <v>1.7071279138616748</v>
      </c>
      <c r="AI39" s="173">
        <f t="shared" si="148"/>
        <v>1.7071279138616748</v>
      </c>
      <c r="AJ39" s="173">
        <f t="shared" si="149"/>
        <v>1.7237984547123517</v>
      </c>
      <c r="AL39" s="545">
        <f t="shared" si="150"/>
        <v>340</v>
      </c>
      <c r="AM39" s="460">
        <f t="shared" si="151"/>
        <v>350</v>
      </c>
      <c r="AO39">
        <f t="shared" si="96"/>
        <v>340</v>
      </c>
      <c r="AP39" s="460">
        <f t="shared" si="24"/>
        <v>350</v>
      </c>
      <c r="AQ39" s="460"/>
      <c r="AR39" s="5">
        <f t="shared" si="97"/>
        <v>2.8571428571428572</v>
      </c>
      <c r="AS39" s="5">
        <f t="shared" si="25"/>
        <v>0.85553886668364398</v>
      </c>
      <c r="AT39" s="5">
        <f t="shared" si="98"/>
        <v>2.0016039904592131</v>
      </c>
      <c r="AU39" s="173">
        <f t="shared" si="99"/>
        <v>0.29943860333927541</v>
      </c>
      <c r="AW39" s="5">
        <f t="shared" si="152"/>
        <v>1.8180200917027438</v>
      </c>
      <c r="AX39" s="5">
        <f t="shared" si="153"/>
        <v>0.90901004585137191</v>
      </c>
      <c r="AY39" s="5">
        <f t="shared" si="28"/>
        <v>0.37895552753207118</v>
      </c>
      <c r="AZ39" s="5"/>
      <c r="BA39" s="173">
        <f t="shared" si="100"/>
        <v>0.53933590152375255</v>
      </c>
      <c r="BB39" s="173">
        <f t="shared" si="154"/>
        <v>0.82495172995523347</v>
      </c>
      <c r="BC39" s="173">
        <f t="shared" si="155"/>
        <v>0.20259843956253526</v>
      </c>
      <c r="BD39" s="173"/>
      <c r="BE39" s="528">
        <f t="shared" si="31"/>
        <v>5.8176642934487776E-3</v>
      </c>
      <c r="BF39" s="528">
        <f t="shared" si="156"/>
        <v>0.44346659432707325</v>
      </c>
      <c r="BG39" s="528">
        <f t="shared" si="157"/>
        <v>0.19275402077088416</v>
      </c>
      <c r="BH39" s="528">
        <f t="shared" si="34"/>
        <v>0.28510323605545995</v>
      </c>
      <c r="BI39">
        <f t="shared" si="35"/>
        <v>1.0775069484086691E-2</v>
      </c>
      <c r="BJ39" s="460">
        <f t="shared" si="101"/>
        <v>203.52909025497084</v>
      </c>
      <c r="BK39">
        <f t="shared" si="158"/>
        <v>0.73697697037751786</v>
      </c>
      <c r="BL39" s="460">
        <f t="shared" si="102"/>
        <v>736.97697037751789</v>
      </c>
      <c r="BM39" s="173">
        <f t="shared" si="159"/>
        <v>0.21122499999999997</v>
      </c>
      <c r="BN39" s="173">
        <f t="shared" si="160"/>
        <v>3.7718750000000002E-2</v>
      </c>
      <c r="BO39" s="528"/>
      <c r="BQ39" s="460">
        <f t="shared" si="103"/>
        <v>248.94374999999997</v>
      </c>
      <c r="BR39" s="528">
        <f t="shared" si="39"/>
        <v>8.7264964401731655E-3</v>
      </c>
      <c r="BS39" s="528">
        <f t="shared" si="104"/>
        <v>2.0416360702683975E-2</v>
      </c>
      <c r="BT39" s="528">
        <f t="shared" si="161"/>
        <v>2.0523063856587125E-4</v>
      </c>
      <c r="BU39" s="528">
        <f t="shared" si="41"/>
        <v>0.43632015459641132</v>
      </c>
      <c r="BV39" s="528">
        <f t="shared" si="162"/>
        <v>0.47382425030063907</v>
      </c>
      <c r="BW39" s="625">
        <f t="shared" si="163"/>
        <v>5.0999999999999995E-3</v>
      </c>
      <c r="BX39" s="460">
        <f t="shared" si="105"/>
        <v>478.92425030063907</v>
      </c>
      <c r="BY39" s="173">
        <f t="shared" si="106"/>
        <v>1.464844970678157</v>
      </c>
      <c r="BZ39" s="5">
        <f t="shared" si="107"/>
        <v>6.12</v>
      </c>
      <c r="CA39" s="173">
        <f t="shared" si="108"/>
        <v>0.80687212773088679</v>
      </c>
      <c r="CB39" s="5">
        <f t="shared" si="109"/>
        <v>80.687212773088675</v>
      </c>
      <c r="CC39">
        <f t="shared" si="173"/>
        <v>34</v>
      </c>
      <c r="CE39" s="562">
        <f t="shared" si="164"/>
        <v>-50</v>
      </c>
      <c r="CF39">
        <f t="shared" si="165"/>
        <v>-50</v>
      </c>
      <c r="CG39" s="173">
        <f t="shared" si="166"/>
        <v>0.41730844882821949</v>
      </c>
      <c r="CH39" s="173">
        <f t="shared" si="167"/>
        <v>0.14751700879354521</v>
      </c>
      <c r="CI39" s="170">
        <v>34</v>
      </c>
      <c r="CJ39" s="217">
        <f t="shared" si="133"/>
        <v>0.34</v>
      </c>
      <c r="CK39" s="217">
        <f t="shared" si="111"/>
        <v>8.5000000000000006E-2</v>
      </c>
      <c r="CL39" s="217">
        <f t="shared" si="48"/>
        <v>5.44</v>
      </c>
      <c r="CM39" s="217">
        <f t="shared" si="134"/>
        <v>0.68</v>
      </c>
      <c r="CN39" s="541">
        <f t="shared" si="112"/>
        <v>24</v>
      </c>
      <c r="CO39" s="443">
        <f t="shared" si="168"/>
        <v>16.7</v>
      </c>
      <c r="CP39" s="443">
        <f t="shared" si="169"/>
        <v>40.700000000000003</v>
      </c>
      <c r="CQ39" s="443"/>
      <c r="CR39" s="217">
        <f t="shared" si="113"/>
        <v>0.40594059405940591</v>
      </c>
      <c r="CS39" s="172">
        <f t="shared" si="114"/>
        <v>21.650165016501649</v>
      </c>
      <c r="CT39" s="172">
        <f t="shared" si="51"/>
        <v>3.0445544554455446</v>
      </c>
      <c r="CU39" s="217">
        <f t="shared" si="52"/>
        <v>1.3531353135313531</v>
      </c>
      <c r="CV39" s="217">
        <f t="shared" si="53"/>
        <v>2.7062706270627062</v>
      </c>
      <c r="CW39" s="443">
        <f t="shared" si="54"/>
        <v>16</v>
      </c>
      <c r="CX39" s="217">
        <f t="shared" si="55"/>
        <v>1.2563414634146342</v>
      </c>
      <c r="CY39" s="217">
        <f t="shared" si="56"/>
        <v>0.62817073170731708</v>
      </c>
      <c r="CZ39" s="217">
        <f t="shared" si="57"/>
        <v>0.90276033299255154</v>
      </c>
      <c r="DA39" s="197">
        <f t="shared" si="58"/>
        <v>350</v>
      </c>
      <c r="DB39" s="443">
        <f t="shared" si="115"/>
        <v>350</v>
      </c>
      <c r="DD39" s="217">
        <f t="shared" si="59"/>
        <v>2.344682344682345</v>
      </c>
      <c r="DE39" s="173">
        <f t="shared" si="60"/>
        <v>1.6848016848016851</v>
      </c>
      <c r="DF39" s="173">
        <f t="shared" si="61"/>
        <v>0.69130683381297664</v>
      </c>
      <c r="DG39" s="173"/>
      <c r="DH39" s="173">
        <f t="shared" si="62"/>
        <v>0.71856287425149712</v>
      </c>
      <c r="DI39" s="545">
        <f t="shared" si="63"/>
        <v>946.33333333333326</v>
      </c>
      <c r="DJ39" s="528">
        <f t="shared" si="64"/>
        <v>0.125748502994012</v>
      </c>
      <c r="DL39" s="173">
        <f t="shared" si="65"/>
        <v>1.7071279138616748</v>
      </c>
      <c r="DM39" s="173">
        <f t="shared" si="66"/>
        <v>1.7071279138616748</v>
      </c>
      <c r="DN39" s="173">
        <f t="shared" si="67"/>
        <v>1.7237984547123517</v>
      </c>
      <c r="DP39" s="545">
        <f t="shared" si="68"/>
        <v>340</v>
      </c>
      <c r="DQ39" s="460">
        <f t="shared" si="69"/>
        <v>350</v>
      </c>
      <c r="DS39">
        <f t="shared" si="116"/>
        <v>340</v>
      </c>
      <c r="DT39" s="460">
        <f t="shared" si="70"/>
        <v>350</v>
      </c>
      <c r="DU39" s="460"/>
      <c r="DV39" s="5">
        <f t="shared" si="117"/>
        <v>2.8571428571428572</v>
      </c>
      <c r="DW39" s="5">
        <f t="shared" si="71"/>
        <v>0.85356395693083742</v>
      </c>
      <c r="DX39" s="5">
        <f t="shared" si="118"/>
        <v>2.0035789002120197</v>
      </c>
      <c r="DY39" s="173">
        <f t="shared" si="119"/>
        <v>0.29874738492579311</v>
      </c>
      <c r="EA39" s="5">
        <f t="shared" si="72"/>
        <v>1.8138234084780296</v>
      </c>
      <c r="EB39" s="5">
        <f t="shared" si="73"/>
        <v>0.90691170423901479</v>
      </c>
      <c r="EC39" s="5">
        <f t="shared" si="74"/>
        <v>0.37845379226227033</v>
      </c>
      <c r="ED39" s="5"/>
      <c r="EE39" s="173">
        <f t="shared" si="120"/>
        <v>0.5387130454671436</v>
      </c>
      <c r="EF39" s="173">
        <f t="shared" si="75"/>
        <v>0.8253586045302288</v>
      </c>
      <c r="EG39" s="173">
        <f t="shared" si="76"/>
        <v>0.20269836317139442</v>
      </c>
      <c r="EH39" s="173"/>
      <c r="EI39" s="528">
        <f t="shared" si="77"/>
        <v>5.8042349071296953E-3</v>
      </c>
      <c r="EJ39" s="528">
        <f t="shared" si="78"/>
        <v>0.46204270552623167</v>
      </c>
      <c r="EK39" s="528">
        <f t="shared" si="79"/>
        <v>4.0250000000000001E-2</v>
      </c>
      <c r="EL39" s="528">
        <f t="shared" si="80"/>
        <v>0.28553746375000005</v>
      </c>
      <c r="EM39">
        <f t="shared" si="81"/>
        <v>1.0800000000000001E-2</v>
      </c>
      <c r="EN39" s="460">
        <f t="shared" si="121"/>
        <v>51.05</v>
      </c>
      <c r="EO39">
        <f t="shared" si="82"/>
        <v>0.80711462826519142</v>
      </c>
      <c r="EP39" s="460">
        <f t="shared" si="122"/>
        <v>807.11462826519141</v>
      </c>
      <c r="EQ39" s="173">
        <f t="shared" si="83"/>
        <v>0.21122499999999997</v>
      </c>
      <c r="ER39" s="173">
        <f t="shared" si="170"/>
        <v>3.7718750000000002E-2</v>
      </c>
      <c r="ES39" s="528"/>
      <c r="EU39" s="460">
        <f t="shared" si="123"/>
        <v>248.94374999999997</v>
      </c>
      <c r="EV39" s="528">
        <f t="shared" si="85"/>
        <v>8.7063523606945425E-3</v>
      </c>
      <c r="EW39" s="528">
        <f t="shared" si="124"/>
        <v>2.04365047821626E-2</v>
      </c>
      <c r="EX39" s="528">
        <f t="shared" si="86"/>
        <v>2.0543313216181254E-4</v>
      </c>
      <c r="EY39" s="528">
        <f t="shared" si="87"/>
        <v>0.43632015459641132</v>
      </c>
      <c r="EZ39" s="528">
        <f t="shared" si="88"/>
        <v>0.47382450967738926</v>
      </c>
      <c r="FA39" s="625">
        <f t="shared" si="89"/>
        <v>5.0999999999999995E-3</v>
      </c>
      <c r="FB39" s="460">
        <f t="shared" si="125"/>
        <v>478.92450967738927</v>
      </c>
      <c r="FC39" s="173">
        <f t="shared" si="126"/>
        <v>1.5349828879425806</v>
      </c>
      <c r="FD39" s="5">
        <f t="shared" si="127"/>
        <v>6.12</v>
      </c>
      <c r="FE39" s="173">
        <f t="shared" si="128"/>
        <v>0.79947925287196353</v>
      </c>
      <c r="FF39" s="5">
        <f t="shared" si="129"/>
        <v>79.947925287196355</v>
      </c>
      <c r="FG39">
        <f t="shared" si="130"/>
        <v>34</v>
      </c>
      <c r="FI39" s="562">
        <f t="shared" si="90"/>
        <v>-50</v>
      </c>
      <c r="FJ39">
        <f t="shared" si="91"/>
        <v>-50</v>
      </c>
      <c r="FL39">
        <f t="shared" si="92"/>
        <v>0.41730844882821949</v>
      </c>
    </row>
    <row r="40" spans="5:168">
      <c r="E40" s="170">
        <v>35</v>
      </c>
      <c r="F40" s="217">
        <f t="shared" ref="F40:F71" si="174">IF(PLOT_TYPE=1, E40/100*Iout_max, min_I*EXP(O40*rr/100))</f>
        <v>0.35</v>
      </c>
      <c r="G40" s="217">
        <f t="shared" si="171"/>
        <v>8.7499999999999994E-2</v>
      </c>
      <c r="H40" s="217">
        <f t="shared" si="135"/>
        <v>5.6</v>
      </c>
      <c r="I40" s="217">
        <f t="shared" ref="I40:I71" si="175">Vout2*G40</f>
        <v>0.7</v>
      </c>
      <c r="J40" s="541">
        <f t="shared" si="136"/>
        <v>23.943790034881744</v>
      </c>
      <c r="K40" s="443">
        <f t="shared" si="137"/>
        <v>16.724799193535272</v>
      </c>
      <c r="L40" s="172">
        <f t="shared" si="138"/>
        <v>40.668589228417019</v>
      </c>
      <c r="M40" s="443"/>
      <c r="N40" s="217">
        <f t="shared" si="139"/>
        <v>0.41124611182354176</v>
      </c>
      <c r="O40" s="172">
        <f t="shared" si="172"/>
        <v>21.881756787031961</v>
      </c>
      <c r="P40" s="172">
        <f t="shared" si="140"/>
        <v>3.0771220481763697</v>
      </c>
      <c r="Q40" s="217">
        <f t="shared" si="6"/>
        <v>1.3676097991894975</v>
      </c>
      <c r="R40" s="217">
        <f t="shared" si="141"/>
        <v>2.7352195983789951</v>
      </c>
      <c r="S40" s="443">
        <f t="shared" si="142"/>
        <v>16</v>
      </c>
      <c r="T40" s="217">
        <f t="shared" si="143"/>
        <v>1.2796047535175039</v>
      </c>
      <c r="U40" s="217">
        <f t="shared" si="10"/>
        <v>0.64130436408940417</v>
      </c>
      <c r="V40" s="217">
        <f t="shared" si="11"/>
        <v>0.91811308850544515</v>
      </c>
      <c r="W40" s="197">
        <f t="shared" si="12"/>
        <v>350</v>
      </c>
      <c r="X40" s="443">
        <f t="shared" si="95"/>
        <v>350</v>
      </c>
      <c r="Z40" s="217">
        <f t="shared" si="13"/>
        <v>2.3444739414677103</v>
      </c>
      <c r="AA40" s="173">
        <f t="shared" si="14"/>
        <v>1.6821539662184517</v>
      </c>
      <c r="AB40" s="173">
        <f t="shared" si="144"/>
        <v>0.69015907438375013</v>
      </c>
      <c r="AC40" s="173"/>
      <c r="AD40" s="173">
        <f t="shared" si="16"/>
        <v>0.71749740377381788</v>
      </c>
      <c r="AE40" s="545">
        <f t="shared" si="145"/>
        <v>975.61328628955744</v>
      </c>
      <c r="AF40" s="528">
        <f t="shared" si="146"/>
        <v>0.12556204566041812</v>
      </c>
      <c r="AH40" s="173">
        <f t="shared" si="147"/>
        <v>1.7320508075688772</v>
      </c>
      <c r="AI40" s="173">
        <f t="shared" si="148"/>
        <v>1.7320508075688772</v>
      </c>
      <c r="AJ40" s="173">
        <f t="shared" si="149"/>
        <v>1.7422598574584276</v>
      </c>
      <c r="AL40" s="545">
        <f t="shared" si="150"/>
        <v>350</v>
      </c>
      <c r="AM40" s="460">
        <f t="shared" si="151"/>
        <v>350</v>
      </c>
      <c r="AO40">
        <f t="shared" si="96"/>
        <v>350</v>
      </c>
      <c r="AP40" s="460">
        <f t="shared" si="24"/>
        <v>350</v>
      </c>
      <c r="AQ40" s="460"/>
      <c r="AR40" s="5">
        <f t="shared" si="97"/>
        <v>2.8571428571428572</v>
      </c>
      <c r="AS40" s="5">
        <f t="shared" si="25"/>
        <v>0.86805846779257323</v>
      </c>
      <c r="AT40" s="5">
        <f t="shared" si="98"/>
        <v>1.9890843893502841</v>
      </c>
      <c r="AU40" s="173">
        <f t="shared" si="99"/>
        <v>0.30382046372740062</v>
      </c>
      <c r="AW40" s="5">
        <f t="shared" si="152"/>
        <v>1.898877898296254</v>
      </c>
      <c r="AX40" s="5">
        <f t="shared" si="153"/>
        <v>0.94943894914812699</v>
      </c>
      <c r="AY40" s="5">
        <f t="shared" si="28"/>
        <v>0.38767437416738254</v>
      </c>
      <c r="AZ40" s="5"/>
      <c r="BA40" s="173">
        <f t="shared" si="100"/>
        <v>0.55119911441093639</v>
      </c>
      <c r="BB40" s="173">
        <f t="shared" si="154"/>
        <v>0.83437373896390055</v>
      </c>
      <c r="BC40" s="173">
        <f t="shared" si="155"/>
        <v>0.20491237412789909</v>
      </c>
      <c r="BD40" s="173"/>
      <c r="BE40" s="528">
        <f t="shared" si="31"/>
        <v>6.0764092745480107E-3</v>
      </c>
      <c r="BF40" s="528">
        <f t="shared" si="156"/>
        <v>0.44993590123570948</v>
      </c>
      <c r="BG40" s="528">
        <f t="shared" si="157"/>
        <v>0.19274750978079805</v>
      </c>
      <c r="BH40" s="528">
        <f t="shared" si="34"/>
        <v>0.28509689907689745</v>
      </c>
      <c r="BI40">
        <f t="shared" si="35"/>
        <v>1.0774705515696785E-2</v>
      </c>
      <c r="BJ40" s="460">
        <f t="shared" si="101"/>
        <v>203.52221529649484</v>
      </c>
      <c r="BK40">
        <f t="shared" si="158"/>
        <v>0.74382373921758727</v>
      </c>
      <c r="BL40" s="460">
        <f t="shared" si="102"/>
        <v>743.82373921758722</v>
      </c>
      <c r="BM40" s="173">
        <f t="shared" si="159"/>
        <v>0.21743749999999995</v>
      </c>
      <c r="BN40" s="173">
        <f t="shared" si="160"/>
        <v>3.8828124999999998E-2</v>
      </c>
      <c r="BO40" s="528"/>
      <c r="BQ40" s="460">
        <f t="shared" si="103"/>
        <v>256.26562499999994</v>
      </c>
      <c r="BR40" s="528">
        <f t="shared" si="39"/>
        <v>9.1146139118220143E-3</v>
      </c>
      <c r="BS40" s="528">
        <f t="shared" si="104"/>
        <v>2.0885386088177974E-2</v>
      </c>
      <c r="BT40" s="528">
        <f t="shared" si="161"/>
        <v>2.0994540535366042E-4</v>
      </c>
      <c r="BU40" s="528">
        <f t="shared" si="41"/>
        <v>0.45241988353713841</v>
      </c>
      <c r="BV40" s="528">
        <f t="shared" si="162"/>
        <v>0.49106702447976919</v>
      </c>
      <c r="BW40" s="625">
        <f t="shared" si="163"/>
        <v>5.2499999999999995E-3</v>
      </c>
      <c r="BX40" s="460">
        <f t="shared" si="105"/>
        <v>496.31702447976915</v>
      </c>
      <c r="BY40" s="173">
        <f t="shared" si="106"/>
        <v>1.4964063886973564</v>
      </c>
      <c r="BZ40" s="5">
        <f t="shared" si="107"/>
        <v>6.3</v>
      </c>
      <c r="CA40" s="173">
        <f t="shared" si="108"/>
        <v>0.80806459872759662</v>
      </c>
      <c r="CB40" s="5">
        <f t="shared" si="109"/>
        <v>80.80645987275966</v>
      </c>
      <c r="CC40">
        <f t="shared" si="173"/>
        <v>35</v>
      </c>
      <c r="CE40" s="562">
        <f t="shared" si="164"/>
        <v>-50</v>
      </c>
      <c r="CF40">
        <f t="shared" si="165"/>
        <v>-50</v>
      </c>
      <c r="CG40" s="173">
        <f t="shared" si="166"/>
        <v>0.42340086523639375</v>
      </c>
      <c r="CH40" s="173">
        <f t="shared" si="167"/>
        <v>0.14967065568802379</v>
      </c>
      <c r="CI40" s="170">
        <v>35</v>
      </c>
      <c r="CJ40" s="217">
        <f t="shared" si="133"/>
        <v>0.35</v>
      </c>
      <c r="CK40" s="217">
        <f t="shared" si="111"/>
        <v>8.7499999999999994E-2</v>
      </c>
      <c r="CL40" s="217">
        <f t="shared" si="48"/>
        <v>5.6</v>
      </c>
      <c r="CM40" s="217">
        <f t="shared" si="134"/>
        <v>0.7</v>
      </c>
      <c r="CN40" s="541">
        <f t="shared" si="112"/>
        <v>24</v>
      </c>
      <c r="CO40" s="443">
        <f t="shared" si="168"/>
        <v>16.7</v>
      </c>
      <c r="CP40" s="443">
        <f t="shared" si="169"/>
        <v>40.700000000000003</v>
      </c>
      <c r="CQ40" s="443"/>
      <c r="CR40" s="217">
        <f t="shared" si="113"/>
        <v>0.40594059405940591</v>
      </c>
      <c r="CS40" s="172">
        <f t="shared" si="114"/>
        <v>21.650165016501649</v>
      </c>
      <c r="CT40" s="172">
        <f t="shared" si="51"/>
        <v>3.0445544554455446</v>
      </c>
      <c r="CU40" s="217">
        <f t="shared" si="52"/>
        <v>1.3531353135313531</v>
      </c>
      <c r="CV40" s="217">
        <f t="shared" si="53"/>
        <v>2.7062706270627062</v>
      </c>
      <c r="CW40" s="443">
        <f t="shared" si="54"/>
        <v>16</v>
      </c>
      <c r="CX40" s="217">
        <f t="shared" si="55"/>
        <v>1.2932926829268292</v>
      </c>
      <c r="CY40" s="217">
        <f t="shared" si="56"/>
        <v>0.64664634146341449</v>
      </c>
      <c r="CZ40" s="217">
        <f t="shared" si="57"/>
        <v>0.92931210749233228</v>
      </c>
      <c r="DA40" s="197">
        <f t="shared" si="58"/>
        <v>350</v>
      </c>
      <c r="DB40" s="443">
        <f t="shared" si="115"/>
        <v>350</v>
      </c>
      <c r="DD40" s="217">
        <f t="shared" si="59"/>
        <v>2.344682344682345</v>
      </c>
      <c r="DE40" s="173">
        <f t="shared" si="60"/>
        <v>1.6848016848016851</v>
      </c>
      <c r="DF40" s="173">
        <f t="shared" si="61"/>
        <v>0.69130683381297664</v>
      </c>
      <c r="DG40" s="173"/>
      <c r="DH40" s="173">
        <f t="shared" si="62"/>
        <v>0.71856287425149712</v>
      </c>
      <c r="DI40" s="545">
        <f t="shared" si="63"/>
        <v>974.16666666666652</v>
      </c>
      <c r="DJ40" s="528">
        <f t="shared" si="64"/>
        <v>0.125748502994012</v>
      </c>
      <c r="DL40" s="173">
        <f t="shared" si="65"/>
        <v>1.7320508075688772</v>
      </c>
      <c r="DM40" s="173">
        <f t="shared" si="66"/>
        <v>1.7320508075688772</v>
      </c>
      <c r="DN40" s="173">
        <f t="shared" si="67"/>
        <v>1.7422598574584276</v>
      </c>
      <c r="DP40" s="545">
        <f t="shared" si="68"/>
        <v>350</v>
      </c>
      <c r="DQ40" s="460">
        <f t="shared" si="69"/>
        <v>350</v>
      </c>
      <c r="DS40">
        <f t="shared" si="116"/>
        <v>350</v>
      </c>
      <c r="DT40" s="460">
        <f t="shared" si="70"/>
        <v>350</v>
      </c>
      <c r="DU40" s="460"/>
      <c r="DV40" s="5">
        <f t="shared" si="117"/>
        <v>2.8571428571428572</v>
      </c>
      <c r="DW40" s="5">
        <f t="shared" si="71"/>
        <v>0.86602540378443871</v>
      </c>
      <c r="DX40" s="5">
        <f t="shared" si="118"/>
        <v>1.9911174533584184</v>
      </c>
      <c r="DY40" s="173">
        <f t="shared" si="119"/>
        <v>0.30310889132455354</v>
      </c>
      <c r="EA40" s="5">
        <f t="shared" si="72"/>
        <v>1.8944305707784594</v>
      </c>
      <c r="EB40" s="5">
        <f t="shared" si="73"/>
        <v>0.94721528538922972</v>
      </c>
      <c r="EC40" s="5">
        <f t="shared" si="74"/>
        <v>0.38716172704191459</v>
      </c>
      <c r="ED40" s="5"/>
      <c r="EE40" s="173">
        <f t="shared" si="120"/>
        <v>0.55055325929881982</v>
      </c>
      <c r="EF40" s="173">
        <f t="shared" si="75"/>
        <v>0.83480004113287298</v>
      </c>
      <c r="EG40" s="173">
        <f t="shared" si="76"/>
        <v>0.2050170689252791</v>
      </c>
      <c r="EH40" s="173"/>
      <c r="EI40" s="528">
        <f t="shared" si="77"/>
        <v>6.0621778264910711E-3</v>
      </c>
      <c r="EJ40" s="528">
        <f t="shared" si="78"/>
        <v>0.46878821132255455</v>
      </c>
      <c r="EK40" s="528">
        <f t="shared" si="79"/>
        <v>4.0250000000000001E-2</v>
      </c>
      <c r="EL40" s="528">
        <f t="shared" si="80"/>
        <v>0.28553746375000005</v>
      </c>
      <c r="EM40">
        <f t="shared" si="81"/>
        <v>1.0800000000000001E-2</v>
      </c>
      <c r="EN40" s="460">
        <f t="shared" si="121"/>
        <v>51.05</v>
      </c>
      <c r="EO40">
        <f t="shared" si="82"/>
        <v>0.8142474613385221</v>
      </c>
      <c r="EP40" s="460">
        <f t="shared" si="122"/>
        <v>814.24746133852216</v>
      </c>
      <c r="EQ40" s="173">
        <f t="shared" si="83"/>
        <v>0.21743749999999995</v>
      </c>
      <c r="ER40" s="173">
        <f t="shared" si="170"/>
        <v>3.8828124999999998E-2</v>
      </c>
      <c r="ES40" s="528"/>
      <c r="EU40" s="460">
        <f t="shared" si="123"/>
        <v>256.26562499999994</v>
      </c>
      <c r="EV40" s="528">
        <f t="shared" si="85"/>
        <v>9.0932667397366062E-3</v>
      </c>
      <c r="EW40" s="528">
        <f t="shared" si="124"/>
        <v>2.0906733260263394E-2</v>
      </c>
      <c r="EX40" s="528">
        <f t="shared" si="86"/>
        <v>2.1015999275356321E-4</v>
      </c>
      <c r="EY40" s="528">
        <f t="shared" si="87"/>
        <v>0.45241988353713841</v>
      </c>
      <c r="EZ40" s="528">
        <f t="shared" si="88"/>
        <v>0.49106729966335599</v>
      </c>
      <c r="FA40" s="625">
        <f t="shared" si="89"/>
        <v>5.2499999999999995E-3</v>
      </c>
      <c r="FB40" s="460">
        <f t="shared" si="125"/>
        <v>496.31729966335598</v>
      </c>
      <c r="FC40" s="173">
        <f t="shared" si="126"/>
        <v>1.566830386001878</v>
      </c>
      <c r="FD40" s="5">
        <f t="shared" si="127"/>
        <v>6.3</v>
      </c>
      <c r="FE40" s="173">
        <f t="shared" si="128"/>
        <v>0.80083079091296128</v>
      </c>
      <c r="FF40" s="5">
        <f t="shared" si="129"/>
        <v>80.083079091296128</v>
      </c>
      <c r="FG40">
        <f t="shared" si="130"/>
        <v>35</v>
      </c>
      <c r="FI40" s="562">
        <f t="shared" si="90"/>
        <v>-50</v>
      </c>
      <c r="FJ40">
        <f t="shared" si="91"/>
        <v>-50</v>
      </c>
      <c r="FL40">
        <f t="shared" si="92"/>
        <v>0.42340086523639375</v>
      </c>
    </row>
    <row r="41" spans="5:168">
      <c r="E41" s="170">
        <v>36</v>
      </c>
      <c r="F41" s="217">
        <f t="shared" si="174"/>
        <v>0.36</v>
      </c>
      <c r="G41" s="217">
        <f t="shared" si="171"/>
        <v>0.09</v>
      </c>
      <c r="H41" s="217">
        <f t="shared" si="135"/>
        <v>5.76</v>
      </c>
      <c r="I41" s="217">
        <f t="shared" si="175"/>
        <v>0.72</v>
      </c>
      <c r="J41" s="541">
        <f t="shared" si="136"/>
        <v>23.9429926905866</v>
      </c>
      <c r="K41" s="443">
        <f t="shared" si="137"/>
        <v>16.725150972716207</v>
      </c>
      <c r="L41" s="172">
        <f t="shared" si="138"/>
        <v>40.668143663302807</v>
      </c>
      <c r="M41" s="443"/>
      <c r="N41" s="217">
        <f t="shared" si="139"/>
        <v>0.41125926747938257</v>
      </c>
      <c r="O41" s="172">
        <f t="shared" si="172"/>
        <v>21.881728078210791</v>
      </c>
      <c r="P41" s="172">
        <f t="shared" si="140"/>
        <v>3.0771180109983924</v>
      </c>
      <c r="Q41" s="217">
        <f t="shared" si="6"/>
        <v>1.3676080048881745</v>
      </c>
      <c r="R41" s="217">
        <f t="shared" si="141"/>
        <v>2.7352160097763489</v>
      </c>
      <c r="S41" s="443">
        <f t="shared" si="142"/>
        <v>16</v>
      </c>
      <c r="T41" s="217">
        <f t="shared" si="143"/>
        <v>1.3161666161402594</v>
      </c>
      <c r="U41" s="217">
        <f t="shared" si="10"/>
        <v>0.6596501781455526</v>
      </c>
      <c r="V41" s="217">
        <f t="shared" si="11"/>
        <v>0.94432626763417071</v>
      </c>
      <c r="W41" s="197">
        <f t="shared" si="12"/>
        <v>350</v>
      </c>
      <c r="X41" s="443">
        <f t="shared" si="95"/>
        <v>350</v>
      </c>
      <c r="Z41" s="217">
        <f t="shared" si="13"/>
        <v>2.344470865522585</v>
      </c>
      <c r="AA41" s="173">
        <f t="shared" si="14"/>
        <v>1.6821163786303355</v>
      </c>
      <c r="AB41" s="173">
        <f t="shared" si="144"/>
        <v>0.69014274737050629</v>
      </c>
      <c r="AC41" s="173"/>
      <c r="AD41" s="173">
        <f t="shared" si="16"/>
        <v>0.717482312690369</v>
      </c>
      <c r="AE41" s="545">
        <f t="shared" si="145"/>
        <v>1003.5090583629725</v>
      </c>
      <c r="AF41" s="528">
        <f t="shared" si="146"/>
        <v>0.12555940472081459</v>
      </c>
      <c r="AH41" s="173">
        <f t="shared" si="147"/>
        <v>1.7566201313073597</v>
      </c>
      <c r="AI41" s="173">
        <f t="shared" si="148"/>
        <v>1.7566201313073597</v>
      </c>
      <c r="AJ41" s="173">
        <f t="shared" si="149"/>
        <v>1.7604593565239701</v>
      </c>
      <c r="AL41" s="545">
        <f t="shared" si="150"/>
        <v>360</v>
      </c>
      <c r="AM41" s="460">
        <f t="shared" si="151"/>
        <v>350</v>
      </c>
      <c r="AO41">
        <f t="shared" si="96"/>
        <v>360</v>
      </c>
      <c r="AP41" s="460">
        <f t="shared" si="24"/>
        <v>350</v>
      </c>
      <c r="AQ41" s="460"/>
      <c r="AR41" s="5">
        <f t="shared" si="97"/>
        <v>2.8571428571428572</v>
      </c>
      <c r="AS41" s="5">
        <f t="shared" si="25"/>
        <v>0.88040128684397445</v>
      </c>
      <c r="AT41" s="5">
        <f t="shared" si="98"/>
        <v>1.9767415702988829</v>
      </c>
      <c r="AU41" s="173">
        <f t="shared" si="99"/>
        <v>0.30814045039539106</v>
      </c>
      <c r="AW41" s="5">
        <f t="shared" si="152"/>
        <v>1.9809028953989425</v>
      </c>
      <c r="AX41" s="5">
        <f t="shared" si="153"/>
        <v>0.99045144769947124</v>
      </c>
      <c r="AY41" s="5">
        <f t="shared" si="28"/>
        <v>0.39628962260699635</v>
      </c>
      <c r="AZ41" s="5"/>
      <c r="BA41" s="173">
        <f t="shared" si="100"/>
        <v>0.56297820851595204</v>
      </c>
      <c r="BB41" s="173">
        <f t="shared" si="154"/>
        <v>0.84357985117450374</v>
      </c>
      <c r="BC41" s="173">
        <f t="shared" si="155"/>
        <v>0.20717328697962076</v>
      </c>
      <c r="BD41" s="173"/>
      <c r="BE41" s="528">
        <f t="shared" si="31"/>
        <v>6.3388892652766161E-3</v>
      </c>
      <c r="BF41" s="528">
        <f t="shared" si="156"/>
        <v>0.45631329011761512</v>
      </c>
      <c r="BG41" s="528">
        <f t="shared" si="157"/>
        <v>0.19274109115922214</v>
      </c>
      <c r="BH41" s="528">
        <f t="shared" si="34"/>
        <v>0.28509065206715634</v>
      </c>
      <c r="BI41">
        <f t="shared" si="35"/>
        <v>1.0774346710763969E-2</v>
      </c>
      <c r="BJ41" s="460">
        <f t="shared" si="101"/>
        <v>203.5154378699861</v>
      </c>
      <c r="BK41">
        <f t="shared" si="158"/>
        <v>0.75058480240139014</v>
      </c>
      <c r="BL41" s="460">
        <f t="shared" si="102"/>
        <v>750.58480240139011</v>
      </c>
      <c r="BM41" s="173">
        <f t="shared" si="159"/>
        <v>0.22364999999999999</v>
      </c>
      <c r="BN41" s="173">
        <f t="shared" si="160"/>
        <v>3.9937499999999994E-2</v>
      </c>
      <c r="BO41" s="528"/>
      <c r="BQ41" s="460">
        <f t="shared" si="103"/>
        <v>263.58749999999998</v>
      </c>
      <c r="BR41" s="528">
        <f t="shared" si="39"/>
        <v>9.5083338979149237E-3</v>
      </c>
      <c r="BS41" s="528">
        <f t="shared" si="104"/>
        <v>2.1348808959227934E-2</v>
      </c>
      <c r="BT41" s="528">
        <f t="shared" si="161"/>
        <v>2.1460385418970148E-4</v>
      </c>
      <c r="BU41" s="528">
        <f t="shared" si="41"/>
        <v>0.46863503602110768</v>
      </c>
      <c r="BV41" s="528">
        <f t="shared" si="162"/>
        <v>0.50842782118162</v>
      </c>
      <c r="BW41" s="625">
        <f t="shared" si="163"/>
        <v>5.4000000000000003E-3</v>
      </c>
      <c r="BX41" s="460">
        <f t="shared" si="105"/>
        <v>513.82782118161992</v>
      </c>
      <c r="BY41" s="173">
        <f t="shared" si="106"/>
        <v>1.5280001235830103</v>
      </c>
      <c r="BZ41" s="5">
        <f t="shared" si="107"/>
        <v>6.4799999999999995</v>
      </c>
      <c r="CA41" s="173">
        <f t="shared" si="108"/>
        <v>0.80919079670301763</v>
      </c>
      <c r="CB41" s="5">
        <f t="shared" si="109"/>
        <v>80.91907967030177</v>
      </c>
      <c r="CC41">
        <f t="shared" si="173"/>
        <v>36</v>
      </c>
      <c r="CE41" s="562">
        <f t="shared" si="164"/>
        <v>-50</v>
      </c>
      <c r="CF41">
        <f t="shared" si="165"/>
        <v>-50</v>
      </c>
      <c r="CG41" s="173">
        <f t="shared" si="166"/>
        <v>0.42940685125232814</v>
      </c>
      <c r="CH41" s="173">
        <f t="shared" si="167"/>
        <v>0.1517937497552882</v>
      </c>
      <c r="CI41" s="170">
        <v>36</v>
      </c>
      <c r="CJ41" s="217">
        <f t="shared" si="133"/>
        <v>0.36</v>
      </c>
      <c r="CK41" s="217">
        <f t="shared" si="111"/>
        <v>0.09</v>
      </c>
      <c r="CL41" s="217">
        <f t="shared" si="48"/>
        <v>5.76</v>
      </c>
      <c r="CM41" s="217">
        <f t="shared" si="134"/>
        <v>0.72</v>
      </c>
      <c r="CN41" s="541">
        <f t="shared" si="112"/>
        <v>24</v>
      </c>
      <c r="CO41" s="443">
        <f t="shared" si="168"/>
        <v>16.7</v>
      </c>
      <c r="CP41" s="443">
        <f t="shared" si="169"/>
        <v>40.700000000000003</v>
      </c>
      <c r="CQ41" s="443"/>
      <c r="CR41" s="217">
        <f t="shared" si="113"/>
        <v>0.40594059405940591</v>
      </c>
      <c r="CS41" s="172">
        <f t="shared" si="114"/>
        <v>21.650165016501649</v>
      </c>
      <c r="CT41" s="172">
        <f t="shared" si="51"/>
        <v>3.0445544554455446</v>
      </c>
      <c r="CU41" s="217">
        <f t="shared" si="52"/>
        <v>1.3531353135313531</v>
      </c>
      <c r="CV41" s="217">
        <f t="shared" si="53"/>
        <v>2.7062706270627062</v>
      </c>
      <c r="CW41" s="443">
        <f t="shared" si="54"/>
        <v>16</v>
      </c>
      <c r="CX41" s="217">
        <f t="shared" si="55"/>
        <v>1.3302439024390242</v>
      </c>
      <c r="CY41" s="217">
        <f t="shared" si="56"/>
        <v>0.66512195121951223</v>
      </c>
      <c r="CZ41" s="217">
        <f t="shared" si="57"/>
        <v>0.95586388199211336</v>
      </c>
      <c r="DA41" s="197">
        <f t="shared" si="58"/>
        <v>350</v>
      </c>
      <c r="DB41" s="443">
        <f t="shared" si="115"/>
        <v>350</v>
      </c>
      <c r="DD41" s="217">
        <f t="shared" si="59"/>
        <v>2.344682344682345</v>
      </c>
      <c r="DE41" s="173">
        <f t="shared" si="60"/>
        <v>1.6848016848016851</v>
      </c>
      <c r="DF41" s="173">
        <f t="shared" si="61"/>
        <v>0.69130683381297664</v>
      </c>
      <c r="DG41" s="173"/>
      <c r="DH41" s="173">
        <f t="shared" si="62"/>
        <v>0.71856287425149712</v>
      </c>
      <c r="DI41" s="545">
        <f t="shared" si="63"/>
        <v>1001.9999999999999</v>
      </c>
      <c r="DJ41" s="528">
        <f t="shared" si="64"/>
        <v>0.125748502994012</v>
      </c>
      <c r="DL41" s="173">
        <f t="shared" si="65"/>
        <v>1.7566201313073597</v>
      </c>
      <c r="DM41" s="173">
        <f t="shared" si="66"/>
        <v>1.7566201313073597</v>
      </c>
      <c r="DN41" s="173">
        <f t="shared" si="67"/>
        <v>1.7604593565239701</v>
      </c>
      <c r="DP41" s="545">
        <f t="shared" si="68"/>
        <v>360</v>
      </c>
      <c r="DQ41" s="460">
        <f t="shared" si="69"/>
        <v>350</v>
      </c>
      <c r="DS41">
        <f t="shared" si="116"/>
        <v>360</v>
      </c>
      <c r="DT41" s="460">
        <f t="shared" si="70"/>
        <v>350</v>
      </c>
      <c r="DU41" s="460"/>
      <c r="DV41" s="5">
        <f t="shared" si="117"/>
        <v>2.8571428571428572</v>
      </c>
      <c r="DW41" s="5">
        <f t="shared" si="71"/>
        <v>0.87831006565367986</v>
      </c>
      <c r="DX41" s="5">
        <f t="shared" si="118"/>
        <v>1.9788327914891775</v>
      </c>
      <c r="DY41" s="173">
        <f t="shared" si="119"/>
        <v>0.30740852297878796</v>
      </c>
      <c r="EA41" s="5">
        <f t="shared" si="72"/>
        <v>1.9761976477207797</v>
      </c>
      <c r="EB41" s="5">
        <f t="shared" si="73"/>
        <v>0.98809882386038983</v>
      </c>
      <c r="EC41" s="5">
        <f t="shared" si="74"/>
        <v>0.39576655829783541</v>
      </c>
      <c r="ED41" s="5"/>
      <c r="EE41" s="173">
        <f t="shared" si="120"/>
        <v>0.56230918864564605</v>
      </c>
      <c r="EF41" s="173">
        <f t="shared" si="75"/>
        <v>0.84402595039258344</v>
      </c>
      <c r="EG41" s="173">
        <f t="shared" si="76"/>
        <v>0.20728284369935504</v>
      </c>
      <c r="EH41" s="173"/>
      <c r="EI41" s="528">
        <f t="shared" si="77"/>
        <v>6.3238324727064952E-3</v>
      </c>
      <c r="EJ41" s="528">
        <f t="shared" si="78"/>
        <v>0.47543802163899346</v>
      </c>
      <c r="EK41" s="528">
        <f t="shared" si="79"/>
        <v>4.0250000000000001E-2</v>
      </c>
      <c r="EL41" s="528">
        <f t="shared" si="80"/>
        <v>0.28553746375000005</v>
      </c>
      <c r="EM41">
        <f t="shared" si="81"/>
        <v>1.0800000000000001E-2</v>
      </c>
      <c r="EN41" s="460">
        <f t="shared" si="121"/>
        <v>51.05</v>
      </c>
      <c r="EO41">
        <f t="shared" si="82"/>
        <v>0.82129077700508457</v>
      </c>
      <c r="EP41" s="460">
        <f t="shared" si="122"/>
        <v>821.29077700508458</v>
      </c>
      <c r="EQ41" s="173">
        <f t="shared" si="83"/>
        <v>0.22364999999999999</v>
      </c>
      <c r="ER41" s="173">
        <f t="shared" si="170"/>
        <v>3.9937499999999994E-2</v>
      </c>
      <c r="ES41" s="528"/>
      <c r="EU41" s="460">
        <f t="shared" si="123"/>
        <v>263.58749999999998</v>
      </c>
      <c r="EV41" s="528">
        <f t="shared" si="85"/>
        <v>9.4857487090597419E-3</v>
      </c>
      <c r="EW41" s="528">
        <f t="shared" si="124"/>
        <v>2.137139414808311E-2</v>
      </c>
      <c r="EX41" s="528">
        <f t="shared" si="86"/>
        <v>2.1483088646045626E-4</v>
      </c>
      <c r="EY41" s="528">
        <f t="shared" si="87"/>
        <v>0.46863503602110768</v>
      </c>
      <c r="EZ41" s="528">
        <f t="shared" si="88"/>
        <v>0.50842811266054366</v>
      </c>
      <c r="FA41" s="625">
        <f t="shared" si="89"/>
        <v>5.4000000000000003E-3</v>
      </c>
      <c r="FB41" s="460">
        <f t="shared" si="125"/>
        <v>513.82811266054364</v>
      </c>
      <c r="FC41" s="173">
        <f t="shared" si="126"/>
        <v>1.5987063896656282</v>
      </c>
      <c r="FD41" s="5">
        <f t="shared" si="127"/>
        <v>6.4799999999999995</v>
      </c>
      <c r="FE41" s="173">
        <f t="shared" si="128"/>
        <v>0.80210861584093318</v>
      </c>
      <c r="FF41" s="5">
        <f t="shared" si="129"/>
        <v>80.210861584093323</v>
      </c>
      <c r="FG41">
        <f t="shared" si="130"/>
        <v>36</v>
      </c>
      <c r="FI41" s="562">
        <f t="shared" si="90"/>
        <v>-50</v>
      </c>
      <c r="FJ41">
        <f t="shared" si="91"/>
        <v>-50</v>
      </c>
      <c r="FL41">
        <f t="shared" si="92"/>
        <v>0.42940685125232808</v>
      </c>
    </row>
    <row r="42" spans="5:168">
      <c r="E42" s="170">
        <v>37</v>
      </c>
      <c r="F42" s="217">
        <f t="shared" si="174"/>
        <v>0.37</v>
      </c>
      <c r="G42" s="217">
        <f t="shared" si="171"/>
        <v>9.2499999999999999E-2</v>
      </c>
      <c r="H42" s="217">
        <f t="shared" si="135"/>
        <v>5.92</v>
      </c>
      <c r="I42" s="217">
        <f t="shared" si="175"/>
        <v>0.74</v>
      </c>
      <c r="J42" s="541">
        <f t="shared" si="136"/>
        <v>23.942206345724507</v>
      </c>
      <c r="K42" s="443">
        <f t="shared" si="137"/>
        <v>16.725497899073115</v>
      </c>
      <c r="L42" s="172">
        <f t="shared" si="138"/>
        <v>40.667704244797619</v>
      </c>
      <c r="M42" s="443"/>
      <c r="N42" s="217">
        <f t="shared" si="139"/>
        <v>0.41127224193415612</v>
      </c>
      <c r="O42" s="172">
        <f t="shared" si="172"/>
        <v>21.881699734791773</v>
      </c>
      <c r="P42" s="172">
        <f t="shared" si="140"/>
        <v>3.077114025205093</v>
      </c>
      <c r="Q42" s="217">
        <f t="shared" si="6"/>
        <v>1.3676062334244858</v>
      </c>
      <c r="R42" s="217">
        <f t="shared" si="141"/>
        <v>2.7352124668489717</v>
      </c>
      <c r="S42" s="443">
        <f t="shared" si="142"/>
        <v>16</v>
      </c>
      <c r="T42" s="217">
        <f t="shared" si="143"/>
        <v>1.3527285521122554</v>
      </c>
      <c r="U42" s="217">
        <f t="shared" si="10"/>
        <v>0.67799693941932104</v>
      </c>
      <c r="V42" s="217">
        <f t="shared" si="11"/>
        <v>0.97053867832817353</v>
      </c>
      <c r="W42" s="197">
        <f t="shared" si="12"/>
        <v>350</v>
      </c>
      <c r="X42" s="443">
        <f t="shared" si="95"/>
        <v>350</v>
      </c>
      <c r="Z42" s="217">
        <f t="shared" si="13"/>
        <v>2.3444678287276899</v>
      </c>
      <c r="AA42" s="173">
        <f t="shared" si="14"/>
        <v>1.682079308759554</v>
      </c>
      <c r="AB42" s="173">
        <f t="shared" si="144"/>
        <v>0.69012664433217497</v>
      </c>
      <c r="AC42" s="173"/>
      <c r="AD42" s="173">
        <f t="shared" si="16"/>
        <v>0.71746743041144434</v>
      </c>
      <c r="AE42" s="545">
        <f t="shared" si="145"/>
        <v>1031.4057037761754</v>
      </c>
      <c r="AF42" s="528">
        <f t="shared" si="146"/>
        <v>0.12555680032200275</v>
      </c>
      <c r="AH42" s="173">
        <f t="shared" si="147"/>
        <v>1.7808505191139909</v>
      </c>
      <c r="AI42" s="173">
        <f t="shared" si="148"/>
        <v>1.7808505191139909</v>
      </c>
      <c r="AJ42" s="173">
        <f t="shared" si="149"/>
        <v>1.7784077919362895</v>
      </c>
      <c r="AL42" s="545">
        <f t="shared" si="150"/>
        <v>370</v>
      </c>
      <c r="AM42" s="460">
        <f t="shared" si="151"/>
        <v>350</v>
      </c>
      <c r="AO42">
        <f t="shared" si="96"/>
        <v>370</v>
      </c>
      <c r="AP42" s="460">
        <f t="shared" si="24"/>
        <v>350</v>
      </c>
      <c r="AQ42" s="460"/>
      <c r="AR42" s="5">
        <f t="shared" si="97"/>
        <v>2.8571428571428572</v>
      </c>
      <c r="AS42" s="5">
        <f t="shared" si="25"/>
        <v>0.89257464081559423</v>
      </c>
      <c r="AT42" s="5">
        <f t="shared" si="98"/>
        <v>1.9645682163272631</v>
      </c>
      <c r="AU42" s="173">
        <f t="shared" si="99"/>
        <v>0.31240112428545797</v>
      </c>
      <c r="AW42" s="5">
        <f t="shared" si="152"/>
        <v>2.0640788568860615</v>
      </c>
      <c r="AX42" s="5">
        <f t="shared" si="153"/>
        <v>1.0320394284430308</v>
      </c>
      <c r="AY42" s="5">
        <f t="shared" si="28"/>
        <v>0.40480270394734225</v>
      </c>
      <c r="AZ42" s="5"/>
      <c r="BA42" s="173">
        <f t="shared" si="100"/>
        <v>0.57467609755563154</v>
      </c>
      <c r="BB42" s="173">
        <f t="shared" si="154"/>
        <v>0.85257858291250033</v>
      </c>
      <c r="BC42" s="173">
        <f t="shared" si="155"/>
        <v>0.20938326962704051</v>
      </c>
      <c r="BD42" s="173"/>
      <c r="BE42" s="528">
        <f t="shared" si="31"/>
        <v>6.6050523420353949E-3</v>
      </c>
      <c r="BF42" s="528">
        <f t="shared" si="156"/>
        <v>0.4626025654016474</v>
      </c>
      <c r="BG42" s="528">
        <f t="shared" si="157"/>
        <v>0.1927347610830823</v>
      </c>
      <c r="BH42" s="528">
        <f t="shared" si="34"/>
        <v>0.28508449130248414</v>
      </c>
      <c r="BI42">
        <f t="shared" si="35"/>
        <v>1.0773992855576028E-2</v>
      </c>
      <c r="BJ42" s="460">
        <f t="shared" si="101"/>
        <v>203.50875393865834</v>
      </c>
      <c r="BK42">
        <f t="shared" si="158"/>
        <v>0.75726389317242682</v>
      </c>
      <c r="BL42" s="460">
        <f t="shared" si="102"/>
        <v>757.26389317242683</v>
      </c>
      <c r="BM42" s="173">
        <f t="shared" si="159"/>
        <v>0.2298625</v>
      </c>
      <c r="BN42" s="173">
        <f t="shared" si="160"/>
        <v>4.1046874999999997E-2</v>
      </c>
      <c r="BO42" s="528"/>
      <c r="BQ42" s="460">
        <f t="shared" si="103"/>
        <v>270.90937500000001</v>
      </c>
      <c r="BR42" s="528">
        <f t="shared" si="39"/>
        <v>9.9075785130530915E-3</v>
      </c>
      <c r="BS42" s="528">
        <f t="shared" si="104"/>
        <v>2.1806707201232615E-2</v>
      </c>
      <c r="BT42" s="528">
        <f t="shared" si="161"/>
        <v>2.1920676799854974E-4</v>
      </c>
      <c r="BU42" s="528">
        <f t="shared" si="41"/>
        <v>0.48496319839045421</v>
      </c>
      <c r="BV42" s="528">
        <f t="shared" si="162"/>
        <v>0.52590424581088702</v>
      </c>
      <c r="BW42" s="625">
        <f t="shared" si="163"/>
        <v>5.5499999999999994E-3</v>
      </c>
      <c r="BX42" s="460">
        <f t="shared" si="105"/>
        <v>531.45424581088707</v>
      </c>
      <c r="BY42" s="173">
        <f t="shared" si="106"/>
        <v>1.5596275139833136</v>
      </c>
      <c r="BZ42" s="5">
        <f t="shared" si="107"/>
        <v>6.66</v>
      </c>
      <c r="CA42" s="173">
        <f t="shared" si="108"/>
        <v>0.8102556945153464</v>
      </c>
      <c r="CB42" s="5">
        <f t="shared" si="109"/>
        <v>81.025569451534636</v>
      </c>
      <c r="CC42">
        <f t="shared" si="173"/>
        <v>37</v>
      </c>
      <c r="CE42" s="562">
        <f t="shared" si="164"/>
        <v>-50</v>
      </c>
      <c r="CF42">
        <f t="shared" si="165"/>
        <v>-50</v>
      </c>
      <c r="CG42" s="173">
        <f t="shared" si="166"/>
        <v>0.43532998417516711</v>
      </c>
      <c r="CH42" s="173">
        <f t="shared" si="167"/>
        <v>0.15388755555748862</v>
      </c>
      <c r="CI42" s="170">
        <v>37</v>
      </c>
      <c r="CJ42" s="217">
        <f t="shared" si="133"/>
        <v>0.37</v>
      </c>
      <c r="CK42" s="217">
        <f t="shared" si="111"/>
        <v>9.2499999999999999E-2</v>
      </c>
      <c r="CL42" s="217">
        <f t="shared" si="48"/>
        <v>5.92</v>
      </c>
      <c r="CM42" s="217">
        <f t="shared" si="134"/>
        <v>0.74</v>
      </c>
      <c r="CN42" s="541">
        <f t="shared" si="112"/>
        <v>24</v>
      </c>
      <c r="CO42" s="443">
        <f t="shared" si="168"/>
        <v>16.7</v>
      </c>
      <c r="CP42" s="443">
        <f t="shared" si="169"/>
        <v>40.700000000000003</v>
      </c>
      <c r="CQ42" s="443"/>
      <c r="CR42" s="217">
        <f t="shared" si="113"/>
        <v>0.40594059405940591</v>
      </c>
      <c r="CS42" s="172">
        <f t="shared" si="114"/>
        <v>21.650165016501649</v>
      </c>
      <c r="CT42" s="172">
        <f t="shared" si="51"/>
        <v>3.0445544554455446</v>
      </c>
      <c r="CU42" s="217">
        <f t="shared" si="52"/>
        <v>1.3531353135313531</v>
      </c>
      <c r="CV42" s="217">
        <f t="shared" si="53"/>
        <v>2.7062706270627062</v>
      </c>
      <c r="CW42" s="443">
        <f t="shared" si="54"/>
        <v>16</v>
      </c>
      <c r="CX42" s="217">
        <f t="shared" si="55"/>
        <v>1.3671951219512195</v>
      </c>
      <c r="CY42" s="217">
        <f t="shared" si="56"/>
        <v>0.68359756097560975</v>
      </c>
      <c r="CZ42" s="217">
        <f t="shared" si="57"/>
        <v>0.98241565649189422</v>
      </c>
      <c r="DA42" s="197">
        <f t="shared" si="58"/>
        <v>350</v>
      </c>
      <c r="DB42" s="443">
        <f t="shared" si="115"/>
        <v>350</v>
      </c>
      <c r="DD42" s="217">
        <f t="shared" si="59"/>
        <v>2.344682344682345</v>
      </c>
      <c r="DE42" s="173">
        <f t="shared" si="60"/>
        <v>1.6848016848016851</v>
      </c>
      <c r="DF42" s="173">
        <f t="shared" si="61"/>
        <v>0.69130683381297664</v>
      </c>
      <c r="DG42" s="173"/>
      <c r="DH42" s="173">
        <f t="shared" si="62"/>
        <v>0.71856287425149712</v>
      </c>
      <c r="DI42" s="545">
        <f t="shared" si="63"/>
        <v>1029.833333333333</v>
      </c>
      <c r="DJ42" s="528">
        <f t="shared" si="64"/>
        <v>0.125748502994012</v>
      </c>
      <c r="DL42" s="173">
        <f t="shared" si="65"/>
        <v>1.7808505191139909</v>
      </c>
      <c r="DM42" s="173">
        <f t="shared" si="66"/>
        <v>1.7808505191139909</v>
      </c>
      <c r="DN42" s="173">
        <f t="shared" si="67"/>
        <v>1.7784077919362895</v>
      </c>
      <c r="DP42" s="545">
        <f t="shared" si="68"/>
        <v>370</v>
      </c>
      <c r="DQ42" s="460">
        <f t="shared" si="69"/>
        <v>350</v>
      </c>
      <c r="DS42">
        <f t="shared" si="116"/>
        <v>370</v>
      </c>
      <c r="DT42" s="460">
        <f t="shared" si="70"/>
        <v>350</v>
      </c>
      <c r="DU42" s="460"/>
      <c r="DV42" s="5">
        <f t="shared" si="117"/>
        <v>2.8571428571428572</v>
      </c>
      <c r="DW42" s="5">
        <f t="shared" si="71"/>
        <v>0.89042525955699559</v>
      </c>
      <c r="DX42" s="5">
        <f t="shared" si="118"/>
        <v>1.9667175975858617</v>
      </c>
      <c r="DY42" s="173">
        <f t="shared" si="119"/>
        <v>0.31164884084494843</v>
      </c>
      <c r="EA42" s="5">
        <f t="shared" si="72"/>
        <v>2.0591084127255521</v>
      </c>
      <c r="EB42" s="5">
        <f t="shared" si="73"/>
        <v>1.0295542063627761</v>
      </c>
      <c r="EC42" s="5">
        <f t="shared" si="74"/>
        <v>0.4042697283926493</v>
      </c>
      <c r="ED42" s="5"/>
      <c r="EE42" s="173">
        <f t="shared" si="120"/>
        <v>0.57398375067251539</v>
      </c>
      <c r="EF42" s="173">
        <f t="shared" si="75"/>
        <v>0.85304484706653527</v>
      </c>
      <c r="EG42" s="173">
        <f t="shared" si="76"/>
        <v>0.20949777861781088</v>
      </c>
      <c r="EH42" s="173"/>
      <c r="EI42" s="528">
        <f t="shared" si="77"/>
        <v>6.5891469207217668E-3</v>
      </c>
      <c r="EJ42" s="528">
        <f t="shared" si="78"/>
        <v>0.48199609725079728</v>
      </c>
      <c r="EK42" s="528">
        <f t="shared" si="79"/>
        <v>4.0250000000000001E-2</v>
      </c>
      <c r="EL42" s="528">
        <f t="shared" si="80"/>
        <v>0.28553746375000005</v>
      </c>
      <c r="EM42">
        <f t="shared" si="81"/>
        <v>1.0800000000000001E-2</v>
      </c>
      <c r="EN42" s="460">
        <f t="shared" si="121"/>
        <v>51.05</v>
      </c>
      <c r="EO42">
        <f t="shared" si="82"/>
        <v>0.82824846791015483</v>
      </c>
      <c r="EP42" s="460">
        <f t="shared" si="122"/>
        <v>828.24846791015477</v>
      </c>
      <c r="EQ42" s="173">
        <f t="shared" si="83"/>
        <v>0.2298625</v>
      </c>
      <c r="ER42" s="173">
        <f t="shared" si="170"/>
        <v>4.1046874999999997E-2</v>
      </c>
      <c r="ES42" s="528"/>
      <c r="EU42" s="460">
        <f t="shared" si="123"/>
        <v>270.90937500000001</v>
      </c>
      <c r="EV42" s="528">
        <f t="shared" si="85"/>
        <v>9.8837203810826502E-3</v>
      </c>
      <c r="EW42" s="528">
        <f t="shared" si="124"/>
        <v>2.1830565333203059E-2</v>
      </c>
      <c r="EX42" s="528">
        <f t="shared" si="86"/>
        <v>2.1944659622898647E-4</v>
      </c>
      <c r="EY42" s="528">
        <f t="shared" si="87"/>
        <v>0.48496319839045421</v>
      </c>
      <c r="EZ42" s="528">
        <f t="shared" si="88"/>
        <v>0.5259045540755507</v>
      </c>
      <c r="FA42" s="625">
        <f t="shared" si="89"/>
        <v>5.5499999999999994E-3</v>
      </c>
      <c r="FB42" s="460">
        <f t="shared" si="125"/>
        <v>531.45455407555062</v>
      </c>
      <c r="FC42" s="173">
        <f t="shared" si="126"/>
        <v>1.6306123969857054</v>
      </c>
      <c r="FD42" s="5">
        <f t="shared" si="127"/>
        <v>6.66</v>
      </c>
      <c r="FE42" s="173">
        <f t="shared" si="128"/>
        <v>0.80331822078926729</v>
      </c>
      <c r="FF42" s="5">
        <f t="shared" si="129"/>
        <v>80.331822078926734</v>
      </c>
      <c r="FG42">
        <f t="shared" si="130"/>
        <v>37</v>
      </c>
      <c r="FI42" s="562">
        <f t="shared" si="90"/>
        <v>-50</v>
      </c>
      <c r="FJ42">
        <f t="shared" si="91"/>
        <v>-50</v>
      </c>
      <c r="FL42">
        <f t="shared" si="92"/>
        <v>0.43532998417516711</v>
      </c>
    </row>
    <row r="43" spans="5:168">
      <c r="E43" s="170">
        <v>38</v>
      </c>
      <c r="F43" s="217">
        <f t="shared" si="174"/>
        <v>0.38</v>
      </c>
      <c r="G43" s="217">
        <f t="shared" si="171"/>
        <v>9.5000000000000001E-2</v>
      </c>
      <c r="H43" s="217">
        <f t="shared" si="135"/>
        <v>6.08</v>
      </c>
      <c r="I43" s="217">
        <f t="shared" si="175"/>
        <v>0.76</v>
      </c>
      <c r="J43" s="541">
        <f t="shared" si="136"/>
        <v>23.941430557263406</v>
      </c>
      <c r="K43" s="443">
        <f t="shared" si="137"/>
        <v>16.725840168066679</v>
      </c>
      <c r="L43" s="172">
        <f t="shared" si="138"/>
        <v>40.667270725330084</v>
      </c>
      <c r="M43" s="443"/>
      <c r="N43" s="217">
        <f t="shared" si="139"/>
        <v>0.41128504248623682</v>
      </c>
      <c r="O43" s="172">
        <f t="shared" si="172"/>
        <v>21.881671742056376</v>
      </c>
      <c r="P43" s="172">
        <f t="shared" si="140"/>
        <v>3.0771100887266778</v>
      </c>
      <c r="Q43" s="217">
        <f t="shared" si="6"/>
        <v>1.3676044838785235</v>
      </c>
      <c r="R43" s="217">
        <f t="shared" si="141"/>
        <v>2.735208967757047</v>
      </c>
      <c r="S43" s="443">
        <f t="shared" si="142"/>
        <v>16</v>
      </c>
      <c r="T43" s="217">
        <f t="shared" si="143"/>
        <v>1.3892905605366281</v>
      </c>
      <c r="U43" s="217">
        <f t="shared" si="10"/>
        <v>0.69634463515304446</v>
      </c>
      <c r="V43" s="217">
        <f t="shared" si="11"/>
        <v>0.99675033115939282</v>
      </c>
      <c r="W43" s="197">
        <f t="shared" si="12"/>
        <v>350</v>
      </c>
      <c r="X43" s="443">
        <f t="shared" si="95"/>
        <v>350</v>
      </c>
      <c r="Z43" s="217">
        <f t="shared" si="13"/>
        <v>2.3444648295060402</v>
      </c>
      <c r="AA43" s="173">
        <f t="shared" si="14"/>
        <v>1.6820427357536092</v>
      </c>
      <c r="AB43" s="173">
        <f t="shared" si="144"/>
        <v>0.69011075624758034</v>
      </c>
      <c r="AC43" s="173"/>
      <c r="AD43" s="173">
        <f t="shared" si="16"/>
        <v>0.71745274852683627</v>
      </c>
      <c r="AE43" s="545">
        <f t="shared" si="145"/>
        <v>1059.3032106442231</v>
      </c>
      <c r="AF43" s="528">
        <f t="shared" si="146"/>
        <v>0.12555423099219634</v>
      </c>
      <c r="AH43" s="173">
        <f t="shared" si="147"/>
        <v>1.804755622554715</v>
      </c>
      <c r="AI43" s="173">
        <f t="shared" si="148"/>
        <v>1.804755622554715</v>
      </c>
      <c r="AJ43" s="173">
        <f t="shared" si="149"/>
        <v>1.7961152759664554</v>
      </c>
      <c r="AL43" s="545">
        <f t="shared" si="150"/>
        <v>380</v>
      </c>
      <c r="AM43" s="460">
        <f t="shared" si="151"/>
        <v>350</v>
      </c>
      <c r="AO43">
        <f t="shared" si="96"/>
        <v>380</v>
      </c>
      <c r="AP43" s="460">
        <f t="shared" si="24"/>
        <v>350</v>
      </c>
      <c r="AQ43" s="460"/>
      <c r="AR43" s="5">
        <f t="shared" si="97"/>
        <v>2.8571428571428572</v>
      </c>
      <c r="AS43" s="5">
        <f t="shared" si="25"/>
        <v>0.90458535545137719</v>
      </c>
      <c r="AT43" s="5">
        <f t="shared" si="98"/>
        <v>1.95255750169148</v>
      </c>
      <c r="AU43" s="173">
        <f t="shared" si="99"/>
        <v>0.31660487440798202</v>
      </c>
      <c r="AW43" s="5">
        <f t="shared" si="152"/>
        <v>2.148390219197021</v>
      </c>
      <c r="AX43" s="5">
        <f t="shared" si="153"/>
        <v>1.0741951095985105</v>
      </c>
      <c r="AY43" s="5">
        <f t="shared" si="28"/>
        <v>0.41321499084643531</v>
      </c>
      <c r="AZ43" s="5"/>
      <c r="BA43" s="173">
        <f t="shared" si="100"/>
        <v>0.58629551854975259</v>
      </c>
      <c r="BB43" s="173">
        <f t="shared" si="154"/>
        <v>0.86137787912318853</v>
      </c>
      <c r="BC43" s="173">
        <f t="shared" si="155"/>
        <v>0.21154427325525366</v>
      </c>
      <c r="BD43" s="173"/>
      <c r="BE43" s="528">
        <f t="shared" si="31"/>
        <v>6.874848701430466E-3</v>
      </c>
      <c r="BF43" s="528">
        <f t="shared" si="156"/>
        <v>0.46880727610246953</v>
      </c>
      <c r="BG43" s="528">
        <f t="shared" si="157"/>
        <v>0.19272851598597043</v>
      </c>
      <c r="BH43" s="528">
        <f t="shared" si="34"/>
        <v>0.28507841330912648</v>
      </c>
      <c r="BI43">
        <f t="shared" si="35"/>
        <v>1.0773643750768532E-2</v>
      </c>
      <c r="BJ43" s="460">
        <f t="shared" si="101"/>
        <v>203.50215973673897</v>
      </c>
      <c r="BK43">
        <f t="shared" si="158"/>
        <v>0.76386449245101806</v>
      </c>
      <c r="BL43" s="460">
        <f t="shared" si="102"/>
        <v>763.86449245101801</v>
      </c>
      <c r="BM43" s="173">
        <f t="shared" si="159"/>
        <v>0.23607499999999995</v>
      </c>
      <c r="BN43" s="173">
        <f t="shared" si="160"/>
        <v>4.2156249999999999E-2</v>
      </c>
      <c r="BO43" s="528"/>
      <c r="BQ43" s="460">
        <f t="shared" si="103"/>
        <v>278.23124999999993</v>
      </c>
      <c r="BR43" s="528">
        <f t="shared" si="39"/>
        <v>1.0312273052145698E-2</v>
      </c>
      <c r="BS43" s="528">
        <f t="shared" si="104"/>
        <v>2.2259155519282869E-2</v>
      </c>
      <c r="BT43" s="528">
        <f t="shared" si="161"/>
        <v>2.2375489773546715E-4</v>
      </c>
      <c r="BU43" s="528">
        <f t="shared" si="41"/>
        <v>0.50140207157832994</v>
      </c>
      <c r="BV43" s="528">
        <f t="shared" si="162"/>
        <v>0.54349401796277197</v>
      </c>
      <c r="BW43" s="625">
        <f t="shared" si="163"/>
        <v>5.7000000000000002E-3</v>
      </c>
      <c r="BX43" s="460">
        <f t="shared" si="105"/>
        <v>549.19401796277202</v>
      </c>
      <c r="BY43" s="173">
        <f t="shared" si="106"/>
        <v>1.5912897604137899</v>
      </c>
      <c r="BZ43" s="5">
        <f t="shared" si="107"/>
        <v>6.84</v>
      </c>
      <c r="CA43" s="173">
        <f t="shared" si="108"/>
        <v>0.81126377984479414</v>
      </c>
      <c r="CB43" s="5">
        <f t="shared" si="109"/>
        <v>81.126377984479419</v>
      </c>
      <c r="CC43">
        <f t="shared" si="173"/>
        <v>38</v>
      </c>
      <c r="CE43" s="562">
        <f t="shared" si="164"/>
        <v>-50</v>
      </c>
      <c r="CF43">
        <f t="shared" si="165"/>
        <v>-50</v>
      </c>
      <c r="CG43" s="173">
        <f t="shared" si="166"/>
        <v>0.44117360113844467</v>
      </c>
      <c r="CH43" s="173">
        <f t="shared" si="167"/>
        <v>0.1559532527591112</v>
      </c>
      <c r="CI43" s="170">
        <v>38</v>
      </c>
      <c r="CJ43" s="217">
        <f t="shared" si="133"/>
        <v>0.38</v>
      </c>
      <c r="CK43" s="217">
        <f t="shared" si="111"/>
        <v>9.5000000000000001E-2</v>
      </c>
      <c r="CL43" s="217">
        <f t="shared" si="48"/>
        <v>6.08</v>
      </c>
      <c r="CM43" s="217">
        <f t="shared" si="134"/>
        <v>0.76</v>
      </c>
      <c r="CN43" s="541">
        <f t="shared" si="112"/>
        <v>24</v>
      </c>
      <c r="CO43" s="443">
        <f t="shared" si="168"/>
        <v>16.7</v>
      </c>
      <c r="CP43" s="443">
        <f t="shared" si="169"/>
        <v>40.700000000000003</v>
      </c>
      <c r="CQ43" s="443"/>
      <c r="CR43" s="217">
        <f t="shared" si="113"/>
        <v>0.40594059405940591</v>
      </c>
      <c r="CS43" s="172">
        <f t="shared" si="114"/>
        <v>21.650165016501649</v>
      </c>
      <c r="CT43" s="172">
        <f t="shared" si="51"/>
        <v>3.0445544554455446</v>
      </c>
      <c r="CU43" s="217">
        <f t="shared" si="52"/>
        <v>1.3531353135313531</v>
      </c>
      <c r="CV43" s="217">
        <f t="shared" si="53"/>
        <v>2.7062706270627062</v>
      </c>
      <c r="CW43" s="443">
        <f t="shared" si="54"/>
        <v>16</v>
      </c>
      <c r="CX43" s="217">
        <f t="shared" si="55"/>
        <v>1.4041463414634145</v>
      </c>
      <c r="CY43" s="217">
        <f t="shared" si="56"/>
        <v>0.70207317073170727</v>
      </c>
      <c r="CZ43" s="217">
        <f t="shared" si="57"/>
        <v>1.0089674309916752</v>
      </c>
      <c r="DA43" s="197">
        <f t="shared" si="58"/>
        <v>350</v>
      </c>
      <c r="DB43" s="443">
        <f t="shared" si="115"/>
        <v>350</v>
      </c>
      <c r="DD43" s="217">
        <f t="shared" si="59"/>
        <v>2.344682344682345</v>
      </c>
      <c r="DE43" s="173">
        <f t="shared" si="60"/>
        <v>1.6848016848016851</v>
      </c>
      <c r="DF43" s="173">
        <f t="shared" si="61"/>
        <v>0.69130683381297664</v>
      </c>
      <c r="DG43" s="173"/>
      <c r="DH43" s="173">
        <f t="shared" si="62"/>
        <v>0.71856287425149712</v>
      </c>
      <c r="DI43" s="545">
        <f t="shared" si="63"/>
        <v>1057.6666666666665</v>
      </c>
      <c r="DJ43" s="528">
        <f t="shared" si="64"/>
        <v>0.125748502994012</v>
      </c>
      <c r="DL43" s="173">
        <f t="shared" si="65"/>
        <v>1.804755622554715</v>
      </c>
      <c r="DM43" s="173">
        <f t="shared" si="66"/>
        <v>1.804755622554715</v>
      </c>
      <c r="DN43" s="173">
        <f t="shared" si="67"/>
        <v>1.7961152759664554</v>
      </c>
      <c r="DP43" s="545">
        <f t="shared" si="68"/>
        <v>380</v>
      </c>
      <c r="DQ43" s="460">
        <f t="shared" si="69"/>
        <v>350</v>
      </c>
      <c r="DS43">
        <f t="shared" si="116"/>
        <v>380</v>
      </c>
      <c r="DT43" s="460">
        <f t="shared" si="70"/>
        <v>350</v>
      </c>
      <c r="DU43" s="460"/>
      <c r="DV43" s="5">
        <f t="shared" si="117"/>
        <v>2.8571428571428572</v>
      </c>
      <c r="DW43" s="5">
        <f t="shared" si="71"/>
        <v>0.90237781127735761</v>
      </c>
      <c r="DX43" s="5">
        <f t="shared" si="118"/>
        <v>1.9547650458654995</v>
      </c>
      <c r="DY43" s="173">
        <f t="shared" si="119"/>
        <v>0.31583223394707516</v>
      </c>
      <c r="EA43" s="5">
        <f t="shared" si="72"/>
        <v>2.1431473017837246</v>
      </c>
      <c r="EB43" s="5">
        <f t="shared" si="73"/>
        <v>1.0715736508918623</v>
      </c>
      <c r="EC43" s="5">
        <f t="shared" si="74"/>
        <v>0.41267262079382766</v>
      </c>
      <c r="ED43" s="5"/>
      <c r="EE43" s="173">
        <f t="shared" si="120"/>
        <v>0.58557968568367869</v>
      </c>
      <c r="EF43" s="173">
        <f t="shared" si="75"/>
        <v>0.86186467466121952</v>
      </c>
      <c r="EG43" s="173">
        <f t="shared" si="76"/>
        <v>0.21166382451238772</v>
      </c>
      <c r="EH43" s="173"/>
      <c r="EI43" s="528">
        <f t="shared" si="77"/>
        <v>6.8580713657079182E-3</v>
      </c>
      <c r="EJ43" s="528">
        <f t="shared" si="78"/>
        <v>0.48846613302254649</v>
      </c>
      <c r="EK43" s="528">
        <f t="shared" si="79"/>
        <v>4.0250000000000001E-2</v>
      </c>
      <c r="EL43" s="528">
        <f t="shared" si="80"/>
        <v>0.28553746375000005</v>
      </c>
      <c r="EM43">
        <f t="shared" si="81"/>
        <v>1.0800000000000001E-2</v>
      </c>
      <c r="EN43" s="460">
        <f t="shared" si="121"/>
        <v>51.05</v>
      </c>
      <c r="EO43">
        <f t="shared" si="82"/>
        <v>0.83512416365558162</v>
      </c>
      <c r="EP43" s="460">
        <f t="shared" si="122"/>
        <v>835.12416365558158</v>
      </c>
      <c r="EQ43" s="173">
        <f t="shared" si="83"/>
        <v>0.23607499999999995</v>
      </c>
      <c r="ER43" s="173">
        <f t="shared" si="170"/>
        <v>4.2156249999999999E-2</v>
      </c>
      <c r="ES43" s="528"/>
      <c r="EU43" s="460">
        <f t="shared" si="123"/>
        <v>278.23124999999993</v>
      </c>
      <c r="EV43" s="528">
        <f t="shared" si="85"/>
        <v>1.0287107048561877E-2</v>
      </c>
      <c r="EW43" s="528">
        <f t="shared" si="124"/>
        <v>2.2284321522866694E-2</v>
      </c>
      <c r="EX43" s="528">
        <f t="shared" si="86"/>
        <v>2.2400787303605431E-4</v>
      </c>
      <c r="EY43" s="528">
        <f t="shared" si="87"/>
        <v>0.50140207157832994</v>
      </c>
      <c r="EZ43" s="528">
        <f t="shared" si="88"/>
        <v>0.54349434350549486</v>
      </c>
      <c r="FA43" s="625">
        <f t="shared" si="89"/>
        <v>5.7000000000000002E-3</v>
      </c>
      <c r="FB43" s="460">
        <f t="shared" si="125"/>
        <v>549.19434350549488</v>
      </c>
      <c r="FC43" s="173">
        <f t="shared" si="126"/>
        <v>1.6625497571610763</v>
      </c>
      <c r="FD43" s="5">
        <f t="shared" si="127"/>
        <v>6.84</v>
      </c>
      <c r="FE43" s="173">
        <f t="shared" si="128"/>
        <v>0.80446456596612881</v>
      </c>
      <c r="FF43" s="5">
        <f t="shared" si="129"/>
        <v>80.446456596612876</v>
      </c>
      <c r="FG43">
        <f t="shared" si="130"/>
        <v>38</v>
      </c>
      <c r="FI43" s="562">
        <f t="shared" si="90"/>
        <v>-50</v>
      </c>
      <c r="FJ43">
        <f t="shared" si="91"/>
        <v>-50</v>
      </c>
      <c r="FL43">
        <f t="shared" si="92"/>
        <v>0.44117360113844467</v>
      </c>
    </row>
    <row r="44" spans="5:168">
      <c r="E44" s="170">
        <v>39</v>
      </c>
      <c r="F44" s="217">
        <f t="shared" si="174"/>
        <v>0.39</v>
      </c>
      <c r="G44" s="217">
        <f t="shared" si="171"/>
        <v>9.7500000000000003E-2</v>
      </c>
      <c r="H44" s="217">
        <f t="shared" si="135"/>
        <v>6.24</v>
      </c>
      <c r="I44" s="217">
        <f t="shared" si="175"/>
        <v>0.78</v>
      </c>
      <c r="J44" s="541">
        <f t="shared" si="136"/>
        <v>23.940664911136537</v>
      </c>
      <c r="K44" s="443">
        <f t="shared" si="137"/>
        <v>16.726177962378415</v>
      </c>
      <c r="L44" s="172">
        <f t="shared" si="138"/>
        <v>40.666842873514952</v>
      </c>
      <c r="M44" s="443"/>
      <c r="N44" s="217">
        <f t="shared" si="139"/>
        <v>0.41129767595683348</v>
      </c>
      <c r="O44" s="172">
        <f t="shared" si="172"/>
        <v>21.881644086248375</v>
      </c>
      <c r="P44" s="172">
        <f t="shared" si="140"/>
        <v>3.0771061996286777</v>
      </c>
      <c r="Q44" s="217">
        <f t="shared" si="6"/>
        <v>1.3676027553905235</v>
      </c>
      <c r="R44" s="217">
        <f t="shared" si="141"/>
        <v>2.7352055107810469</v>
      </c>
      <c r="S44" s="443">
        <f t="shared" si="142"/>
        <v>16</v>
      </c>
      <c r="T44" s="217">
        <f t="shared" si="143"/>
        <v>1.4258526405521692</v>
      </c>
      <c r="U44" s="217">
        <f t="shared" si="10"/>
        <v>0.71469325309619214</v>
      </c>
      <c r="V44" s="217">
        <f t="shared" si="11"/>
        <v>1.0229612362795286</v>
      </c>
      <c r="W44" s="197">
        <f t="shared" si="12"/>
        <v>350</v>
      </c>
      <c r="X44" s="443">
        <f t="shared" si="95"/>
        <v>350</v>
      </c>
      <c r="Z44" s="217">
        <f t="shared" si="13"/>
        <v>2.344461866383754</v>
      </c>
      <c r="AA44" s="173">
        <f t="shared" si="14"/>
        <v>1.6820066401233325</v>
      </c>
      <c r="AB44" s="173">
        <f t="shared" si="144"/>
        <v>0.69009507468534759</v>
      </c>
      <c r="AC44" s="173"/>
      <c r="AD44" s="173">
        <f t="shared" si="16"/>
        <v>0.71743825917619464</v>
      </c>
      <c r="AE44" s="545">
        <f t="shared" si="145"/>
        <v>1087.201567554597</v>
      </c>
      <c r="AF44" s="528">
        <f t="shared" si="146"/>
        <v>0.12555169535583405</v>
      </c>
      <c r="AH44" s="173">
        <f t="shared" si="147"/>
        <v>1.8283482006601322</v>
      </c>
      <c r="AI44" s="173">
        <f t="shared" si="148"/>
        <v>1.8283482006601322</v>
      </c>
      <c r="AJ44" s="173">
        <f t="shared" si="149"/>
        <v>1.813591259748246</v>
      </c>
      <c r="AL44" s="545">
        <f t="shared" si="150"/>
        <v>390</v>
      </c>
      <c r="AM44" s="460">
        <f t="shared" si="151"/>
        <v>350</v>
      </c>
      <c r="AO44">
        <f t="shared" si="96"/>
        <v>390</v>
      </c>
      <c r="AP44" s="460">
        <f t="shared" si="24"/>
        <v>350</v>
      </c>
      <c r="AQ44" s="460"/>
      <c r="AR44" s="5">
        <f t="shared" si="97"/>
        <v>2.8571428571428572</v>
      </c>
      <c r="AS44" s="5">
        <f t="shared" si="25"/>
        <v>0.916439810229148</v>
      </c>
      <c r="AT44" s="5">
        <f t="shared" si="98"/>
        <v>1.9407030469137092</v>
      </c>
      <c r="AU44" s="173">
        <f t="shared" si="99"/>
        <v>0.32075393358020177</v>
      </c>
      <c r="AW44" s="5">
        <f t="shared" si="152"/>
        <v>2.2338220374335482</v>
      </c>
      <c r="AX44" s="5">
        <f t="shared" si="153"/>
        <v>1.1169110187167741</v>
      </c>
      <c r="AY44" s="5">
        <f t="shared" si="28"/>
        <v>0.42152780139606433</v>
      </c>
      <c r="AZ44" s="5"/>
      <c r="BA44" s="173">
        <f t="shared" si="100"/>
        <v>0.5978390468925292</v>
      </c>
      <c r="BB44" s="173">
        <f t="shared" si="154"/>
        <v>0.86998516556108396</v>
      </c>
      <c r="BC44" s="173">
        <f t="shared" si="155"/>
        <v>0.21365812154220737</v>
      </c>
      <c r="BD44" s="173"/>
      <c r="BE44" s="528">
        <f t="shared" si="31"/>
        <v>7.148230519787354E-3</v>
      </c>
      <c r="BF44" s="528">
        <f t="shared" si="156"/>
        <v>0.47493073920121509</v>
      </c>
      <c r="BG44" s="528">
        <f t="shared" si="157"/>
        <v>0.19272235253464914</v>
      </c>
      <c r="BH44" s="528">
        <f t="shared" si="34"/>
        <v>0.28507241484044166</v>
      </c>
      <c r="BI44">
        <f t="shared" si="35"/>
        <v>1.0773299210011441E-2</v>
      </c>
      <c r="BJ44" s="460">
        <f t="shared" si="101"/>
        <v>203.49565174466059</v>
      </c>
      <c r="BK44">
        <f t="shared" si="158"/>
        <v>0.77038985200411669</v>
      </c>
      <c r="BL44" s="460">
        <f t="shared" si="102"/>
        <v>770.38985200411673</v>
      </c>
      <c r="BM44" s="173">
        <f t="shared" si="159"/>
        <v>0.24228749999999996</v>
      </c>
      <c r="BN44" s="173">
        <f t="shared" si="160"/>
        <v>4.3265625000000002E-2</v>
      </c>
      <c r="BO44" s="528"/>
      <c r="BQ44" s="460">
        <f t="shared" si="103"/>
        <v>285.55312499999997</v>
      </c>
      <c r="BR44" s="528">
        <f t="shared" si="39"/>
        <v>1.0722345779681031E-2</v>
      </c>
      <c r="BS44" s="528">
        <f t="shared" si="104"/>
        <v>2.27062256488904E-2</v>
      </c>
      <c r="BT44" s="528">
        <f t="shared" si="161"/>
        <v>2.2824896450472328E-4</v>
      </c>
      <c r="BU44" s="528">
        <f t="shared" si="41"/>
        <v>0.51794946278452536</v>
      </c>
      <c r="BV44" s="528">
        <f t="shared" si="162"/>
        <v>0.56119496311827344</v>
      </c>
      <c r="BW44" s="625">
        <f t="shared" si="163"/>
        <v>5.8500000000000002E-3</v>
      </c>
      <c r="BX44" s="460">
        <f t="shared" si="105"/>
        <v>567.04496311827347</v>
      </c>
      <c r="BY44" s="173">
        <f t="shared" si="106"/>
        <v>1.6229879401223901</v>
      </c>
      <c r="BZ44" s="5">
        <f t="shared" si="107"/>
        <v>7.0200000000000005</v>
      </c>
      <c r="CA44" s="173">
        <f t="shared" si="108"/>
        <v>0.81221911318559503</v>
      </c>
      <c r="CB44" s="5">
        <f t="shared" si="109"/>
        <v>81.221911318559506</v>
      </c>
      <c r="CC44">
        <f t="shared" si="173"/>
        <v>39</v>
      </c>
      <c r="CE44" s="562">
        <f t="shared" si="164"/>
        <v>-50</v>
      </c>
      <c r="CF44">
        <f t="shared" si="165"/>
        <v>-50</v>
      </c>
      <c r="CG44" s="173">
        <f t="shared" si="166"/>
        <v>0.44694082109489131</v>
      </c>
      <c r="CH44" s="173">
        <f t="shared" si="167"/>
        <v>0.15799194389852703</v>
      </c>
      <c r="CI44" s="170">
        <v>39</v>
      </c>
      <c r="CJ44" s="217">
        <f t="shared" si="133"/>
        <v>0.39</v>
      </c>
      <c r="CK44" s="217">
        <f t="shared" si="111"/>
        <v>9.7500000000000003E-2</v>
      </c>
      <c r="CL44" s="217">
        <f t="shared" si="48"/>
        <v>6.24</v>
      </c>
      <c r="CM44" s="217">
        <f t="shared" si="134"/>
        <v>0.78</v>
      </c>
      <c r="CN44" s="541">
        <f t="shared" si="112"/>
        <v>24</v>
      </c>
      <c r="CO44" s="443">
        <f t="shared" si="168"/>
        <v>16.7</v>
      </c>
      <c r="CP44" s="443">
        <f t="shared" si="169"/>
        <v>40.700000000000003</v>
      </c>
      <c r="CQ44" s="443"/>
      <c r="CR44" s="217">
        <f t="shared" si="113"/>
        <v>0.40594059405940591</v>
      </c>
      <c r="CS44" s="172">
        <f t="shared" si="114"/>
        <v>21.650165016501649</v>
      </c>
      <c r="CT44" s="172">
        <f t="shared" si="51"/>
        <v>3.0445544554455446</v>
      </c>
      <c r="CU44" s="217">
        <f t="shared" si="52"/>
        <v>1.3531353135313531</v>
      </c>
      <c r="CV44" s="217">
        <f t="shared" si="53"/>
        <v>2.7062706270627062</v>
      </c>
      <c r="CW44" s="443">
        <f t="shared" si="54"/>
        <v>16</v>
      </c>
      <c r="CX44" s="217">
        <f t="shared" si="55"/>
        <v>1.4410975609756098</v>
      </c>
      <c r="CY44" s="217">
        <f t="shared" si="56"/>
        <v>0.72054878048780491</v>
      </c>
      <c r="CZ44" s="217">
        <f t="shared" si="57"/>
        <v>1.0355192054914562</v>
      </c>
      <c r="DA44" s="197">
        <f t="shared" si="58"/>
        <v>350</v>
      </c>
      <c r="DB44" s="443">
        <f t="shared" si="115"/>
        <v>350</v>
      </c>
      <c r="DD44" s="217">
        <f t="shared" si="59"/>
        <v>2.344682344682345</v>
      </c>
      <c r="DE44" s="173">
        <f t="shared" si="60"/>
        <v>1.6848016848016851</v>
      </c>
      <c r="DF44" s="173">
        <f t="shared" si="61"/>
        <v>0.69130683381297664</v>
      </c>
      <c r="DG44" s="173"/>
      <c r="DH44" s="173">
        <f t="shared" si="62"/>
        <v>0.71856287425149712</v>
      </c>
      <c r="DI44" s="545">
        <f t="shared" si="63"/>
        <v>1085.5</v>
      </c>
      <c r="DJ44" s="528">
        <f t="shared" si="64"/>
        <v>0.125748502994012</v>
      </c>
      <c r="DL44" s="173">
        <f t="shared" si="65"/>
        <v>1.8283482006601322</v>
      </c>
      <c r="DM44" s="173">
        <f t="shared" si="66"/>
        <v>1.8283482006601322</v>
      </c>
      <c r="DN44" s="173">
        <f t="shared" si="67"/>
        <v>1.813591259748246</v>
      </c>
      <c r="DP44" s="545">
        <f t="shared" si="68"/>
        <v>390</v>
      </c>
      <c r="DQ44" s="460">
        <f t="shared" si="69"/>
        <v>350</v>
      </c>
      <c r="DS44">
        <f t="shared" si="116"/>
        <v>390</v>
      </c>
      <c r="DT44" s="460">
        <f t="shared" si="70"/>
        <v>350</v>
      </c>
      <c r="DU44" s="460"/>
      <c r="DV44" s="5">
        <f t="shared" si="117"/>
        <v>2.8571428571428572</v>
      </c>
      <c r="DW44" s="5">
        <f t="shared" si="71"/>
        <v>0.91417410033006608</v>
      </c>
      <c r="DX44" s="5">
        <f t="shared" si="118"/>
        <v>1.9429687568127911</v>
      </c>
      <c r="DY44" s="173">
        <f t="shared" si="119"/>
        <v>0.31996093511552309</v>
      </c>
      <c r="EA44" s="5">
        <f t="shared" si="72"/>
        <v>2.2282993695545361</v>
      </c>
      <c r="EB44" s="5">
        <f t="shared" si="73"/>
        <v>1.1141496847772681</v>
      </c>
      <c r="EC44" s="5">
        <f t="shared" si="74"/>
        <v>0.42097656397610467</v>
      </c>
      <c r="ED44" s="5"/>
      <c r="EE44" s="173">
        <f t="shared" si="120"/>
        <v>0.5970995722061152</v>
      </c>
      <c r="EF44" s="173">
        <f t="shared" si="75"/>
        <v>0.87049285761400053</v>
      </c>
      <c r="EG44" s="173">
        <f t="shared" si="76"/>
        <v>0.21378280473755601</v>
      </c>
      <c r="EH44" s="173"/>
      <c r="EI44" s="528">
        <f t="shared" si="77"/>
        <v>7.1305579825745157E-3</v>
      </c>
      <c r="EJ44" s="528">
        <f t="shared" si="78"/>
        <v>0.49485158224966819</v>
      </c>
      <c r="EK44" s="528">
        <f t="shared" si="79"/>
        <v>4.0250000000000001E-2</v>
      </c>
      <c r="EL44" s="528">
        <f t="shared" si="80"/>
        <v>0.28553746375000005</v>
      </c>
      <c r="EM44">
        <f t="shared" si="81"/>
        <v>1.0800000000000001E-2</v>
      </c>
      <c r="EN44" s="460">
        <f t="shared" si="121"/>
        <v>51.05</v>
      </c>
      <c r="EO44">
        <f t="shared" si="82"/>
        <v>0.84192125495160397</v>
      </c>
      <c r="EP44" s="460">
        <f t="shared" si="122"/>
        <v>841.92125495160394</v>
      </c>
      <c r="EQ44" s="173">
        <f t="shared" si="83"/>
        <v>0.24228749999999996</v>
      </c>
      <c r="ER44" s="173">
        <f t="shared" si="170"/>
        <v>4.3265625000000002E-2</v>
      </c>
      <c r="ES44" s="528"/>
      <c r="EU44" s="460">
        <f t="shared" si="123"/>
        <v>285.55312499999997</v>
      </c>
      <c r="EV44" s="528">
        <f t="shared" si="85"/>
        <v>1.0695836973861773E-2</v>
      </c>
      <c r="EW44" s="528">
        <f t="shared" si="124"/>
        <v>2.2732734454709656E-2</v>
      </c>
      <c r="EX44" s="528">
        <f t="shared" si="86"/>
        <v>2.2851543800728001E-4</v>
      </c>
      <c r="EY44" s="528">
        <f t="shared" si="87"/>
        <v>0.51794946278452536</v>
      </c>
      <c r="EZ44" s="528">
        <f t="shared" si="88"/>
        <v>0.56119530643330229</v>
      </c>
      <c r="FA44" s="625">
        <f t="shared" si="89"/>
        <v>5.8500000000000002E-3</v>
      </c>
      <c r="FB44" s="460">
        <f t="shared" si="125"/>
        <v>567.04530643330236</v>
      </c>
      <c r="FC44" s="173">
        <f t="shared" si="126"/>
        <v>1.6945196863849061</v>
      </c>
      <c r="FD44" s="5">
        <f t="shared" si="127"/>
        <v>7.0200000000000005</v>
      </c>
      <c r="FE44" s="173">
        <f t="shared" si="128"/>
        <v>0.80555214201508629</v>
      </c>
      <c r="FF44" s="5">
        <f t="shared" si="129"/>
        <v>80.555214201508633</v>
      </c>
      <c r="FG44">
        <f t="shared" si="130"/>
        <v>39</v>
      </c>
      <c r="FI44" s="562">
        <f t="shared" si="90"/>
        <v>-50</v>
      </c>
      <c r="FJ44">
        <f t="shared" si="91"/>
        <v>-50</v>
      </c>
      <c r="FL44">
        <f t="shared" si="92"/>
        <v>0.44694082109489131</v>
      </c>
    </row>
    <row r="45" spans="5:168">
      <c r="E45" s="170">
        <v>40</v>
      </c>
      <c r="F45" s="217">
        <f t="shared" si="174"/>
        <v>0.4</v>
      </c>
      <c r="G45" s="217">
        <f t="shared" si="171"/>
        <v>0.1</v>
      </c>
      <c r="H45" s="217">
        <f t="shared" si="135"/>
        <v>6.4</v>
      </c>
      <c r="I45" s="217">
        <f t="shared" si="175"/>
        <v>0.8</v>
      </c>
      <c r="J45" s="541">
        <f t="shared" si="136"/>
        <v>23.939909019658565</v>
      </c>
      <c r="K45" s="443">
        <f t="shared" si="137"/>
        <v>16.726511453050655</v>
      </c>
      <c r="L45" s="172">
        <f t="shared" si="138"/>
        <v>40.66642047270922</v>
      </c>
      <c r="M45" s="443"/>
      <c r="N45" s="217">
        <f t="shared" si="139"/>
        <v>0.41131014873255517</v>
      </c>
      <c r="O45" s="172">
        <f t="shared" si="172"/>
        <v>21.881616754488007</v>
      </c>
      <c r="P45" s="172">
        <f t="shared" si="140"/>
        <v>3.0771023560998763</v>
      </c>
      <c r="Q45" s="217">
        <f t="shared" si="6"/>
        <v>1.3676010471555005</v>
      </c>
      <c r="R45" s="217">
        <f t="shared" si="141"/>
        <v>2.7352020943110009</v>
      </c>
      <c r="S45" s="443">
        <f t="shared" si="142"/>
        <v>16</v>
      </c>
      <c r="T45" s="217">
        <f t="shared" si="143"/>
        <v>1.4624147913310233</v>
      </c>
      <c r="U45" s="217">
        <f t="shared" si="10"/>
        <v>0.73304278147263258</v>
      </c>
      <c r="V45" s="217">
        <f t="shared" si="11"/>
        <v>1.0491714034471677</v>
      </c>
      <c r="W45" s="197">
        <f t="shared" si="12"/>
        <v>350</v>
      </c>
      <c r="X45" s="443">
        <f t="shared" si="95"/>
        <v>350</v>
      </c>
      <c r="Z45" s="217">
        <f t="shared" si="13"/>
        <v>2.3444589379808578</v>
      </c>
      <c r="AA45" s="173">
        <f t="shared" si="14"/>
        <v>1.6819710036212709</v>
      </c>
      <c r="AB45" s="173">
        <f t="shared" si="144"/>
        <v>0.69007959175129141</v>
      </c>
      <c r="AC45" s="173"/>
      <c r="AD45" s="173">
        <f t="shared" si="16"/>
        <v>0.71742395499997624</v>
      </c>
      <c r="AE45" s="545">
        <f t="shared" si="145"/>
        <v>1115.1007635367102</v>
      </c>
      <c r="AF45" s="528">
        <f t="shared" si="146"/>
        <v>0.12554919212499585</v>
      </c>
      <c r="AH45" s="173">
        <f t="shared" si="147"/>
        <v>1.8516401995451028</v>
      </c>
      <c r="AI45" s="173">
        <f t="shared" si="148"/>
        <v>1.8516401995451028</v>
      </c>
      <c r="AJ45" s="173">
        <f t="shared" si="149"/>
        <v>1.8308445922556316</v>
      </c>
      <c r="AL45" s="545">
        <f t="shared" si="150"/>
        <v>400</v>
      </c>
      <c r="AM45" s="460">
        <f t="shared" si="151"/>
        <v>350</v>
      </c>
      <c r="AO45">
        <f t="shared" si="96"/>
        <v>400</v>
      </c>
      <c r="AP45" s="460">
        <f t="shared" si="24"/>
        <v>350</v>
      </c>
      <c r="AQ45" s="460"/>
      <c r="AR45" s="5">
        <f t="shared" si="97"/>
        <v>2.8571428571428572</v>
      </c>
      <c r="AS45" s="5">
        <f t="shared" si="25"/>
        <v>0.92814397817031213</v>
      </c>
      <c r="AT45" s="5">
        <f t="shared" si="98"/>
        <v>1.928998878972545</v>
      </c>
      <c r="AU45" s="173">
        <f t="shared" si="99"/>
        <v>0.32485039235960922</v>
      </c>
      <c r="AW45" s="5">
        <f t="shared" si="152"/>
        <v>2.3203599454257802</v>
      </c>
      <c r="AX45" s="5">
        <f t="shared" si="153"/>
        <v>1.1601799727128901</v>
      </c>
      <c r="AY45" s="5">
        <f t="shared" si="28"/>
        <v>0.42974240264400282</v>
      </c>
      <c r="AZ45" s="5"/>
      <c r="BA45" s="173">
        <f t="shared" si="100"/>
        <v>0.60930910978593189</v>
      </c>
      <c r="BB45" s="173">
        <f t="shared" si="154"/>
        <v>0.87840739499905052</v>
      </c>
      <c r="BC45" s="173">
        <f t="shared" si="155"/>
        <v>0.21572652200711975</v>
      </c>
      <c r="BD45" s="173"/>
      <c r="BE45" s="528">
        <f t="shared" si="31"/>
        <v>7.4251518253624959E-3</v>
      </c>
      <c r="BF45" s="528">
        <f t="shared" si="156"/>
        <v>0.48097606034429724</v>
      </c>
      <c r="BG45" s="528">
        <f t="shared" si="157"/>
        <v>0.19271626760825147</v>
      </c>
      <c r="BH45" s="528">
        <f t="shared" si="34"/>
        <v>0.28506649285664126</v>
      </c>
      <c r="BI45">
        <f t="shared" si="35"/>
        <v>1.0772959058846353E-2</v>
      </c>
      <c r="BJ45" s="460">
        <f t="shared" si="101"/>
        <v>203.48922666709782</v>
      </c>
      <c r="BK45">
        <f t="shared" si="158"/>
        <v>0.77684301495287511</v>
      </c>
      <c r="BL45" s="460">
        <f t="shared" si="102"/>
        <v>776.84301495287514</v>
      </c>
      <c r="BM45" s="173">
        <f t="shared" si="159"/>
        <v>0.24849999999999997</v>
      </c>
      <c r="BN45" s="173">
        <f t="shared" si="160"/>
        <v>4.4374999999999998E-2</v>
      </c>
      <c r="BO45" s="528"/>
      <c r="BQ45" s="460">
        <f t="shared" si="103"/>
        <v>292.875</v>
      </c>
      <c r="BR45" s="528">
        <f t="shared" si="39"/>
        <v>1.1137727738043744E-2</v>
      </c>
      <c r="BS45" s="528">
        <f t="shared" si="104"/>
        <v>2.3147986547670536E-2</v>
      </c>
      <c r="BT45" s="528">
        <f t="shared" si="161"/>
        <v>2.3268966148644161E-4</v>
      </c>
      <c r="BU45" s="528">
        <f t="shared" si="41"/>
        <v>0.53460327795458351</v>
      </c>
      <c r="BV45" s="528">
        <f t="shared" si="162"/>
        <v>0.57900500514150643</v>
      </c>
      <c r="BW45" s="625">
        <f t="shared" si="163"/>
        <v>6.0000000000000001E-3</v>
      </c>
      <c r="BX45" s="460">
        <f t="shared" si="105"/>
        <v>585.00500514150644</v>
      </c>
      <c r="BY45" s="173">
        <f t="shared" si="106"/>
        <v>1.6547230200943817</v>
      </c>
      <c r="BZ45" s="5">
        <f t="shared" si="107"/>
        <v>7.2</v>
      </c>
      <c r="CA45" s="173">
        <f t="shared" si="108"/>
        <v>0.81312537768383597</v>
      </c>
      <c r="CB45" s="5">
        <f t="shared" si="109"/>
        <v>81.312537768383592</v>
      </c>
      <c r="CC45">
        <f t="shared" si="173"/>
        <v>40</v>
      </c>
      <c r="CE45" s="562">
        <f t="shared" si="164"/>
        <v>-50</v>
      </c>
      <c r="CF45">
        <f t="shared" si="165"/>
        <v>-50</v>
      </c>
      <c r="CG45" s="173">
        <f t="shared" si="166"/>
        <v>0.45263456427949456</v>
      </c>
      <c r="CH45" s="173">
        <f t="shared" si="167"/>
        <v>0.16000466126811241</v>
      </c>
      <c r="CI45" s="170">
        <v>40</v>
      </c>
      <c r="CJ45" s="217">
        <f t="shared" si="133"/>
        <v>0.4</v>
      </c>
      <c r="CK45" s="217">
        <f t="shared" si="111"/>
        <v>0.1</v>
      </c>
      <c r="CL45" s="217">
        <f t="shared" si="48"/>
        <v>6.4</v>
      </c>
      <c r="CM45" s="217">
        <f t="shared" si="134"/>
        <v>0.8</v>
      </c>
      <c r="CN45" s="541">
        <f t="shared" si="112"/>
        <v>24</v>
      </c>
      <c r="CO45" s="443">
        <f t="shared" si="168"/>
        <v>16.7</v>
      </c>
      <c r="CP45" s="443">
        <f t="shared" si="169"/>
        <v>40.700000000000003</v>
      </c>
      <c r="CQ45" s="443"/>
      <c r="CR45" s="217">
        <f t="shared" si="113"/>
        <v>0.40594059405940591</v>
      </c>
      <c r="CS45" s="172">
        <f t="shared" si="114"/>
        <v>21.650165016501649</v>
      </c>
      <c r="CT45" s="172">
        <f t="shared" si="51"/>
        <v>3.0445544554455446</v>
      </c>
      <c r="CU45" s="217">
        <f t="shared" si="52"/>
        <v>1.3531353135313531</v>
      </c>
      <c r="CV45" s="217">
        <f t="shared" si="53"/>
        <v>2.7062706270627062</v>
      </c>
      <c r="CW45" s="443">
        <f t="shared" si="54"/>
        <v>16</v>
      </c>
      <c r="CX45" s="217">
        <f t="shared" si="55"/>
        <v>1.4780487804878049</v>
      </c>
      <c r="CY45" s="217">
        <f t="shared" si="56"/>
        <v>0.73902439024390254</v>
      </c>
      <c r="CZ45" s="217">
        <f t="shared" si="57"/>
        <v>1.0620709799912371</v>
      </c>
      <c r="DA45" s="197">
        <f t="shared" si="58"/>
        <v>350</v>
      </c>
      <c r="DB45" s="443">
        <f t="shared" si="115"/>
        <v>350</v>
      </c>
      <c r="DD45" s="217">
        <f t="shared" si="59"/>
        <v>2.344682344682345</v>
      </c>
      <c r="DE45" s="173">
        <f t="shared" si="60"/>
        <v>1.6848016848016851</v>
      </c>
      <c r="DF45" s="173">
        <f t="shared" si="61"/>
        <v>0.69130683381297664</v>
      </c>
      <c r="DG45" s="173"/>
      <c r="DH45" s="173">
        <f t="shared" si="62"/>
        <v>0.71856287425149712</v>
      </c>
      <c r="DI45" s="545">
        <f t="shared" si="63"/>
        <v>1113.3333333333333</v>
      </c>
      <c r="DJ45" s="528">
        <f t="shared" si="64"/>
        <v>0.125748502994012</v>
      </c>
      <c r="DL45" s="173">
        <f t="shared" si="65"/>
        <v>1.8516401995451028</v>
      </c>
      <c r="DM45" s="173">
        <f t="shared" si="66"/>
        <v>1.8516401995451028</v>
      </c>
      <c r="DN45" s="173">
        <f t="shared" si="67"/>
        <v>1.8308445922556316</v>
      </c>
      <c r="DP45" s="545">
        <f t="shared" si="68"/>
        <v>400</v>
      </c>
      <c r="DQ45" s="460">
        <f t="shared" si="69"/>
        <v>350</v>
      </c>
      <c r="DS45">
        <f t="shared" si="116"/>
        <v>400</v>
      </c>
      <c r="DT45" s="460">
        <f t="shared" si="70"/>
        <v>350</v>
      </c>
      <c r="DU45" s="460"/>
      <c r="DV45" s="5">
        <f t="shared" si="117"/>
        <v>2.8571428571428572</v>
      </c>
      <c r="DW45" s="5">
        <f t="shared" si="71"/>
        <v>0.92582009977255153</v>
      </c>
      <c r="DX45" s="5">
        <f t="shared" si="118"/>
        <v>1.9313227573703058</v>
      </c>
      <c r="DY45" s="173">
        <f t="shared" si="119"/>
        <v>0.32403703492039304</v>
      </c>
      <c r="EA45" s="5">
        <f t="shared" si="72"/>
        <v>2.3145502494313792</v>
      </c>
      <c r="EB45" s="5">
        <f t="shared" si="73"/>
        <v>1.1572751247156896</v>
      </c>
      <c r="EC45" s="5">
        <f t="shared" si="74"/>
        <v>0.42918283497117898</v>
      </c>
      <c r="ED45" s="5"/>
      <c r="EE45" s="173">
        <f t="shared" si="120"/>
        <v>0.60854584043358695</v>
      </c>
      <c r="EF45" s="173">
        <f t="shared" si="75"/>
        <v>0.87893634749515404</v>
      </c>
      <c r="EG45" s="173">
        <f t="shared" si="76"/>
        <v>0.21585642651719222</v>
      </c>
      <c r="EH45" s="173"/>
      <c r="EI45" s="528">
        <f t="shared" si="77"/>
        <v>7.4065607981804137E-3</v>
      </c>
      <c r="EJ45" s="528">
        <f t="shared" si="78"/>
        <v>0.50115567820787998</v>
      </c>
      <c r="EK45" s="528">
        <f t="shared" si="79"/>
        <v>4.0250000000000001E-2</v>
      </c>
      <c r="EL45" s="528">
        <f t="shared" si="80"/>
        <v>0.28553746375000005</v>
      </c>
      <c r="EM45">
        <f t="shared" si="81"/>
        <v>1.0800000000000001E-2</v>
      </c>
      <c r="EN45" s="460">
        <f t="shared" si="121"/>
        <v>51.05</v>
      </c>
      <c r="EO45">
        <f t="shared" si="82"/>
        <v>0.84864291499374234</v>
      </c>
      <c r="EP45" s="460">
        <f t="shared" si="122"/>
        <v>848.64291499374235</v>
      </c>
      <c r="EQ45" s="173">
        <f t="shared" si="83"/>
        <v>0.24849999999999997</v>
      </c>
      <c r="ER45" s="173">
        <f t="shared" si="170"/>
        <v>4.4374999999999998E-2</v>
      </c>
      <c r="ES45" s="528"/>
      <c r="EU45" s="460">
        <f t="shared" si="123"/>
        <v>292.875</v>
      </c>
      <c r="EV45" s="528">
        <f t="shared" si="85"/>
        <v>1.110984119727062E-2</v>
      </c>
      <c r="EW45" s="528">
        <f t="shared" si="124"/>
        <v>2.3175873088443665E-2</v>
      </c>
      <c r="EX45" s="528">
        <f t="shared" si="86"/>
        <v>2.3296998434386003E-4</v>
      </c>
      <c r="EY45" s="528">
        <f t="shared" si="87"/>
        <v>0.53460327795458351</v>
      </c>
      <c r="EZ45" s="528">
        <f t="shared" si="88"/>
        <v>0.57900536672502767</v>
      </c>
      <c r="FA45" s="625">
        <f t="shared" si="89"/>
        <v>6.0000000000000001E-3</v>
      </c>
      <c r="FB45" s="460">
        <f t="shared" si="125"/>
        <v>585.00536672502767</v>
      </c>
      <c r="FC45" s="173">
        <f t="shared" si="126"/>
        <v>1.7265232817187701</v>
      </c>
      <c r="FD45" s="5">
        <f t="shared" si="127"/>
        <v>7.2</v>
      </c>
      <c r="FE45" s="173">
        <f t="shared" si="128"/>
        <v>0.80658502451288805</v>
      </c>
      <c r="FF45" s="5">
        <f t="shared" si="129"/>
        <v>80.658502451288811</v>
      </c>
      <c r="FG45">
        <f t="shared" si="130"/>
        <v>40</v>
      </c>
      <c r="FI45" s="562">
        <f t="shared" si="90"/>
        <v>-50</v>
      </c>
      <c r="FJ45">
        <f t="shared" si="91"/>
        <v>-50</v>
      </c>
      <c r="FL45">
        <f t="shared" si="92"/>
        <v>0.4526345642794945</v>
      </c>
    </row>
    <row r="46" spans="5:168">
      <c r="E46" s="170">
        <v>41</v>
      </c>
      <c r="F46" s="217">
        <f t="shared" si="174"/>
        <v>0.41</v>
      </c>
      <c r="G46" s="217">
        <f t="shared" si="171"/>
        <v>0.10249999999999999</v>
      </c>
      <c r="H46" s="217">
        <f t="shared" si="135"/>
        <v>6.56</v>
      </c>
      <c r="I46" s="217">
        <f t="shared" si="175"/>
        <v>0.82</v>
      </c>
      <c r="J46" s="541">
        <f t="shared" si="136"/>
        <v>23.939162519230702</v>
      </c>
      <c r="K46" s="443">
        <f t="shared" si="137"/>
        <v>16.726840800499026</v>
      </c>
      <c r="L46" s="172">
        <f t="shared" si="138"/>
        <v>40.666003319729725</v>
      </c>
      <c r="M46" s="443"/>
      <c r="N46" s="217">
        <f t="shared" si="139"/>
        <v>0.4113224668032166</v>
      </c>
      <c r="O46" s="172">
        <f t="shared" si="172"/>
        <v>21.88158973469573</v>
      </c>
      <c r="P46" s="172">
        <f t="shared" si="140"/>
        <v>3.0770985564415869</v>
      </c>
      <c r="Q46" s="217">
        <f t="shared" si="6"/>
        <v>1.3675993584184831</v>
      </c>
      <c r="R46" s="217">
        <f t="shared" si="141"/>
        <v>2.7351987168369662</v>
      </c>
      <c r="S46" s="443">
        <f t="shared" si="142"/>
        <v>16</v>
      </c>
      <c r="T46" s="217">
        <f t="shared" si="143"/>
        <v>1.4989770120765904</v>
      </c>
      <c r="U46" s="217">
        <f t="shared" si="10"/>
        <v>0.75139320895078376</v>
      </c>
      <c r="V46" s="217">
        <f t="shared" si="11"/>
        <v>1.0753808420525197</v>
      </c>
      <c r="W46" s="197">
        <f t="shared" si="12"/>
        <v>350</v>
      </c>
      <c r="X46" s="443">
        <f t="shared" si="95"/>
        <v>350</v>
      </c>
      <c r="Z46" s="217">
        <f t="shared" si="13"/>
        <v>2.3444560430031132</v>
      </c>
      <c r="AA46" s="173">
        <f t="shared" si="14"/>
        <v>1.6819358091336667</v>
      </c>
      <c r="AB46" s="173">
        <f t="shared" si="144"/>
        <v>0.69006430004168229</v>
      </c>
      <c r="AC46" s="173"/>
      <c r="AD46" s="173">
        <f t="shared" si="16"/>
        <v>0.71740982909588014</v>
      </c>
      <c r="AE46" s="545">
        <f t="shared" si="145"/>
        <v>1143.0007880341002</v>
      </c>
      <c r="AF46" s="528">
        <f t="shared" si="146"/>
        <v>0.12554672009177903</v>
      </c>
      <c r="AH46" s="173">
        <f t="shared" si="147"/>
        <v>1.8746428231227714</v>
      </c>
      <c r="AI46" s="173">
        <f t="shared" si="148"/>
        <v>1.8746428231227714</v>
      </c>
      <c r="AJ46" s="173">
        <f t="shared" si="149"/>
        <v>1.8478835726835343</v>
      </c>
      <c r="AL46" s="545">
        <f t="shared" si="150"/>
        <v>410</v>
      </c>
      <c r="AM46" s="460">
        <f t="shared" si="151"/>
        <v>350</v>
      </c>
      <c r="AO46">
        <f t="shared" si="96"/>
        <v>410</v>
      </c>
      <c r="AP46" s="460">
        <f t="shared" si="24"/>
        <v>350</v>
      </c>
      <c r="AQ46" s="460"/>
      <c r="AR46" s="5">
        <f t="shared" si="97"/>
        <v>2.8571428571428572</v>
      </c>
      <c r="AS46" s="5">
        <f t="shared" si="25"/>
        <v>0.9397034611967775</v>
      </c>
      <c r="AT46" s="5">
        <f t="shared" si="98"/>
        <v>1.9174393959460798</v>
      </c>
      <c r="AU46" s="173">
        <f t="shared" si="99"/>
        <v>0.3288962114188721</v>
      </c>
      <c r="AW46" s="5">
        <f t="shared" si="152"/>
        <v>2.4079901193167417</v>
      </c>
      <c r="AX46" s="5">
        <f t="shared" si="153"/>
        <v>1.2039950596583708</v>
      </c>
      <c r="AY46" s="5">
        <f t="shared" si="28"/>
        <v>0.43786001380589423</v>
      </c>
      <c r="AZ46" s="5"/>
      <c r="BA46" s="173">
        <f t="shared" si="100"/>
        <v>0.62070799824932077</v>
      </c>
      <c r="BB46" s="173">
        <f t="shared" si="154"/>
        <v>0.88665108827423922</v>
      </c>
      <c r="BC46" s="173">
        <f t="shared" si="155"/>
        <v>0.21775107609087932</v>
      </c>
      <c r="BD46" s="173"/>
      <c r="BE46" s="528">
        <f t="shared" si="31"/>
        <v>7.7055683818135759E-3</v>
      </c>
      <c r="BF46" s="528">
        <f t="shared" si="156"/>
        <v>0.48694615222702087</v>
      </c>
      <c r="BG46" s="528">
        <f t="shared" si="157"/>
        <v>0.19271025827980715</v>
      </c>
      <c r="BH46" s="528">
        <f t="shared" si="34"/>
        <v>0.28506064450679641</v>
      </c>
      <c r="BI46">
        <f t="shared" si="35"/>
        <v>1.0772623133653816E-2</v>
      </c>
      <c r="BJ46" s="460">
        <f t="shared" si="101"/>
        <v>203.48288141346097</v>
      </c>
      <c r="BK46">
        <f t="shared" si="158"/>
        <v>0.78322683398234738</v>
      </c>
      <c r="BL46" s="460">
        <f t="shared" si="102"/>
        <v>783.22683398234733</v>
      </c>
      <c r="BM46" s="173">
        <f t="shared" si="159"/>
        <v>0.25471249999999995</v>
      </c>
      <c r="BN46" s="173">
        <f t="shared" si="160"/>
        <v>4.5484374999999994E-2</v>
      </c>
      <c r="BO46" s="528"/>
      <c r="BQ46" s="460">
        <f t="shared" si="103"/>
        <v>300.19687499999992</v>
      </c>
      <c r="BR46" s="528">
        <f t="shared" si="39"/>
        <v>1.1558352572720363E-2</v>
      </c>
      <c r="BS46" s="528">
        <f t="shared" si="104"/>
        <v>2.3584504570136781E-2</v>
      </c>
      <c r="BT46" s="528">
        <f t="shared" si="161"/>
        <v>2.3707765569367959E-4</v>
      </c>
      <c r="BU46" s="528">
        <f t="shared" si="41"/>
        <v>0.551361514966625</v>
      </c>
      <c r="BV46" s="528">
        <f t="shared" si="162"/>
        <v>0.59692215948341465</v>
      </c>
      <c r="BW46" s="625">
        <f t="shared" si="163"/>
        <v>6.1500000000000001E-3</v>
      </c>
      <c r="BX46" s="460">
        <f t="shared" si="105"/>
        <v>603.07215948341468</v>
      </c>
      <c r="BY46" s="173">
        <f t="shared" si="106"/>
        <v>1.686495868465762</v>
      </c>
      <c r="BZ46" s="5">
        <f t="shared" si="107"/>
        <v>7.38</v>
      </c>
      <c r="CA46" s="173">
        <f t="shared" si="108"/>
        <v>0.81398592213210241</v>
      </c>
      <c r="CB46" s="5">
        <f t="shared" si="109"/>
        <v>81.398592213210236</v>
      </c>
      <c r="CC46">
        <f t="shared" si="173"/>
        <v>41</v>
      </c>
      <c r="CE46" s="562">
        <f t="shared" si="164"/>
        <v>-50</v>
      </c>
      <c r="CF46">
        <f t="shared" si="165"/>
        <v>-50</v>
      </c>
      <c r="CG46" s="173">
        <f t="shared" si="166"/>
        <v>0.45825756949558405</v>
      </c>
      <c r="CH46" s="173">
        <f t="shared" si="167"/>
        <v>0.16199237302481709</v>
      </c>
      <c r="CI46" s="170">
        <v>41</v>
      </c>
      <c r="CJ46" s="217">
        <f t="shared" si="133"/>
        <v>0.41</v>
      </c>
      <c r="CK46" s="217">
        <f t="shared" si="111"/>
        <v>0.10249999999999999</v>
      </c>
      <c r="CL46" s="217">
        <f t="shared" si="48"/>
        <v>6.56</v>
      </c>
      <c r="CM46" s="217">
        <f t="shared" si="134"/>
        <v>0.82</v>
      </c>
      <c r="CN46" s="541">
        <f t="shared" si="112"/>
        <v>24</v>
      </c>
      <c r="CO46" s="443">
        <f t="shared" si="168"/>
        <v>16.7</v>
      </c>
      <c r="CP46" s="443">
        <f t="shared" si="169"/>
        <v>40.700000000000003</v>
      </c>
      <c r="CQ46" s="443"/>
      <c r="CR46" s="217">
        <f t="shared" si="113"/>
        <v>0.40594059405940591</v>
      </c>
      <c r="CS46" s="172">
        <f t="shared" si="114"/>
        <v>21.650165016501649</v>
      </c>
      <c r="CT46" s="172">
        <f t="shared" si="51"/>
        <v>3.0445544554455446</v>
      </c>
      <c r="CU46" s="217">
        <f t="shared" si="52"/>
        <v>1.3531353135313531</v>
      </c>
      <c r="CV46" s="217">
        <f t="shared" si="53"/>
        <v>2.7062706270627062</v>
      </c>
      <c r="CW46" s="443">
        <f t="shared" si="54"/>
        <v>16</v>
      </c>
      <c r="CX46" s="217">
        <f t="shared" si="55"/>
        <v>1.5150000000000001</v>
      </c>
      <c r="CY46" s="217">
        <f t="shared" si="56"/>
        <v>0.75750000000000006</v>
      </c>
      <c r="CZ46" s="217">
        <f t="shared" si="57"/>
        <v>1.0886227544910183</v>
      </c>
      <c r="DA46" s="197">
        <f t="shared" si="58"/>
        <v>350</v>
      </c>
      <c r="DB46" s="443">
        <f t="shared" si="115"/>
        <v>350</v>
      </c>
      <c r="DD46" s="217">
        <f t="shared" si="59"/>
        <v>2.344682344682345</v>
      </c>
      <c r="DE46" s="173">
        <f t="shared" si="60"/>
        <v>1.6848016848016851</v>
      </c>
      <c r="DF46" s="173">
        <f t="shared" si="61"/>
        <v>0.69130683381297664</v>
      </c>
      <c r="DG46" s="173"/>
      <c r="DH46" s="173">
        <f t="shared" si="62"/>
        <v>0.71856287425149712</v>
      </c>
      <c r="DI46" s="545">
        <f t="shared" si="63"/>
        <v>1141.1666666666665</v>
      </c>
      <c r="DJ46" s="528">
        <f t="shared" si="64"/>
        <v>0.125748502994012</v>
      </c>
      <c r="DL46" s="173">
        <f t="shared" si="65"/>
        <v>1.8746428231227714</v>
      </c>
      <c r="DM46" s="173">
        <f t="shared" si="66"/>
        <v>1.8746428231227714</v>
      </c>
      <c r="DN46" s="173">
        <f t="shared" si="67"/>
        <v>1.8478835726835343</v>
      </c>
      <c r="DP46" s="545">
        <f t="shared" si="68"/>
        <v>410</v>
      </c>
      <c r="DQ46" s="460">
        <f t="shared" si="69"/>
        <v>350</v>
      </c>
      <c r="DS46">
        <f t="shared" si="116"/>
        <v>410</v>
      </c>
      <c r="DT46" s="460">
        <f t="shared" si="70"/>
        <v>350</v>
      </c>
      <c r="DU46" s="460"/>
      <c r="DV46" s="5">
        <f t="shared" si="117"/>
        <v>2.8571428571428572</v>
      </c>
      <c r="DW46" s="5">
        <f t="shared" si="71"/>
        <v>0.93732141156138582</v>
      </c>
      <c r="DX46" s="5">
        <f t="shared" si="118"/>
        <v>1.9198214455814715</v>
      </c>
      <c r="DY46" s="173">
        <f t="shared" si="119"/>
        <v>0.32806249404648502</v>
      </c>
      <c r="EA46" s="5">
        <f t="shared" si="72"/>
        <v>2.4018861171260513</v>
      </c>
      <c r="EB46" s="5">
        <f t="shared" si="73"/>
        <v>1.2009430585630256</v>
      </c>
      <c r="EC46" s="5">
        <f t="shared" si="74"/>
        <v>0.43729266260466843</v>
      </c>
      <c r="ED46" s="5"/>
      <c r="EE46" s="173">
        <f t="shared" si="120"/>
        <v>0.61992078424599395</v>
      </c>
      <c r="EF46" s="173">
        <f t="shared" si="75"/>
        <v>0.88720166404735923</v>
      </c>
      <c r="EG46" s="173">
        <f t="shared" si="76"/>
        <v>0.21788629102339557</v>
      </c>
      <c r="EH46" s="173"/>
      <c r="EI46" s="528">
        <f t="shared" si="77"/>
        <v>7.6860355748033637E-3</v>
      </c>
      <c r="EJ46" s="528">
        <f t="shared" si="78"/>
        <v>0.50738145329229367</v>
      </c>
      <c r="EK46" s="528">
        <f t="shared" si="79"/>
        <v>4.0250000000000001E-2</v>
      </c>
      <c r="EL46" s="528">
        <f t="shared" si="80"/>
        <v>0.28553746375000005</v>
      </c>
      <c r="EM46">
        <f t="shared" si="81"/>
        <v>1.0800000000000001E-2</v>
      </c>
      <c r="EN46" s="460">
        <f t="shared" si="121"/>
        <v>51.05</v>
      </c>
      <c r="EO46">
        <f t="shared" si="82"/>
        <v>0.85529211844454733</v>
      </c>
      <c r="EP46" s="460">
        <f t="shared" si="122"/>
        <v>855.29211844454733</v>
      </c>
      <c r="EQ46" s="173">
        <f t="shared" si="83"/>
        <v>0.25471249999999995</v>
      </c>
      <c r="ER46" s="173">
        <f t="shared" si="170"/>
        <v>4.5484374999999994E-2</v>
      </c>
      <c r="ES46" s="528"/>
      <c r="EU46" s="460">
        <f t="shared" si="123"/>
        <v>300.19687499999992</v>
      </c>
      <c r="EV46" s="528">
        <f t="shared" si="85"/>
        <v>1.1529053362205045E-2</v>
      </c>
      <c r="EW46" s="528">
        <f t="shared" si="124"/>
        <v>2.3613803780652098E-2</v>
      </c>
      <c r="EX46" s="528">
        <f t="shared" si="86"/>
        <v>2.3737217907965916E-4</v>
      </c>
      <c r="EY46" s="528">
        <f t="shared" si="87"/>
        <v>0.551361514966625</v>
      </c>
      <c r="EZ46" s="528">
        <f t="shared" si="88"/>
        <v>0.59692253983356613</v>
      </c>
      <c r="FA46" s="625">
        <f t="shared" si="89"/>
        <v>6.1500000000000001E-3</v>
      </c>
      <c r="FB46" s="460">
        <f t="shared" si="125"/>
        <v>603.07253983356611</v>
      </c>
      <c r="FC46" s="173">
        <f t="shared" si="126"/>
        <v>1.7585615332781137</v>
      </c>
      <c r="FD46" s="5">
        <f t="shared" si="127"/>
        <v>7.38</v>
      </c>
      <c r="FE46" s="173">
        <f t="shared" si="128"/>
        <v>0.8075669210220553</v>
      </c>
      <c r="FF46" s="5">
        <f t="shared" si="129"/>
        <v>80.756692102205534</v>
      </c>
      <c r="FG46">
        <f t="shared" si="130"/>
        <v>41</v>
      </c>
      <c r="FI46" s="562">
        <f t="shared" si="90"/>
        <v>-50</v>
      </c>
      <c r="FJ46">
        <f t="shared" si="91"/>
        <v>-50</v>
      </c>
      <c r="FL46">
        <f t="shared" si="92"/>
        <v>0.45825756949558405</v>
      </c>
    </row>
    <row r="47" spans="5:168">
      <c r="E47" s="170">
        <v>42</v>
      </c>
      <c r="F47" s="217">
        <f t="shared" si="174"/>
        <v>0.42</v>
      </c>
      <c r="G47" s="217">
        <f t="shared" si="171"/>
        <v>0.105</v>
      </c>
      <c r="H47" s="217">
        <f t="shared" si="135"/>
        <v>6.72</v>
      </c>
      <c r="I47" s="217">
        <f t="shared" si="175"/>
        <v>0.84</v>
      </c>
      <c r="J47" s="541">
        <f t="shared" si="136"/>
        <v>23.938425068296308</v>
      </c>
      <c r="K47" s="443">
        <f t="shared" si="137"/>
        <v>16.727166155414412</v>
      </c>
      <c r="L47" s="172">
        <f t="shared" si="138"/>
        <v>40.66559122371072</v>
      </c>
      <c r="M47" s="443"/>
      <c r="N47" s="217">
        <f t="shared" si="139"/>
        <v>0.41133463579551677</v>
      </c>
      <c r="O47" s="172">
        <f t="shared" si="172"/>
        <v>21.881563015524289</v>
      </c>
      <c r="P47" s="172">
        <f t="shared" si="140"/>
        <v>3.077094799058103</v>
      </c>
      <c r="Q47" s="217">
        <f t="shared" si="6"/>
        <v>1.3675976884702681</v>
      </c>
      <c r="R47" s="217">
        <f t="shared" si="141"/>
        <v>2.7351953769405362</v>
      </c>
      <c r="S47" s="443">
        <f t="shared" si="142"/>
        <v>16</v>
      </c>
      <c r="T47" s="217">
        <f t="shared" si="143"/>
        <v>1.5355393020216079</v>
      </c>
      <c r="U47" s="217">
        <f t="shared" si="10"/>
        <v>0.76974452461632659</v>
      </c>
      <c r="V47" s="217">
        <f t="shared" si="11"/>
        <v>1.1015895611400282</v>
      </c>
      <c r="W47" s="197">
        <f t="shared" si="12"/>
        <v>350</v>
      </c>
      <c r="X47" s="443">
        <f t="shared" si="95"/>
        <v>350</v>
      </c>
      <c r="Z47" s="217">
        <f t="shared" si="13"/>
        <v>2.3444531802347455</v>
      </c>
      <c r="AA47" s="173">
        <f t="shared" si="14"/>
        <v>1.6819010405842378</v>
      </c>
      <c r="AB47" s="173">
        <f t="shared" si="144"/>
        <v>0.69004919260162279</v>
      </c>
      <c r="AC47" s="173"/>
      <c r="AD47" s="173">
        <f t="shared" si="16"/>
        <v>0.71739587498003798</v>
      </c>
      <c r="AE47" s="545">
        <f t="shared" si="145"/>
        <v>1170.901630879009</v>
      </c>
      <c r="AF47" s="528">
        <f t="shared" si="146"/>
        <v>0.12554427812150665</v>
      </c>
      <c r="AH47" s="173">
        <f t="shared" si="147"/>
        <v>1.8973665961010275</v>
      </c>
      <c r="AI47" s="173">
        <f t="shared" si="148"/>
        <v>1.8973665961010275</v>
      </c>
      <c r="AJ47" s="173">
        <f t="shared" si="149"/>
        <v>1.8647159971118721</v>
      </c>
      <c r="AL47" s="545">
        <f t="shared" si="150"/>
        <v>420</v>
      </c>
      <c r="AM47" s="460">
        <f t="shared" si="151"/>
        <v>350</v>
      </c>
      <c r="AO47">
        <f t="shared" si="96"/>
        <v>420</v>
      </c>
      <c r="AP47" s="460">
        <f t="shared" si="24"/>
        <v>350</v>
      </c>
      <c r="AQ47" s="460"/>
      <c r="AR47" s="5">
        <f t="shared" si="97"/>
        <v>2.8571428571428572</v>
      </c>
      <c r="AS47" s="5">
        <f t="shared" si="25"/>
        <v>0.95112352162910074</v>
      </c>
      <c r="AT47" s="5">
        <f t="shared" si="98"/>
        <v>1.9060193355137565</v>
      </c>
      <c r="AU47" s="173">
        <f t="shared" si="99"/>
        <v>0.33289323257018527</v>
      </c>
      <c r="AW47" s="5">
        <f t="shared" si="152"/>
        <v>2.4966992442763893</v>
      </c>
      <c r="AX47" s="5">
        <f t="shared" si="153"/>
        <v>1.2483496221381947</v>
      </c>
      <c r="AY47" s="5">
        <f t="shared" si="28"/>
        <v>0.4458818092011046</v>
      </c>
      <c r="AZ47" s="5"/>
      <c r="BA47" s="173">
        <f t="shared" si="100"/>
        <v>0.63203787788725307</v>
      </c>
      <c r="BB47" s="173">
        <f t="shared" si="154"/>
        <v>0.89472237085912731</v>
      </c>
      <c r="BC47" s="173">
        <f t="shared" si="155"/>
        <v>0.21973328813746215</v>
      </c>
      <c r="BD47" s="173"/>
      <c r="BE47" s="528">
        <f t="shared" si="31"/>
        <v>7.9894375816844439E-3</v>
      </c>
      <c r="BF47" s="528">
        <f t="shared" si="156"/>
        <v>0.49284375097085209</v>
      </c>
      <c r="BG47" s="528">
        <f t="shared" si="157"/>
        <v>0.19270432179978528</v>
      </c>
      <c r="BH47" s="528">
        <f t="shared" si="34"/>
        <v>0.28505486711280759</v>
      </c>
      <c r="BI47">
        <f t="shared" si="35"/>
        <v>1.0772291280733337E-2</v>
      </c>
      <c r="BJ47" s="460">
        <f t="shared" si="101"/>
        <v>203.47661308051863</v>
      </c>
      <c r="BK47">
        <f t="shared" si="158"/>
        <v>0.78954398756020872</v>
      </c>
      <c r="BL47" s="460">
        <f t="shared" si="102"/>
        <v>789.54398756020873</v>
      </c>
      <c r="BM47" s="173">
        <f t="shared" si="159"/>
        <v>0.26092499999999996</v>
      </c>
      <c r="BN47" s="173">
        <f t="shared" si="160"/>
        <v>4.6593749999999996E-2</v>
      </c>
      <c r="BO47" s="528"/>
      <c r="BQ47" s="460">
        <f t="shared" si="103"/>
        <v>307.51874999999995</v>
      </c>
      <c r="BR47" s="528">
        <f t="shared" si="39"/>
        <v>1.1984156372526667E-2</v>
      </c>
      <c r="BS47" s="528">
        <f t="shared" si="104"/>
        <v>2.4015843627473332E-2</v>
      </c>
      <c r="BT47" s="528">
        <f t="shared" si="161"/>
        <v>2.4141358957850481E-4</v>
      </c>
      <c r="BU47" s="528">
        <f t="shared" si="41"/>
        <v>0.56822225744358368</v>
      </c>
      <c r="BV47" s="528">
        <f t="shared" si="162"/>
        <v>0.61494452700970148</v>
      </c>
      <c r="BW47" s="625">
        <f t="shared" si="163"/>
        <v>6.3E-3</v>
      </c>
      <c r="BX47" s="460">
        <f t="shared" si="105"/>
        <v>621.24452700970141</v>
      </c>
      <c r="BY47" s="173">
        <f t="shared" si="106"/>
        <v>1.7183072645699102</v>
      </c>
      <c r="BZ47" s="5">
        <f t="shared" si="107"/>
        <v>7.56</v>
      </c>
      <c r="CA47" s="173">
        <f t="shared" si="108"/>
        <v>0.81480379819588111</v>
      </c>
      <c r="CB47" s="5">
        <f t="shared" si="109"/>
        <v>81.480379819588109</v>
      </c>
      <c r="CC47">
        <f t="shared" si="173"/>
        <v>42</v>
      </c>
      <c r="CE47" s="562">
        <f t="shared" si="164"/>
        <v>-50</v>
      </c>
      <c r="CF47">
        <f t="shared" si="165"/>
        <v>-50</v>
      </c>
      <c r="CG47" s="173">
        <f t="shared" si="166"/>
        <v>0.46381240951435548</v>
      </c>
      <c r="CH47" s="173">
        <f t="shared" si="167"/>
        <v>0.16395598863383909</v>
      </c>
      <c r="CI47" s="170">
        <v>42</v>
      </c>
      <c r="CJ47" s="217">
        <f t="shared" si="133"/>
        <v>0.42</v>
      </c>
      <c r="CK47" s="217">
        <f t="shared" si="111"/>
        <v>0.105</v>
      </c>
      <c r="CL47" s="217">
        <f t="shared" si="48"/>
        <v>6.72</v>
      </c>
      <c r="CM47" s="217">
        <f t="shared" si="134"/>
        <v>0.84</v>
      </c>
      <c r="CN47" s="541">
        <f t="shared" si="112"/>
        <v>24</v>
      </c>
      <c r="CO47" s="443">
        <f t="shared" si="168"/>
        <v>16.7</v>
      </c>
      <c r="CP47" s="443">
        <f t="shared" si="169"/>
        <v>40.700000000000003</v>
      </c>
      <c r="CQ47" s="443"/>
      <c r="CR47" s="217">
        <f t="shared" si="113"/>
        <v>0.40594059405940591</v>
      </c>
      <c r="CS47" s="172">
        <f t="shared" si="114"/>
        <v>21.650165016501649</v>
      </c>
      <c r="CT47" s="172">
        <f t="shared" si="51"/>
        <v>3.0445544554455446</v>
      </c>
      <c r="CU47" s="217">
        <f t="shared" si="52"/>
        <v>1.3531353135313531</v>
      </c>
      <c r="CV47" s="217">
        <f t="shared" si="53"/>
        <v>2.7062706270627062</v>
      </c>
      <c r="CW47" s="443">
        <f t="shared" si="54"/>
        <v>16</v>
      </c>
      <c r="CX47" s="217">
        <f t="shared" si="55"/>
        <v>1.5519512195121952</v>
      </c>
      <c r="CY47" s="217">
        <f t="shared" si="56"/>
        <v>0.77597560975609747</v>
      </c>
      <c r="CZ47" s="217">
        <f t="shared" si="57"/>
        <v>1.1151745289907988</v>
      </c>
      <c r="DA47" s="197">
        <f t="shared" si="58"/>
        <v>350</v>
      </c>
      <c r="DB47" s="443">
        <f t="shared" si="115"/>
        <v>350</v>
      </c>
      <c r="DD47" s="217">
        <f t="shared" si="59"/>
        <v>2.344682344682345</v>
      </c>
      <c r="DE47" s="173">
        <f t="shared" si="60"/>
        <v>1.6848016848016851</v>
      </c>
      <c r="DF47" s="173">
        <f t="shared" si="61"/>
        <v>0.69130683381297664</v>
      </c>
      <c r="DG47" s="173"/>
      <c r="DH47" s="173">
        <f t="shared" si="62"/>
        <v>0.71856287425149712</v>
      </c>
      <c r="DI47" s="545">
        <f t="shared" si="63"/>
        <v>1168.9999999999998</v>
      </c>
      <c r="DJ47" s="528">
        <f t="shared" si="64"/>
        <v>0.125748502994012</v>
      </c>
      <c r="DL47" s="173">
        <f t="shared" si="65"/>
        <v>1.8973665961010275</v>
      </c>
      <c r="DM47" s="173">
        <f t="shared" si="66"/>
        <v>1.8973665961010275</v>
      </c>
      <c r="DN47" s="173">
        <f t="shared" si="67"/>
        <v>1.8647159971118721</v>
      </c>
      <c r="DP47" s="545">
        <f t="shared" si="68"/>
        <v>420</v>
      </c>
      <c r="DQ47" s="460">
        <f t="shared" si="69"/>
        <v>350</v>
      </c>
      <c r="DS47">
        <f t="shared" si="116"/>
        <v>420</v>
      </c>
      <c r="DT47" s="460">
        <f t="shared" si="70"/>
        <v>350</v>
      </c>
      <c r="DU47" s="460"/>
      <c r="DV47" s="5">
        <f t="shared" si="117"/>
        <v>2.8571428571428572</v>
      </c>
      <c r="DW47" s="5">
        <f t="shared" si="71"/>
        <v>0.94868329805051377</v>
      </c>
      <c r="DX47" s="5">
        <f t="shared" si="118"/>
        <v>1.9084595590923434</v>
      </c>
      <c r="DY47" s="173">
        <f t="shared" si="119"/>
        <v>0.33203915431767983</v>
      </c>
      <c r="EA47" s="5">
        <f t="shared" si="72"/>
        <v>2.490293657382598</v>
      </c>
      <c r="EB47" s="5">
        <f t="shared" si="73"/>
        <v>1.245146828691299</v>
      </c>
      <c r="EC47" s="5">
        <f t="shared" si="74"/>
        <v>0.44530723045487997</v>
      </c>
      <c r="ED47" s="5"/>
      <c r="EE47" s="173">
        <f t="shared" si="120"/>
        <v>0.63122657198601495</v>
      </c>
      <c r="EF47" s="173">
        <f t="shared" si="75"/>
        <v>0.89529493175086394</v>
      </c>
      <c r="EG47" s="173">
        <f t="shared" si="76"/>
        <v>0.21987390235646218</v>
      </c>
      <c r="EH47" s="173"/>
      <c r="EI47" s="528">
        <f t="shared" si="77"/>
        <v>7.9689397036243146E-3</v>
      </c>
      <c r="EJ47" s="528">
        <f t="shared" si="78"/>
        <v>0.51353175606772372</v>
      </c>
      <c r="EK47" s="528">
        <f t="shared" si="79"/>
        <v>4.0250000000000001E-2</v>
      </c>
      <c r="EL47" s="528">
        <f t="shared" si="80"/>
        <v>0.28553746375000005</v>
      </c>
      <c r="EM47">
        <f t="shared" si="81"/>
        <v>1.0800000000000001E-2</v>
      </c>
      <c r="EN47" s="460">
        <f t="shared" si="121"/>
        <v>51.05</v>
      </c>
      <c r="EO47">
        <f t="shared" si="82"/>
        <v>0.86187165834007839</v>
      </c>
      <c r="EP47" s="460">
        <f t="shared" si="122"/>
        <v>861.8716583400784</v>
      </c>
      <c r="EQ47" s="173">
        <f t="shared" si="83"/>
        <v>0.26092499999999996</v>
      </c>
      <c r="ER47" s="173">
        <f t="shared" si="170"/>
        <v>4.6593749999999996E-2</v>
      </c>
      <c r="ES47" s="528"/>
      <c r="EU47" s="460">
        <f t="shared" si="123"/>
        <v>307.51874999999995</v>
      </c>
      <c r="EV47" s="528">
        <f t="shared" si="85"/>
        <v>1.1953409555436471E-2</v>
      </c>
      <c r="EW47" s="528">
        <f t="shared" si="124"/>
        <v>2.4046590444563525E-2</v>
      </c>
      <c r="EX47" s="528">
        <f t="shared" si="86"/>
        <v>2.4172266468729532E-4</v>
      </c>
      <c r="EY47" s="528">
        <f t="shared" si="87"/>
        <v>0.56822225744358368</v>
      </c>
      <c r="EZ47" s="528">
        <f t="shared" si="88"/>
        <v>0.6149449266265844</v>
      </c>
      <c r="FA47" s="625">
        <f t="shared" si="89"/>
        <v>6.3E-3</v>
      </c>
      <c r="FB47" s="460">
        <f t="shared" si="125"/>
        <v>621.2449266265844</v>
      </c>
      <c r="FC47" s="173">
        <f t="shared" si="126"/>
        <v>1.7906353349666628</v>
      </c>
      <c r="FD47" s="5">
        <f t="shared" si="127"/>
        <v>7.56</v>
      </c>
      <c r="FE47" s="173">
        <f t="shared" si="128"/>
        <v>0.8085012118619801</v>
      </c>
      <c r="FF47" s="5">
        <f t="shared" si="129"/>
        <v>80.85012118619801</v>
      </c>
      <c r="FG47">
        <f t="shared" si="130"/>
        <v>42</v>
      </c>
      <c r="FI47" s="562">
        <f t="shared" si="90"/>
        <v>-50</v>
      </c>
      <c r="FJ47">
        <f t="shared" si="91"/>
        <v>-50</v>
      </c>
      <c r="FL47">
        <f t="shared" si="92"/>
        <v>0.46381240951435548</v>
      </c>
    </row>
    <row r="48" spans="5:168">
      <c r="E48" s="170">
        <v>43</v>
      </c>
      <c r="F48" s="217">
        <f t="shared" si="174"/>
        <v>0.43</v>
      </c>
      <c r="G48" s="217">
        <f t="shared" si="171"/>
        <v>0.1075</v>
      </c>
      <c r="H48" s="217">
        <f t="shared" si="135"/>
        <v>6.88</v>
      </c>
      <c r="I48" s="217">
        <f t="shared" si="175"/>
        <v>0.86</v>
      </c>
      <c r="J48" s="541">
        <f t="shared" si="136"/>
        <v>23.937696345514293</v>
      </c>
      <c r="K48" s="443">
        <f t="shared" si="137"/>
        <v>16.727487659568819</v>
      </c>
      <c r="L48" s="172">
        <f t="shared" si="138"/>
        <v>40.665184005083113</v>
      </c>
      <c r="M48" s="443"/>
      <c r="N48" s="217">
        <f t="shared" si="139"/>
        <v>0.41134666100312978</v>
      </c>
      <c r="O48" s="172">
        <f t="shared" si="172"/>
        <v>21.881536586298058</v>
      </c>
      <c r="P48" s="172">
        <f t="shared" si="140"/>
        <v>3.0770910824481645</v>
      </c>
      <c r="Q48" s="217">
        <f t="shared" si="6"/>
        <v>1.3675960366436286</v>
      </c>
      <c r="R48" s="217">
        <f t="shared" si="141"/>
        <v>2.7351920732872572</v>
      </c>
      <c r="S48" s="443">
        <f t="shared" si="142"/>
        <v>16</v>
      </c>
      <c r="T48" s="217">
        <f t="shared" si="143"/>
        <v>1.5721016604263909</v>
      </c>
      <c r="U48" s="217">
        <f t="shared" si="10"/>
        <v>0.78809671794720815</v>
      </c>
      <c r="V48" s="217">
        <f t="shared" si="11"/>
        <v>1.1277975694290827</v>
      </c>
      <c r="W48" s="197">
        <f t="shared" si="12"/>
        <v>350</v>
      </c>
      <c r="X48" s="443">
        <f t="shared" si="95"/>
        <v>350</v>
      </c>
      <c r="Z48" s="217">
        <f t="shared" si="13"/>
        <v>2.344450348531935</v>
      </c>
      <c r="AA48" s="173">
        <f t="shared" si="14"/>
        <v>1.6818666828482005</v>
      </c>
      <c r="AB48" s="173">
        <f t="shared" si="144"/>
        <v>0.69003426288784975</v>
      </c>
      <c r="AC48" s="173"/>
      <c r="AD48" s="173">
        <f t="shared" si="16"/>
        <v>0.71738208655234015</v>
      </c>
      <c r="AE48" s="545">
        <f t="shared" si="145"/>
        <v>1198.8032822690986</v>
      </c>
      <c r="AF48" s="528">
        <f t="shared" si="146"/>
        <v>0.12554186514665955</v>
      </c>
      <c r="AH48" s="173">
        <f t="shared" si="147"/>
        <v>1.9198214202665531</v>
      </c>
      <c r="AI48" s="173">
        <f t="shared" si="148"/>
        <v>1.9198214202665531</v>
      </c>
      <c r="AJ48" s="173">
        <f t="shared" si="149"/>
        <v>1.8813492001974468</v>
      </c>
      <c r="AL48" s="545">
        <f t="shared" si="150"/>
        <v>430</v>
      </c>
      <c r="AM48" s="460">
        <f t="shared" si="151"/>
        <v>350</v>
      </c>
      <c r="AO48">
        <f t="shared" si="96"/>
        <v>430</v>
      </c>
      <c r="AP48" s="460">
        <f t="shared" si="24"/>
        <v>350</v>
      </c>
      <c r="AQ48" s="460"/>
      <c r="AR48" s="5">
        <f t="shared" si="97"/>
        <v>2.8571428571428572</v>
      </c>
      <c r="AS48" s="5">
        <f t="shared" si="25"/>
        <v>0.96240911032843479</v>
      </c>
      <c r="AT48" s="5">
        <f t="shared" si="98"/>
        <v>1.8947337468144223</v>
      </c>
      <c r="AU48" s="173">
        <f t="shared" si="99"/>
        <v>0.33684318861495216</v>
      </c>
      <c r="AW48" s="5">
        <f t="shared" si="152"/>
        <v>2.5864744840076681</v>
      </c>
      <c r="AX48" s="5">
        <f t="shared" si="153"/>
        <v>1.2932372420038341</v>
      </c>
      <c r="AY48" s="5">
        <f t="shared" si="28"/>
        <v>0.45380892094231695</v>
      </c>
      <c r="AZ48" s="5"/>
      <c r="BA48" s="173">
        <f t="shared" si="100"/>
        <v>0.64330079857033196</v>
      </c>
      <c r="BB48" s="173">
        <f t="shared" si="154"/>
        <v>0.90262700554005226</v>
      </c>
      <c r="BC48" s="173">
        <f t="shared" si="155"/>
        <v>0.22167457341939517</v>
      </c>
      <c r="BD48" s="173"/>
      <c r="BE48" s="528">
        <f t="shared" si="31"/>
        <v>8.2767183488245376E-3</v>
      </c>
      <c r="BF48" s="528">
        <f t="shared" si="156"/>
        <v>0.49867143075565157</v>
      </c>
      <c r="BG48" s="528">
        <f t="shared" si="157"/>
        <v>0.19269845558139007</v>
      </c>
      <c r="BH48" s="528">
        <f t="shared" si="34"/>
        <v>0.28504915815508275</v>
      </c>
      <c r="BI48">
        <f t="shared" si="35"/>
        <v>1.0771963355481431E-2</v>
      </c>
      <c r="BJ48" s="460">
        <f t="shared" si="101"/>
        <v>203.47041893687151</v>
      </c>
      <c r="BK48">
        <f t="shared" si="158"/>
        <v>0.79579699442410123</v>
      </c>
      <c r="BL48" s="460">
        <f t="shared" si="102"/>
        <v>795.79699442410129</v>
      </c>
      <c r="BM48" s="173">
        <f t="shared" si="159"/>
        <v>0.26713749999999997</v>
      </c>
      <c r="BN48" s="173">
        <f t="shared" si="160"/>
        <v>4.7703124999999999E-2</v>
      </c>
      <c r="BO48" s="528"/>
      <c r="BQ48" s="460">
        <f t="shared" si="103"/>
        <v>314.84062499999999</v>
      </c>
      <c r="BR48" s="528">
        <f t="shared" si="39"/>
        <v>1.2415077523236805E-2</v>
      </c>
      <c r="BS48" s="528">
        <f t="shared" si="104"/>
        <v>2.4442065333906044E-2</v>
      </c>
      <c r="BT48" s="528">
        <f t="shared" si="161"/>
        <v>2.4569808250335412E-4</v>
      </c>
      <c r="BU48" s="528">
        <f t="shared" si="41"/>
        <v>0.58518366911986663</v>
      </c>
      <c r="BV48" s="528">
        <f t="shared" si="162"/>
        <v>0.63307028838210444</v>
      </c>
      <c r="BW48" s="625">
        <f t="shared" si="163"/>
        <v>6.4499999999999991E-3</v>
      </c>
      <c r="BX48" s="460">
        <f t="shared" si="105"/>
        <v>639.52028838210435</v>
      </c>
      <c r="BY48" s="173">
        <f t="shared" si="106"/>
        <v>1.7501579078062057</v>
      </c>
      <c r="BZ48" s="5">
        <f t="shared" si="107"/>
        <v>7.74</v>
      </c>
      <c r="CA48" s="173">
        <f t="shared" si="108"/>
        <v>0.81558179275746312</v>
      </c>
      <c r="CB48" s="5">
        <f t="shared" si="109"/>
        <v>81.558179275746312</v>
      </c>
      <c r="CC48">
        <f t="shared" si="173"/>
        <v>43</v>
      </c>
      <c r="CE48" s="562">
        <f t="shared" si="164"/>
        <v>-50</v>
      </c>
      <c r="CF48">
        <f t="shared" si="165"/>
        <v>-50</v>
      </c>
      <c r="CG48" s="173">
        <f t="shared" si="166"/>
        <v>0.46930150483353922</v>
      </c>
      <c r="CH48" s="173">
        <f t="shared" si="167"/>
        <v>0.16589636373226405</v>
      </c>
      <c r="CI48" s="170">
        <v>43</v>
      </c>
      <c r="CJ48" s="217">
        <f t="shared" si="133"/>
        <v>0.43</v>
      </c>
      <c r="CK48" s="217">
        <f t="shared" si="111"/>
        <v>0.1075</v>
      </c>
      <c r="CL48" s="217">
        <f t="shared" si="48"/>
        <v>6.88</v>
      </c>
      <c r="CM48" s="217">
        <f t="shared" si="134"/>
        <v>0.86</v>
      </c>
      <c r="CN48" s="541">
        <f t="shared" si="112"/>
        <v>24</v>
      </c>
      <c r="CO48" s="443">
        <f t="shared" si="168"/>
        <v>16.7</v>
      </c>
      <c r="CP48" s="443">
        <f t="shared" si="169"/>
        <v>40.700000000000003</v>
      </c>
      <c r="CQ48" s="443"/>
      <c r="CR48" s="217">
        <f t="shared" si="113"/>
        <v>0.40594059405940591</v>
      </c>
      <c r="CS48" s="172">
        <f t="shared" si="114"/>
        <v>21.650165016501649</v>
      </c>
      <c r="CT48" s="172">
        <f t="shared" si="51"/>
        <v>3.0445544554455446</v>
      </c>
      <c r="CU48" s="217">
        <f t="shared" si="52"/>
        <v>1.3531353135313531</v>
      </c>
      <c r="CV48" s="217">
        <f t="shared" si="53"/>
        <v>2.7062706270627062</v>
      </c>
      <c r="CW48" s="443">
        <f t="shared" si="54"/>
        <v>16</v>
      </c>
      <c r="CX48" s="217">
        <f t="shared" si="55"/>
        <v>1.5889024390243904</v>
      </c>
      <c r="CY48" s="217">
        <f t="shared" si="56"/>
        <v>0.79445121951219522</v>
      </c>
      <c r="CZ48" s="217">
        <f t="shared" si="57"/>
        <v>1.14172630349058</v>
      </c>
      <c r="DA48" s="197">
        <f t="shared" si="58"/>
        <v>350</v>
      </c>
      <c r="DB48" s="443">
        <f t="shared" si="115"/>
        <v>350</v>
      </c>
      <c r="DD48" s="217">
        <f t="shared" si="59"/>
        <v>2.344682344682345</v>
      </c>
      <c r="DE48" s="173">
        <f t="shared" si="60"/>
        <v>1.6848016848016851</v>
      </c>
      <c r="DF48" s="173">
        <f t="shared" si="61"/>
        <v>0.69130683381297664</v>
      </c>
      <c r="DG48" s="173"/>
      <c r="DH48" s="173">
        <f t="shared" si="62"/>
        <v>0.71856287425149712</v>
      </c>
      <c r="DI48" s="545">
        <f t="shared" si="63"/>
        <v>1196.8333333333333</v>
      </c>
      <c r="DJ48" s="528">
        <f t="shared" si="64"/>
        <v>0.125748502994012</v>
      </c>
      <c r="DL48" s="173">
        <f t="shared" si="65"/>
        <v>1.9198214202665531</v>
      </c>
      <c r="DM48" s="173">
        <f t="shared" si="66"/>
        <v>1.9198214202665531</v>
      </c>
      <c r="DN48" s="173">
        <f t="shared" si="67"/>
        <v>1.8813492001974468</v>
      </c>
      <c r="DP48" s="545">
        <f t="shared" si="68"/>
        <v>430</v>
      </c>
      <c r="DQ48" s="460">
        <f t="shared" si="69"/>
        <v>350</v>
      </c>
      <c r="DS48">
        <f t="shared" si="116"/>
        <v>430</v>
      </c>
      <c r="DT48" s="460">
        <f t="shared" si="70"/>
        <v>350</v>
      </c>
      <c r="DU48" s="460"/>
      <c r="DV48" s="5">
        <f t="shared" si="117"/>
        <v>2.8571428571428572</v>
      </c>
      <c r="DW48" s="5">
        <f t="shared" si="71"/>
        <v>0.95991071013327667</v>
      </c>
      <c r="DX48" s="5">
        <f t="shared" si="118"/>
        <v>1.8972321470095805</v>
      </c>
      <c r="DY48" s="173">
        <f t="shared" si="119"/>
        <v>0.33596874854664682</v>
      </c>
      <c r="EA48" s="5">
        <f t="shared" si="72"/>
        <v>2.5797600334831809</v>
      </c>
      <c r="EB48" s="5">
        <f t="shared" si="73"/>
        <v>1.2898800167415905</v>
      </c>
      <c r="EC48" s="5">
        <f t="shared" si="74"/>
        <v>0.45322767956339977</v>
      </c>
      <c r="ED48" s="5"/>
      <c r="EE48" s="173">
        <f t="shared" si="120"/>
        <v>0.6424652561479951</v>
      </c>
      <c r="EF48" s="173">
        <f t="shared" si="75"/>
        <v>0.90322191249665751</v>
      </c>
      <c r="EG48" s="173">
        <f t="shared" si="76"/>
        <v>0.22182067556903204</v>
      </c>
      <c r="EH48" s="173"/>
      <c r="EI48" s="528">
        <f t="shared" si="77"/>
        <v>8.2552321071461786E-3</v>
      </c>
      <c r="EJ48" s="528">
        <f t="shared" si="78"/>
        <v>0.51960926650224404</v>
      </c>
      <c r="EK48" s="528">
        <f t="shared" si="79"/>
        <v>4.0250000000000001E-2</v>
      </c>
      <c r="EL48" s="528">
        <f t="shared" si="80"/>
        <v>0.28553746375000005</v>
      </c>
      <c r="EM48">
        <f t="shared" si="81"/>
        <v>1.0800000000000001E-2</v>
      </c>
      <c r="EN48" s="460">
        <f t="shared" si="121"/>
        <v>51.05</v>
      </c>
      <c r="EO48">
        <f t="shared" si="82"/>
        <v>0.86838416119169226</v>
      </c>
      <c r="EP48" s="460">
        <f t="shared" si="122"/>
        <v>868.38416119169221</v>
      </c>
      <c r="EQ48" s="173">
        <f t="shared" si="83"/>
        <v>0.26713749999999997</v>
      </c>
      <c r="ER48" s="173">
        <f t="shared" si="170"/>
        <v>4.7703124999999999E-2</v>
      </c>
      <c r="ES48" s="528"/>
      <c r="EU48" s="460">
        <f t="shared" si="123"/>
        <v>314.84062499999999</v>
      </c>
      <c r="EV48" s="528">
        <f t="shared" si="85"/>
        <v>1.2382848160719268E-2</v>
      </c>
      <c r="EW48" s="528">
        <f t="shared" si="124"/>
        <v>2.447429469642359E-2</v>
      </c>
      <c r="EX48" s="528">
        <f t="shared" si="86"/>
        <v>2.460220605495088E-4</v>
      </c>
      <c r="EY48" s="528">
        <f t="shared" si="87"/>
        <v>0.58518366911986663</v>
      </c>
      <c r="EZ48" s="528">
        <f t="shared" si="88"/>
        <v>0.63307070776779473</v>
      </c>
      <c r="FA48" s="625">
        <f t="shared" si="89"/>
        <v>6.4499999999999991E-3</v>
      </c>
      <c r="FB48" s="460">
        <f t="shared" si="125"/>
        <v>639.52070776779465</v>
      </c>
      <c r="FC48" s="173">
        <f t="shared" si="126"/>
        <v>1.8227454939594869</v>
      </c>
      <c r="FD48" s="5">
        <f t="shared" si="127"/>
        <v>7.74</v>
      </c>
      <c r="FE48" s="173">
        <f t="shared" si="128"/>
        <v>0.80939098555839817</v>
      </c>
      <c r="FF48" s="5">
        <f t="shared" si="129"/>
        <v>80.93909855583982</v>
      </c>
      <c r="FG48">
        <f t="shared" si="130"/>
        <v>43</v>
      </c>
      <c r="FI48" s="562">
        <f t="shared" si="90"/>
        <v>-50</v>
      </c>
      <c r="FJ48">
        <f t="shared" si="91"/>
        <v>-50</v>
      </c>
      <c r="FL48">
        <f t="shared" si="92"/>
        <v>0.46930150483353922</v>
      </c>
    </row>
    <row r="49" spans="5:168">
      <c r="E49" s="170">
        <v>44</v>
      </c>
      <c r="F49" s="217">
        <f t="shared" si="174"/>
        <v>0.44</v>
      </c>
      <c r="G49" s="217">
        <f t="shared" si="171"/>
        <v>0.11</v>
      </c>
      <c r="H49" s="217">
        <f t="shared" si="135"/>
        <v>7.04</v>
      </c>
      <c r="I49" s="217">
        <f t="shared" si="175"/>
        <v>0.88</v>
      </c>
      <c r="J49" s="541">
        <f t="shared" si="136"/>
        <v>23.936976048122684</v>
      </c>
      <c r="K49" s="443">
        <f t="shared" si="137"/>
        <v>16.727805446537374</v>
      </c>
      <c r="L49" s="172">
        <f t="shared" si="138"/>
        <v>40.664781494660062</v>
      </c>
      <c r="M49" s="443"/>
      <c r="N49" s="217">
        <f t="shared" si="139"/>
        <v>0.41135854741366318</v>
      </c>
      <c r="O49" s="172">
        <f t="shared" si="172"/>
        <v>21.881510436958656</v>
      </c>
      <c r="P49" s="172">
        <f t="shared" si="140"/>
        <v>3.0770874051973109</v>
      </c>
      <c r="Q49" s="217">
        <f t="shared" si="6"/>
        <v>1.367594402309916</v>
      </c>
      <c r="R49" s="217">
        <f t="shared" si="141"/>
        <v>2.735188804619832</v>
      </c>
      <c r="S49" s="443">
        <f t="shared" si="142"/>
        <v>16</v>
      </c>
      <c r="T49" s="217">
        <f t="shared" si="143"/>
        <v>1.6086640865772199</v>
      </c>
      <c r="U49" s="217">
        <f t="shared" si="10"/>
        <v>0.80644977879069235</v>
      </c>
      <c r="V49" s="217">
        <f t="shared" si="11"/>
        <v>1.1540048753330359</v>
      </c>
      <c r="W49" s="197">
        <f t="shared" si="12"/>
        <v>350</v>
      </c>
      <c r="X49" s="443">
        <f t="shared" si="95"/>
        <v>350</v>
      </c>
      <c r="Z49" s="217">
        <f t="shared" si="13"/>
        <v>2.344447546816999</v>
      </c>
      <c r="AA49" s="173">
        <f t="shared" si="14"/>
        <v>1.681832721675248</v>
      </c>
      <c r="AB49" s="173">
        <f t="shared" si="144"/>
        <v>0.69001950473541607</v>
      </c>
      <c r="AC49" s="173"/>
      <c r="AD49" s="173">
        <f t="shared" si="16"/>
        <v>0.7173684580653692</v>
      </c>
      <c r="AE49" s="545">
        <f t="shared" si="145"/>
        <v>1226.7057327460739</v>
      </c>
      <c r="AF49" s="528">
        <f t="shared" si="146"/>
        <v>0.12553948016143962</v>
      </c>
      <c r="AH49" s="173">
        <f t="shared" si="147"/>
        <v>1.9420166249104489</v>
      </c>
      <c r="AI49" s="173">
        <f t="shared" si="148"/>
        <v>1.9420166249104489</v>
      </c>
      <c r="AJ49" s="173">
        <f t="shared" si="149"/>
        <v>1.8977900925262583</v>
      </c>
      <c r="AL49" s="545">
        <f t="shared" si="150"/>
        <v>440</v>
      </c>
      <c r="AM49" s="460">
        <f t="shared" si="151"/>
        <v>350</v>
      </c>
      <c r="AO49">
        <f t="shared" si="96"/>
        <v>440</v>
      </c>
      <c r="AP49" s="460">
        <f t="shared" si="24"/>
        <v>350</v>
      </c>
      <c r="AQ49" s="460"/>
      <c r="AR49" s="5">
        <f t="shared" si="97"/>
        <v>2.8571428571428572</v>
      </c>
      <c r="AS49" s="5">
        <f t="shared" si="25"/>
        <v>0.97356489190927176</v>
      </c>
      <c r="AT49" s="5">
        <f t="shared" si="98"/>
        <v>1.8835779652335853</v>
      </c>
      <c r="AU49" s="173">
        <f t="shared" si="99"/>
        <v>0.34074771216824512</v>
      </c>
      <c r="AW49" s="5">
        <f t="shared" si="152"/>
        <v>2.6773034527504973</v>
      </c>
      <c r="AX49" s="5">
        <f t="shared" si="153"/>
        <v>1.3386517263752487</v>
      </c>
      <c r="AY49" s="5">
        <f t="shared" si="28"/>
        <v>0.46164244140480509</v>
      </c>
      <c r="AZ49" s="5"/>
      <c r="BA49" s="173">
        <f t="shared" si="100"/>
        <v>0.65449870316149561</v>
      </c>
      <c r="BB49" s="173">
        <f t="shared" si="154"/>
        <v>0.91037042169810056</v>
      </c>
      <c r="BC49" s="173">
        <f t="shared" si="155"/>
        <v>0.22357626532879821</v>
      </c>
      <c r="BD49" s="173"/>
      <c r="BE49" s="528">
        <f t="shared" si="31"/>
        <v>8.5673710488015902E-3</v>
      </c>
      <c r="BF49" s="528">
        <f t="shared" si="156"/>
        <v>0.50443161692888872</v>
      </c>
      <c r="BG49" s="528">
        <f t="shared" si="157"/>
        <v>0.19269265718738762</v>
      </c>
      <c r="BH49" s="528">
        <f t="shared" si="34"/>
        <v>0.28504351525970612</v>
      </c>
      <c r="BI49">
        <f t="shared" si="35"/>
        <v>1.0771639221655208E-2</v>
      </c>
      <c r="BJ49" s="460">
        <f t="shared" si="101"/>
        <v>203.46429640904284</v>
      </c>
      <c r="BK49">
        <f t="shared" si="158"/>
        <v>0.80198822655814661</v>
      </c>
      <c r="BL49" s="460">
        <f t="shared" si="102"/>
        <v>801.98822655814661</v>
      </c>
      <c r="BM49" s="173">
        <f t="shared" si="159"/>
        <v>0.27334999999999998</v>
      </c>
      <c r="BN49" s="173">
        <f t="shared" si="160"/>
        <v>4.8812499999999995E-2</v>
      </c>
      <c r="BO49" s="528"/>
      <c r="BQ49" s="460">
        <f t="shared" si="103"/>
        <v>322.16249999999997</v>
      </c>
      <c r="BR49" s="528">
        <f t="shared" si="39"/>
        <v>1.2851056573202386E-2</v>
      </c>
      <c r="BS49" s="528">
        <f t="shared" si="104"/>
        <v>2.4863229141083323E-2</v>
      </c>
      <c r="BT49" s="528">
        <f t="shared" si="161"/>
        <v>2.4993173209186586E-4</v>
      </c>
      <c r="BU49" s="528">
        <f t="shared" si="41"/>
        <v>0.60224398870097606</v>
      </c>
      <c r="BV49" s="528">
        <f t="shared" si="162"/>
        <v>0.65129769893164957</v>
      </c>
      <c r="BW49" s="625">
        <f t="shared" si="163"/>
        <v>6.6E-3</v>
      </c>
      <c r="BX49" s="460">
        <f t="shared" si="105"/>
        <v>657.89769893164964</v>
      </c>
      <c r="BY49" s="173">
        <f t="shared" si="106"/>
        <v>1.7820484254897961</v>
      </c>
      <c r="BZ49" s="5">
        <f t="shared" si="107"/>
        <v>7.92</v>
      </c>
      <c r="CA49" s="173">
        <f t="shared" si="108"/>
        <v>0.8163224561106196</v>
      </c>
      <c r="CB49" s="5">
        <f t="shared" si="109"/>
        <v>81.632245611061961</v>
      </c>
      <c r="CC49">
        <f t="shared" si="173"/>
        <v>44</v>
      </c>
      <c r="CE49" s="562">
        <f t="shared" si="164"/>
        <v>-50</v>
      </c>
      <c r="CF49">
        <f t="shared" si="165"/>
        <v>-50</v>
      </c>
      <c r="CG49" s="173">
        <f t="shared" si="166"/>
        <v>0.47472713600397504</v>
      </c>
      <c r="CH49" s="173">
        <f t="shared" si="167"/>
        <v>0.16781430448646426</v>
      </c>
      <c r="CI49" s="170">
        <v>44</v>
      </c>
      <c r="CJ49" s="217">
        <f t="shared" si="133"/>
        <v>0.44</v>
      </c>
      <c r="CK49" s="217">
        <f t="shared" si="111"/>
        <v>0.11</v>
      </c>
      <c r="CL49" s="217">
        <f t="shared" si="48"/>
        <v>7.04</v>
      </c>
      <c r="CM49" s="217">
        <f t="shared" si="134"/>
        <v>0.88</v>
      </c>
      <c r="CN49" s="541">
        <f t="shared" si="112"/>
        <v>24</v>
      </c>
      <c r="CO49" s="443">
        <f t="shared" si="168"/>
        <v>16.7</v>
      </c>
      <c r="CP49" s="443">
        <f t="shared" si="169"/>
        <v>40.700000000000003</v>
      </c>
      <c r="CQ49" s="443"/>
      <c r="CR49" s="217">
        <f t="shared" si="113"/>
        <v>0.40594059405940591</v>
      </c>
      <c r="CS49" s="172">
        <f t="shared" si="114"/>
        <v>21.650165016501649</v>
      </c>
      <c r="CT49" s="172">
        <f t="shared" si="51"/>
        <v>3.0445544554455446</v>
      </c>
      <c r="CU49" s="217">
        <f t="shared" si="52"/>
        <v>1.3531353135313531</v>
      </c>
      <c r="CV49" s="217">
        <f t="shared" si="53"/>
        <v>2.7062706270627062</v>
      </c>
      <c r="CW49" s="443">
        <f t="shared" si="54"/>
        <v>16</v>
      </c>
      <c r="CX49" s="217">
        <f t="shared" si="55"/>
        <v>1.6258536585365855</v>
      </c>
      <c r="CY49" s="217">
        <f t="shared" si="56"/>
        <v>0.81292682926829274</v>
      </c>
      <c r="CZ49" s="217">
        <f t="shared" si="57"/>
        <v>1.1682780779903608</v>
      </c>
      <c r="DA49" s="197">
        <f t="shared" si="58"/>
        <v>350</v>
      </c>
      <c r="DB49" s="443">
        <f t="shared" si="115"/>
        <v>350</v>
      </c>
      <c r="DD49" s="217">
        <f t="shared" si="59"/>
        <v>2.344682344682345</v>
      </c>
      <c r="DE49" s="173">
        <f t="shared" si="60"/>
        <v>1.6848016848016851</v>
      </c>
      <c r="DF49" s="173">
        <f t="shared" si="61"/>
        <v>0.69130683381297664</v>
      </c>
      <c r="DG49" s="173"/>
      <c r="DH49" s="173">
        <f t="shared" si="62"/>
        <v>0.71856287425149712</v>
      </c>
      <c r="DI49" s="545">
        <f t="shared" si="63"/>
        <v>1224.6666666666665</v>
      </c>
      <c r="DJ49" s="528">
        <f t="shared" si="64"/>
        <v>0.125748502994012</v>
      </c>
      <c r="DL49" s="173">
        <f t="shared" si="65"/>
        <v>1.9420166249104489</v>
      </c>
      <c r="DM49" s="173">
        <f t="shared" si="66"/>
        <v>1.9420166249104489</v>
      </c>
      <c r="DN49" s="173">
        <f t="shared" si="67"/>
        <v>1.8977900925262583</v>
      </c>
      <c r="DP49" s="545">
        <f t="shared" si="68"/>
        <v>440</v>
      </c>
      <c r="DQ49" s="460">
        <f t="shared" si="69"/>
        <v>350</v>
      </c>
      <c r="DS49">
        <f t="shared" si="116"/>
        <v>440</v>
      </c>
      <c r="DT49" s="460">
        <f t="shared" si="70"/>
        <v>350</v>
      </c>
      <c r="DU49" s="460"/>
      <c r="DV49" s="5">
        <f t="shared" si="117"/>
        <v>2.8571428571428572</v>
      </c>
      <c r="DW49" s="5">
        <f t="shared" si="71"/>
        <v>0.97100831245522445</v>
      </c>
      <c r="DX49" s="5">
        <f t="shared" si="118"/>
        <v>1.8861345446876328</v>
      </c>
      <c r="DY49" s="173">
        <f t="shared" si="119"/>
        <v>0.33985290935932855</v>
      </c>
      <c r="EA49" s="5">
        <f t="shared" si="72"/>
        <v>2.6702728592518672</v>
      </c>
      <c r="EB49" s="5">
        <f t="shared" si="73"/>
        <v>1.3351364296259336</v>
      </c>
      <c r="EC49" s="5">
        <f t="shared" si="74"/>
        <v>0.46105511092364349</v>
      </c>
      <c r="ED49" s="5"/>
      <c r="EE49" s="173">
        <f t="shared" si="120"/>
        <v>0.65363878211157178</v>
      </c>
      <c r="EF49" s="173">
        <f t="shared" si="75"/>
        <v>0.91098803486245539</v>
      </c>
      <c r="EG49" s="173">
        <f t="shared" si="76"/>
        <v>0.22372794385592654</v>
      </c>
      <c r="EH49" s="173"/>
      <c r="EI49" s="528">
        <f t="shared" si="77"/>
        <v>8.5448731496059766E-3</v>
      </c>
      <c r="EJ49" s="528">
        <f t="shared" si="78"/>
        <v>0.52561650961513762</v>
      </c>
      <c r="EK49" s="528">
        <f t="shared" si="79"/>
        <v>4.0250000000000001E-2</v>
      </c>
      <c r="EL49" s="528">
        <f t="shared" si="80"/>
        <v>0.28553746375000005</v>
      </c>
      <c r="EM49">
        <f t="shared" si="81"/>
        <v>1.0800000000000001E-2</v>
      </c>
      <c r="EN49" s="460">
        <f t="shared" si="121"/>
        <v>51.05</v>
      </c>
      <c r="EO49">
        <f t="shared" si="82"/>
        <v>0.87483210051301563</v>
      </c>
      <c r="EP49" s="460">
        <f t="shared" si="122"/>
        <v>874.83210051301558</v>
      </c>
      <c r="EQ49" s="173">
        <f t="shared" si="83"/>
        <v>0.27334999999999998</v>
      </c>
      <c r="ER49" s="173">
        <f t="shared" si="170"/>
        <v>4.8812499999999995E-2</v>
      </c>
      <c r="ES49" s="528"/>
      <c r="EU49" s="460">
        <f t="shared" si="123"/>
        <v>322.16249999999997</v>
      </c>
      <c r="EV49" s="528">
        <f t="shared" si="85"/>
        <v>1.2817309724408964E-2</v>
      </c>
      <c r="EW49" s="528">
        <f t="shared" si="124"/>
        <v>2.4896975989876745E-2</v>
      </c>
      <c r="EX49" s="528">
        <f t="shared" si="86"/>
        <v>2.5027096431000308E-4</v>
      </c>
      <c r="EY49" s="528">
        <f t="shared" si="87"/>
        <v>0.60224398870097606</v>
      </c>
      <c r="EZ49" s="528">
        <f t="shared" si="88"/>
        <v>0.65129813859020846</v>
      </c>
      <c r="FA49" s="625">
        <f t="shared" si="89"/>
        <v>6.6E-3</v>
      </c>
      <c r="FB49" s="460">
        <f t="shared" si="125"/>
        <v>657.89813859020853</v>
      </c>
      <c r="FC49" s="173">
        <f t="shared" si="126"/>
        <v>1.8548927391032237</v>
      </c>
      <c r="FD49" s="5">
        <f t="shared" si="127"/>
        <v>7.92</v>
      </c>
      <c r="FE49" s="173">
        <f t="shared" si="128"/>
        <v>0.8102390697666727</v>
      </c>
      <c r="FF49" s="5">
        <f t="shared" si="129"/>
        <v>81.023906976667277</v>
      </c>
      <c r="FG49">
        <f t="shared" si="130"/>
        <v>44</v>
      </c>
      <c r="FI49" s="562">
        <f t="shared" si="90"/>
        <v>-50</v>
      </c>
      <c r="FJ49">
        <f t="shared" si="91"/>
        <v>-50</v>
      </c>
      <c r="FL49">
        <f t="shared" si="92"/>
        <v>0.47472713600397504</v>
      </c>
    </row>
    <row r="50" spans="5:168">
      <c r="E50" s="170">
        <v>45</v>
      </c>
      <c r="F50" s="217">
        <f t="shared" si="174"/>
        <v>0.45</v>
      </c>
      <c r="G50" s="217">
        <f t="shared" si="171"/>
        <v>0.1125</v>
      </c>
      <c r="H50" s="217">
        <f t="shared" si="135"/>
        <v>7.2</v>
      </c>
      <c r="I50" s="217">
        <f t="shared" si="175"/>
        <v>0.9</v>
      </c>
      <c r="J50" s="541">
        <f t="shared" si="136"/>
        <v>23.936263890468634</v>
      </c>
      <c r="K50" s="443">
        <f t="shared" si="137"/>
        <v>16.72811964234684</v>
      </c>
      <c r="L50" s="172">
        <f t="shared" si="138"/>
        <v>40.664383532815478</v>
      </c>
      <c r="M50" s="443"/>
      <c r="N50" s="217">
        <f t="shared" si="139"/>
        <v>0.41137029973287381</v>
      </c>
      <c r="O50" s="172">
        <f t="shared" si="172"/>
        <v>21.881484558016101</v>
      </c>
      <c r="P50" s="172">
        <f t="shared" si="140"/>
        <v>3.0770837659710142</v>
      </c>
      <c r="Q50" s="217">
        <f t="shared" si="6"/>
        <v>1.3675927848760063</v>
      </c>
      <c r="R50" s="217">
        <f t="shared" si="141"/>
        <v>2.7351855697520127</v>
      </c>
      <c r="S50" s="443">
        <f t="shared" si="142"/>
        <v>16</v>
      </c>
      <c r="T50" s="217">
        <f t="shared" si="143"/>
        <v>1.6452265797848571</v>
      </c>
      <c r="U50" s="217">
        <f t="shared" si="10"/>
        <v>0.82480369734224868</v>
      </c>
      <c r="V50" s="217">
        <f t="shared" si="11"/>
        <v>1.1802114869766989</v>
      </c>
      <c r="W50" s="197">
        <f t="shared" si="12"/>
        <v>350</v>
      </c>
      <c r="X50" s="443">
        <f t="shared" si="95"/>
        <v>350</v>
      </c>
      <c r="Z50" s="217">
        <f t="shared" si="13"/>
        <v>2.3444447740731538</v>
      </c>
      <c r="AA50" s="173">
        <f t="shared" si="14"/>
        <v>1.6817991436203605</v>
      </c>
      <c r="AB50" s="173">
        <f t="shared" si="144"/>
        <v>0.6900049123277554</v>
      </c>
      <c r="AC50" s="173"/>
      <c r="AD50" s="173">
        <f t="shared" si="16"/>
        <v>0.71735498409649601</v>
      </c>
      <c r="AE50" s="545">
        <f t="shared" si="145"/>
        <v>1254.608973176013</v>
      </c>
      <c r="AF50" s="528">
        <f t="shared" si="146"/>
        <v>0.12553712221688679</v>
      </c>
      <c r="AH50" s="173">
        <f t="shared" si="147"/>
        <v>1.9639610121239313</v>
      </c>
      <c r="AI50" s="173">
        <f t="shared" si="148"/>
        <v>1.9639610121239313</v>
      </c>
      <c r="AJ50" s="173">
        <f t="shared" si="149"/>
        <v>1.9140451941658749</v>
      </c>
      <c r="AL50" s="545">
        <f t="shared" si="150"/>
        <v>450</v>
      </c>
      <c r="AM50" s="460">
        <f t="shared" si="151"/>
        <v>350</v>
      </c>
      <c r="AO50">
        <f t="shared" si="96"/>
        <v>450</v>
      </c>
      <c r="AP50" s="460">
        <f t="shared" si="24"/>
        <v>350</v>
      </c>
      <c r="AQ50" s="460"/>
      <c r="AR50" s="5">
        <f t="shared" si="97"/>
        <v>2.8571428571428572</v>
      </c>
      <c r="AS50" s="5">
        <f t="shared" si="25"/>
        <v>0.98459526738722636</v>
      </c>
      <c r="AT50" s="5">
        <f t="shared" si="98"/>
        <v>1.872547589755631</v>
      </c>
      <c r="AU50" s="173">
        <f t="shared" si="99"/>
        <v>0.34460834358552922</v>
      </c>
      <c r="AW50" s="5">
        <f t="shared" si="152"/>
        <v>2.7691741895265745</v>
      </c>
      <c r="AX50" s="5">
        <f t="shared" si="153"/>
        <v>1.3845870947632872</v>
      </c>
      <c r="AY50" s="5">
        <f t="shared" si="28"/>
        <v>0.469383425498064</v>
      </c>
      <c r="AZ50" s="5"/>
      <c r="BA50" s="173">
        <f t="shared" si="100"/>
        <v>0.66563343540138653</v>
      </c>
      <c r="BB50" s="173">
        <f t="shared" si="154"/>
        <v>0.91795774161452215</v>
      </c>
      <c r="BC50" s="173">
        <f t="shared" si="155"/>
        <v>0.2254396218376841</v>
      </c>
      <c r="BD50" s="173"/>
      <c r="BE50" s="528">
        <f t="shared" si="31"/>
        <v>8.8613574064850369E-3</v>
      </c>
      <c r="BF50" s="528">
        <f t="shared" si="156"/>
        <v>0.51012659778121938</v>
      </c>
      <c r="BG50" s="528">
        <f t="shared" si="157"/>
        <v>0.19268692431827253</v>
      </c>
      <c r="BH50" s="528">
        <f t="shared" si="34"/>
        <v>0.28503793618691231</v>
      </c>
      <c r="BI50">
        <f t="shared" si="35"/>
        <v>1.0771318750710884E-2</v>
      </c>
      <c r="BJ50" s="460">
        <f t="shared" si="101"/>
        <v>203.45824306898342</v>
      </c>
      <c r="BK50">
        <f t="shared" si="158"/>
        <v>0.80811992084671902</v>
      </c>
      <c r="BL50" s="460">
        <f t="shared" si="102"/>
        <v>808.11992084671897</v>
      </c>
      <c r="BM50" s="173">
        <f t="shared" si="159"/>
        <v>0.27956249999999999</v>
      </c>
      <c r="BN50" s="173">
        <f t="shared" si="160"/>
        <v>4.9921874999999998E-2</v>
      </c>
      <c r="BO50" s="528"/>
      <c r="BQ50" s="460">
        <f t="shared" si="103"/>
        <v>329.484375</v>
      </c>
      <c r="BR50" s="528">
        <f t="shared" si="39"/>
        <v>1.3292036109727554E-2</v>
      </c>
      <c r="BS50" s="528">
        <f t="shared" si="104"/>
        <v>2.5279392461701012E-2</v>
      </c>
      <c r="BT50" s="528">
        <f t="shared" si="161"/>
        <v>2.541151154715901E-4</v>
      </c>
      <c r="BU50" s="528">
        <f t="shared" si="41"/>
        <v>0.61940152516269109</v>
      </c>
      <c r="BV50" s="528">
        <f t="shared" si="162"/>
        <v>0.66962508397057074</v>
      </c>
      <c r="BW50" s="625">
        <f t="shared" si="163"/>
        <v>6.7499999999999982E-3</v>
      </c>
      <c r="BX50" s="460">
        <f t="shared" si="105"/>
        <v>676.37508397057081</v>
      </c>
      <c r="BY50" s="173">
        <f t="shared" si="106"/>
        <v>1.8139793798172896</v>
      </c>
      <c r="BZ50" s="5">
        <f t="shared" si="107"/>
        <v>8.1</v>
      </c>
      <c r="CA50" s="173">
        <f t="shared" si="108"/>
        <v>0.81702812661582103</v>
      </c>
      <c r="CB50" s="5">
        <f t="shared" si="109"/>
        <v>81.702812661582101</v>
      </c>
      <c r="CC50">
        <f t="shared" si="173"/>
        <v>45</v>
      </c>
      <c r="CE50" s="562">
        <f t="shared" si="164"/>
        <v>-50</v>
      </c>
      <c r="CF50">
        <f t="shared" si="165"/>
        <v>-50</v>
      </c>
      <c r="CG50" s="173">
        <f t="shared" si="166"/>
        <v>0.48009145470217324</v>
      </c>
      <c r="CH50" s="173">
        <f t="shared" si="167"/>
        <v>0.16971057150620825</v>
      </c>
      <c r="CI50" s="170">
        <v>45</v>
      </c>
      <c r="CJ50" s="217">
        <f t="shared" si="133"/>
        <v>0.45</v>
      </c>
      <c r="CK50" s="217">
        <f t="shared" si="111"/>
        <v>0.1125</v>
      </c>
      <c r="CL50" s="217">
        <f t="shared" si="48"/>
        <v>7.2</v>
      </c>
      <c r="CM50" s="217">
        <f t="shared" si="134"/>
        <v>0.9</v>
      </c>
      <c r="CN50" s="541">
        <f t="shared" si="112"/>
        <v>24</v>
      </c>
      <c r="CO50" s="443">
        <f t="shared" si="168"/>
        <v>16.7</v>
      </c>
      <c r="CP50" s="443">
        <f t="shared" si="169"/>
        <v>40.700000000000003</v>
      </c>
      <c r="CQ50" s="443"/>
      <c r="CR50" s="217">
        <f t="shared" si="113"/>
        <v>0.40594059405940591</v>
      </c>
      <c r="CS50" s="172">
        <f t="shared" si="114"/>
        <v>21.650165016501649</v>
      </c>
      <c r="CT50" s="172">
        <f t="shared" si="51"/>
        <v>3.0445544554455446</v>
      </c>
      <c r="CU50" s="217">
        <f t="shared" si="52"/>
        <v>1.3531353135313531</v>
      </c>
      <c r="CV50" s="217">
        <f t="shared" si="53"/>
        <v>2.7062706270627062</v>
      </c>
      <c r="CW50" s="443">
        <f t="shared" si="54"/>
        <v>16</v>
      </c>
      <c r="CX50" s="217">
        <f t="shared" si="55"/>
        <v>1.6628048780487805</v>
      </c>
      <c r="CY50" s="217">
        <f t="shared" si="56"/>
        <v>0.83140243902439026</v>
      </c>
      <c r="CZ50" s="217">
        <f t="shared" si="57"/>
        <v>1.1948298524901417</v>
      </c>
      <c r="DA50" s="197">
        <f t="shared" si="58"/>
        <v>350</v>
      </c>
      <c r="DB50" s="443">
        <f t="shared" si="115"/>
        <v>350</v>
      </c>
      <c r="DD50" s="217">
        <f t="shared" si="59"/>
        <v>2.344682344682345</v>
      </c>
      <c r="DE50" s="173">
        <f t="shared" si="60"/>
        <v>1.6848016848016851</v>
      </c>
      <c r="DF50" s="173">
        <f t="shared" si="61"/>
        <v>0.69130683381297664</v>
      </c>
      <c r="DG50" s="173"/>
      <c r="DH50" s="173">
        <f t="shared" si="62"/>
        <v>0.71856287425149712</v>
      </c>
      <c r="DI50" s="545">
        <f t="shared" si="63"/>
        <v>1252.4999999999998</v>
      </c>
      <c r="DJ50" s="528">
        <f t="shared" si="64"/>
        <v>0.125748502994012</v>
      </c>
      <c r="DL50" s="173">
        <f t="shared" si="65"/>
        <v>1.9639610121239313</v>
      </c>
      <c r="DM50" s="173">
        <f t="shared" si="66"/>
        <v>1.9639610121239313</v>
      </c>
      <c r="DN50" s="173">
        <f t="shared" si="67"/>
        <v>1.9140451941658749</v>
      </c>
      <c r="DP50" s="545">
        <f t="shared" si="68"/>
        <v>450</v>
      </c>
      <c r="DQ50" s="460">
        <f t="shared" si="69"/>
        <v>350</v>
      </c>
      <c r="DS50">
        <f t="shared" si="116"/>
        <v>450</v>
      </c>
      <c r="DT50" s="460">
        <f t="shared" si="70"/>
        <v>350</v>
      </c>
      <c r="DU50" s="460"/>
      <c r="DV50" s="5">
        <f t="shared" si="117"/>
        <v>2.8571428571428572</v>
      </c>
      <c r="DW50" s="5">
        <f t="shared" si="71"/>
        <v>0.98198050606196563</v>
      </c>
      <c r="DX50" s="5">
        <f t="shared" si="118"/>
        <v>1.8751623510808915</v>
      </c>
      <c r="DY50" s="173">
        <f t="shared" si="119"/>
        <v>0.34369317712168795</v>
      </c>
      <c r="EA50" s="5">
        <f t="shared" si="72"/>
        <v>2.7618201732992786</v>
      </c>
      <c r="EB50" s="5">
        <f t="shared" si="73"/>
        <v>1.3809100866496393</v>
      </c>
      <c r="EC50" s="5">
        <f t="shared" si="74"/>
        <v>0.46879058777022276</v>
      </c>
      <c r="ED50" s="5"/>
      <c r="EE50" s="173">
        <f t="shared" si="120"/>
        <v>0.66474899603375437</v>
      </c>
      <c r="EF50" s="173">
        <f t="shared" si="75"/>
        <v>0.91859842041362172</v>
      </c>
      <c r="EG50" s="173">
        <f t="shared" si="76"/>
        <v>0.22559696501334534</v>
      </c>
      <c r="EH50" s="173"/>
      <c r="EI50" s="528">
        <f t="shared" si="77"/>
        <v>8.8378245545576873E-3</v>
      </c>
      <c r="EJ50" s="528">
        <f t="shared" si="78"/>
        <v>0.53155586773640262</v>
      </c>
      <c r="EK50" s="528">
        <f t="shared" si="79"/>
        <v>4.0250000000000001E-2</v>
      </c>
      <c r="EL50" s="528">
        <f t="shared" si="80"/>
        <v>0.28553746375000005</v>
      </c>
      <c r="EM50">
        <f t="shared" si="81"/>
        <v>1.0800000000000001E-2</v>
      </c>
      <c r="EN50" s="460">
        <f t="shared" si="121"/>
        <v>51.05</v>
      </c>
      <c r="EO50">
        <f t="shared" si="82"/>
        <v>0.88121780896815793</v>
      </c>
      <c r="EP50" s="460">
        <f t="shared" si="122"/>
        <v>881.2178089681579</v>
      </c>
      <c r="EQ50" s="173">
        <f t="shared" si="83"/>
        <v>0.27956249999999999</v>
      </c>
      <c r="ER50" s="173">
        <f t="shared" si="170"/>
        <v>4.9921874999999998E-2</v>
      </c>
      <c r="ES50" s="528"/>
      <c r="EU50" s="460">
        <f t="shared" si="123"/>
        <v>329.484375</v>
      </c>
      <c r="EV50" s="528">
        <f t="shared" si="85"/>
        <v>1.325673683183653E-2</v>
      </c>
      <c r="EW50" s="528">
        <f t="shared" si="124"/>
        <v>2.5314691739592027E-2</v>
      </c>
      <c r="EX50" s="528">
        <f t="shared" si="86"/>
        <v>2.5446995311616277E-4</v>
      </c>
      <c r="EY50" s="528">
        <f t="shared" si="87"/>
        <v>0.61940152516269109</v>
      </c>
      <c r="EZ50" s="528">
        <f t="shared" si="88"/>
        <v>0.66962554440805688</v>
      </c>
      <c r="FA50" s="625">
        <f t="shared" si="89"/>
        <v>6.7499999999999982E-3</v>
      </c>
      <c r="FB50" s="460">
        <f t="shared" si="125"/>
        <v>676.37554440805695</v>
      </c>
      <c r="FC50" s="173">
        <f t="shared" si="126"/>
        <v>1.8870777283762148</v>
      </c>
      <c r="FD50" s="5">
        <f t="shared" si="127"/>
        <v>8.1</v>
      </c>
      <c r="FE50" s="173">
        <f t="shared" si="128"/>
        <v>0.81104805833096971</v>
      </c>
      <c r="FF50" s="5">
        <f t="shared" si="129"/>
        <v>81.104805833096975</v>
      </c>
      <c r="FG50">
        <f t="shared" si="130"/>
        <v>45</v>
      </c>
      <c r="FI50" s="562">
        <f t="shared" si="90"/>
        <v>-50</v>
      </c>
      <c r="FJ50">
        <f t="shared" si="91"/>
        <v>-50</v>
      </c>
      <c r="FL50">
        <f t="shared" si="92"/>
        <v>0.48009145470217318</v>
      </c>
    </row>
    <row r="51" spans="5:168">
      <c r="E51" s="170">
        <v>46</v>
      </c>
      <c r="F51" s="217">
        <f t="shared" si="174"/>
        <v>0.46</v>
      </c>
      <c r="G51" s="217">
        <f t="shared" si="171"/>
        <v>0.115</v>
      </c>
      <c r="H51" s="217">
        <f t="shared" si="135"/>
        <v>7.36</v>
      </c>
      <c r="I51" s="217">
        <f t="shared" si="175"/>
        <v>0.92</v>
      </c>
      <c r="J51" s="541">
        <f t="shared" si="136"/>
        <v>23.935559602684698</v>
      </c>
      <c r="K51" s="443">
        <f t="shared" si="137"/>
        <v>16.728430366059648</v>
      </c>
      <c r="L51" s="172">
        <f t="shared" si="138"/>
        <v>40.663989968744346</v>
      </c>
      <c r="M51" s="443"/>
      <c r="N51" s="217">
        <f t="shared" si="139"/>
        <v>0.41138192240647459</v>
      </c>
      <c r="O51" s="172">
        <f t="shared" si="172"/>
        <v>21.881458940504853</v>
      </c>
      <c r="P51" s="172">
        <f t="shared" si="140"/>
        <v>3.0770801635084948</v>
      </c>
      <c r="Q51" s="217">
        <f t="shared" si="6"/>
        <v>1.3675911837815533</v>
      </c>
      <c r="R51" s="217">
        <f t="shared" si="141"/>
        <v>2.7351823675631066</v>
      </c>
      <c r="S51" s="443">
        <f t="shared" si="142"/>
        <v>16</v>
      </c>
      <c r="T51" s="217">
        <f t="shared" si="143"/>
        <v>1.6817891393831781</v>
      </c>
      <c r="U51" s="217">
        <f t="shared" si="10"/>
        <v>0.84315846412609097</v>
      </c>
      <c r="V51" s="217">
        <f t="shared" si="11"/>
        <v>1.2064174122124673</v>
      </c>
      <c r="W51" s="197">
        <f t="shared" si="12"/>
        <v>350</v>
      </c>
      <c r="X51" s="443">
        <f t="shared" si="95"/>
        <v>350</v>
      </c>
      <c r="Z51" s="217">
        <f t="shared" si="13"/>
        <v>2.3444420293398056</v>
      </c>
      <c r="AA51" s="173">
        <f t="shared" si="14"/>
        <v>1.6817659359815011</v>
      </c>
      <c r="AB51" s="173">
        <f t="shared" si="144"/>
        <v>0.68999048016972997</v>
      </c>
      <c r="AC51" s="173"/>
      <c r="AD51" s="173">
        <f t="shared" si="16"/>
        <v>0.71734165952275053</v>
      </c>
      <c r="AE51" s="545">
        <f t="shared" si="145"/>
        <v>1282.5129947312396</v>
      </c>
      <c r="AF51" s="528">
        <f t="shared" si="146"/>
        <v>0.12553479041648136</v>
      </c>
      <c r="AH51" s="173">
        <f t="shared" si="147"/>
        <v>1.9856628975878921</v>
      </c>
      <c r="AI51" s="173">
        <f t="shared" si="148"/>
        <v>1.9856628975878921</v>
      </c>
      <c r="AJ51" s="173">
        <f t="shared" si="149"/>
        <v>1.9301206648799201</v>
      </c>
      <c r="AL51" s="545">
        <f t="shared" si="150"/>
        <v>460</v>
      </c>
      <c r="AM51" s="460">
        <f t="shared" si="151"/>
        <v>350</v>
      </c>
      <c r="AO51">
        <f t="shared" si="96"/>
        <v>460</v>
      </c>
      <c r="AP51" s="460">
        <f t="shared" si="24"/>
        <v>350</v>
      </c>
      <c r="AQ51" s="460"/>
      <c r="AR51" s="5">
        <f t="shared" si="97"/>
        <v>2.8571428571428572</v>
      </c>
      <c r="AS51" s="5">
        <f t="shared" si="25"/>
        <v>0.99550439457375695</v>
      </c>
      <c r="AT51" s="5">
        <f t="shared" si="98"/>
        <v>1.8616384625691003</v>
      </c>
      <c r="AU51" s="173">
        <f t="shared" si="99"/>
        <v>0.34842653810081492</v>
      </c>
      <c r="AW51" s="5">
        <f t="shared" si="152"/>
        <v>2.8620751343995514</v>
      </c>
      <c r="AX51" s="5">
        <f t="shared" si="153"/>
        <v>1.4310375671997757</v>
      </c>
      <c r="AY51" s="5">
        <f t="shared" si="28"/>
        <v>0.47703289275968258</v>
      </c>
      <c r="AZ51" s="5"/>
      <c r="BA51" s="173">
        <f t="shared" si="100"/>
        <v>0.67670674705069123</v>
      </c>
      <c r="BB51" s="173">
        <f t="shared" si="154"/>
        <v>0.92539380416219896</v>
      </c>
      <c r="BC51" s="173">
        <f t="shared" si="155"/>
        <v>0.22726583131630473</v>
      </c>
      <c r="BD51" s="173"/>
      <c r="BE51" s="528">
        <f t="shared" si="31"/>
        <v>9.1586404300785639E-3</v>
      </c>
      <c r="BF51" s="528">
        <f t="shared" si="156"/>
        <v>0.51575853515059977</v>
      </c>
      <c r="BG51" s="528">
        <f t="shared" si="157"/>
        <v>0.19268125480161186</v>
      </c>
      <c r="BH51" s="528">
        <f t="shared" si="34"/>
        <v>0.28503241882070701</v>
      </c>
      <c r="BI51">
        <f t="shared" si="35"/>
        <v>1.0771001821208114E-2</v>
      </c>
      <c r="BJ51" s="460">
        <f t="shared" si="101"/>
        <v>203.45225662281996</v>
      </c>
      <c r="BK51">
        <f t="shared" si="158"/>
        <v>0.81419418956653233</v>
      </c>
      <c r="BL51" s="460">
        <f t="shared" si="102"/>
        <v>814.19418956653237</v>
      </c>
      <c r="BM51" s="173">
        <f t="shared" si="159"/>
        <v>0.285775</v>
      </c>
      <c r="BN51" s="173">
        <f t="shared" si="160"/>
        <v>5.103125E-2</v>
      </c>
      <c r="BO51" s="528"/>
      <c r="BQ51" s="460">
        <f t="shared" si="103"/>
        <v>336.80624999999998</v>
      </c>
      <c r="BR51" s="528">
        <f t="shared" si="39"/>
        <v>1.3737960645117845E-2</v>
      </c>
      <c r="BS51" s="528">
        <f t="shared" si="104"/>
        <v>2.5690610783453589E-2</v>
      </c>
      <c r="BT51" s="528">
        <f t="shared" si="161"/>
        <v>2.582487904194554E-4</v>
      </c>
      <c r="BU51" s="528">
        <f t="shared" si="41"/>
        <v>0.63665465344326022</v>
      </c>
      <c r="BV51" s="528">
        <f t="shared" si="162"/>
        <v>0.6880508344964239</v>
      </c>
      <c r="BW51" s="625">
        <f t="shared" si="163"/>
        <v>6.9000000000000008E-3</v>
      </c>
      <c r="BX51" s="460">
        <f t="shared" si="105"/>
        <v>694.95083449642391</v>
      </c>
      <c r="BY51" s="173">
        <f t="shared" si="106"/>
        <v>1.8459512740629562</v>
      </c>
      <c r="BZ51" s="5">
        <f t="shared" si="107"/>
        <v>8.2800000000000011</v>
      </c>
      <c r="CA51" s="173">
        <f t="shared" si="108"/>
        <v>0.81770095232521467</v>
      </c>
      <c r="CB51" s="5">
        <f t="shared" si="109"/>
        <v>81.77009523252147</v>
      </c>
      <c r="CC51">
        <f t="shared" si="173"/>
        <v>46</v>
      </c>
      <c r="CE51" s="562">
        <f t="shared" si="164"/>
        <v>-50</v>
      </c>
      <c r="CF51">
        <f t="shared" si="165"/>
        <v>-50</v>
      </c>
      <c r="CG51" s="173">
        <f t="shared" si="166"/>
        <v>0.48539649370134624</v>
      </c>
      <c r="CH51" s="173">
        <f t="shared" si="167"/>
        <v>0.17158588336938418</v>
      </c>
      <c r="CI51" s="170">
        <v>46</v>
      </c>
      <c r="CJ51" s="217">
        <f t="shared" si="133"/>
        <v>0.46</v>
      </c>
      <c r="CK51" s="217">
        <f t="shared" si="111"/>
        <v>0.115</v>
      </c>
      <c r="CL51" s="217">
        <f t="shared" si="48"/>
        <v>7.36</v>
      </c>
      <c r="CM51" s="217">
        <f t="shared" si="134"/>
        <v>0.92</v>
      </c>
      <c r="CN51" s="541">
        <f t="shared" si="112"/>
        <v>24</v>
      </c>
      <c r="CO51" s="443">
        <f t="shared" si="168"/>
        <v>16.7</v>
      </c>
      <c r="CP51" s="443">
        <f t="shared" si="169"/>
        <v>40.700000000000003</v>
      </c>
      <c r="CQ51" s="443"/>
      <c r="CR51" s="217">
        <f t="shared" si="113"/>
        <v>0.40594059405940591</v>
      </c>
      <c r="CS51" s="172">
        <f t="shared" si="114"/>
        <v>21.650165016501649</v>
      </c>
      <c r="CT51" s="172">
        <f t="shared" si="51"/>
        <v>3.0445544554455446</v>
      </c>
      <c r="CU51" s="217">
        <f t="shared" si="52"/>
        <v>1.3531353135313531</v>
      </c>
      <c r="CV51" s="217">
        <f t="shared" si="53"/>
        <v>2.7062706270627062</v>
      </c>
      <c r="CW51" s="443">
        <f t="shared" si="54"/>
        <v>16</v>
      </c>
      <c r="CX51" s="217">
        <f t="shared" si="55"/>
        <v>1.6997560975609758</v>
      </c>
      <c r="CY51" s="217">
        <f t="shared" si="56"/>
        <v>0.84987804878048789</v>
      </c>
      <c r="CZ51" s="217">
        <f t="shared" si="57"/>
        <v>1.2213816269899227</v>
      </c>
      <c r="DA51" s="197">
        <f t="shared" si="58"/>
        <v>350</v>
      </c>
      <c r="DB51" s="443">
        <f t="shared" si="115"/>
        <v>350</v>
      </c>
      <c r="DD51" s="217">
        <f t="shared" si="59"/>
        <v>2.344682344682345</v>
      </c>
      <c r="DE51" s="173">
        <f t="shared" si="60"/>
        <v>1.6848016848016851</v>
      </c>
      <c r="DF51" s="173">
        <f t="shared" si="61"/>
        <v>0.69130683381297664</v>
      </c>
      <c r="DG51" s="173"/>
      <c r="DH51" s="173">
        <f t="shared" si="62"/>
        <v>0.71856287425149712</v>
      </c>
      <c r="DI51" s="545">
        <f t="shared" si="63"/>
        <v>1280.3333333333333</v>
      </c>
      <c r="DJ51" s="528">
        <f t="shared" si="64"/>
        <v>0.125748502994012</v>
      </c>
      <c r="DL51" s="173">
        <f t="shared" si="65"/>
        <v>1.9856628975878921</v>
      </c>
      <c r="DM51" s="173">
        <f t="shared" si="66"/>
        <v>1.9856628975878921</v>
      </c>
      <c r="DN51" s="173">
        <f t="shared" si="67"/>
        <v>1.9301206648799201</v>
      </c>
      <c r="DP51" s="545">
        <f t="shared" si="68"/>
        <v>460</v>
      </c>
      <c r="DQ51" s="460">
        <f t="shared" si="69"/>
        <v>350</v>
      </c>
      <c r="DS51">
        <f t="shared" si="116"/>
        <v>460</v>
      </c>
      <c r="DT51" s="460">
        <f t="shared" si="70"/>
        <v>350</v>
      </c>
      <c r="DU51" s="460"/>
      <c r="DV51" s="5">
        <f t="shared" si="117"/>
        <v>2.8571428571428572</v>
      </c>
      <c r="DW51" s="5">
        <f t="shared" si="71"/>
        <v>0.99283144879394603</v>
      </c>
      <c r="DX51" s="5">
        <f t="shared" si="118"/>
        <v>1.8643114083489112</v>
      </c>
      <c r="DY51" s="173">
        <f t="shared" si="119"/>
        <v>0.34749100707788111</v>
      </c>
      <c r="EA51" s="5">
        <f t="shared" si="72"/>
        <v>2.854390415282595</v>
      </c>
      <c r="EB51" s="5">
        <f t="shared" si="73"/>
        <v>1.4271952076412975</v>
      </c>
      <c r="EC51" s="5">
        <f t="shared" si="74"/>
        <v>0.47643513768916618</v>
      </c>
      <c r="ED51" s="5"/>
      <c r="EE51" s="173">
        <f t="shared" si="120"/>
        <v>0.67579765199741204</v>
      </c>
      <c r="EF51" s="173">
        <f t="shared" si="75"/>
        <v>0.92605790739051463</v>
      </c>
      <c r="EG51" s="173">
        <f t="shared" si="76"/>
        <v>0.22742892725619993</v>
      </c>
      <c r="EH51" s="173"/>
      <c r="EI51" s="528">
        <f t="shared" si="77"/>
        <v>9.1340493289043048E-3</v>
      </c>
      <c r="EJ51" s="528">
        <f t="shared" si="78"/>
        <v>0.53742959154665104</v>
      </c>
      <c r="EK51" s="528">
        <f t="shared" si="79"/>
        <v>4.0250000000000001E-2</v>
      </c>
      <c r="EL51" s="528">
        <f t="shared" si="80"/>
        <v>0.28553746375000005</v>
      </c>
      <c r="EM51">
        <f t="shared" si="81"/>
        <v>1.0800000000000001E-2</v>
      </c>
      <c r="EN51" s="460">
        <f t="shared" si="121"/>
        <v>51.05</v>
      </c>
      <c r="EO51">
        <f t="shared" si="82"/>
        <v>0.88754348930902383</v>
      </c>
      <c r="EP51" s="460">
        <f t="shared" si="122"/>
        <v>887.54348930902381</v>
      </c>
      <c r="EQ51" s="173">
        <f t="shared" si="83"/>
        <v>0.285775</v>
      </c>
      <c r="ER51" s="173">
        <f t="shared" si="170"/>
        <v>5.103125E-2</v>
      </c>
      <c r="ES51" s="528"/>
      <c r="EU51" s="460">
        <f t="shared" si="123"/>
        <v>336.80624999999998</v>
      </c>
      <c r="EV51" s="528">
        <f t="shared" si="85"/>
        <v>1.3701073993356455E-2</v>
      </c>
      <c r="EW51" s="528">
        <f t="shared" si="124"/>
        <v>2.572749743521497E-2</v>
      </c>
      <c r="EX51" s="528">
        <f t="shared" si="86"/>
        <v>2.5861958476452936E-4</v>
      </c>
      <c r="EY51" s="528">
        <f t="shared" si="87"/>
        <v>0.63665465344326022</v>
      </c>
      <c r="EZ51" s="528">
        <f t="shared" si="88"/>
        <v>0.68805131622090376</v>
      </c>
      <c r="FA51" s="625">
        <f t="shared" si="89"/>
        <v>6.9000000000000008E-3</v>
      </c>
      <c r="FB51" s="460">
        <f t="shared" si="125"/>
        <v>694.95131622090378</v>
      </c>
      <c r="FC51" s="173">
        <f t="shared" si="126"/>
        <v>1.9193010555299277</v>
      </c>
      <c r="FD51" s="5">
        <f t="shared" si="127"/>
        <v>8.2800000000000011</v>
      </c>
      <c r="FE51" s="173">
        <f t="shared" si="128"/>
        <v>0.81182033503273165</v>
      </c>
      <c r="FF51" s="5">
        <f t="shared" si="129"/>
        <v>81.182033503273161</v>
      </c>
      <c r="FG51">
        <f t="shared" si="130"/>
        <v>46</v>
      </c>
      <c r="FI51" s="562">
        <f t="shared" si="90"/>
        <v>-50</v>
      </c>
      <c r="FJ51">
        <f t="shared" si="91"/>
        <v>-50</v>
      </c>
      <c r="FL51">
        <f t="shared" si="92"/>
        <v>0.48539649370134619</v>
      </c>
    </row>
    <row r="52" spans="5:168">
      <c r="E52" s="170">
        <v>47</v>
      </c>
      <c r="F52" s="217">
        <f t="shared" si="174"/>
        <v>0.47</v>
      </c>
      <c r="G52" s="217">
        <f t="shared" si="171"/>
        <v>0.11749999999999999</v>
      </c>
      <c r="H52" s="217">
        <f t="shared" si="135"/>
        <v>7.52</v>
      </c>
      <c r="I52" s="217">
        <f t="shared" si="175"/>
        <v>0.94</v>
      </c>
      <c r="J52" s="541">
        <f t="shared" si="136"/>
        <v>23.934862929493921</v>
      </c>
      <c r="K52" s="443">
        <f t="shared" si="137"/>
        <v>16.72873773030107</v>
      </c>
      <c r="L52" s="172">
        <f t="shared" si="138"/>
        <v>40.663600659794994</v>
      </c>
      <c r="M52" s="443"/>
      <c r="N52" s="217">
        <f t="shared" si="139"/>
        <v>0.41139341963981918</v>
      </c>
      <c r="O52" s="172">
        <f t="shared" si="172"/>
        <v>21.881433575944097</v>
      </c>
      <c r="P52" s="172">
        <f t="shared" si="140"/>
        <v>3.0770765966171387</v>
      </c>
      <c r="Q52" s="217">
        <f t="shared" si="6"/>
        <v>1.3675895984965061</v>
      </c>
      <c r="R52" s="217">
        <f t="shared" si="141"/>
        <v>2.7351791969930122</v>
      </c>
      <c r="S52" s="443">
        <f t="shared" si="142"/>
        <v>16</v>
      </c>
      <c r="T52" s="217">
        <f t="shared" si="143"/>
        <v>1.7183517647279061</v>
      </c>
      <c r="U52" s="217">
        <f t="shared" si="10"/>
        <v>0.86151406997720659</v>
      </c>
      <c r="V52" s="217">
        <f t="shared" si="11"/>
        <v>1.2326226586352114</v>
      </c>
      <c r="W52" s="197">
        <f t="shared" si="12"/>
        <v>350</v>
      </c>
      <c r="X52" s="443">
        <f t="shared" si="95"/>
        <v>350</v>
      </c>
      <c r="Z52" s="217">
        <f t="shared" si="13"/>
        <v>2.344439311708296</v>
      </c>
      <c r="AA52" s="173">
        <f t="shared" si="14"/>
        <v>1.6817330867433733</v>
      </c>
      <c r="AB52" s="173">
        <f t="shared" si="144"/>
        <v>0.68997620306329788</v>
      </c>
      <c r="AC52" s="173"/>
      <c r="AD52" s="173">
        <f t="shared" si="16"/>
        <v>0.71732847949813816</v>
      </c>
      <c r="AE52" s="545">
        <f t="shared" si="145"/>
        <v>1310.4177888735835</v>
      </c>
      <c r="AF52" s="528">
        <f t="shared" si="146"/>
        <v>0.12553248391217417</v>
      </c>
      <c r="AH52" s="173">
        <f t="shared" si="147"/>
        <v>2.0071301473923975</v>
      </c>
      <c r="AI52" s="173">
        <f t="shared" si="148"/>
        <v>2.0071301473923975</v>
      </c>
      <c r="AJ52" s="173">
        <f t="shared" si="149"/>
        <v>1.9460223314017759</v>
      </c>
      <c r="AL52" s="545">
        <f t="shared" si="150"/>
        <v>470</v>
      </c>
      <c r="AM52" s="460">
        <f t="shared" si="151"/>
        <v>350</v>
      </c>
      <c r="AO52">
        <f t="shared" si="96"/>
        <v>470</v>
      </c>
      <c r="AP52" s="460">
        <f t="shared" si="24"/>
        <v>350</v>
      </c>
      <c r="AQ52" s="460"/>
      <c r="AR52" s="5">
        <f t="shared" si="97"/>
        <v>2.8571428571428572</v>
      </c>
      <c r="AS52" s="5">
        <f t="shared" si="25"/>
        <v>1.00629620648586</v>
      </c>
      <c r="AT52" s="5">
        <f t="shared" si="98"/>
        <v>1.8508466506569972</v>
      </c>
      <c r="AU52" s="173">
        <f t="shared" si="99"/>
        <v>0.352203672270051</v>
      </c>
      <c r="AW52" s="5">
        <f t="shared" si="152"/>
        <v>2.9559951065522134</v>
      </c>
      <c r="AX52" s="5">
        <f t="shared" si="153"/>
        <v>1.4779975532761067</v>
      </c>
      <c r="AY52" s="5">
        <f t="shared" si="28"/>
        <v>0.48459182928895461</v>
      </c>
      <c r="AZ52" s="5"/>
      <c r="BA52" s="173">
        <f t="shared" si="100"/>
        <v>0.68772030437406317</v>
      </c>
      <c r="BB52" s="173">
        <f t="shared" si="154"/>
        <v>0.9326831861938909</v>
      </c>
      <c r="BC52" s="173">
        <f t="shared" si="155"/>
        <v>0.22905601778585263</v>
      </c>
      <c r="BD52" s="173"/>
      <c r="BE52" s="528">
        <f t="shared" si="31"/>
        <v>9.4591843409670816E-3</v>
      </c>
      <c r="BF52" s="528">
        <f t="shared" si="156"/>
        <v>0.52132947399429708</v>
      </c>
      <c r="BG52" s="528">
        <f t="shared" si="157"/>
        <v>0.19267564658242606</v>
      </c>
      <c r="BH52" s="528">
        <f t="shared" si="34"/>
        <v>0.28502696115949838</v>
      </c>
      <c r="BI52">
        <f t="shared" si="35"/>
        <v>1.0770688318272265E-2</v>
      </c>
      <c r="BJ52" s="460">
        <f t="shared" si="101"/>
        <v>203.44633490069833</v>
      </c>
      <c r="BK52">
        <f t="shared" si="158"/>
        <v>0.82021302985541167</v>
      </c>
      <c r="BL52" s="460">
        <f t="shared" si="102"/>
        <v>820.21302985541172</v>
      </c>
      <c r="BM52" s="173">
        <f t="shared" si="159"/>
        <v>0.29198749999999996</v>
      </c>
      <c r="BN52" s="173">
        <f t="shared" si="160"/>
        <v>5.2140624999999996E-2</v>
      </c>
      <c r="BO52" s="528"/>
      <c r="BQ52" s="460">
        <f t="shared" si="103"/>
        <v>344.12812499999995</v>
      </c>
      <c r="BR52" s="528">
        <f t="shared" si="39"/>
        <v>1.4188776511450622E-2</v>
      </c>
      <c r="BS52" s="528">
        <f t="shared" si="104"/>
        <v>2.6096937774263643E-2</v>
      </c>
      <c r="BT52" s="528">
        <f t="shared" si="161"/>
        <v>2.623332964195642E-4</v>
      </c>
      <c r="BU52" s="528">
        <f t="shared" si="41"/>
        <v>0.65400181048788197</v>
      </c>
      <c r="BV52" s="528">
        <f t="shared" si="162"/>
        <v>0.70657340324774076</v>
      </c>
      <c r="BW52" s="625">
        <f t="shared" si="163"/>
        <v>7.0499999999999981E-3</v>
      </c>
      <c r="BX52" s="460">
        <f t="shared" si="105"/>
        <v>713.62340324774073</v>
      </c>
      <c r="BY52" s="173">
        <f t="shared" si="106"/>
        <v>1.8779645581031525</v>
      </c>
      <c r="BZ52" s="5">
        <f t="shared" si="107"/>
        <v>8.4599999999999991</v>
      </c>
      <c r="CA52" s="173">
        <f t="shared" si="108"/>
        <v>0.818342910004353</v>
      </c>
      <c r="CB52" s="5">
        <f t="shared" si="109"/>
        <v>81.8342910004353</v>
      </c>
      <c r="CC52">
        <f t="shared" si="173"/>
        <v>47</v>
      </c>
      <c r="CE52" s="562">
        <f t="shared" si="164"/>
        <v>-50</v>
      </c>
      <c r="CF52">
        <f t="shared" si="165"/>
        <v>-50</v>
      </c>
      <c r="CG52" s="173">
        <f t="shared" si="166"/>
        <v>0.49064417587195835</v>
      </c>
      <c r="CH52" s="173">
        <f t="shared" si="167"/>
        <v>0.17344091980366108</v>
      </c>
      <c r="CI52" s="170">
        <v>47</v>
      </c>
      <c r="CJ52" s="217">
        <f t="shared" si="133"/>
        <v>0.47</v>
      </c>
      <c r="CK52" s="217">
        <f t="shared" si="111"/>
        <v>0.11749999999999999</v>
      </c>
      <c r="CL52" s="217">
        <f t="shared" si="48"/>
        <v>7.52</v>
      </c>
      <c r="CM52" s="217">
        <f t="shared" si="134"/>
        <v>0.94</v>
      </c>
      <c r="CN52" s="541">
        <f t="shared" si="112"/>
        <v>24</v>
      </c>
      <c r="CO52" s="443">
        <f t="shared" si="168"/>
        <v>16.7</v>
      </c>
      <c r="CP52" s="443">
        <f t="shared" si="169"/>
        <v>40.700000000000003</v>
      </c>
      <c r="CQ52" s="443"/>
      <c r="CR52" s="217">
        <f t="shared" si="113"/>
        <v>0.40594059405940591</v>
      </c>
      <c r="CS52" s="172">
        <f t="shared" si="114"/>
        <v>21.650165016501649</v>
      </c>
      <c r="CT52" s="172">
        <f t="shared" si="51"/>
        <v>3.0445544554455446</v>
      </c>
      <c r="CU52" s="217">
        <f t="shared" si="52"/>
        <v>1.3531353135313531</v>
      </c>
      <c r="CV52" s="217">
        <f t="shared" si="53"/>
        <v>2.7062706270627062</v>
      </c>
      <c r="CW52" s="443">
        <f t="shared" si="54"/>
        <v>16</v>
      </c>
      <c r="CX52" s="217">
        <f t="shared" si="55"/>
        <v>1.7367073170731706</v>
      </c>
      <c r="CY52" s="217">
        <f t="shared" si="56"/>
        <v>0.86835365853658542</v>
      </c>
      <c r="CZ52" s="217">
        <f t="shared" si="57"/>
        <v>1.2479334014897034</v>
      </c>
      <c r="DA52" s="197">
        <f t="shared" si="58"/>
        <v>350</v>
      </c>
      <c r="DB52" s="443">
        <f t="shared" si="115"/>
        <v>350</v>
      </c>
      <c r="DD52" s="217">
        <f t="shared" si="59"/>
        <v>2.344682344682345</v>
      </c>
      <c r="DE52" s="173">
        <f t="shared" si="60"/>
        <v>1.6848016848016851</v>
      </c>
      <c r="DF52" s="173">
        <f t="shared" si="61"/>
        <v>0.69130683381297664</v>
      </c>
      <c r="DG52" s="173"/>
      <c r="DH52" s="173">
        <f t="shared" si="62"/>
        <v>0.71856287425149712</v>
      </c>
      <c r="DI52" s="545">
        <f t="shared" si="63"/>
        <v>1308.1666666666665</v>
      </c>
      <c r="DJ52" s="528">
        <f t="shared" si="64"/>
        <v>0.125748502994012</v>
      </c>
      <c r="DL52" s="173">
        <f t="shared" si="65"/>
        <v>2.0071301473923975</v>
      </c>
      <c r="DM52" s="173">
        <f t="shared" si="66"/>
        <v>2.0071301473923975</v>
      </c>
      <c r="DN52" s="173">
        <f t="shared" si="67"/>
        <v>1.9460223314017759</v>
      </c>
      <c r="DP52" s="545">
        <f t="shared" si="68"/>
        <v>470</v>
      </c>
      <c r="DQ52" s="460">
        <f t="shared" si="69"/>
        <v>350</v>
      </c>
      <c r="DS52">
        <f t="shared" si="116"/>
        <v>470</v>
      </c>
      <c r="DT52" s="460">
        <f t="shared" si="70"/>
        <v>350</v>
      </c>
      <c r="DU52" s="460"/>
      <c r="DV52" s="5">
        <f t="shared" si="117"/>
        <v>2.8571428571428572</v>
      </c>
      <c r="DW52" s="5">
        <f t="shared" si="71"/>
        <v>1.003565073696199</v>
      </c>
      <c r="DX52" s="5">
        <f t="shared" si="118"/>
        <v>1.8535777834466582</v>
      </c>
      <c r="DY52" s="173">
        <f t="shared" si="119"/>
        <v>0.35124777579366961</v>
      </c>
      <c r="EA52" s="5">
        <f t="shared" si="72"/>
        <v>2.9479724039825843</v>
      </c>
      <c r="EB52" s="5">
        <f t="shared" si="73"/>
        <v>1.4739862019912922</v>
      </c>
      <c r="EC52" s="5">
        <f t="shared" si="74"/>
        <v>0.48398975456662729</v>
      </c>
      <c r="ED52" s="5"/>
      <c r="EE52" s="173">
        <f t="shared" si="120"/>
        <v>0.68678641850084177</v>
      </c>
      <c r="EF52" s="173">
        <f t="shared" si="75"/>
        <v>0.93337107209294268</v>
      </c>
      <c r="EG52" s="173">
        <f t="shared" si="76"/>
        <v>0.22922495446988445</v>
      </c>
      <c r="EH52" s="173"/>
      <c r="EI52" s="528">
        <f t="shared" si="77"/>
        <v>9.4335116927442685E-3</v>
      </c>
      <c r="EJ52" s="528">
        <f t="shared" si="78"/>
        <v>0.54323981004248945</v>
      </c>
      <c r="EK52" s="528">
        <f t="shared" si="79"/>
        <v>4.0250000000000001E-2</v>
      </c>
      <c r="EL52" s="528">
        <f t="shared" si="80"/>
        <v>0.28553746375000005</v>
      </c>
      <c r="EM52">
        <f t="shared" si="81"/>
        <v>1.0800000000000001E-2</v>
      </c>
      <c r="EN52" s="460">
        <f t="shared" si="121"/>
        <v>51.05</v>
      </c>
      <c r="EO52">
        <f t="shared" si="82"/>
        <v>0.89381122424595794</v>
      </c>
      <c r="EP52" s="460">
        <f t="shared" si="122"/>
        <v>893.81122424595799</v>
      </c>
      <c r="EQ52" s="173">
        <f t="shared" si="83"/>
        <v>0.29198749999999996</v>
      </c>
      <c r="ER52" s="173">
        <f t="shared" si="170"/>
        <v>5.2140624999999996E-2</v>
      </c>
      <c r="ES52" s="528"/>
      <c r="EU52" s="460">
        <f t="shared" si="123"/>
        <v>344.12812499999995</v>
      </c>
      <c r="EV52" s="528">
        <f t="shared" si="85"/>
        <v>1.41502675391164E-2</v>
      </c>
      <c r="EW52" s="528">
        <f t="shared" si="124"/>
        <v>2.6135446746597873E-2</v>
      </c>
      <c r="EX52" s="528">
        <f t="shared" si="86"/>
        <v>2.6272039875860299E-4</v>
      </c>
      <c r="EY52" s="528">
        <f t="shared" si="87"/>
        <v>0.65400181048788197</v>
      </c>
      <c r="EZ52" s="528">
        <f t="shared" si="88"/>
        <v>0.70657390676929932</v>
      </c>
      <c r="FA52" s="625">
        <f t="shared" si="89"/>
        <v>7.0499999999999981E-3</v>
      </c>
      <c r="FB52" s="460">
        <f t="shared" si="125"/>
        <v>713.62390676929931</v>
      </c>
      <c r="FC52" s="173">
        <f t="shared" si="126"/>
        <v>1.9515632560152574</v>
      </c>
      <c r="FD52" s="5">
        <f t="shared" si="127"/>
        <v>8.4599999999999991</v>
      </c>
      <c r="FE52" s="173">
        <f t="shared" si="128"/>
        <v>0.81255809449289507</v>
      </c>
      <c r="FF52" s="5">
        <f t="shared" si="129"/>
        <v>81.255809449289501</v>
      </c>
      <c r="FG52">
        <f t="shared" si="130"/>
        <v>47</v>
      </c>
      <c r="FI52" s="562">
        <f t="shared" si="90"/>
        <v>-50</v>
      </c>
      <c r="FJ52">
        <f t="shared" si="91"/>
        <v>-50</v>
      </c>
      <c r="FL52">
        <f t="shared" si="92"/>
        <v>0.49064417587195835</v>
      </c>
    </row>
    <row r="53" spans="5:168">
      <c r="E53" s="170">
        <v>48</v>
      </c>
      <c r="F53" s="217">
        <f t="shared" si="174"/>
        <v>0.48</v>
      </c>
      <c r="G53" s="217">
        <f t="shared" si="171"/>
        <v>0.12</v>
      </c>
      <c r="H53" s="217">
        <f t="shared" si="135"/>
        <v>7.68</v>
      </c>
      <c r="I53" s="217">
        <f t="shared" si="175"/>
        <v>0.96</v>
      </c>
      <c r="J53" s="541">
        <f t="shared" si="136"/>
        <v>23.934173629128793</v>
      </c>
      <c r="K53" s="443">
        <f t="shared" si="137"/>
        <v>16.729041841736166</v>
      </c>
      <c r="L53" s="172">
        <f t="shared" si="138"/>
        <v>40.663215470864955</v>
      </c>
      <c r="M53" s="443"/>
      <c r="N53" s="217">
        <f t="shared" si="139"/>
        <v>0.41140479541571084</v>
      </c>
      <c r="O53" s="172">
        <f t="shared" si="172"/>
        <v>21.881408456301852</v>
      </c>
      <c r="P53" s="172">
        <f t="shared" si="140"/>
        <v>3.0770730641674477</v>
      </c>
      <c r="Q53" s="217">
        <f t="shared" si="6"/>
        <v>1.3675880285188657</v>
      </c>
      <c r="R53" s="217">
        <f t="shared" si="141"/>
        <v>2.7351760570377315</v>
      </c>
      <c r="S53" s="443">
        <f t="shared" si="142"/>
        <v>16</v>
      </c>
      <c r="T53" s="217">
        <f t="shared" si="143"/>
        <v>1.7549144551954468</v>
      </c>
      <c r="U53" s="217">
        <f t="shared" si="10"/>
        <v>0.8798705060247326</v>
      </c>
      <c r="V53" s="217">
        <f t="shared" si="11"/>
        <v>1.2588272335960531</v>
      </c>
      <c r="W53" s="197">
        <f t="shared" si="12"/>
        <v>350</v>
      </c>
      <c r="X53" s="443">
        <f t="shared" si="95"/>
        <v>350</v>
      </c>
      <c r="Z53" s="217">
        <f t="shared" si="13"/>
        <v>2.3444366203180551</v>
      </c>
      <c r="AA53" s="173">
        <f t="shared" si="14"/>
        <v>1.6817005845265405</v>
      </c>
      <c r="AB53" s="173">
        <f t="shared" si="144"/>
        <v>0.68996207608550253</v>
      </c>
      <c r="AC53" s="173"/>
      <c r="AD53" s="173">
        <f t="shared" si="16"/>
        <v>0.71731543943311837</v>
      </c>
      <c r="AE53" s="545">
        <f t="shared" si="145"/>
        <v>1338.3233473388932</v>
      </c>
      <c r="AF53" s="528">
        <f t="shared" si="146"/>
        <v>0.1255302019007957</v>
      </c>
      <c r="AH53" s="173">
        <f t="shared" si="147"/>
        <v>2.0283702113484399</v>
      </c>
      <c r="AI53" s="173">
        <f t="shared" si="148"/>
        <v>2.0283702113484399</v>
      </c>
      <c r="AJ53" s="173">
        <f t="shared" si="149"/>
        <v>1.9617557121099554</v>
      </c>
      <c r="AL53" s="545">
        <f t="shared" si="150"/>
        <v>480</v>
      </c>
      <c r="AM53" s="460">
        <f t="shared" si="151"/>
        <v>350</v>
      </c>
      <c r="AO53">
        <f t="shared" si="96"/>
        <v>480</v>
      </c>
      <c r="AP53" s="460">
        <f t="shared" si="24"/>
        <v>350</v>
      </c>
      <c r="AQ53" s="460"/>
      <c r="AR53" s="5">
        <f t="shared" si="97"/>
        <v>2.8571428571428572</v>
      </c>
      <c r="AS53" s="5">
        <f t="shared" si="25"/>
        <v>1.0169744280018944</v>
      </c>
      <c r="AT53" s="5">
        <f t="shared" si="98"/>
        <v>1.8401684291409628</v>
      </c>
      <c r="AU53" s="173">
        <f t="shared" si="99"/>
        <v>0.35594104980066305</v>
      </c>
      <c r="AW53" s="5">
        <f t="shared" si="152"/>
        <v>3.050923284005683</v>
      </c>
      <c r="AX53" s="5">
        <f t="shared" si="153"/>
        <v>1.5254616420028415</v>
      </c>
      <c r="AY53" s="5">
        <f t="shared" si="28"/>
        <v>0.49206118953566091</v>
      </c>
      <c r="AZ53" s="5"/>
      <c r="BA53" s="173">
        <f t="shared" si="100"/>
        <v>0.69867569403902219</v>
      </c>
      <c r="BB53" s="173">
        <f t="shared" si="154"/>
        <v>0.93983022189524323</v>
      </c>
      <c r="BC53" s="173">
        <f t="shared" si="155"/>
        <v>0.23081124567133179</v>
      </c>
      <c r="BD53" s="173"/>
      <c r="BE53" s="528">
        <f t="shared" si="31"/>
        <v>9.7629545088181863E-3</v>
      </c>
      <c r="BF53" s="528">
        <f t="shared" si="156"/>
        <v>0.52684135104898688</v>
      </c>
      <c r="BG53" s="528">
        <f t="shared" si="157"/>
        <v>0.19267009771448676</v>
      </c>
      <c r="BH53" s="528">
        <f t="shared" si="34"/>
        <v>0.28502156130761969</v>
      </c>
      <c r="BI53">
        <f t="shared" si="35"/>
        <v>1.0770378133107956E-2</v>
      </c>
      <c r="BJ53" s="460">
        <f t="shared" si="101"/>
        <v>203.44047584759471</v>
      </c>
      <c r="BK53">
        <f t="shared" si="158"/>
        <v>0.82617833227707382</v>
      </c>
      <c r="BL53" s="460">
        <f t="shared" si="102"/>
        <v>826.17833227707388</v>
      </c>
      <c r="BM53" s="173">
        <f t="shared" si="159"/>
        <v>0.29819999999999997</v>
      </c>
      <c r="BN53" s="173">
        <f t="shared" si="160"/>
        <v>5.3249999999999999E-2</v>
      </c>
      <c r="BO53" s="528"/>
      <c r="BQ53" s="460">
        <f t="shared" si="103"/>
        <v>351.45</v>
      </c>
      <c r="BR53" s="528">
        <f t="shared" si="39"/>
        <v>1.4644431763227279E-2</v>
      </c>
      <c r="BS53" s="528">
        <f t="shared" si="104"/>
        <v>2.6498425379629861E-2</v>
      </c>
      <c r="BT53" s="528">
        <f t="shared" si="161"/>
        <v>2.6636915564175938E-4</v>
      </c>
      <c r="BU53" s="528">
        <f t="shared" si="41"/>
        <v>0.67144149160976652</v>
      </c>
      <c r="BV53" s="528">
        <f t="shared" si="162"/>
        <v>0.7251913010755805</v>
      </c>
      <c r="BW53" s="625">
        <f t="shared" si="163"/>
        <v>7.2000000000000007E-3</v>
      </c>
      <c r="BX53" s="460">
        <f t="shared" si="105"/>
        <v>732.39130107558049</v>
      </c>
      <c r="BY53" s="173">
        <f t="shared" si="106"/>
        <v>1.9100196333526545</v>
      </c>
      <c r="BZ53" s="5">
        <f t="shared" si="107"/>
        <v>8.64</v>
      </c>
      <c r="CA53" s="173">
        <f t="shared" si="108"/>
        <v>0.81895582191009864</v>
      </c>
      <c r="CB53" s="5">
        <f t="shared" si="109"/>
        <v>81.895582191009865</v>
      </c>
      <c r="CC53">
        <f t="shared" si="173"/>
        <v>48</v>
      </c>
      <c r="CE53" s="562">
        <f t="shared" si="164"/>
        <v>-50</v>
      </c>
      <c r="CF53">
        <f t="shared" si="165"/>
        <v>-50</v>
      </c>
      <c r="CG53" s="173">
        <f t="shared" si="166"/>
        <v>0.49583632232480251</v>
      </c>
      <c r="CH53" s="173">
        <f t="shared" si="167"/>
        <v>0.17527632456503667</v>
      </c>
      <c r="CI53" s="170">
        <v>48</v>
      </c>
      <c r="CJ53" s="217">
        <f t="shared" si="133"/>
        <v>0.48</v>
      </c>
      <c r="CK53" s="217">
        <f t="shared" si="111"/>
        <v>0.12</v>
      </c>
      <c r="CL53" s="217">
        <f t="shared" si="48"/>
        <v>7.68</v>
      </c>
      <c r="CM53" s="217">
        <f t="shared" si="134"/>
        <v>0.96</v>
      </c>
      <c r="CN53" s="541">
        <f t="shared" si="112"/>
        <v>24</v>
      </c>
      <c r="CO53" s="443">
        <f t="shared" si="168"/>
        <v>16.7</v>
      </c>
      <c r="CP53" s="443">
        <f t="shared" si="169"/>
        <v>40.700000000000003</v>
      </c>
      <c r="CQ53" s="443"/>
      <c r="CR53" s="217">
        <f t="shared" si="113"/>
        <v>0.40594059405940591</v>
      </c>
      <c r="CS53" s="172">
        <f t="shared" si="114"/>
        <v>21.650165016501649</v>
      </c>
      <c r="CT53" s="172">
        <f t="shared" si="51"/>
        <v>3.0445544554455446</v>
      </c>
      <c r="CU53" s="217">
        <f t="shared" si="52"/>
        <v>1.3531353135313531</v>
      </c>
      <c r="CV53" s="217">
        <f t="shared" si="53"/>
        <v>2.7062706270627062</v>
      </c>
      <c r="CW53" s="443">
        <f t="shared" si="54"/>
        <v>16</v>
      </c>
      <c r="CX53" s="217">
        <f t="shared" si="55"/>
        <v>1.7736585365853661</v>
      </c>
      <c r="CY53" s="217">
        <f t="shared" si="56"/>
        <v>0.88682926829268305</v>
      </c>
      <c r="CZ53" s="217">
        <f t="shared" si="57"/>
        <v>1.2744851759894849</v>
      </c>
      <c r="DA53" s="197">
        <f t="shared" si="58"/>
        <v>350</v>
      </c>
      <c r="DB53" s="443">
        <f t="shared" si="115"/>
        <v>350</v>
      </c>
      <c r="DD53" s="217">
        <f t="shared" si="59"/>
        <v>2.344682344682345</v>
      </c>
      <c r="DE53" s="173">
        <f t="shared" si="60"/>
        <v>1.6848016848016851</v>
      </c>
      <c r="DF53" s="173">
        <f t="shared" si="61"/>
        <v>0.69130683381297664</v>
      </c>
      <c r="DG53" s="173"/>
      <c r="DH53" s="173">
        <f t="shared" si="62"/>
        <v>0.71856287425149712</v>
      </c>
      <c r="DI53" s="545">
        <f t="shared" si="63"/>
        <v>1335.9999999999998</v>
      </c>
      <c r="DJ53" s="528">
        <f t="shared" si="64"/>
        <v>0.125748502994012</v>
      </c>
      <c r="DL53" s="173">
        <f t="shared" si="65"/>
        <v>2.0283702113484399</v>
      </c>
      <c r="DM53" s="173">
        <f t="shared" si="66"/>
        <v>2.0283702113484399</v>
      </c>
      <c r="DN53" s="173">
        <f t="shared" si="67"/>
        <v>1.9617557121099554</v>
      </c>
      <c r="DP53" s="545">
        <f t="shared" si="68"/>
        <v>480</v>
      </c>
      <c r="DQ53" s="460">
        <f t="shared" si="69"/>
        <v>350</v>
      </c>
      <c r="DS53">
        <f t="shared" si="116"/>
        <v>480</v>
      </c>
      <c r="DT53" s="460">
        <f t="shared" si="70"/>
        <v>350</v>
      </c>
      <c r="DU53" s="460"/>
      <c r="DV53" s="5">
        <f t="shared" si="117"/>
        <v>2.8571428571428572</v>
      </c>
      <c r="DW53" s="5">
        <f t="shared" si="71"/>
        <v>1.0141851056742199</v>
      </c>
      <c r="DX53" s="5">
        <f t="shared" si="118"/>
        <v>1.8429577514686373</v>
      </c>
      <c r="DY53" s="173">
        <f t="shared" si="119"/>
        <v>0.35496478698597694</v>
      </c>
      <c r="EA53" s="5">
        <f t="shared" si="72"/>
        <v>3.0425553170226598</v>
      </c>
      <c r="EB53" s="5">
        <f t="shared" si="73"/>
        <v>1.5212776585113299</v>
      </c>
      <c r="EC53" s="5">
        <f t="shared" si="74"/>
        <v>0.49145540039163654</v>
      </c>
      <c r="ED53" s="5"/>
      <c r="EE53" s="173">
        <f t="shared" si="120"/>
        <v>0.69771688436186319</v>
      </c>
      <c r="EF53" s="173">
        <f t="shared" si="75"/>
        <v>0.94054224822968269</v>
      </c>
      <c r="EG53" s="173">
        <f t="shared" si="76"/>
        <v>0.23098611096228969</v>
      </c>
      <c r="EH53" s="173"/>
      <c r="EI53" s="528">
        <f t="shared" si="77"/>
        <v>9.7361770144725121E-3</v>
      </c>
      <c r="EJ53" s="528">
        <f t="shared" si="78"/>
        <v>0.54898853955251203</v>
      </c>
      <c r="EK53" s="528">
        <f t="shared" si="79"/>
        <v>4.0250000000000001E-2</v>
      </c>
      <c r="EL53" s="528">
        <f t="shared" si="80"/>
        <v>0.28553746375000005</v>
      </c>
      <c r="EM53">
        <f t="shared" si="81"/>
        <v>1.0800000000000001E-2</v>
      </c>
      <c r="EN53" s="460">
        <f t="shared" si="121"/>
        <v>51.05</v>
      </c>
      <c r="EO53">
        <f t="shared" si="82"/>
        <v>0.90002298537609748</v>
      </c>
      <c r="EP53" s="460">
        <f t="shared" si="122"/>
        <v>900.02298537609749</v>
      </c>
      <c r="EQ53" s="173">
        <f t="shared" si="83"/>
        <v>0.29819999999999997</v>
      </c>
      <c r="ER53" s="173">
        <f t="shared" si="170"/>
        <v>5.3249999999999999E-2</v>
      </c>
      <c r="ES53" s="528"/>
      <c r="EU53" s="460">
        <f t="shared" si="123"/>
        <v>351.45</v>
      </c>
      <c r="EV53" s="528">
        <f t="shared" si="85"/>
        <v>1.4604265521708766E-2</v>
      </c>
      <c r="EW53" s="528">
        <f t="shared" si="124"/>
        <v>2.6538591621148383E-2</v>
      </c>
      <c r="EX53" s="528">
        <f t="shared" si="86"/>
        <v>2.6677291728741603E-4</v>
      </c>
      <c r="EY53" s="528">
        <f t="shared" si="87"/>
        <v>0.67144149160976652</v>
      </c>
      <c r="EZ53" s="528">
        <f t="shared" si="88"/>
        <v>0.72519182690633233</v>
      </c>
      <c r="FA53" s="625">
        <f t="shared" si="89"/>
        <v>7.2000000000000007E-3</v>
      </c>
      <c r="FB53" s="460">
        <f t="shared" si="125"/>
        <v>732.39182690633231</v>
      </c>
      <c r="FC53" s="173">
        <f t="shared" si="126"/>
        <v>1.9838648122824298</v>
      </c>
      <c r="FD53" s="5">
        <f t="shared" si="127"/>
        <v>8.64</v>
      </c>
      <c r="FE53" s="173">
        <f t="shared" si="128"/>
        <v>0.81326336061911764</v>
      </c>
      <c r="FF53" s="5">
        <f t="shared" si="129"/>
        <v>81.326336061911761</v>
      </c>
      <c r="FG53">
        <f t="shared" si="130"/>
        <v>48</v>
      </c>
      <c r="FI53" s="562">
        <f t="shared" si="90"/>
        <v>-50</v>
      </c>
      <c r="FJ53">
        <f t="shared" si="91"/>
        <v>-50</v>
      </c>
      <c r="FL53">
        <f t="shared" si="92"/>
        <v>0.4958363223248024</v>
      </c>
    </row>
    <row r="54" spans="5:168">
      <c r="E54" s="170">
        <v>49</v>
      </c>
      <c r="F54" s="217">
        <f t="shared" si="174"/>
        <v>0.49</v>
      </c>
      <c r="G54" s="217">
        <f t="shared" si="171"/>
        <v>0.1225</v>
      </c>
      <c r="H54" s="217">
        <f t="shared" si="135"/>
        <v>7.84</v>
      </c>
      <c r="I54" s="217">
        <f t="shared" si="175"/>
        <v>0.98</v>
      </c>
      <c r="J54" s="541">
        <f t="shared" si="136"/>
        <v>23.933491472351033</v>
      </c>
      <c r="K54" s="443">
        <f t="shared" si="137"/>
        <v>16.729342801502241</v>
      </c>
      <c r="L54" s="172">
        <f t="shared" si="138"/>
        <v>40.662834273853278</v>
      </c>
      <c r="M54" s="443"/>
      <c r="N54" s="217">
        <f t="shared" si="139"/>
        <v>0.41141605351054988</v>
      </c>
      <c r="O54" s="172">
        <f t="shared" si="172"/>
        <v>21.88138357396236</v>
      </c>
      <c r="P54" s="172">
        <f t="shared" si="140"/>
        <v>3.0770695650884567</v>
      </c>
      <c r="Q54" s="217">
        <f t="shared" si="6"/>
        <v>1.3675864733726475</v>
      </c>
      <c r="R54" s="217">
        <f t="shared" si="141"/>
        <v>2.735172946745295</v>
      </c>
      <c r="S54" s="443">
        <f t="shared" si="142"/>
        <v>16</v>
      </c>
      <c r="T54" s="217">
        <f t="shared" si="143"/>
        <v>1.7914772101818024</v>
      </c>
      <c r="U54" s="217">
        <f t="shared" si="10"/>
        <v>0.89822776367654922</v>
      </c>
      <c r="V54" s="217">
        <f t="shared" si="11"/>
        <v>1.2850311442151334</v>
      </c>
      <c r="W54" s="197">
        <f t="shared" si="12"/>
        <v>350</v>
      </c>
      <c r="X54" s="443">
        <f t="shared" si="95"/>
        <v>350</v>
      </c>
      <c r="Z54" s="217">
        <f t="shared" si="13"/>
        <v>2.3444339543531099</v>
      </c>
      <c r="AA54" s="173">
        <f t="shared" si="14"/>
        <v>1.681668418541286</v>
      </c>
      <c r="AB54" s="173">
        <f t="shared" si="144"/>
        <v>0.68994809456851036</v>
      </c>
      <c r="AC54" s="173"/>
      <c r="AD54" s="173">
        <f t="shared" si="16"/>
        <v>0.71730253497599672</v>
      </c>
      <c r="AE54" s="545">
        <f t="shared" si="145"/>
        <v>1366.2296621226828</v>
      </c>
      <c r="AF54" s="528">
        <f t="shared" si="146"/>
        <v>0.12552794362079941</v>
      </c>
      <c r="AH54" s="173">
        <f t="shared" si="147"/>
        <v>2.0493901531919199</v>
      </c>
      <c r="AI54" s="173">
        <f t="shared" si="148"/>
        <v>2.0493901531919199</v>
      </c>
      <c r="AJ54" s="173">
        <f t="shared" si="149"/>
        <v>1.977326039401422</v>
      </c>
      <c r="AL54" s="545">
        <f t="shared" si="150"/>
        <v>490</v>
      </c>
      <c r="AM54" s="460">
        <f t="shared" si="151"/>
        <v>350</v>
      </c>
      <c r="AO54">
        <f t="shared" si="96"/>
        <v>490</v>
      </c>
      <c r="AP54" s="460">
        <f t="shared" si="24"/>
        <v>350</v>
      </c>
      <c r="AQ54" s="460"/>
      <c r="AR54" s="5">
        <f t="shared" si="97"/>
        <v>2.8571428571428572</v>
      </c>
      <c r="AS54" s="5">
        <f t="shared" si="25"/>
        <v>1.0275425909635263</v>
      </c>
      <c r="AT54" s="5">
        <f t="shared" si="98"/>
        <v>1.8296002661793309</v>
      </c>
      <c r="AU54" s="173">
        <f t="shared" si="99"/>
        <v>0.35963990683723418</v>
      </c>
      <c r="AW54" s="5">
        <f t="shared" si="152"/>
        <v>3.1468491848257996</v>
      </c>
      <c r="AX54" s="5">
        <f t="shared" si="153"/>
        <v>1.5734245924128998</v>
      </c>
      <c r="AY54" s="5">
        <f t="shared" si="28"/>
        <v>0.49944189795768046</v>
      </c>
      <c r="AZ54" s="5"/>
      <c r="BA54" s="173">
        <f t="shared" si="100"/>
        <v>0.70957442849367669</v>
      </c>
      <c r="BB54" s="173">
        <f t="shared" si="154"/>
        <v>0.94683902033443479</v>
      </c>
      <c r="BC54" s="173">
        <f t="shared" si="155"/>
        <v>0.23253252411154501</v>
      </c>
      <c r="BD54" s="173"/>
      <c r="BE54" s="528">
        <f t="shared" si="31"/>
        <v>1.0069917391442558E-2</v>
      </c>
      <c r="BF54" s="528">
        <f t="shared" si="156"/>
        <v>0.53229600268292154</v>
      </c>
      <c r="BG54" s="528">
        <f t="shared" si="157"/>
        <v>0.19266460635242583</v>
      </c>
      <c r="BH54" s="528">
        <f t="shared" si="34"/>
        <v>0.28501621746764494</v>
      </c>
      <c r="BI54">
        <f t="shared" si="35"/>
        <v>1.0770071162557964E-2</v>
      </c>
      <c r="BJ54" s="460">
        <f t="shared" si="101"/>
        <v>203.43467751498378</v>
      </c>
      <c r="BK54">
        <f t="shared" si="158"/>
        <v>0.83209188858514027</v>
      </c>
      <c r="BL54" s="460">
        <f t="shared" si="102"/>
        <v>832.09188858514028</v>
      </c>
      <c r="BM54" s="173">
        <f t="shared" si="159"/>
        <v>0.30441249999999997</v>
      </c>
      <c r="BN54" s="173">
        <f t="shared" si="160"/>
        <v>5.4359374999999995E-2</v>
      </c>
      <c r="BO54" s="528"/>
      <c r="BQ54" s="460">
        <f t="shared" si="103"/>
        <v>358.77187499999997</v>
      </c>
      <c r="BR54" s="528">
        <f t="shared" si="39"/>
        <v>1.5104876087163837E-2</v>
      </c>
      <c r="BS54" s="528">
        <f t="shared" si="104"/>
        <v>2.6895123912836168E-2</v>
      </c>
      <c r="BT54" s="528">
        <f t="shared" si="161"/>
        <v>2.703568738484313E-4</v>
      </c>
      <c r="BU54" s="528">
        <f t="shared" si="41"/>
        <v>0.68897224713634042</v>
      </c>
      <c r="BV54" s="528">
        <f t="shared" si="162"/>
        <v>0.74390309359959372</v>
      </c>
      <c r="BW54" s="625">
        <f t="shared" si="163"/>
        <v>7.3500000000000024E-3</v>
      </c>
      <c r="BX54" s="460">
        <f t="shared" si="105"/>
        <v>751.25309359959374</v>
      </c>
      <c r="BY54" s="173">
        <f t="shared" si="106"/>
        <v>1.942116857184734</v>
      </c>
      <c r="BZ54" s="5">
        <f t="shared" si="107"/>
        <v>8.82</v>
      </c>
      <c r="CA54" s="173">
        <f t="shared" si="108"/>
        <v>0.81954137062838273</v>
      </c>
      <c r="CB54" s="5">
        <f t="shared" si="109"/>
        <v>81.954137062838271</v>
      </c>
      <c r="CC54">
        <f t="shared" si="173"/>
        <v>49</v>
      </c>
      <c r="CE54" s="562">
        <f t="shared" si="164"/>
        <v>-50</v>
      </c>
      <c r="CF54">
        <f t="shared" si="165"/>
        <v>-50</v>
      </c>
      <c r="CG54" s="173">
        <f t="shared" si="166"/>
        <v>0.50097465979438283</v>
      </c>
      <c r="CH54" s="173">
        <f t="shared" si="167"/>
        <v>0.17709270804783622</v>
      </c>
      <c r="CI54" s="170">
        <v>49</v>
      </c>
      <c r="CJ54" s="217">
        <f t="shared" si="133"/>
        <v>0.49</v>
      </c>
      <c r="CK54" s="217">
        <f t="shared" si="111"/>
        <v>0.1225</v>
      </c>
      <c r="CL54" s="217">
        <f t="shared" si="48"/>
        <v>7.84</v>
      </c>
      <c r="CM54" s="217">
        <f t="shared" si="134"/>
        <v>0.98</v>
      </c>
      <c r="CN54" s="541">
        <f t="shared" si="112"/>
        <v>24</v>
      </c>
      <c r="CO54" s="443">
        <f t="shared" si="168"/>
        <v>16.7</v>
      </c>
      <c r="CP54" s="443">
        <f t="shared" si="169"/>
        <v>40.700000000000003</v>
      </c>
      <c r="CQ54" s="443"/>
      <c r="CR54" s="217">
        <f t="shared" si="113"/>
        <v>0.40594059405940591</v>
      </c>
      <c r="CS54" s="172">
        <f t="shared" si="114"/>
        <v>21.650165016501649</v>
      </c>
      <c r="CT54" s="172">
        <f t="shared" si="51"/>
        <v>3.0445544554455446</v>
      </c>
      <c r="CU54" s="217">
        <f t="shared" si="52"/>
        <v>1.3531353135313531</v>
      </c>
      <c r="CV54" s="217">
        <f t="shared" si="53"/>
        <v>2.7062706270627062</v>
      </c>
      <c r="CW54" s="443">
        <f t="shared" si="54"/>
        <v>16</v>
      </c>
      <c r="CX54" s="217">
        <f t="shared" si="55"/>
        <v>1.8106097560975611</v>
      </c>
      <c r="CY54" s="217">
        <f t="shared" si="56"/>
        <v>0.90530487804878068</v>
      </c>
      <c r="CZ54" s="217">
        <f t="shared" si="57"/>
        <v>1.3010369504892656</v>
      </c>
      <c r="DA54" s="197">
        <f t="shared" si="58"/>
        <v>350</v>
      </c>
      <c r="DB54" s="443">
        <f t="shared" si="115"/>
        <v>350</v>
      </c>
      <c r="DD54" s="217">
        <f t="shared" si="59"/>
        <v>2.344682344682345</v>
      </c>
      <c r="DE54" s="173">
        <f t="shared" si="60"/>
        <v>1.6848016848016851</v>
      </c>
      <c r="DF54" s="173">
        <f t="shared" si="61"/>
        <v>0.69130683381297664</v>
      </c>
      <c r="DG54" s="173"/>
      <c r="DH54" s="173">
        <f t="shared" si="62"/>
        <v>0.71856287425149712</v>
      </c>
      <c r="DI54" s="545">
        <f t="shared" si="63"/>
        <v>1363.833333333333</v>
      </c>
      <c r="DJ54" s="528">
        <f t="shared" si="64"/>
        <v>0.125748502994012</v>
      </c>
      <c r="DL54" s="173">
        <f t="shared" si="65"/>
        <v>2.0493901531919199</v>
      </c>
      <c r="DM54" s="173">
        <f t="shared" si="66"/>
        <v>2.0493901531919199</v>
      </c>
      <c r="DN54" s="173">
        <f t="shared" si="67"/>
        <v>1.977326039401422</v>
      </c>
      <c r="DP54" s="545">
        <f t="shared" si="68"/>
        <v>490</v>
      </c>
      <c r="DQ54" s="460">
        <f t="shared" si="69"/>
        <v>350</v>
      </c>
      <c r="DS54">
        <f t="shared" si="116"/>
        <v>490</v>
      </c>
      <c r="DT54" s="460">
        <f t="shared" si="70"/>
        <v>350</v>
      </c>
      <c r="DU54" s="460"/>
      <c r="DV54" s="5">
        <f t="shared" si="117"/>
        <v>2.8571428571428572</v>
      </c>
      <c r="DW54" s="5">
        <f t="shared" si="71"/>
        <v>1.0246950765959599</v>
      </c>
      <c r="DX54" s="5">
        <f t="shared" si="118"/>
        <v>1.8324477805468973</v>
      </c>
      <c r="DY54" s="173">
        <f t="shared" si="119"/>
        <v>0.35864327680858599</v>
      </c>
      <c r="EA54" s="5">
        <f t="shared" si="72"/>
        <v>3.1381286720751271</v>
      </c>
      <c r="EB54" s="5">
        <f t="shared" si="73"/>
        <v>1.5690643360375636</v>
      </c>
      <c r="EC54" s="5">
        <f t="shared" si="74"/>
        <v>0.49883300692665528</v>
      </c>
      <c r="ED54" s="5"/>
      <c r="EE54" s="173">
        <f t="shared" si="120"/>
        <v>0.70859056410032761</v>
      </c>
      <c r="EF54" s="173">
        <f t="shared" si="75"/>
        <v>0.94757554446491477</v>
      </c>
      <c r="EG54" s="173">
        <f t="shared" si="76"/>
        <v>0.23271340577300112</v>
      </c>
      <c r="EH54" s="173"/>
      <c r="EI54" s="528">
        <f t="shared" si="77"/>
        <v>1.0042011750640409E-2</v>
      </c>
      <c r="EJ54" s="528">
        <f t="shared" si="78"/>
        <v>0.5546776919121591</v>
      </c>
      <c r="EK54" s="528">
        <f t="shared" si="79"/>
        <v>4.0250000000000001E-2</v>
      </c>
      <c r="EL54" s="528">
        <f t="shared" si="80"/>
        <v>0.28553746375000005</v>
      </c>
      <c r="EM54">
        <f t="shared" si="81"/>
        <v>1.0800000000000001E-2</v>
      </c>
      <c r="EN54" s="460">
        <f t="shared" si="121"/>
        <v>51.05</v>
      </c>
      <c r="EO54">
        <f t="shared" si="82"/>
        <v>0.90618064127701514</v>
      </c>
      <c r="EP54" s="460">
        <f t="shared" si="122"/>
        <v>906.18064127701518</v>
      </c>
      <c r="EQ54" s="173">
        <f t="shared" si="83"/>
        <v>0.30441249999999997</v>
      </c>
      <c r="ER54" s="173">
        <f t="shared" si="170"/>
        <v>5.4359374999999995E-2</v>
      </c>
      <c r="ES54" s="528"/>
      <c r="EU54" s="460">
        <f t="shared" si="123"/>
        <v>358.77187499999997</v>
      </c>
      <c r="EV54" s="528">
        <f t="shared" si="85"/>
        <v>1.5063017625960613E-2</v>
      </c>
      <c r="EW54" s="528">
        <f t="shared" si="124"/>
        <v>2.6936982374039388E-2</v>
      </c>
      <c r="EX54" s="528">
        <f t="shared" si="86"/>
        <v>2.7077764613234737E-4</v>
      </c>
      <c r="EY54" s="528">
        <f t="shared" si="87"/>
        <v>0.68897224713634042</v>
      </c>
      <c r="EZ54" s="528">
        <f t="shared" si="88"/>
        <v>0.74390364225369277</v>
      </c>
      <c r="FA54" s="625">
        <f t="shared" si="89"/>
        <v>7.3500000000000024E-3</v>
      </c>
      <c r="FB54" s="460">
        <f t="shared" si="125"/>
        <v>751.25364225369276</v>
      </c>
      <c r="FC54" s="173">
        <f t="shared" si="126"/>
        <v>2.0162061585307081</v>
      </c>
      <c r="FD54" s="5">
        <f t="shared" si="127"/>
        <v>8.82</v>
      </c>
      <c r="FE54" s="173">
        <f t="shared" si="128"/>
        <v>0.81393800292886942</v>
      </c>
      <c r="FF54" s="5">
        <f t="shared" si="129"/>
        <v>81.393800292886937</v>
      </c>
      <c r="FG54">
        <f t="shared" si="130"/>
        <v>49</v>
      </c>
      <c r="FI54" s="562">
        <f t="shared" si="90"/>
        <v>-50</v>
      </c>
      <c r="FJ54">
        <f t="shared" si="91"/>
        <v>-50</v>
      </c>
      <c r="FL54">
        <f t="shared" si="92"/>
        <v>0.50097465979438283</v>
      </c>
    </row>
    <row r="55" spans="5:168">
      <c r="E55" s="170">
        <v>50</v>
      </c>
      <c r="F55" s="217">
        <f t="shared" si="174"/>
        <v>0.5</v>
      </c>
      <c r="G55" s="217">
        <f t="shared" si="171"/>
        <v>0.125</v>
      </c>
      <c r="H55" s="217">
        <f t="shared" si="135"/>
        <v>8</v>
      </c>
      <c r="I55" s="217">
        <f t="shared" si="175"/>
        <v>1</v>
      </c>
      <c r="J55" s="541">
        <f t="shared" si="136"/>
        <v>23.932816241560975</v>
      </c>
      <c r="K55" s="443">
        <f t="shared" si="137"/>
        <v>16.729640705601781</v>
      </c>
      <c r="L55" s="172">
        <f t="shared" si="138"/>
        <v>40.662456947162752</v>
      </c>
      <c r="M55" s="443"/>
      <c r="N55" s="217">
        <f t="shared" si="139"/>
        <v>0.41142719750900597</v>
      </c>
      <c r="O55" s="172">
        <f t="shared" si="172"/>
        <v>21.88135892169656</v>
      </c>
      <c r="P55" s="172">
        <f t="shared" si="140"/>
        <v>3.0770660983635789</v>
      </c>
      <c r="Q55" s="217">
        <f t="shared" si="6"/>
        <v>1.367584932606035</v>
      </c>
      <c r="R55" s="217">
        <f t="shared" si="141"/>
        <v>2.73516986521207</v>
      </c>
      <c r="S55" s="443">
        <f t="shared" si="142"/>
        <v>16</v>
      </c>
      <c r="T55" s="217">
        <f t="shared" si="143"/>
        <v>1.8280400291015664</v>
      </c>
      <c r="U55" s="217">
        <f t="shared" si="10"/>
        <v>0.91658583460498044</v>
      </c>
      <c r="V55" s="217">
        <f t="shared" si="11"/>
        <v>1.3112343973934568</v>
      </c>
      <c r="W55" s="197">
        <f t="shared" si="12"/>
        <v>350</v>
      </c>
      <c r="X55" s="443">
        <f t="shared" si="95"/>
        <v>350</v>
      </c>
      <c r="Z55" s="217">
        <f t="shared" si="13"/>
        <v>2.3444313130389172</v>
      </c>
      <c r="AA55" s="173">
        <f t="shared" si="14"/>
        <v>1.6816365785456975</v>
      </c>
      <c r="AB55" s="173">
        <f t="shared" si="144"/>
        <v>0.68993425408147824</v>
      </c>
      <c r="AC55" s="173"/>
      <c r="AD55" s="173">
        <f t="shared" si="16"/>
        <v>0.71728976199601824</v>
      </c>
      <c r="AE55" s="545">
        <f t="shared" si="145"/>
        <v>1394.1367254668151</v>
      </c>
      <c r="AF55" s="528">
        <f t="shared" si="146"/>
        <v>0.12552570834930318</v>
      </c>
      <c r="AH55" s="173">
        <f t="shared" si="147"/>
        <v>2.0701966780270626</v>
      </c>
      <c r="AI55" s="173">
        <f t="shared" si="148"/>
        <v>2.0701966780270626</v>
      </c>
      <c r="AJ55" s="173">
        <f t="shared" si="149"/>
        <v>1.9927382800200464</v>
      </c>
      <c r="AL55" s="545">
        <f t="shared" si="150"/>
        <v>500</v>
      </c>
      <c r="AM55" s="460">
        <f t="shared" si="151"/>
        <v>350</v>
      </c>
      <c r="AO55">
        <f t="shared" si="96"/>
        <v>500</v>
      </c>
      <c r="AP55" s="460">
        <f t="shared" si="24"/>
        <v>350</v>
      </c>
      <c r="AQ55" s="460"/>
      <c r="AR55" s="5">
        <f t="shared" si="97"/>
        <v>2.8571428571428572</v>
      </c>
      <c r="AS55" s="5">
        <f t="shared" si="25"/>
        <v>1.0380040478973926</v>
      </c>
      <c r="AT55" s="5">
        <f t="shared" si="98"/>
        <v>1.8191388092454646</v>
      </c>
      <c r="AU55" s="173">
        <f t="shared" si="99"/>
        <v>0.36330141676408739</v>
      </c>
      <c r="AW55" s="5">
        <f t="shared" si="152"/>
        <v>3.2437626496793519</v>
      </c>
      <c r="AX55" s="5">
        <f t="shared" si="153"/>
        <v>1.621881324839676</v>
      </c>
      <c r="AY55" s="5">
        <f t="shared" si="28"/>
        <v>0.50673485055954404</v>
      </c>
      <c r="AZ55" s="5"/>
      <c r="BA55" s="173">
        <f t="shared" si="100"/>
        <v>0.72041795087899929</v>
      </c>
      <c r="BB55" s="173">
        <f t="shared" si="154"/>
        <v>0.95371348140976409</v>
      </c>
      <c r="BC55" s="173">
        <f t="shared" si="155"/>
        <v>0.23422081087563321</v>
      </c>
      <c r="BD55" s="173"/>
      <c r="BE55" s="528">
        <f t="shared" si="31"/>
        <v>1.0380040478973925E-2</v>
      </c>
      <c r="BF55" s="528">
        <f t="shared" si="156"/>
        <v>0.53769517203042727</v>
      </c>
      <c r="BG55" s="528">
        <f t="shared" si="157"/>
        <v>0.19265917074456587</v>
      </c>
      <c r="BH55" s="528">
        <f t="shared" si="34"/>
        <v>0.28501092793340416</v>
      </c>
      <c r="BI55">
        <f t="shared" si="35"/>
        <v>1.0769767308702438E-2</v>
      </c>
      <c r="BJ55" s="460">
        <f t="shared" si="101"/>
        <v>203.4289380532683</v>
      </c>
      <c r="BK55">
        <f t="shared" si="158"/>
        <v>0.8379553987759556</v>
      </c>
      <c r="BL55" s="460">
        <f t="shared" si="102"/>
        <v>837.95539877595559</v>
      </c>
      <c r="BM55" s="173">
        <f t="shared" si="159"/>
        <v>0.31062499999999998</v>
      </c>
      <c r="BN55" s="173">
        <f t="shared" si="160"/>
        <v>5.5468749999999997E-2</v>
      </c>
      <c r="BO55" s="528"/>
      <c r="BQ55" s="460">
        <f t="shared" si="103"/>
        <v>366.09375</v>
      </c>
      <c r="BR55" s="528">
        <f t="shared" si="39"/>
        <v>1.5570060718460886E-2</v>
      </c>
      <c r="BS55" s="528">
        <f t="shared" si="104"/>
        <v>2.7287082138681969E-2</v>
      </c>
      <c r="BT55" s="528">
        <f t="shared" si="161"/>
        <v>2.7429694123619569E-4</v>
      </c>
      <c r="BU55" s="528">
        <f t="shared" si="41"/>
        <v>0.70659267931288139</v>
      </c>
      <c r="BV55" s="528">
        <f t="shared" si="162"/>
        <v>0.76270739812093802</v>
      </c>
      <c r="BW55" s="625">
        <f t="shared" si="163"/>
        <v>7.5000000000000006E-3</v>
      </c>
      <c r="BX55" s="460">
        <f t="shared" si="105"/>
        <v>770.20739812093802</v>
      </c>
      <c r="BY55" s="173">
        <f t="shared" si="106"/>
        <v>1.9742565468968936</v>
      </c>
      <c r="BZ55" s="5">
        <f t="shared" si="107"/>
        <v>9</v>
      </c>
      <c r="CA55" s="173">
        <f t="shared" si="108"/>
        <v>0.82010111222931648</v>
      </c>
      <c r="CB55" s="5">
        <f t="shared" si="109"/>
        <v>82.010111222931641</v>
      </c>
      <c r="CC55">
        <f t="shared" si="173"/>
        <v>50</v>
      </c>
      <c r="CE55" s="562">
        <f t="shared" si="164"/>
        <v>-50</v>
      </c>
      <c r="CF55">
        <f t="shared" si="165"/>
        <v>-50</v>
      </c>
      <c r="CG55" s="173">
        <f t="shared" si="166"/>
        <v>0.50606082734747393</v>
      </c>
      <c r="CH55" s="173">
        <f t="shared" si="167"/>
        <v>0.17889064965616355</v>
      </c>
      <c r="CI55" s="170">
        <v>50</v>
      </c>
      <c r="CJ55" s="217">
        <f t="shared" si="133"/>
        <v>0.5</v>
      </c>
      <c r="CK55" s="217">
        <f t="shared" si="111"/>
        <v>0.125</v>
      </c>
      <c r="CL55" s="217">
        <f t="shared" si="48"/>
        <v>8</v>
      </c>
      <c r="CM55" s="217">
        <f t="shared" si="134"/>
        <v>1</v>
      </c>
      <c r="CN55" s="541">
        <f t="shared" si="112"/>
        <v>24</v>
      </c>
      <c r="CO55" s="443">
        <f t="shared" si="168"/>
        <v>16.7</v>
      </c>
      <c r="CP55" s="443">
        <f t="shared" si="169"/>
        <v>40.700000000000003</v>
      </c>
      <c r="CQ55" s="443"/>
      <c r="CR55" s="217">
        <f t="shared" si="113"/>
        <v>0.40594059405940591</v>
      </c>
      <c r="CS55" s="172">
        <f t="shared" si="114"/>
        <v>21.650165016501649</v>
      </c>
      <c r="CT55" s="172">
        <f t="shared" si="51"/>
        <v>3.0445544554455446</v>
      </c>
      <c r="CU55" s="217">
        <f t="shared" si="52"/>
        <v>1.3531353135313531</v>
      </c>
      <c r="CV55" s="217">
        <f t="shared" si="53"/>
        <v>2.7062706270627062</v>
      </c>
      <c r="CW55" s="443">
        <f t="shared" si="54"/>
        <v>16</v>
      </c>
      <c r="CX55" s="217">
        <f t="shared" si="55"/>
        <v>1.8475609756097562</v>
      </c>
      <c r="CY55" s="217">
        <f t="shared" si="56"/>
        <v>0.92378048780487809</v>
      </c>
      <c r="CZ55" s="217">
        <f t="shared" si="57"/>
        <v>1.3275887249890466</v>
      </c>
      <c r="DA55" s="197">
        <f t="shared" si="58"/>
        <v>350</v>
      </c>
      <c r="DB55" s="443">
        <f t="shared" si="115"/>
        <v>350</v>
      </c>
      <c r="DD55" s="217">
        <f t="shared" si="59"/>
        <v>2.344682344682345</v>
      </c>
      <c r="DE55" s="173">
        <f t="shared" si="60"/>
        <v>1.6848016848016851</v>
      </c>
      <c r="DF55" s="173">
        <f t="shared" si="61"/>
        <v>0.69130683381297664</v>
      </c>
      <c r="DG55" s="173"/>
      <c r="DH55" s="173">
        <f t="shared" si="62"/>
        <v>0.71856287425149712</v>
      </c>
      <c r="DI55" s="545">
        <f t="shared" si="63"/>
        <v>1391.6666666666665</v>
      </c>
      <c r="DJ55" s="528">
        <f t="shared" si="64"/>
        <v>0.125748502994012</v>
      </c>
      <c r="DL55" s="173">
        <f t="shared" si="65"/>
        <v>2.0701966780270626</v>
      </c>
      <c r="DM55" s="173">
        <f t="shared" si="66"/>
        <v>2.0701966780270626</v>
      </c>
      <c r="DN55" s="173">
        <f t="shared" si="67"/>
        <v>1.9927382800200464</v>
      </c>
      <c r="DP55" s="545">
        <f t="shared" si="68"/>
        <v>500</v>
      </c>
      <c r="DQ55" s="460">
        <f t="shared" si="69"/>
        <v>350</v>
      </c>
      <c r="DS55">
        <f t="shared" si="116"/>
        <v>500</v>
      </c>
      <c r="DT55" s="460">
        <f t="shared" si="70"/>
        <v>350</v>
      </c>
      <c r="DU55" s="460"/>
      <c r="DV55" s="5">
        <f t="shared" si="117"/>
        <v>2.8571428571428572</v>
      </c>
      <c r="DW55" s="5">
        <f t="shared" si="71"/>
        <v>1.0350983390135313</v>
      </c>
      <c r="DX55" s="5">
        <f t="shared" si="118"/>
        <v>1.8220445181293259</v>
      </c>
      <c r="DY55" s="173">
        <f t="shared" si="119"/>
        <v>0.36228441865473593</v>
      </c>
      <c r="EA55" s="5">
        <f t="shared" si="72"/>
        <v>3.2346823094172854</v>
      </c>
      <c r="EB55" s="5">
        <f t="shared" si="73"/>
        <v>1.6173411547086427</v>
      </c>
      <c r="EC55" s="5">
        <f t="shared" si="74"/>
        <v>0.50612347725814599</v>
      </c>
      <c r="ED55" s="5"/>
      <c r="EE55" s="173">
        <f t="shared" si="120"/>
        <v>0.71940890285481285</v>
      </c>
      <c r="EF55" s="173">
        <f t="shared" si="75"/>
        <v>0.95447486036284002</v>
      </c>
      <c r="EG55" s="173">
        <f t="shared" si="76"/>
        <v>0.23440779658910921</v>
      </c>
      <c r="EH55" s="173"/>
      <c r="EI55" s="528">
        <f t="shared" si="77"/>
        <v>1.0350983390135311E-2</v>
      </c>
      <c r="EJ55" s="528">
        <f t="shared" si="78"/>
        <v>0.56030908189141471</v>
      </c>
      <c r="EK55" s="528">
        <f t="shared" si="79"/>
        <v>4.0250000000000001E-2</v>
      </c>
      <c r="EL55" s="528">
        <f t="shared" si="80"/>
        <v>0.28553746375000005</v>
      </c>
      <c r="EM55">
        <f t="shared" si="81"/>
        <v>1.0800000000000001E-2</v>
      </c>
      <c r="EN55" s="460">
        <f t="shared" si="121"/>
        <v>51.05</v>
      </c>
      <c r="EO55">
        <f t="shared" si="82"/>
        <v>0.91228596485903446</v>
      </c>
      <c r="EP55" s="460">
        <f t="shared" si="122"/>
        <v>912.28596485903449</v>
      </c>
      <c r="EQ55" s="173">
        <f t="shared" si="83"/>
        <v>0.31062499999999998</v>
      </c>
      <c r="ER55" s="173">
        <f t="shared" si="170"/>
        <v>5.5468749999999997E-2</v>
      </c>
      <c r="ES55" s="528"/>
      <c r="EU55" s="460">
        <f t="shared" si="123"/>
        <v>366.09375</v>
      </c>
      <c r="EV55" s="528">
        <f t="shared" si="85"/>
        <v>1.5526475085202966E-2</v>
      </c>
      <c r="EW55" s="528">
        <f t="shared" si="124"/>
        <v>2.7330667771939886E-2</v>
      </c>
      <c r="EX55" s="528">
        <f t="shared" si="86"/>
        <v>2.7473507550880599E-4</v>
      </c>
      <c r="EY55" s="528">
        <f t="shared" si="87"/>
        <v>0.70659267931288139</v>
      </c>
      <c r="EZ55" s="528">
        <f t="shared" si="88"/>
        <v>0.76270797011458891</v>
      </c>
      <c r="FA55" s="625">
        <f t="shared" si="89"/>
        <v>7.5000000000000006E-3</v>
      </c>
      <c r="FB55" s="460">
        <f t="shared" si="125"/>
        <v>770.20797011458887</v>
      </c>
      <c r="FC55" s="173">
        <f t="shared" si="126"/>
        <v>2.0485876849736231</v>
      </c>
      <c r="FD55" s="5">
        <f t="shared" si="127"/>
        <v>9</v>
      </c>
      <c r="FE55" s="173">
        <f t="shared" si="128"/>
        <v>0.81458375102912417</v>
      </c>
      <c r="FF55" s="5">
        <f t="shared" si="129"/>
        <v>81.458375102912413</v>
      </c>
      <c r="FG55">
        <f t="shared" si="130"/>
        <v>50</v>
      </c>
      <c r="FI55" s="562">
        <f t="shared" si="90"/>
        <v>-50</v>
      </c>
      <c r="FJ55">
        <f t="shared" si="91"/>
        <v>-50</v>
      </c>
      <c r="FL55">
        <f t="shared" si="92"/>
        <v>0.50606082734747393</v>
      </c>
    </row>
    <row r="56" spans="5:168">
      <c r="E56" s="170">
        <v>51</v>
      </c>
      <c r="F56" s="217">
        <f t="shared" si="174"/>
        <v>0.51</v>
      </c>
      <c r="G56" s="217">
        <f t="shared" si="171"/>
        <v>0.1275</v>
      </c>
      <c r="H56" s="217">
        <f t="shared" si="135"/>
        <v>8.16</v>
      </c>
      <c r="I56" s="217">
        <f t="shared" si="175"/>
        <v>1.02</v>
      </c>
      <c r="J56" s="541">
        <f t="shared" si="136"/>
        <v>23.932147729986731</v>
      </c>
      <c r="K56" s="443">
        <f t="shared" si="137"/>
        <v>16.72993564526017</v>
      </c>
      <c r="L56" s="172">
        <f t="shared" si="138"/>
        <v>40.662083375246901</v>
      </c>
      <c r="M56" s="443"/>
      <c r="N56" s="217">
        <f t="shared" si="139"/>
        <v>0.41143823081737474</v>
      </c>
      <c r="O56" s="172">
        <f t="shared" si="172"/>
        <v>21.881334492635094</v>
      </c>
      <c r="P56" s="172">
        <f t="shared" si="140"/>
        <v>3.0770626630268101</v>
      </c>
      <c r="Q56" s="217">
        <f t="shared" si="6"/>
        <v>1.3675834057896934</v>
      </c>
      <c r="R56" s="217">
        <f t="shared" si="141"/>
        <v>2.7351668115793868</v>
      </c>
      <c r="S56" s="443">
        <f t="shared" si="142"/>
        <v>16</v>
      </c>
      <c r="T56" s="217">
        <f t="shared" si="143"/>
        <v>1.8646029113869917</v>
      </c>
      <c r="U56" s="217">
        <f t="shared" si="10"/>
        <v>0.93494471073350294</v>
      </c>
      <c r="V56" s="217">
        <f t="shared" si="11"/>
        <v>1.3374369998239128</v>
      </c>
      <c r="W56" s="197">
        <f t="shared" si="12"/>
        <v>350</v>
      </c>
      <c r="X56" s="443">
        <f t="shared" si="95"/>
        <v>350</v>
      </c>
      <c r="Z56" s="217">
        <f t="shared" si="13"/>
        <v>2.3444286956394738</v>
      </c>
      <c r="AA56" s="173">
        <f t="shared" si="14"/>
        <v>1.6816050548075008</v>
      </c>
      <c r="AB56" s="173">
        <f t="shared" si="144"/>
        <v>0.68992055041404154</v>
      </c>
      <c r="AC56" s="173"/>
      <c r="AD56" s="173">
        <f t="shared" si="16"/>
        <v>0.7172771165679751</v>
      </c>
      <c r="AE56" s="545">
        <f t="shared" si="145"/>
        <v>1422.0445298471143</v>
      </c>
      <c r="AF56" s="528">
        <f t="shared" si="146"/>
        <v>0.12552349539939564</v>
      </c>
      <c r="AH56" s="173">
        <f t="shared" si="147"/>
        <v>2.0907961573115088</v>
      </c>
      <c r="AI56" s="173">
        <f t="shared" si="148"/>
        <v>2.0907961573115088</v>
      </c>
      <c r="AJ56" s="173">
        <f t="shared" si="149"/>
        <v>2.0079971535640806</v>
      </c>
      <c r="AL56" s="545">
        <f t="shared" si="150"/>
        <v>510</v>
      </c>
      <c r="AM56" s="460">
        <f t="shared" si="151"/>
        <v>350</v>
      </c>
      <c r="AO56">
        <f t="shared" si="96"/>
        <v>510</v>
      </c>
      <c r="AP56" s="460">
        <f t="shared" si="24"/>
        <v>350</v>
      </c>
      <c r="AQ56" s="460"/>
      <c r="AR56" s="5">
        <f t="shared" si="97"/>
        <v>2.8571428571428572</v>
      </c>
      <c r="AS56" s="5">
        <f t="shared" si="25"/>
        <v>1.0483619845076069</v>
      </c>
      <c r="AT56" s="5">
        <f t="shared" si="98"/>
        <v>1.8087808726352503</v>
      </c>
      <c r="AU56" s="173">
        <f t="shared" si="99"/>
        <v>0.36692669457766242</v>
      </c>
      <c r="AW56" s="5">
        <f t="shared" si="152"/>
        <v>3.3416538256179966</v>
      </c>
      <c r="AX56" s="5">
        <f t="shared" si="153"/>
        <v>1.6708269128089983</v>
      </c>
      <c r="AY56" s="5">
        <f t="shared" si="28"/>
        <v>0.513940916322704</v>
      </c>
      <c r="AZ56" s="5"/>
      <c r="BA56" s="173">
        <f t="shared" si="100"/>
        <v>0.73120763952442369</v>
      </c>
      <c r="BB56" s="173">
        <f t="shared" si="154"/>
        <v>0.96045731037041815</v>
      </c>
      <c r="BC56" s="173">
        <f t="shared" si="155"/>
        <v>0.23587701592920565</v>
      </c>
      <c r="BD56" s="173"/>
      <c r="BE56" s="528">
        <f t="shared" si="31"/>
        <v>1.0693292241977591E-2</v>
      </c>
      <c r="BF56" s="528">
        <f t="shared" si="156"/>
        <v>0.54304051548731147</v>
      </c>
      <c r="BG56" s="528">
        <f t="shared" si="157"/>
        <v>0.1926537892263932</v>
      </c>
      <c r="BH56" s="528">
        <f t="shared" si="34"/>
        <v>0.285005691083627</v>
      </c>
      <c r="BI56">
        <f t="shared" si="35"/>
        <v>1.0769466478494029E-2</v>
      </c>
      <c r="BJ56" s="460">
        <f t="shared" si="101"/>
        <v>203.42325570488723</v>
      </c>
      <c r="BK56">
        <f t="shared" si="158"/>
        <v>0.84377047750820278</v>
      </c>
      <c r="BL56" s="460">
        <f t="shared" si="102"/>
        <v>843.77047750820282</v>
      </c>
      <c r="BM56" s="173">
        <f t="shared" si="159"/>
        <v>0.31683749999999999</v>
      </c>
      <c r="BN56" s="173">
        <f t="shared" si="160"/>
        <v>5.6578125E-2</v>
      </c>
      <c r="BO56" s="528"/>
      <c r="BQ56" s="460">
        <f t="shared" si="103"/>
        <v>373.41562499999998</v>
      </c>
      <c r="BR56" s="528">
        <f t="shared" si="39"/>
        <v>1.6039938362966383E-2</v>
      </c>
      <c r="BS56" s="528">
        <f t="shared" si="104"/>
        <v>2.767434735131933E-2</v>
      </c>
      <c r="BT56" s="528">
        <f t="shared" si="161"/>
        <v>2.7818983321833366E-4</v>
      </c>
      <c r="BU56" s="528">
        <f t="shared" si="41"/>
        <v>0.72430143943904668</v>
      </c>
      <c r="BV56" s="528">
        <f t="shared" si="162"/>
        <v>0.78160288076755369</v>
      </c>
      <c r="BW56" s="625">
        <f t="shared" si="163"/>
        <v>7.6500000000000014E-3</v>
      </c>
      <c r="BX56" s="460">
        <f t="shared" si="105"/>
        <v>789.25288076755373</v>
      </c>
      <c r="BY56" s="173">
        <f t="shared" si="106"/>
        <v>2.0064389832757565</v>
      </c>
      <c r="BZ56" s="5">
        <f t="shared" si="107"/>
        <v>9.18</v>
      </c>
      <c r="CA56" s="173">
        <f t="shared" si="108"/>
        <v>0.82063648795872612</v>
      </c>
      <c r="CB56" s="5">
        <f t="shared" si="109"/>
        <v>82.063648795872609</v>
      </c>
      <c r="CC56">
        <f t="shared" si="173"/>
        <v>51</v>
      </c>
      <c r="CE56" s="562">
        <f t="shared" si="164"/>
        <v>-50</v>
      </c>
      <c r="CF56">
        <f t="shared" si="165"/>
        <v>-50</v>
      </c>
      <c r="CG56" s="173">
        <f t="shared" si="166"/>
        <v>0.51109638249074119</v>
      </c>
      <c r="CH56" s="173">
        <f t="shared" si="167"/>
        <v>0.18067069996292243</v>
      </c>
      <c r="CI56" s="170">
        <v>51</v>
      </c>
      <c r="CJ56" s="217">
        <f t="shared" si="133"/>
        <v>0.51</v>
      </c>
      <c r="CK56" s="217">
        <f t="shared" si="111"/>
        <v>0.1275</v>
      </c>
      <c r="CL56" s="217">
        <f t="shared" si="48"/>
        <v>8.16</v>
      </c>
      <c r="CM56" s="217">
        <f t="shared" si="134"/>
        <v>1.02</v>
      </c>
      <c r="CN56" s="541">
        <f t="shared" si="112"/>
        <v>24</v>
      </c>
      <c r="CO56" s="443">
        <f t="shared" si="168"/>
        <v>16.7</v>
      </c>
      <c r="CP56" s="443">
        <f t="shared" si="169"/>
        <v>40.700000000000003</v>
      </c>
      <c r="CQ56" s="443"/>
      <c r="CR56" s="217">
        <f t="shared" si="113"/>
        <v>0.40594059405940591</v>
      </c>
      <c r="CS56" s="172">
        <f t="shared" si="114"/>
        <v>21.650165016501649</v>
      </c>
      <c r="CT56" s="172">
        <f t="shared" si="51"/>
        <v>3.0445544554455446</v>
      </c>
      <c r="CU56" s="217">
        <f t="shared" si="52"/>
        <v>1.3531353135313531</v>
      </c>
      <c r="CV56" s="217">
        <f t="shared" si="53"/>
        <v>2.7062706270627062</v>
      </c>
      <c r="CW56" s="443">
        <f t="shared" si="54"/>
        <v>16</v>
      </c>
      <c r="CX56" s="217">
        <f t="shared" si="55"/>
        <v>1.8845121951219512</v>
      </c>
      <c r="CY56" s="217">
        <f t="shared" si="56"/>
        <v>0.94225609756097573</v>
      </c>
      <c r="CZ56" s="217">
        <f t="shared" si="57"/>
        <v>1.3541404994888273</v>
      </c>
      <c r="DA56" s="197">
        <f t="shared" si="58"/>
        <v>350</v>
      </c>
      <c r="DB56" s="443">
        <f t="shared" si="115"/>
        <v>350</v>
      </c>
      <c r="DD56" s="217">
        <f t="shared" si="59"/>
        <v>2.344682344682345</v>
      </c>
      <c r="DE56" s="173">
        <f t="shared" si="60"/>
        <v>1.6848016848016851</v>
      </c>
      <c r="DF56" s="173">
        <f t="shared" si="61"/>
        <v>0.69130683381297664</v>
      </c>
      <c r="DG56" s="173"/>
      <c r="DH56" s="173">
        <f t="shared" si="62"/>
        <v>0.71856287425149712</v>
      </c>
      <c r="DI56" s="545">
        <f t="shared" si="63"/>
        <v>1419.4999999999998</v>
      </c>
      <c r="DJ56" s="528">
        <f t="shared" si="64"/>
        <v>0.125748502994012</v>
      </c>
      <c r="DL56" s="173">
        <f t="shared" si="65"/>
        <v>2.0907961573115088</v>
      </c>
      <c r="DM56" s="173">
        <f t="shared" si="66"/>
        <v>2.0907961573115088</v>
      </c>
      <c r="DN56" s="173">
        <f t="shared" si="67"/>
        <v>2.0079971535640806</v>
      </c>
      <c r="DP56" s="545">
        <f t="shared" si="68"/>
        <v>510</v>
      </c>
      <c r="DQ56" s="460">
        <f t="shared" si="69"/>
        <v>350</v>
      </c>
      <c r="DS56">
        <f t="shared" si="116"/>
        <v>510</v>
      </c>
      <c r="DT56" s="460">
        <f t="shared" si="70"/>
        <v>350</v>
      </c>
      <c r="DU56" s="460"/>
      <c r="DV56" s="5">
        <f t="shared" si="117"/>
        <v>2.8571428571428572</v>
      </c>
      <c r="DW56" s="5">
        <f t="shared" si="71"/>
        <v>1.0453980786557544</v>
      </c>
      <c r="DX56" s="5">
        <f t="shared" si="118"/>
        <v>1.8117447784871028</v>
      </c>
      <c r="DY56" s="173">
        <f t="shared" si="119"/>
        <v>0.36588932752951403</v>
      </c>
      <c r="EA56" s="5">
        <f t="shared" si="72"/>
        <v>3.3322063757152174</v>
      </c>
      <c r="EB56" s="5">
        <f t="shared" si="73"/>
        <v>1.6661031878576087</v>
      </c>
      <c r="EC56" s="5">
        <f t="shared" si="74"/>
        <v>0.51332768723801248</v>
      </c>
      <c r="ED56" s="5"/>
      <c r="EE56" s="173">
        <f t="shared" si="120"/>
        <v>0.7301732808823086</v>
      </c>
      <c r="EF56" s="173">
        <f t="shared" si="75"/>
        <v>0.96124390090570788</v>
      </c>
      <c r="EG56" s="173">
        <f t="shared" si="76"/>
        <v>0.2360701933106665</v>
      </c>
      <c r="EH56" s="173"/>
      <c r="EI56" s="528">
        <f t="shared" si="77"/>
        <v>1.0663060402288696E-2</v>
      </c>
      <c r="EJ56" s="528">
        <f t="shared" si="78"/>
        <v>0.56588443395714649</v>
      </c>
      <c r="EK56" s="528">
        <f t="shared" si="79"/>
        <v>4.0250000000000001E-2</v>
      </c>
      <c r="EL56" s="528">
        <f t="shared" si="80"/>
        <v>0.28553746375000005</v>
      </c>
      <c r="EM56">
        <f t="shared" si="81"/>
        <v>1.0800000000000001E-2</v>
      </c>
      <c r="EN56" s="460">
        <f t="shared" si="121"/>
        <v>51.05</v>
      </c>
      <c r="EO56">
        <f t="shared" si="82"/>
        <v>0.91834064005749194</v>
      </c>
      <c r="EP56" s="460">
        <f t="shared" si="122"/>
        <v>918.3406400574919</v>
      </c>
      <c r="EQ56" s="173">
        <f t="shared" si="83"/>
        <v>0.31683749999999999</v>
      </c>
      <c r="ER56" s="173">
        <f t="shared" si="170"/>
        <v>5.6578125E-2</v>
      </c>
      <c r="ES56" s="528"/>
      <c r="EU56" s="460">
        <f t="shared" si="123"/>
        <v>373.41562499999998</v>
      </c>
      <c r="EV56" s="528">
        <f t="shared" si="85"/>
        <v>1.5994590603433043E-2</v>
      </c>
      <c r="EW56" s="528">
        <f t="shared" si="124"/>
        <v>2.7719695110852666E-2</v>
      </c>
      <c r="EX56" s="528">
        <f t="shared" si="86"/>
        <v>2.786456808486773E-4</v>
      </c>
      <c r="EY56" s="528">
        <f t="shared" si="87"/>
        <v>0.72430143943904668</v>
      </c>
      <c r="EZ56" s="528">
        <f t="shared" si="88"/>
        <v>0.78160347661902119</v>
      </c>
      <c r="FA56" s="625">
        <f t="shared" si="89"/>
        <v>7.6500000000000014E-3</v>
      </c>
      <c r="FB56" s="460">
        <f t="shared" si="125"/>
        <v>789.25347661902128</v>
      </c>
      <c r="FC56" s="173">
        <f t="shared" si="126"/>
        <v>2.081009741676513</v>
      </c>
      <c r="FD56" s="5">
        <f t="shared" si="127"/>
        <v>9.18</v>
      </c>
      <c r="FE56" s="173">
        <f t="shared" si="128"/>
        <v>0.81520220749167938</v>
      </c>
      <c r="FF56" s="5">
        <f t="shared" si="129"/>
        <v>81.520220749167933</v>
      </c>
      <c r="FG56">
        <f t="shared" si="130"/>
        <v>51</v>
      </c>
      <c r="FI56" s="562">
        <f t="shared" si="90"/>
        <v>-50</v>
      </c>
      <c r="FJ56">
        <f t="shared" si="91"/>
        <v>-50</v>
      </c>
      <c r="FL56">
        <f t="shared" si="92"/>
        <v>0.51109638249074119</v>
      </c>
    </row>
    <row r="57" spans="5:168">
      <c r="E57" s="170">
        <v>52</v>
      </c>
      <c r="F57" s="217">
        <f t="shared" si="174"/>
        <v>0.52</v>
      </c>
      <c r="G57" s="217">
        <f t="shared" si="171"/>
        <v>0.13</v>
      </c>
      <c r="H57" s="217">
        <f t="shared" si="135"/>
        <v>8.32</v>
      </c>
      <c r="I57" s="217">
        <f t="shared" si="175"/>
        <v>1.04</v>
      </c>
      <c r="J57" s="541">
        <f t="shared" si="136"/>
        <v>23.931485740944581</v>
      </c>
      <c r="K57" s="443">
        <f t="shared" si="137"/>
        <v>16.730227707252027</v>
      </c>
      <c r="L57" s="172">
        <f t="shared" si="138"/>
        <v>40.661713448196608</v>
      </c>
      <c r="M57" s="443"/>
      <c r="N57" s="217">
        <f t="shared" si="139"/>
        <v>0.41144915667576304</v>
      </c>
      <c r="O57" s="172">
        <f t="shared" si="172"/>
        <v>21.881310280243767</v>
      </c>
      <c r="P57" s="172">
        <f t="shared" si="140"/>
        <v>3.0770592581592799</v>
      </c>
      <c r="Q57" s="217">
        <f t="shared" si="6"/>
        <v>1.3675818925152354</v>
      </c>
      <c r="R57" s="217">
        <f t="shared" si="141"/>
        <v>2.7351637850304709</v>
      </c>
      <c r="S57" s="443">
        <f t="shared" si="142"/>
        <v>16</v>
      </c>
      <c r="T57" s="217">
        <f t="shared" si="143"/>
        <v>1.9011658564871168</v>
      </c>
      <c r="U57" s="217">
        <f t="shared" si="10"/>
        <v>0.95330438422436747</v>
      </c>
      <c r="V57" s="217">
        <f t="shared" si="11"/>
        <v>1.3636389580015253</v>
      </c>
      <c r="W57" s="197">
        <f t="shared" si="12"/>
        <v>350</v>
      </c>
      <c r="X57" s="443">
        <f t="shared" si="95"/>
        <v>350</v>
      </c>
      <c r="Z57" s="217">
        <f t="shared" si="13"/>
        <v>2.3444261014546894</v>
      </c>
      <c r="AA57" s="173">
        <f t="shared" si="14"/>
        <v>1.6815738380692484</v>
      </c>
      <c r="AB57" s="173">
        <f t="shared" si="144"/>
        <v>0.68990697956125535</v>
      </c>
      <c r="AC57" s="173"/>
      <c r="AD57" s="173">
        <f t="shared" si="16"/>
        <v>0.7172645949581653</v>
      </c>
      <c r="AE57" s="545">
        <f t="shared" si="145"/>
        <v>1449.9530679618424</v>
      </c>
      <c r="AF57" s="528">
        <f t="shared" si="146"/>
        <v>0.12552130411767892</v>
      </c>
      <c r="AH57" s="173">
        <f t="shared" si="147"/>
        <v>2.1111946516469904</v>
      </c>
      <c r="AI57" s="173">
        <f t="shared" si="148"/>
        <v>2.1111946516469904</v>
      </c>
      <c r="AJ57" s="173">
        <f t="shared" si="149"/>
        <v>2.023107149368141</v>
      </c>
      <c r="AL57" s="545">
        <f t="shared" si="150"/>
        <v>520</v>
      </c>
      <c r="AM57" s="460">
        <f t="shared" si="151"/>
        <v>350</v>
      </c>
      <c r="AO57">
        <f t="shared" si="96"/>
        <v>520</v>
      </c>
      <c r="AP57" s="460">
        <f t="shared" si="24"/>
        <v>350</v>
      </c>
      <c r="AQ57" s="460"/>
      <c r="AR57" s="5">
        <f t="shared" si="97"/>
        <v>2.8571428571428572</v>
      </c>
      <c r="AS57" s="5">
        <f t="shared" si="25"/>
        <v>1.0586194310710577</v>
      </c>
      <c r="AT57" s="5">
        <f t="shared" si="98"/>
        <v>1.7985234260717995</v>
      </c>
      <c r="AU57" s="173">
        <f t="shared" si="99"/>
        <v>0.37051680087487021</v>
      </c>
      <c r="AW57" s="5">
        <f t="shared" si="152"/>
        <v>3.4405131509809377</v>
      </c>
      <c r="AX57" s="5">
        <f t="shared" si="153"/>
        <v>1.7202565754904688</v>
      </c>
      <c r="AY57" s="5">
        <f t="shared" si="28"/>
        <v>0.52106093853712776</v>
      </c>
      <c r="AZ57" s="5"/>
      <c r="BA57" s="173">
        <f t="shared" si="100"/>
        <v>0.7419448120695703</v>
      </c>
      <c r="BB57" s="173">
        <f t="shared" si="154"/>
        <v>0.9670740310634629</v>
      </c>
      <c r="BC57" s="173">
        <f t="shared" si="155"/>
        <v>0.23750200468764454</v>
      </c>
      <c r="BD57" s="173"/>
      <c r="BE57" s="528">
        <f t="shared" si="31"/>
        <v>1.1009642083138999E-2</v>
      </c>
      <c r="BF57" s="528">
        <f t="shared" si="156"/>
        <v>0.54833360863578229</v>
      </c>
      <c r="BG57" s="528">
        <f t="shared" si="157"/>
        <v>0.19264846021460388</v>
      </c>
      <c r="BH57" s="528">
        <f t="shared" si="34"/>
        <v>0.28500050537614319</v>
      </c>
      <c r="BI57">
        <f t="shared" si="35"/>
        <v>1.0769168583425061E-2</v>
      </c>
      <c r="BJ57" s="460">
        <f t="shared" si="101"/>
        <v>203.41762879802894</v>
      </c>
      <c r="BK57">
        <f t="shared" si="158"/>
        <v>0.84953865995737632</v>
      </c>
      <c r="BL57" s="460">
        <f t="shared" si="102"/>
        <v>849.53865995737635</v>
      </c>
      <c r="BM57" s="173">
        <f t="shared" si="159"/>
        <v>0.32304999999999995</v>
      </c>
      <c r="BN57" s="173">
        <f t="shared" si="160"/>
        <v>5.7687499999999996E-2</v>
      </c>
      <c r="BO57" s="528"/>
      <c r="BQ57" s="460">
        <f t="shared" si="103"/>
        <v>380.73749999999995</v>
      </c>
      <c r="BR57" s="528">
        <f t="shared" si="39"/>
        <v>1.6514463124708501E-2</v>
      </c>
      <c r="BS57" s="528">
        <f t="shared" si="104"/>
        <v>2.8056965446720067E-2</v>
      </c>
      <c r="BT57" s="528">
        <f t="shared" si="161"/>
        <v>2.8203601115324965E-4</v>
      </c>
      <c r="BU57" s="528">
        <f t="shared" si="41"/>
        <v>0.74209722521654342</v>
      </c>
      <c r="BV57" s="528">
        <f t="shared" si="162"/>
        <v>0.80058825385008858</v>
      </c>
      <c r="BW57" s="625">
        <f t="shared" si="163"/>
        <v>7.8000000000000014E-3</v>
      </c>
      <c r="BX57" s="460">
        <f t="shared" si="105"/>
        <v>808.38825385008863</v>
      </c>
      <c r="BY57" s="173">
        <f t="shared" si="106"/>
        <v>2.038664413807465</v>
      </c>
      <c r="BZ57" s="5">
        <f t="shared" si="107"/>
        <v>9.36</v>
      </c>
      <c r="CA57" s="173">
        <f t="shared" si="108"/>
        <v>0.82114883465312094</v>
      </c>
      <c r="CB57" s="5">
        <f t="shared" si="109"/>
        <v>82.11488346531209</v>
      </c>
      <c r="CC57">
        <f t="shared" si="173"/>
        <v>52</v>
      </c>
      <c r="CE57" s="562">
        <f t="shared" si="164"/>
        <v>-50</v>
      </c>
      <c r="CF57">
        <f t="shared" si="165"/>
        <v>-50</v>
      </c>
      <c r="CG57" s="173">
        <f t="shared" si="166"/>
        <v>0.51608280674193574</v>
      </c>
      <c r="CH57" s="173">
        <f t="shared" si="167"/>
        <v>0.18243338267921366</v>
      </c>
      <c r="CI57" s="170">
        <v>52</v>
      </c>
      <c r="CJ57" s="217">
        <f t="shared" si="133"/>
        <v>0.52</v>
      </c>
      <c r="CK57" s="217">
        <f t="shared" si="111"/>
        <v>0.13</v>
      </c>
      <c r="CL57" s="217">
        <f t="shared" si="48"/>
        <v>8.32</v>
      </c>
      <c r="CM57" s="217">
        <f t="shared" si="134"/>
        <v>1.04</v>
      </c>
      <c r="CN57" s="541">
        <f t="shared" si="112"/>
        <v>24</v>
      </c>
      <c r="CO57" s="443">
        <f t="shared" si="168"/>
        <v>16.7</v>
      </c>
      <c r="CP57" s="443">
        <f t="shared" si="169"/>
        <v>40.700000000000003</v>
      </c>
      <c r="CQ57" s="443"/>
      <c r="CR57" s="217">
        <f t="shared" si="113"/>
        <v>0.40594059405940591</v>
      </c>
      <c r="CS57" s="172">
        <f t="shared" si="114"/>
        <v>21.650165016501649</v>
      </c>
      <c r="CT57" s="172">
        <f t="shared" si="51"/>
        <v>3.0445544554455446</v>
      </c>
      <c r="CU57" s="217">
        <f t="shared" si="52"/>
        <v>1.3531353135313531</v>
      </c>
      <c r="CV57" s="217">
        <f t="shared" si="53"/>
        <v>2.7062706270627062</v>
      </c>
      <c r="CW57" s="443">
        <f t="shared" si="54"/>
        <v>16</v>
      </c>
      <c r="CX57" s="217">
        <f t="shared" si="55"/>
        <v>1.9214634146341463</v>
      </c>
      <c r="CY57" s="217">
        <f t="shared" si="56"/>
        <v>0.96073170731707314</v>
      </c>
      <c r="CZ57" s="217">
        <f t="shared" si="57"/>
        <v>1.3806922739886081</v>
      </c>
      <c r="DA57" s="197">
        <f t="shared" si="58"/>
        <v>350</v>
      </c>
      <c r="DB57" s="443">
        <f t="shared" si="115"/>
        <v>350</v>
      </c>
      <c r="DD57" s="217">
        <f t="shared" si="59"/>
        <v>2.344682344682345</v>
      </c>
      <c r="DE57" s="173">
        <f t="shared" si="60"/>
        <v>1.6848016848016851</v>
      </c>
      <c r="DF57" s="173">
        <f t="shared" si="61"/>
        <v>0.69130683381297664</v>
      </c>
      <c r="DG57" s="173"/>
      <c r="DH57" s="173">
        <f t="shared" si="62"/>
        <v>0.71856287425149712</v>
      </c>
      <c r="DI57" s="545">
        <f t="shared" si="63"/>
        <v>1447.3333333333333</v>
      </c>
      <c r="DJ57" s="528">
        <f t="shared" si="64"/>
        <v>0.125748502994012</v>
      </c>
      <c r="DL57" s="173">
        <f t="shared" si="65"/>
        <v>2.1111946516469904</v>
      </c>
      <c r="DM57" s="173">
        <f t="shared" si="66"/>
        <v>2.1111946516469904</v>
      </c>
      <c r="DN57" s="173">
        <f t="shared" si="67"/>
        <v>2.023107149368141</v>
      </c>
      <c r="DP57" s="545">
        <f t="shared" si="68"/>
        <v>520</v>
      </c>
      <c r="DQ57" s="460">
        <f t="shared" si="69"/>
        <v>350</v>
      </c>
      <c r="DS57">
        <f t="shared" si="116"/>
        <v>520</v>
      </c>
      <c r="DT57" s="460">
        <f t="shared" si="70"/>
        <v>350</v>
      </c>
      <c r="DU57" s="460"/>
      <c r="DV57" s="5">
        <f t="shared" si="117"/>
        <v>2.8571428571428572</v>
      </c>
      <c r="DW57" s="5">
        <f t="shared" si="71"/>
        <v>1.0555973258234952</v>
      </c>
      <c r="DX57" s="5">
        <f t="shared" si="118"/>
        <v>1.801545531319362</v>
      </c>
      <c r="DY57" s="173">
        <f t="shared" si="119"/>
        <v>0.36945906403822332</v>
      </c>
      <c r="EA57" s="5">
        <f t="shared" si="72"/>
        <v>3.43069130892636</v>
      </c>
      <c r="EB57" s="5">
        <f t="shared" si="73"/>
        <v>1.71534565446318</v>
      </c>
      <c r="EC57" s="5">
        <f t="shared" si="74"/>
        <v>0.52044648682559347</v>
      </c>
      <c r="ED57" s="5"/>
      <c r="EE57" s="173">
        <f t="shared" si="120"/>
        <v>0.74088501768372761</v>
      </c>
      <c r="EF57" s="173">
        <f t="shared" si="75"/>
        <v>0.9678861897382709</v>
      </c>
      <c r="EG57" s="173">
        <f t="shared" si="76"/>
        <v>0.23770146130336944</v>
      </c>
      <c r="EH57" s="173"/>
      <c r="EI57" s="528">
        <f t="shared" si="77"/>
        <v>1.0978212188564348E-2</v>
      </c>
      <c r="EJ57" s="528">
        <f t="shared" si="78"/>
        <v>0.57140538844151623</v>
      </c>
      <c r="EK57" s="528">
        <f t="shared" si="79"/>
        <v>4.0250000000000001E-2</v>
      </c>
      <c r="EL57" s="528">
        <f t="shared" si="80"/>
        <v>0.28553746375000005</v>
      </c>
      <c r="EM57">
        <f t="shared" si="81"/>
        <v>1.0800000000000001E-2</v>
      </c>
      <c r="EN57" s="460">
        <f t="shared" si="121"/>
        <v>51.05</v>
      </c>
      <c r="EO57">
        <f t="shared" si="82"/>
        <v>0.92434626793590258</v>
      </c>
      <c r="EP57" s="460">
        <f t="shared" si="122"/>
        <v>924.34626793590257</v>
      </c>
      <c r="EQ57" s="173">
        <f t="shared" si="83"/>
        <v>0.32304999999999995</v>
      </c>
      <c r="ER57" s="173">
        <f t="shared" si="170"/>
        <v>5.7687499999999996E-2</v>
      </c>
      <c r="ES57" s="528"/>
      <c r="EU57" s="460">
        <f t="shared" si="123"/>
        <v>380.73749999999995</v>
      </c>
      <c r="EV57" s="528">
        <f t="shared" si="85"/>
        <v>1.6467318282846519E-2</v>
      </c>
      <c r="EW57" s="528">
        <f t="shared" si="124"/>
        <v>2.8104110288582042E-2</v>
      </c>
      <c r="EX57" s="528">
        <f t="shared" si="86"/>
        <v>2.8250992352878623E-4</v>
      </c>
      <c r="EY57" s="528">
        <f t="shared" si="87"/>
        <v>0.74209722521654342</v>
      </c>
      <c r="EZ57" s="528">
        <f t="shared" si="88"/>
        <v>0.80058887407970802</v>
      </c>
      <c r="FA57" s="625">
        <f t="shared" si="89"/>
        <v>7.8000000000000014E-3</v>
      </c>
      <c r="FB57" s="460">
        <f t="shared" si="125"/>
        <v>808.3888740797081</v>
      </c>
      <c r="FC57" s="173">
        <f t="shared" si="126"/>
        <v>2.1134726420156107</v>
      </c>
      <c r="FD57" s="5">
        <f t="shared" si="127"/>
        <v>9.36</v>
      </c>
      <c r="FE57" s="173">
        <f t="shared" si="128"/>
        <v>0.81579485932828055</v>
      </c>
      <c r="FF57" s="5">
        <f t="shared" si="129"/>
        <v>81.579485932828049</v>
      </c>
      <c r="FG57">
        <f t="shared" si="130"/>
        <v>52</v>
      </c>
      <c r="FI57" s="562">
        <f t="shared" si="90"/>
        <v>-50</v>
      </c>
      <c r="FJ57">
        <f t="shared" si="91"/>
        <v>-50</v>
      </c>
      <c r="FL57">
        <f t="shared" si="92"/>
        <v>0.51608280674193574</v>
      </c>
    </row>
    <row r="58" spans="5:168">
      <c r="E58" s="170">
        <v>53</v>
      </c>
      <c r="F58" s="217">
        <f t="shared" si="174"/>
        <v>0.53</v>
      </c>
      <c r="G58" s="217">
        <f t="shared" si="171"/>
        <v>0.13250000000000001</v>
      </c>
      <c r="H58" s="217">
        <f t="shared" si="135"/>
        <v>8.48</v>
      </c>
      <c r="I58" s="217">
        <f t="shared" si="175"/>
        <v>1.06</v>
      </c>
      <c r="J58" s="541">
        <f t="shared" si="136"/>
        <v>23.930830087163038</v>
      </c>
      <c r="K58" s="443">
        <f t="shared" si="137"/>
        <v>16.730516974199382</v>
      </c>
      <c r="L58" s="172">
        <f t="shared" si="138"/>
        <v>40.66134706136242</v>
      </c>
      <c r="M58" s="443"/>
      <c r="N58" s="217">
        <f t="shared" si="139"/>
        <v>0.41145997816922303</v>
      </c>
      <c r="O58" s="172">
        <f t="shared" si="172"/>
        <v>21.88128627830109</v>
      </c>
      <c r="P58" s="172">
        <f t="shared" si="140"/>
        <v>3.0770558828860906</v>
      </c>
      <c r="Q58" s="217">
        <f t="shared" si="6"/>
        <v>1.3675803923938181</v>
      </c>
      <c r="R58" s="217">
        <f t="shared" si="141"/>
        <v>2.7351607847876362</v>
      </c>
      <c r="S58" s="443">
        <f t="shared" si="142"/>
        <v>16</v>
      </c>
      <c r="T58" s="217">
        <f t="shared" si="143"/>
        <v>1.937728863866957</v>
      </c>
      <c r="U58" s="217">
        <f t="shared" si="10"/>
        <v>0.9716648474670635</v>
      </c>
      <c r="V58" s="217">
        <f t="shared" si="11"/>
        <v>1.389840278233017</v>
      </c>
      <c r="W58" s="197">
        <f t="shared" si="12"/>
        <v>350</v>
      </c>
      <c r="X58" s="443">
        <f t="shared" si="95"/>
        <v>350</v>
      </c>
      <c r="Z58" s="217">
        <f t="shared" si="13"/>
        <v>2.3444235298179734</v>
      </c>
      <c r="AA58" s="173">
        <f t="shared" si="14"/>
        <v>1.6815429195165057</v>
      </c>
      <c r="AB58" s="173">
        <f t="shared" si="144"/>
        <v>0.68989353770982875</v>
      </c>
      <c r="AC58" s="173"/>
      <c r="AD58" s="173">
        <f t="shared" si="16"/>
        <v>0.71725219361156323</v>
      </c>
      <c r="AE58" s="545">
        <f t="shared" si="145"/>
        <v>1477.8623327209457</v>
      </c>
      <c r="AF58" s="528">
        <f t="shared" si="146"/>
        <v>0.12551913388202357</v>
      </c>
      <c r="AH58" s="173">
        <f t="shared" si="147"/>
        <v>2.1313979316066587</v>
      </c>
      <c r="AI58" s="173">
        <f t="shared" si="148"/>
        <v>2.1313979316066587</v>
      </c>
      <c r="AJ58" s="173">
        <f t="shared" si="149"/>
        <v>2.0380725419308581</v>
      </c>
      <c r="AL58" s="545">
        <f t="shared" si="150"/>
        <v>530</v>
      </c>
      <c r="AM58" s="460">
        <f t="shared" si="151"/>
        <v>350</v>
      </c>
      <c r="AO58">
        <f t="shared" si="96"/>
        <v>530</v>
      </c>
      <c r="AP58" s="460">
        <f t="shared" si="24"/>
        <v>350</v>
      </c>
      <c r="AQ58" s="460"/>
      <c r="AR58" s="5">
        <f t="shared" si="97"/>
        <v>2.8571428571428572</v>
      </c>
      <c r="AS58" s="5">
        <f t="shared" si="25"/>
        <v>1.0687792728510401</v>
      </c>
      <c r="AT58" s="5">
        <f t="shared" si="98"/>
        <v>1.7883635842918171</v>
      </c>
      <c r="AU58" s="173">
        <f t="shared" si="99"/>
        <v>0.37407274549786401</v>
      </c>
      <c r="AW58" s="5">
        <f t="shared" si="152"/>
        <v>3.54033134131907</v>
      </c>
      <c r="AX58" s="5">
        <f t="shared" si="153"/>
        <v>1.770165670659535</v>
      </c>
      <c r="AY58" s="5">
        <f t="shared" si="28"/>
        <v>0.52809573604279825</v>
      </c>
      <c r="AZ58" s="5"/>
      <c r="BA58" s="173">
        <f t="shared" si="100"/>
        <v>0.75263072924977703</v>
      </c>
      <c r="BB58" s="173">
        <f t="shared" si="154"/>
        <v>0.97356699804105051</v>
      </c>
      <c r="BC58" s="173">
        <f t="shared" si="155"/>
        <v>0.23909660098949329</v>
      </c>
      <c r="BD58" s="173"/>
      <c r="BE58" s="528">
        <f t="shared" si="31"/>
        <v>1.1329060292221024E-2</v>
      </c>
      <c r="BF58" s="528">
        <f t="shared" si="156"/>
        <v>0.5535759516589549</v>
      </c>
      <c r="BG58" s="528">
        <f t="shared" si="157"/>
        <v>0.19264318220166243</v>
      </c>
      <c r="BH58" s="528">
        <f t="shared" si="34"/>
        <v>0.28499536934258207</v>
      </c>
      <c r="BI58">
        <f t="shared" si="35"/>
        <v>1.0768873539223367E-2</v>
      </c>
      <c r="BJ58" s="460">
        <f t="shared" si="101"/>
        <v>203.41205574088582</v>
      </c>
      <c r="BK58">
        <f t="shared" si="158"/>
        <v>0.85526140716471488</v>
      </c>
      <c r="BL58" s="460">
        <f t="shared" si="102"/>
        <v>855.26140716471491</v>
      </c>
      <c r="BM58" s="173">
        <f t="shared" si="159"/>
        <v>0.32926249999999996</v>
      </c>
      <c r="BN58" s="173">
        <f t="shared" si="160"/>
        <v>5.8796874999999998E-2</v>
      </c>
      <c r="BO58" s="528"/>
      <c r="BQ58" s="460">
        <f t="shared" si="103"/>
        <v>388.05937499999999</v>
      </c>
      <c r="BR58" s="528">
        <f t="shared" si="39"/>
        <v>1.6993590438331534E-2</v>
      </c>
      <c r="BS58" s="528">
        <f t="shared" si="104"/>
        <v>2.8434980990239885E-2</v>
      </c>
      <c r="BT58" s="528">
        <f t="shared" si="161"/>
        <v>2.8583592302364484E-4</v>
      </c>
      <c r="BU58" s="528">
        <f t="shared" si="41"/>
        <v>0.7599787782886005</v>
      </c>
      <c r="BV58" s="528">
        <f t="shared" si="162"/>
        <v>0.8196622734091672</v>
      </c>
      <c r="BW58" s="625">
        <f t="shared" si="163"/>
        <v>7.9500000000000005E-3</v>
      </c>
      <c r="BX58" s="460">
        <f t="shared" si="105"/>
        <v>827.61227340916719</v>
      </c>
      <c r="BY58" s="173">
        <f t="shared" si="106"/>
        <v>2.0709330555738825</v>
      </c>
      <c r="BZ58" s="5">
        <f t="shared" si="107"/>
        <v>9.5400000000000009</v>
      </c>
      <c r="CA58" s="173">
        <f t="shared" si="108"/>
        <v>0.82163939403821451</v>
      </c>
      <c r="CB58" s="5">
        <f t="shared" si="109"/>
        <v>82.163939403821445</v>
      </c>
      <c r="CC58">
        <f t="shared" si="173"/>
        <v>53</v>
      </c>
      <c r="CE58" s="562">
        <f t="shared" si="164"/>
        <v>-50</v>
      </c>
      <c r="CF58">
        <f t="shared" si="165"/>
        <v>-50</v>
      </c>
      <c r="CG58" s="173">
        <f t="shared" si="166"/>
        <v>0.52102151072114711</v>
      </c>
      <c r="CH58" s="173">
        <f t="shared" si="167"/>
        <v>0.18417919645407432</v>
      </c>
      <c r="CI58" s="170">
        <v>53</v>
      </c>
      <c r="CJ58" s="217">
        <f t="shared" si="133"/>
        <v>0.53</v>
      </c>
      <c r="CK58" s="217">
        <f t="shared" si="111"/>
        <v>0.13250000000000001</v>
      </c>
      <c r="CL58" s="217">
        <f t="shared" si="48"/>
        <v>8.48</v>
      </c>
      <c r="CM58" s="217">
        <f t="shared" si="134"/>
        <v>1.06</v>
      </c>
      <c r="CN58" s="541">
        <f t="shared" si="112"/>
        <v>24</v>
      </c>
      <c r="CO58" s="443">
        <f t="shared" si="168"/>
        <v>16.7</v>
      </c>
      <c r="CP58" s="443">
        <f t="shared" si="169"/>
        <v>40.700000000000003</v>
      </c>
      <c r="CQ58" s="443"/>
      <c r="CR58" s="217">
        <f t="shared" si="113"/>
        <v>0.40594059405940591</v>
      </c>
      <c r="CS58" s="172">
        <f t="shared" si="114"/>
        <v>21.650165016501649</v>
      </c>
      <c r="CT58" s="172">
        <f t="shared" si="51"/>
        <v>3.0445544554455446</v>
      </c>
      <c r="CU58" s="217">
        <f t="shared" si="52"/>
        <v>1.3531353135313531</v>
      </c>
      <c r="CV58" s="217">
        <f t="shared" si="53"/>
        <v>2.7062706270627062</v>
      </c>
      <c r="CW58" s="443">
        <f t="shared" si="54"/>
        <v>16</v>
      </c>
      <c r="CX58" s="217">
        <f t="shared" si="55"/>
        <v>1.9584146341463418</v>
      </c>
      <c r="CY58" s="217">
        <f t="shared" si="56"/>
        <v>0.97920731707317077</v>
      </c>
      <c r="CZ58" s="217">
        <f t="shared" si="57"/>
        <v>1.4072440484883892</v>
      </c>
      <c r="DA58" s="197">
        <f t="shared" si="58"/>
        <v>350</v>
      </c>
      <c r="DB58" s="443">
        <f t="shared" si="115"/>
        <v>350</v>
      </c>
      <c r="DD58" s="217">
        <f t="shared" si="59"/>
        <v>2.344682344682345</v>
      </c>
      <c r="DE58" s="173">
        <f t="shared" si="60"/>
        <v>1.6848016848016851</v>
      </c>
      <c r="DF58" s="173">
        <f t="shared" si="61"/>
        <v>0.69130683381297664</v>
      </c>
      <c r="DG58" s="173"/>
      <c r="DH58" s="173">
        <f t="shared" si="62"/>
        <v>0.71856287425149712</v>
      </c>
      <c r="DI58" s="545">
        <f t="shared" si="63"/>
        <v>1475.1666666666665</v>
      </c>
      <c r="DJ58" s="528">
        <f t="shared" si="64"/>
        <v>0.125748502994012</v>
      </c>
      <c r="DL58" s="173">
        <f t="shared" si="65"/>
        <v>2.1313979316066587</v>
      </c>
      <c r="DM58" s="173">
        <f t="shared" si="66"/>
        <v>2.1313979316066587</v>
      </c>
      <c r="DN58" s="173">
        <f t="shared" si="67"/>
        <v>2.0380725419308581</v>
      </c>
      <c r="DP58" s="545">
        <f t="shared" si="68"/>
        <v>530</v>
      </c>
      <c r="DQ58" s="460">
        <f t="shared" si="69"/>
        <v>350</v>
      </c>
      <c r="DS58">
        <f t="shared" si="116"/>
        <v>530</v>
      </c>
      <c r="DT58" s="460">
        <f t="shared" si="70"/>
        <v>350</v>
      </c>
      <c r="DU58" s="460"/>
      <c r="DV58" s="5">
        <f t="shared" si="117"/>
        <v>2.8571428571428572</v>
      </c>
      <c r="DW58" s="5">
        <f t="shared" si="71"/>
        <v>1.0656989658033293</v>
      </c>
      <c r="DX58" s="5">
        <f t="shared" si="118"/>
        <v>1.7914438913395279</v>
      </c>
      <c r="DY58" s="173">
        <f t="shared" si="119"/>
        <v>0.37299463803116528</v>
      </c>
      <c r="EA58" s="5">
        <f t="shared" si="72"/>
        <v>3.5301278242235283</v>
      </c>
      <c r="EB58" s="5">
        <f t="shared" si="73"/>
        <v>1.7650639121117642</v>
      </c>
      <c r="EC58" s="5">
        <f t="shared" si="74"/>
        <v>0.52748070133886082</v>
      </c>
      <c r="ED58" s="5"/>
      <c r="EE58" s="173">
        <f t="shared" si="120"/>
        <v>0.75154537579294878</v>
      </c>
      <c r="EF58" s="173">
        <f t="shared" si="75"/>
        <v>0.97440508127264491</v>
      </c>
      <c r="EG58" s="173">
        <f t="shared" si="76"/>
        <v>0.23930242437137014</v>
      </c>
      <c r="EH58" s="173"/>
      <c r="EI58" s="528">
        <f t="shared" si="77"/>
        <v>1.1296409037515292E-2</v>
      </c>
      <c r="EJ58" s="528">
        <f t="shared" si="78"/>
        <v>0.57687350717900021</v>
      </c>
      <c r="EK58" s="528">
        <f t="shared" si="79"/>
        <v>4.0250000000000001E-2</v>
      </c>
      <c r="EL58" s="528">
        <f t="shared" si="80"/>
        <v>0.28553746375000005</v>
      </c>
      <c r="EM58">
        <f t="shared" si="81"/>
        <v>1.0800000000000001E-2</v>
      </c>
      <c r="EN58" s="460">
        <f t="shared" si="121"/>
        <v>51.05</v>
      </c>
      <c r="EO58">
        <f t="shared" si="82"/>
        <v>0.93030437226215146</v>
      </c>
      <c r="EP58" s="460">
        <f t="shared" si="122"/>
        <v>930.30437226215145</v>
      </c>
      <c r="EQ58" s="173">
        <f t="shared" si="83"/>
        <v>0.32926249999999996</v>
      </c>
      <c r="ER58" s="173">
        <f t="shared" si="170"/>
        <v>5.8796874999999998E-2</v>
      </c>
      <c r="ES58" s="528"/>
      <c r="EU58" s="460">
        <f t="shared" si="123"/>
        <v>388.05937499999999</v>
      </c>
      <c r="EV58" s="528">
        <f t="shared" si="85"/>
        <v>1.6944613556272938E-2</v>
      </c>
      <c r="EW58" s="528">
        <f t="shared" si="124"/>
        <v>2.8483957872298491E-2</v>
      </c>
      <c r="EX58" s="528">
        <f t="shared" si="86"/>
        <v>2.8632825155007664E-4</v>
      </c>
      <c r="EY58" s="528">
        <f t="shared" si="87"/>
        <v>0.7599787782886005</v>
      </c>
      <c r="EZ58" s="528">
        <f t="shared" si="88"/>
        <v>0.81966291853935458</v>
      </c>
      <c r="FA58" s="625">
        <f t="shared" si="89"/>
        <v>7.9500000000000005E-3</v>
      </c>
      <c r="FB58" s="460">
        <f t="shared" si="125"/>
        <v>827.61291853935461</v>
      </c>
      <c r="FC58" s="173">
        <f t="shared" si="126"/>
        <v>2.145976665801506</v>
      </c>
      <c r="FD58" s="5">
        <f t="shared" si="127"/>
        <v>9.5400000000000009</v>
      </c>
      <c r="FE58" s="173">
        <f t="shared" si="128"/>
        <v>0.8163630882404882</v>
      </c>
      <c r="FF58" s="5">
        <f t="shared" si="129"/>
        <v>81.636308824048825</v>
      </c>
      <c r="FG58">
        <f t="shared" si="130"/>
        <v>53</v>
      </c>
      <c r="FI58" s="562">
        <f t="shared" si="90"/>
        <v>-50</v>
      </c>
      <c r="FJ58">
        <f t="shared" si="91"/>
        <v>-50</v>
      </c>
      <c r="FL58">
        <f t="shared" si="92"/>
        <v>0.52102151072114711</v>
      </c>
    </row>
    <row r="59" spans="5:168">
      <c r="E59" s="170">
        <v>54</v>
      </c>
      <c r="F59" s="217">
        <f t="shared" si="174"/>
        <v>0.54</v>
      </c>
      <c r="G59" s="217">
        <f t="shared" si="171"/>
        <v>0.13500000000000001</v>
      </c>
      <c r="H59" s="217">
        <f t="shared" si="135"/>
        <v>8.64</v>
      </c>
      <c r="I59" s="217">
        <f t="shared" si="175"/>
        <v>1.08</v>
      </c>
      <c r="J59" s="541">
        <f t="shared" si="136"/>
        <v>23.930180590164102</v>
      </c>
      <c r="K59" s="443">
        <f t="shared" si="137"/>
        <v>16.730803524844685</v>
      </c>
      <c r="L59" s="172">
        <f t="shared" si="138"/>
        <v>40.660984115008787</v>
      </c>
      <c r="M59" s="443"/>
      <c r="N59" s="217">
        <f t="shared" si="139"/>
        <v>0.41147069823794569</v>
      </c>
      <c r="O59" s="172">
        <f t="shared" si="172"/>
        <v>21.881262480877687</v>
      </c>
      <c r="P59" s="172">
        <f t="shared" si="140"/>
        <v>3.0770525363734249</v>
      </c>
      <c r="Q59" s="217">
        <f t="shared" si="6"/>
        <v>1.3675789050548555</v>
      </c>
      <c r="R59" s="217">
        <f t="shared" si="141"/>
        <v>2.7351578101097109</v>
      </c>
      <c r="S59" s="443">
        <f t="shared" si="142"/>
        <v>16</v>
      </c>
      <c r="T59" s="217">
        <f t="shared" si="143"/>
        <v>1.9742919330067463</v>
      </c>
      <c r="U59" s="217">
        <f t="shared" si="10"/>
        <v>0.99002609306754463</v>
      </c>
      <c r="V59" s="217">
        <f t="shared" si="11"/>
        <v>1.4160409666457363</v>
      </c>
      <c r="W59" s="197">
        <f t="shared" si="12"/>
        <v>350</v>
      </c>
      <c r="X59" s="443">
        <f t="shared" si="95"/>
        <v>350</v>
      </c>
      <c r="Z59" s="217">
        <f t="shared" si="13"/>
        <v>2.3444209800940379</v>
      </c>
      <c r="AA59" s="173">
        <f t="shared" si="14"/>
        <v>1.6815122907487265</v>
      </c>
      <c r="AB59" s="173">
        <f t="shared" si="144"/>
        <v>0.6898802212255275</v>
      </c>
      <c r="AC59" s="173"/>
      <c r="AD59" s="173">
        <f t="shared" si="16"/>
        <v>0.71723990914007218</v>
      </c>
      <c r="AE59" s="545">
        <f t="shared" si="145"/>
        <v>1505.7723172360215</v>
      </c>
      <c r="AF59" s="528">
        <f t="shared" si="146"/>
        <v>0.12551698409951262</v>
      </c>
      <c r="AH59" s="173">
        <f t="shared" si="147"/>
        <v>2.1514114968019085</v>
      </c>
      <c r="AI59" s="173">
        <f t="shared" si="148"/>
        <v>2.1514114968019085</v>
      </c>
      <c r="AJ59" s="173">
        <f t="shared" si="149"/>
        <v>2.0528974050384505</v>
      </c>
      <c r="AL59" s="545">
        <f t="shared" si="150"/>
        <v>540</v>
      </c>
      <c r="AM59" s="460">
        <f t="shared" si="151"/>
        <v>350</v>
      </c>
      <c r="AO59">
        <f t="shared" si="96"/>
        <v>540</v>
      </c>
      <c r="AP59" s="460">
        <f t="shared" si="24"/>
        <v>350</v>
      </c>
      <c r="AQ59" s="460"/>
      <c r="AR59" s="5">
        <f t="shared" si="97"/>
        <v>2.8571428571428572</v>
      </c>
      <c r="AS59" s="5">
        <f t="shared" si="25"/>
        <v>1.0788442596306316</v>
      </c>
      <c r="AT59" s="5">
        <f t="shared" si="98"/>
        <v>1.7782985975122256</v>
      </c>
      <c r="AU59" s="173">
        <f t="shared" si="99"/>
        <v>0.37759549087072103</v>
      </c>
      <c r="AW59" s="5">
        <f t="shared" si="152"/>
        <v>3.6410993762533819</v>
      </c>
      <c r="AX59" s="5">
        <f t="shared" si="153"/>
        <v>1.8205496881266909</v>
      </c>
      <c r="AY59" s="5">
        <f t="shared" si="28"/>
        <v>0.53504610438881028</v>
      </c>
      <c r="AZ59" s="5"/>
      <c r="BA59" s="173">
        <f t="shared" si="100"/>
        <v>0.76326659837866673</v>
      </c>
      <c r="BB59" s="173">
        <f t="shared" si="154"/>
        <v>0.97993940764549403</v>
      </c>
      <c r="BC59" s="173">
        <f t="shared" si="155"/>
        <v>0.24066158981881983</v>
      </c>
      <c r="BD59" s="173"/>
      <c r="BE59" s="528">
        <f t="shared" si="31"/>
        <v>1.1651518004010819E-2</v>
      </c>
      <c r="BF59" s="528">
        <f t="shared" si="156"/>
        <v>0.55876897429767813</v>
      </c>
      <c r="BG59" s="528">
        <f t="shared" si="157"/>
        <v>0.19263795375082104</v>
      </c>
      <c r="BH59" s="528">
        <f t="shared" si="34"/>
        <v>0.28499028158352185</v>
      </c>
      <c r="BI59">
        <f t="shared" si="35"/>
        <v>1.0768581265573845E-2</v>
      </c>
      <c r="BJ59" s="460">
        <f t="shared" si="101"/>
        <v>203.40653501639488</v>
      </c>
      <c r="BK59">
        <f t="shared" si="158"/>
        <v>0.86094011093290501</v>
      </c>
      <c r="BL59" s="460">
        <f t="shared" si="102"/>
        <v>860.94011093290499</v>
      </c>
      <c r="BM59" s="173">
        <f t="shared" si="159"/>
        <v>0.33547499999999997</v>
      </c>
      <c r="BN59" s="173">
        <f t="shared" si="160"/>
        <v>5.9906250000000001E-2</v>
      </c>
      <c r="BO59" s="528"/>
      <c r="BQ59" s="460">
        <f t="shared" si="103"/>
        <v>395.38124999999997</v>
      </c>
      <c r="BR59" s="528">
        <f t="shared" si="39"/>
        <v>1.7477277006016229E-2</v>
      </c>
      <c r="BS59" s="528">
        <f t="shared" si="104"/>
        <v>2.8808437279698052E-2</v>
      </c>
      <c r="BT59" s="528">
        <f t="shared" si="161"/>
        <v>2.8959000407060941E-4</v>
      </c>
      <c r="BU59" s="528">
        <f t="shared" si="41"/>
        <v>0.77794488195400335</v>
      </c>
      <c r="BV59" s="528">
        <f t="shared" si="162"/>
        <v>0.83882373693680268</v>
      </c>
      <c r="BW59" s="625">
        <f t="shared" si="163"/>
        <v>8.0999999999999978E-3</v>
      </c>
      <c r="BX59" s="460">
        <f t="shared" si="105"/>
        <v>846.9237369368027</v>
      </c>
      <c r="BY59" s="173">
        <f t="shared" si="106"/>
        <v>2.1032450978697081</v>
      </c>
      <c r="BZ59" s="5">
        <f t="shared" si="107"/>
        <v>9.7200000000000006</v>
      </c>
      <c r="CA59" s="173">
        <f t="shared" si="108"/>
        <v>0.82210932104852774</v>
      </c>
      <c r="CB59" s="5">
        <f t="shared" si="109"/>
        <v>82.210932104852773</v>
      </c>
      <c r="CC59">
        <f t="shared" si="173"/>
        <v>54</v>
      </c>
      <c r="CE59" s="562">
        <f t="shared" si="164"/>
        <v>-50</v>
      </c>
      <c r="CF59">
        <f t="shared" si="165"/>
        <v>-50</v>
      </c>
      <c r="CG59" s="173">
        <f t="shared" si="166"/>
        <v>0.52591383881169984</v>
      </c>
      <c r="CH59" s="173">
        <f t="shared" si="167"/>
        <v>0.18590861652208751</v>
      </c>
      <c r="CI59" s="170">
        <v>54</v>
      </c>
      <c r="CJ59" s="217">
        <f t="shared" si="133"/>
        <v>0.54</v>
      </c>
      <c r="CK59" s="217">
        <f t="shared" si="111"/>
        <v>0.13500000000000001</v>
      </c>
      <c r="CL59" s="217">
        <f t="shared" si="48"/>
        <v>8.64</v>
      </c>
      <c r="CM59" s="217">
        <f t="shared" si="134"/>
        <v>1.08</v>
      </c>
      <c r="CN59" s="541">
        <f t="shared" si="112"/>
        <v>24</v>
      </c>
      <c r="CO59" s="443">
        <f t="shared" si="168"/>
        <v>16.7</v>
      </c>
      <c r="CP59" s="443">
        <f t="shared" si="169"/>
        <v>40.700000000000003</v>
      </c>
      <c r="CQ59" s="443"/>
      <c r="CR59" s="217">
        <f t="shared" si="113"/>
        <v>0.40594059405940591</v>
      </c>
      <c r="CS59" s="172">
        <f t="shared" si="114"/>
        <v>21.650165016501649</v>
      </c>
      <c r="CT59" s="172">
        <f t="shared" si="51"/>
        <v>3.0445544554455446</v>
      </c>
      <c r="CU59" s="217">
        <f t="shared" si="52"/>
        <v>1.3531353135313531</v>
      </c>
      <c r="CV59" s="217">
        <f t="shared" si="53"/>
        <v>2.7062706270627062</v>
      </c>
      <c r="CW59" s="443">
        <f t="shared" si="54"/>
        <v>16</v>
      </c>
      <c r="CX59" s="217">
        <f t="shared" si="55"/>
        <v>1.9953658536585368</v>
      </c>
      <c r="CY59" s="217">
        <f t="shared" si="56"/>
        <v>0.9976829268292684</v>
      </c>
      <c r="CZ59" s="217">
        <f t="shared" si="57"/>
        <v>1.4337958229881702</v>
      </c>
      <c r="DA59" s="197">
        <f t="shared" si="58"/>
        <v>350</v>
      </c>
      <c r="DB59" s="443">
        <f t="shared" si="115"/>
        <v>350</v>
      </c>
      <c r="DD59" s="217">
        <f t="shared" si="59"/>
        <v>2.344682344682345</v>
      </c>
      <c r="DE59" s="173">
        <f t="shared" si="60"/>
        <v>1.6848016848016851</v>
      </c>
      <c r="DF59" s="173">
        <f t="shared" si="61"/>
        <v>0.69130683381297664</v>
      </c>
      <c r="DG59" s="173"/>
      <c r="DH59" s="173">
        <f t="shared" si="62"/>
        <v>0.71856287425149712</v>
      </c>
      <c r="DI59" s="545">
        <f t="shared" si="63"/>
        <v>1503</v>
      </c>
      <c r="DJ59" s="528">
        <f t="shared" si="64"/>
        <v>0.125748502994012</v>
      </c>
      <c r="DL59" s="173">
        <f t="shared" si="65"/>
        <v>2.1514114968019085</v>
      </c>
      <c r="DM59" s="173">
        <f t="shared" si="66"/>
        <v>2.1514114968019085</v>
      </c>
      <c r="DN59" s="173">
        <f t="shared" si="67"/>
        <v>2.0528974050384505</v>
      </c>
      <c r="DP59" s="545">
        <f t="shared" si="68"/>
        <v>540</v>
      </c>
      <c r="DQ59" s="460">
        <f t="shared" si="69"/>
        <v>350</v>
      </c>
      <c r="DS59">
        <f t="shared" si="116"/>
        <v>540</v>
      </c>
      <c r="DT59" s="460">
        <f t="shared" si="70"/>
        <v>350</v>
      </c>
      <c r="DU59" s="460"/>
      <c r="DV59" s="5">
        <f t="shared" si="117"/>
        <v>2.8571428571428572</v>
      </c>
      <c r="DW59" s="5">
        <f t="shared" si="71"/>
        <v>1.0757057484009542</v>
      </c>
      <c r="DX59" s="5">
        <f t="shared" si="118"/>
        <v>1.781437108741903</v>
      </c>
      <c r="DY59" s="173">
        <f t="shared" si="119"/>
        <v>0.37649701194033397</v>
      </c>
      <c r="EA59" s="5">
        <f t="shared" si="72"/>
        <v>3.6305069008532205</v>
      </c>
      <c r="EB59" s="5">
        <f t="shared" si="73"/>
        <v>1.8152534504266102</v>
      </c>
      <c r="EC59" s="5">
        <f t="shared" si="74"/>
        <v>0.5344311326225708</v>
      </c>
      <c r="ED59" s="5"/>
      <c r="EE59" s="173">
        <f t="shared" si="120"/>
        <v>0.76215556426264797</v>
      </c>
      <c r="EF59" s="173">
        <f t="shared" si="75"/>
        <v>0.98080377177120792</v>
      </c>
      <c r="EG59" s="173">
        <f t="shared" si="76"/>
        <v>0.24087386747910544</v>
      </c>
      <c r="EH59" s="173"/>
      <c r="EI59" s="528">
        <f t="shared" si="77"/>
        <v>1.1617622082730306E-2</v>
      </c>
      <c r="EJ59" s="528">
        <f t="shared" si="78"/>
        <v>0.58229027866692062</v>
      </c>
      <c r="EK59" s="528">
        <f t="shared" si="79"/>
        <v>4.0250000000000001E-2</v>
      </c>
      <c r="EL59" s="528">
        <f t="shared" si="80"/>
        <v>0.28553746375000005</v>
      </c>
      <c r="EM59">
        <f t="shared" si="81"/>
        <v>1.0800000000000001E-2</v>
      </c>
      <c r="EN59" s="460">
        <f t="shared" si="121"/>
        <v>51.05</v>
      </c>
      <c r="EO59">
        <f t="shared" si="82"/>
        <v>0.93621640461222966</v>
      </c>
      <c r="EP59" s="460">
        <f t="shared" si="122"/>
        <v>936.21640461222967</v>
      </c>
      <c r="EQ59" s="173">
        <f t="shared" si="83"/>
        <v>0.33547499999999997</v>
      </c>
      <c r="ER59" s="173">
        <f t="shared" si="170"/>
        <v>5.9906250000000001E-2</v>
      </c>
      <c r="ES59" s="528"/>
      <c r="EU59" s="460">
        <f t="shared" si="123"/>
        <v>395.38124999999997</v>
      </c>
      <c r="EV59" s="528">
        <f t="shared" si="85"/>
        <v>1.7426433124095458E-2</v>
      </c>
      <c r="EW59" s="528">
        <f t="shared" si="124"/>
        <v>2.885928116161883E-2</v>
      </c>
      <c r="EX59" s="528">
        <f t="shared" si="86"/>
        <v>2.9010110017170824E-4</v>
      </c>
      <c r="EY59" s="528">
        <f t="shared" si="87"/>
        <v>0.77794488195400335</v>
      </c>
      <c r="EZ59" s="528">
        <f t="shared" si="88"/>
        <v>0.83882440749206411</v>
      </c>
      <c r="FA59" s="625">
        <f t="shared" si="89"/>
        <v>8.0999999999999978E-3</v>
      </c>
      <c r="FB59" s="460">
        <f t="shared" si="125"/>
        <v>846.92440749206412</v>
      </c>
      <c r="FC59" s="173">
        <f t="shared" si="126"/>
        <v>2.1785220621042938</v>
      </c>
      <c r="FD59" s="5">
        <f t="shared" si="127"/>
        <v>9.7200000000000006</v>
      </c>
      <c r="FE59" s="173">
        <f t="shared" si="128"/>
        <v>0.81690817979464125</v>
      </c>
      <c r="FF59" s="5">
        <f t="shared" si="129"/>
        <v>81.690817979464128</v>
      </c>
      <c r="FG59">
        <f t="shared" si="130"/>
        <v>54</v>
      </c>
      <c r="FI59" s="562">
        <f t="shared" si="90"/>
        <v>-50</v>
      </c>
      <c r="FJ59">
        <f t="shared" si="91"/>
        <v>-50</v>
      </c>
      <c r="FL59">
        <f t="shared" si="92"/>
        <v>0.52591383881169984</v>
      </c>
    </row>
    <row r="60" spans="5:168">
      <c r="E60" s="170">
        <v>55</v>
      </c>
      <c r="F60" s="217">
        <f t="shared" si="174"/>
        <v>0.55000000000000004</v>
      </c>
      <c r="G60" s="217">
        <f t="shared" si="171"/>
        <v>0.13750000000000001</v>
      </c>
      <c r="H60" s="217">
        <f t="shared" si="135"/>
        <v>8.8000000000000007</v>
      </c>
      <c r="I60" s="217">
        <f t="shared" si="175"/>
        <v>1.1000000000000001</v>
      </c>
      <c r="J60" s="541">
        <f t="shared" si="136"/>
        <v>23.929537079695823</v>
      </c>
      <c r="K60" s="443">
        <f t="shared" si="137"/>
        <v>16.731087434301152</v>
      </c>
      <c r="L60" s="172">
        <f t="shared" si="138"/>
        <v>40.660624513996979</v>
      </c>
      <c r="M60" s="443"/>
      <c r="N60" s="217">
        <f t="shared" si="139"/>
        <v>0.41148131968660878</v>
      </c>
      <c r="O60" s="172">
        <f t="shared" si="172"/>
        <v>21.881238882317501</v>
      </c>
      <c r="P60" s="172">
        <f t="shared" si="140"/>
        <v>3.0770492178258984</v>
      </c>
      <c r="Q60" s="217">
        <f t="shared" si="6"/>
        <v>1.3675774301448438</v>
      </c>
      <c r="R60" s="217">
        <f t="shared" si="141"/>
        <v>2.7351548602896876</v>
      </c>
      <c r="S60" s="443">
        <f t="shared" si="142"/>
        <v>16</v>
      </c>
      <c r="T60" s="217">
        <f t="shared" si="143"/>
        <v>2.0108550634012294</v>
      </c>
      <c r="U60" s="217">
        <f t="shared" si="10"/>
        <v>1.0083881138381587</v>
      </c>
      <c r="V60" s="217">
        <f t="shared" si="11"/>
        <v>1.4422410291959997</v>
      </c>
      <c r="W60" s="197">
        <f t="shared" si="12"/>
        <v>350</v>
      </c>
      <c r="X60" s="443">
        <f t="shared" si="95"/>
        <v>350</v>
      </c>
      <c r="Z60" s="217">
        <f t="shared" si="13"/>
        <v>2.3444184516768756</v>
      </c>
      <c r="AA60" s="173">
        <f t="shared" si="14"/>
        <v>1.6814819437525466</v>
      </c>
      <c r="AB60" s="173">
        <f t="shared" si="144"/>
        <v>0.68986702664161936</v>
      </c>
      <c r="AC60" s="173"/>
      <c r="AD60" s="173">
        <f t="shared" si="16"/>
        <v>0.71722773831175268</v>
      </c>
      <c r="AE60" s="545">
        <f t="shared" si="145"/>
        <v>1533.6830148109389</v>
      </c>
      <c r="AF60" s="528">
        <f t="shared" si="146"/>
        <v>0.12551485420455671</v>
      </c>
      <c r="AH60" s="173">
        <f t="shared" si="147"/>
        <v>2.1712405933672376</v>
      </c>
      <c r="AI60" s="173">
        <f t="shared" si="148"/>
        <v>2.1712405933672376</v>
      </c>
      <c r="AJ60" s="173">
        <f t="shared" si="149"/>
        <v>2.0675856247164721</v>
      </c>
      <c r="AL60" s="545">
        <f t="shared" si="150"/>
        <v>550</v>
      </c>
      <c r="AM60" s="460">
        <f t="shared" si="151"/>
        <v>350</v>
      </c>
      <c r="AO60">
        <f t="shared" si="96"/>
        <v>550</v>
      </c>
      <c r="AP60">
        <f t="shared" si="24"/>
        <v>350</v>
      </c>
      <c r="AR60" s="5">
        <f t="shared" si="97"/>
        <v>2.8571428571428572</v>
      </c>
      <c r="AS60" s="5">
        <f t="shared" si="25"/>
        <v>1.0888170144550933</v>
      </c>
      <c r="AT60" s="5">
        <f t="shared" si="98"/>
        <v>1.7683258426877639</v>
      </c>
      <c r="AU60" s="173">
        <f t="shared" si="99"/>
        <v>0.38108595505928261</v>
      </c>
      <c r="AW60" s="5">
        <f t="shared" si="152"/>
        <v>3.7428084871893836</v>
      </c>
      <c r="AX60" s="5">
        <f t="shared" si="153"/>
        <v>1.8714042435946918</v>
      </c>
      <c r="AY60" s="5">
        <f t="shared" si="28"/>
        <v>0.54191281691696525</v>
      </c>
      <c r="AZ60" s="5"/>
      <c r="BA60" s="173">
        <f t="shared" si="100"/>
        <v>0.77385357655715548</v>
      </c>
      <c r="BB60" s="173">
        <f t="shared" si="154"/>
        <v>0.98619430817576204</v>
      </c>
      <c r="BC60" s="173">
        <f t="shared" si="155"/>
        <v>0.24219771980198862</v>
      </c>
      <c r="BD60" s="173"/>
      <c r="BE60" s="528">
        <f t="shared" si="31"/>
        <v>1.1976987159006025E-2</v>
      </c>
      <c r="BF60" s="528">
        <f t="shared" si="156"/>
        <v>0.56391404039609516</v>
      </c>
      <c r="BG60" s="528">
        <f t="shared" si="157"/>
        <v>0.19263277349155139</v>
      </c>
      <c r="BH60" s="528">
        <f t="shared" si="34"/>
        <v>0.28498524076403992</v>
      </c>
      <c r="BI60">
        <f t="shared" si="35"/>
        <v>1.0768291685863121E-2</v>
      </c>
      <c r="BJ60" s="460">
        <f t="shared" si="101"/>
        <v>203.40106517741452</v>
      </c>
      <c r="BK60">
        <f t="shared" si="158"/>
        <v>0.86657609831458404</v>
      </c>
      <c r="BL60" s="460">
        <f t="shared" si="102"/>
        <v>866.57609831458399</v>
      </c>
      <c r="BM60" s="173">
        <f t="shared" si="159"/>
        <v>0.34168749999999998</v>
      </c>
      <c r="BN60" s="173">
        <f t="shared" si="160"/>
        <v>6.1015625000000004E-2</v>
      </c>
      <c r="BO60" s="528"/>
      <c r="BQ60" s="460">
        <f t="shared" si="103"/>
        <v>402.703125</v>
      </c>
      <c r="BR60" s="528">
        <f t="shared" si="39"/>
        <v>1.7965480738509038E-2</v>
      </c>
      <c r="BS60" s="528">
        <f t="shared" si="104"/>
        <v>2.9177376404348098E-2</v>
      </c>
      <c r="BT60" s="528">
        <f t="shared" si="161"/>
        <v>2.9329867738641296E-4</v>
      </c>
      <c r="BU60" s="528">
        <f t="shared" si="41"/>
        <v>0.79599435904029503</v>
      </c>
      <c r="BV60" s="528">
        <f t="shared" si="162"/>
        <v>0.8580714812565805</v>
      </c>
      <c r="BW60" s="625">
        <f t="shared" si="163"/>
        <v>8.2500000000000004E-3</v>
      </c>
      <c r="BX60" s="460">
        <f t="shared" si="105"/>
        <v>866.32148125658046</v>
      </c>
      <c r="BY60" s="173">
        <f t="shared" si="106"/>
        <v>2.1356007045711642</v>
      </c>
      <c r="BZ60" s="5">
        <f t="shared" si="107"/>
        <v>9.9</v>
      </c>
      <c r="CA60" s="173">
        <f t="shared" si="108"/>
        <v>0.82255969128653006</v>
      </c>
      <c r="CB60" s="5">
        <f t="shared" si="109"/>
        <v>82.255969128653007</v>
      </c>
      <c r="CC60">
        <f t="shared" si="173"/>
        <v>55.000000000000007</v>
      </c>
      <c r="CE60" s="562">
        <f t="shared" si="164"/>
        <v>-50</v>
      </c>
      <c r="CF60">
        <f t="shared" si="165"/>
        <v>-50</v>
      </c>
      <c r="CG60" s="173">
        <f t="shared" si="166"/>
        <v>0.53076107343433809</v>
      </c>
      <c r="CH60" s="173">
        <f t="shared" si="167"/>
        <v>0.18762209621429102</v>
      </c>
      <c r="CI60" s="170">
        <v>55</v>
      </c>
      <c r="CJ60" s="217">
        <f t="shared" si="133"/>
        <v>0.55000000000000004</v>
      </c>
      <c r="CK60" s="217">
        <f t="shared" si="111"/>
        <v>0.13750000000000001</v>
      </c>
      <c r="CL60" s="217">
        <f t="shared" si="48"/>
        <v>8.8000000000000007</v>
      </c>
      <c r="CM60" s="217">
        <f t="shared" si="134"/>
        <v>1.1000000000000001</v>
      </c>
      <c r="CN60" s="541">
        <f t="shared" si="112"/>
        <v>24</v>
      </c>
      <c r="CO60" s="443">
        <f t="shared" si="168"/>
        <v>16.7</v>
      </c>
      <c r="CP60" s="443">
        <f t="shared" si="169"/>
        <v>40.700000000000003</v>
      </c>
      <c r="CQ60" s="443"/>
      <c r="CR60" s="217">
        <f t="shared" si="113"/>
        <v>0.40594059405940591</v>
      </c>
      <c r="CS60" s="172">
        <f t="shared" si="114"/>
        <v>21.650165016501649</v>
      </c>
      <c r="CT60" s="172">
        <f t="shared" si="51"/>
        <v>3.0445544554455446</v>
      </c>
      <c r="CU60" s="217">
        <f t="shared" si="52"/>
        <v>1.3531353135313531</v>
      </c>
      <c r="CV60" s="217">
        <f t="shared" si="53"/>
        <v>2.7062706270627062</v>
      </c>
      <c r="CW60" s="443">
        <f t="shared" si="54"/>
        <v>16</v>
      </c>
      <c r="CX60" s="217">
        <f t="shared" si="55"/>
        <v>2.0323170731707316</v>
      </c>
      <c r="CY60" s="217">
        <f t="shared" si="56"/>
        <v>1.0161585365853658</v>
      </c>
      <c r="CZ60" s="217">
        <f t="shared" si="57"/>
        <v>1.4603475974879512</v>
      </c>
      <c r="DA60" s="197">
        <f t="shared" si="58"/>
        <v>350</v>
      </c>
      <c r="DB60" s="443">
        <f t="shared" si="115"/>
        <v>350</v>
      </c>
      <c r="DD60" s="217">
        <f t="shared" si="59"/>
        <v>2.344682344682345</v>
      </c>
      <c r="DE60" s="173">
        <f t="shared" si="60"/>
        <v>1.6848016848016851</v>
      </c>
      <c r="DF60" s="173">
        <f t="shared" si="61"/>
        <v>0.69130683381297664</v>
      </c>
      <c r="DG60" s="173"/>
      <c r="DH60" s="173">
        <f t="shared" si="62"/>
        <v>0.71856287425149712</v>
      </c>
      <c r="DI60" s="545">
        <f t="shared" si="63"/>
        <v>1530.8333333333333</v>
      </c>
      <c r="DJ60" s="528">
        <f t="shared" si="64"/>
        <v>0.125748502994012</v>
      </c>
      <c r="DL60" s="173">
        <f t="shared" si="65"/>
        <v>2.1712405933672376</v>
      </c>
      <c r="DM60" s="173">
        <f t="shared" si="66"/>
        <v>2.1712405933672376</v>
      </c>
      <c r="DN60" s="173">
        <f t="shared" si="67"/>
        <v>2.0675856247164721</v>
      </c>
      <c r="DP60" s="545">
        <f t="shared" si="68"/>
        <v>550</v>
      </c>
      <c r="DQ60" s="460">
        <f t="shared" si="69"/>
        <v>350</v>
      </c>
      <c r="DS60">
        <f t="shared" si="116"/>
        <v>550</v>
      </c>
      <c r="DT60">
        <f t="shared" si="70"/>
        <v>350</v>
      </c>
      <c r="DV60" s="5">
        <f t="shared" si="117"/>
        <v>2.8571428571428572</v>
      </c>
      <c r="DW60" s="5">
        <f t="shared" si="71"/>
        <v>1.0856202966836188</v>
      </c>
      <c r="DX60" s="5">
        <f t="shared" si="118"/>
        <v>1.7715225604592384</v>
      </c>
      <c r="DY60" s="173">
        <f t="shared" si="119"/>
        <v>0.37996710383926657</v>
      </c>
      <c r="EA60" s="5">
        <f t="shared" si="72"/>
        <v>3.7318197698499405</v>
      </c>
      <c r="EB60" s="5">
        <f t="shared" si="73"/>
        <v>1.8659098849249702</v>
      </c>
      <c r="EC60" s="5">
        <f t="shared" si="74"/>
        <v>0.54129856014032285</v>
      </c>
      <c r="ED60" s="5"/>
      <c r="EE60" s="173">
        <f t="shared" si="120"/>
        <v>0.77271674187634265</v>
      </c>
      <c r="EF60" s="173">
        <f t="shared" si="75"/>
        <v>0.9870853095110782</v>
      </c>
      <c r="EG60" s="173">
        <f t="shared" si="76"/>
        <v>0.24241653924757361</v>
      </c>
      <c r="EH60" s="173"/>
      <c r="EI60" s="528">
        <f t="shared" si="77"/>
        <v>1.1941823263519807E-2</v>
      </c>
      <c r="EJ60" s="528">
        <f t="shared" si="78"/>
        <v>0.58765712279780979</v>
      </c>
      <c r="EK60" s="528">
        <f t="shared" si="79"/>
        <v>4.0250000000000001E-2</v>
      </c>
      <c r="EL60" s="528">
        <f t="shared" si="80"/>
        <v>0.28553746375000005</v>
      </c>
      <c r="EM60">
        <f t="shared" si="81"/>
        <v>1.0800000000000001E-2</v>
      </c>
      <c r="EN60" s="460">
        <f t="shared" si="121"/>
        <v>51.05</v>
      </c>
      <c r="EO60">
        <f t="shared" si="82"/>
        <v>0.94208374904950665</v>
      </c>
      <c r="EP60" s="460">
        <f t="shared" si="122"/>
        <v>942.08374904950665</v>
      </c>
      <c r="EQ60" s="173">
        <f t="shared" si="83"/>
        <v>0.34168749999999998</v>
      </c>
      <c r="ER60" s="173">
        <f t="shared" si="170"/>
        <v>6.1015625000000004E-2</v>
      </c>
      <c r="ES60" s="528"/>
      <c r="EU60" s="460">
        <f t="shared" si="123"/>
        <v>402.703125</v>
      </c>
      <c r="EV60" s="528">
        <f t="shared" si="85"/>
        <v>1.7912734895279708E-2</v>
      </c>
      <c r="EW60" s="528">
        <f t="shared" si="124"/>
        <v>2.9230122247577432E-2</v>
      </c>
      <c r="EX60" s="528">
        <f t="shared" si="86"/>
        <v>2.9382889250385201E-4</v>
      </c>
      <c r="EY60" s="528">
        <f t="shared" si="87"/>
        <v>0.79599435904029503</v>
      </c>
      <c r="EZ60" s="528">
        <f t="shared" si="88"/>
        <v>0.8580721777635224</v>
      </c>
      <c r="FA60" s="625">
        <f t="shared" si="89"/>
        <v>8.2500000000000004E-3</v>
      </c>
      <c r="FB60" s="460">
        <f t="shared" si="125"/>
        <v>866.3221777635224</v>
      </c>
      <c r="FC60" s="173">
        <f t="shared" si="126"/>
        <v>2.211109051813029</v>
      </c>
      <c r="FD60" s="5">
        <f t="shared" si="127"/>
        <v>9.9</v>
      </c>
      <c r="FE60" s="173">
        <f t="shared" si="128"/>
        <v>0.81743133165149506</v>
      </c>
      <c r="FF60" s="5">
        <f t="shared" si="129"/>
        <v>81.743133165149501</v>
      </c>
      <c r="FG60">
        <f t="shared" si="130"/>
        <v>55.000000000000007</v>
      </c>
      <c r="FI60" s="562">
        <f t="shared" si="90"/>
        <v>-50</v>
      </c>
      <c r="FJ60">
        <f t="shared" si="91"/>
        <v>-50</v>
      </c>
      <c r="FL60">
        <f t="shared" si="92"/>
        <v>0.53076107343433809</v>
      </c>
    </row>
    <row r="61" spans="5:168">
      <c r="E61" s="170">
        <v>56</v>
      </c>
      <c r="F61" s="217">
        <f t="shared" si="174"/>
        <v>0.56000000000000005</v>
      </c>
      <c r="G61" s="217">
        <f t="shared" si="171"/>
        <v>0.14000000000000001</v>
      </c>
      <c r="H61" s="217">
        <f t="shared" si="135"/>
        <v>8.9600000000000009</v>
      </c>
      <c r="I61" s="217">
        <f t="shared" si="175"/>
        <v>1.1200000000000001</v>
      </c>
      <c r="J61" s="541">
        <f t="shared" si="136"/>
        <v>23.928899393211079</v>
      </c>
      <c r="K61" s="443">
        <f t="shared" si="137"/>
        <v>16.731368774282714</v>
      </c>
      <c r="L61" s="172">
        <f t="shared" si="138"/>
        <v>40.660268167493797</v>
      </c>
      <c r="M61" s="443"/>
      <c r="N61" s="217">
        <f t="shared" si="139"/>
        <v>0.41149184519296289</v>
      </c>
      <c r="O61" s="172">
        <f t="shared" si="172"/>
        <v>21.881215477220437</v>
      </c>
      <c r="P61" s="172">
        <f t="shared" si="140"/>
        <v>3.0770459264841241</v>
      </c>
      <c r="Q61" s="217">
        <f t="shared" si="6"/>
        <v>1.3675759673262773</v>
      </c>
      <c r="R61" s="217">
        <f t="shared" si="141"/>
        <v>2.7351519346525546</v>
      </c>
      <c r="S61" s="443">
        <f t="shared" si="142"/>
        <v>16</v>
      </c>
      <c r="T61" s="217">
        <f t="shared" si="143"/>
        <v>2.0474182545589983</v>
      </c>
      <c r="U61" s="217">
        <f t="shared" si="10"/>
        <v>1.0267509027882207</v>
      </c>
      <c r="V61" s="217">
        <f t="shared" si="11"/>
        <v>1.4684404716769071</v>
      </c>
      <c r="W61" s="197">
        <f t="shared" si="12"/>
        <v>350</v>
      </c>
      <c r="X61" s="443">
        <f t="shared" si="95"/>
        <v>350</v>
      </c>
      <c r="Z61" s="217">
        <f t="shared" si="13"/>
        <v>2.344415943987904</v>
      </c>
      <c r="AA61" s="173">
        <f t="shared" si="14"/>
        <v>1.6814518708772486</v>
      </c>
      <c r="AB61" s="173">
        <f t="shared" si="144"/>
        <v>0.68985395064825961</v>
      </c>
      <c r="AC61" s="173"/>
      <c r="AD61" s="173">
        <f t="shared" si="16"/>
        <v>0.71721567804092878</v>
      </c>
      <c r="AE61" s="545">
        <f t="shared" si="145"/>
        <v>1561.5944189330535</v>
      </c>
      <c r="AF61" s="528">
        <f t="shared" si="146"/>
        <v>0.12551274365716253</v>
      </c>
      <c r="AH61" s="173">
        <f t="shared" si="147"/>
        <v>2.1908902300206647</v>
      </c>
      <c r="AI61" s="173">
        <f t="shared" si="148"/>
        <v>2.1908902300206647</v>
      </c>
      <c r="AJ61" s="173">
        <f t="shared" si="149"/>
        <v>2.0821409111264182</v>
      </c>
      <c r="AL61" s="545">
        <f t="shared" si="150"/>
        <v>560</v>
      </c>
      <c r="AM61" s="460">
        <f t="shared" si="151"/>
        <v>350</v>
      </c>
      <c r="AO61">
        <f t="shared" si="96"/>
        <v>560</v>
      </c>
      <c r="AP61">
        <f t="shared" si="24"/>
        <v>350</v>
      </c>
      <c r="AR61" s="5">
        <f t="shared" si="97"/>
        <v>2.8571428571428572</v>
      </c>
      <c r="AS61" s="5">
        <f t="shared" si="25"/>
        <v>1.0987000416620483</v>
      </c>
      <c r="AT61" s="5">
        <f t="shared" si="98"/>
        <v>1.7584428154808089</v>
      </c>
      <c r="AU61" s="173">
        <f t="shared" si="99"/>
        <v>0.38454501458171686</v>
      </c>
      <c r="AW61" s="5">
        <f t="shared" si="152"/>
        <v>3.845450145817169</v>
      </c>
      <c r="AX61" s="5">
        <f t="shared" si="153"/>
        <v>1.9227250729085845</v>
      </c>
      <c r="AY61" s="5">
        <f t="shared" si="28"/>
        <v>0.54869662577607292</v>
      </c>
      <c r="AZ61" s="5"/>
      <c r="BA61" s="173">
        <f t="shared" si="100"/>
        <v>0.78439277363496096</v>
      </c>
      <c r="BB61" s="173">
        <f t="shared" si="154"/>
        <v>0.99233460922677352</v>
      </c>
      <c r="BC61" s="173">
        <f t="shared" si="155"/>
        <v>0.24370570550128112</v>
      </c>
      <c r="BD61" s="173"/>
      <c r="BE61" s="528">
        <f t="shared" si="31"/>
        <v>1.2305440466614944E-2</v>
      </c>
      <c r="BF61" s="528">
        <f t="shared" si="156"/>
        <v>0.56901245207689011</v>
      </c>
      <c r="BG61" s="528">
        <f t="shared" si="157"/>
        <v>0.19262764011534922</v>
      </c>
      <c r="BH61" s="528">
        <f t="shared" si="34"/>
        <v>0.28498024560962626</v>
      </c>
      <c r="BI61">
        <f t="shared" si="35"/>
        <v>1.0768004726944985E-2</v>
      </c>
      <c r="BJ61" s="460">
        <f t="shared" si="101"/>
        <v>203.39564484229419</v>
      </c>
      <c r="BK61">
        <f t="shared" si="158"/>
        <v>0.87217063573425579</v>
      </c>
      <c r="BL61" s="460">
        <f t="shared" si="102"/>
        <v>872.17063573425582</v>
      </c>
      <c r="BM61" s="173">
        <f t="shared" si="159"/>
        <v>0.34789999999999999</v>
      </c>
      <c r="BN61" s="173">
        <f t="shared" si="160"/>
        <v>6.2125E-2</v>
      </c>
      <c r="BO61" s="528"/>
      <c r="BQ61" s="460">
        <f t="shared" si="103"/>
        <v>410.02499999999998</v>
      </c>
      <c r="BR61" s="528">
        <f t="shared" si="39"/>
        <v>1.8458160699922413E-2</v>
      </c>
      <c r="BS61" s="528">
        <f t="shared" si="104"/>
        <v>2.9541839300077598E-2</v>
      </c>
      <c r="BT61" s="528">
        <f t="shared" si="161"/>
        <v>2.9696235446938582E-4</v>
      </c>
      <c r="BU61" s="528">
        <f t="shared" si="41"/>
        <v>0.81412606992236158</v>
      </c>
      <c r="BV61" s="528">
        <f t="shared" si="162"/>
        <v>0.87740438054886483</v>
      </c>
      <c r="BW61" s="625">
        <f t="shared" si="163"/>
        <v>8.400000000000003E-3</v>
      </c>
      <c r="BX61" s="460">
        <f t="shared" si="105"/>
        <v>885.80438054886474</v>
      </c>
      <c r="BY61" s="173">
        <f t="shared" si="106"/>
        <v>2.1680000162831203</v>
      </c>
      <c r="BZ61" s="5">
        <f t="shared" si="107"/>
        <v>10.080000000000002</v>
      </c>
      <c r="CA61" s="173">
        <f t="shared" si="108"/>
        <v>0.82299150772363905</v>
      </c>
      <c r="CB61" s="5">
        <f t="shared" si="109"/>
        <v>82.299150772363902</v>
      </c>
      <c r="CC61">
        <f t="shared" si="173"/>
        <v>56.000000000000007</v>
      </c>
      <c r="CE61" s="562">
        <f t="shared" si="164"/>
        <v>-50</v>
      </c>
      <c r="CF61">
        <f t="shared" si="165"/>
        <v>-50</v>
      </c>
      <c r="CG61" s="173">
        <f t="shared" si="166"/>
        <v>0.53556443897320427</v>
      </c>
      <c r="CH61" s="173">
        <f t="shared" si="167"/>
        <v>0.18932006834599643</v>
      </c>
      <c r="CI61" s="170">
        <v>56</v>
      </c>
      <c r="CJ61" s="217">
        <f t="shared" si="133"/>
        <v>0.56000000000000005</v>
      </c>
      <c r="CK61" s="217">
        <f t="shared" si="111"/>
        <v>0.14000000000000001</v>
      </c>
      <c r="CL61" s="217">
        <f t="shared" si="48"/>
        <v>8.9600000000000009</v>
      </c>
      <c r="CM61" s="217">
        <f t="shared" si="134"/>
        <v>1.1200000000000001</v>
      </c>
      <c r="CN61" s="541">
        <f t="shared" si="112"/>
        <v>24</v>
      </c>
      <c r="CO61" s="443">
        <f t="shared" si="168"/>
        <v>16.7</v>
      </c>
      <c r="CP61" s="443">
        <f t="shared" si="169"/>
        <v>40.700000000000003</v>
      </c>
      <c r="CQ61" s="443"/>
      <c r="CR61" s="217">
        <f t="shared" si="113"/>
        <v>0.40594059405940591</v>
      </c>
      <c r="CS61" s="172">
        <f t="shared" si="114"/>
        <v>21.650165016501649</v>
      </c>
      <c r="CT61" s="172">
        <f t="shared" si="51"/>
        <v>3.0445544554455446</v>
      </c>
      <c r="CU61" s="217">
        <f t="shared" si="52"/>
        <v>1.3531353135313531</v>
      </c>
      <c r="CV61" s="217">
        <f t="shared" si="53"/>
        <v>2.7062706270627062</v>
      </c>
      <c r="CW61" s="443">
        <f t="shared" si="54"/>
        <v>16</v>
      </c>
      <c r="CX61" s="217">
        <f t="shared" si="55"/>
        <v>2.0692682926829273</v>
      </c>
      <c r="CY61" s="217">
        <f t="shared" si="56"/>
        <v>1.0346341463414637</v>
      </c>
      <c r="CZ61" s="217">
        <f t="shared" si="57"/>
        <v>1.4868993719877324</v>
      </c>
      <c r="DA61" s="197">
        <f t="shared" si="58"/>
        <v>350</v>
      </c>
      <c r="DB61" s="443">
        <f t="shared" si="115"/>
        <v>350</v>
      </c>
      <c r="DD61" s="217">
        <f t="shared" si="59"/>
        <v>2.344682344682345</v>
      </c>
      <c r="DE61" s="173">
        <f t="shared" si="60"/>
        <v>1.6848016848016851</v>
      </c>
      <c r="DF61" s="173">
        <f t="shared" si="61"/>
        <v>0.69130683381297664</v>
      </c>
      <c r="DG61" s="173"/>
      <c r="DH61" s="173">
        <f t="shared" si="62"/>
        <v>0.71856287425149712</v>
      </c>
      <c r="DI61" s="545">
        <f t="shared" si="63"/>
        <v>1558.6666666666665</v>
      </c>
      <c r="DJ61" s="528">
        <f t="shared" si="64"/>
        <v>0.125748502994012</v>
      </c>
      <c r="DL61" s="173">
        <f t="shared" si="65"/>
        <v>2.1908902300206647</v>
      </c>
      <c r="DM61" s="173">
        <f t="shared" si="66"/>
        <v>2.1908902300206647</v>
      </c>
      <c r="DN61" s="173">
        <f t="shared" si="67"/>
        <v>2.0821409111264182</v>
      </c>
      <c r="DP61" s="545">
        <f t="shared" si="68"/>
        <v>560</v>
      </c>
      <c r="DQ61" s="460">
        <f t="shared" si="69"/>
        <v>350</v>
      </c>
      <c r="DS61">
        <f t="shared" si="116"/>
        <v>560</v>
      </c>
      <c r="DT61">
        <f t="shared" si="70"/>
        <v>350</v>
      </c>
      <c r="DV61" s="5">
        <f t="shared" si="117"/>
        <v>2.8571428571428572</v>
      </c>
      <c r="DW61" s="5">
        <f t="shared" si="71"/>
        <v>1.0954451150103324</v>
      </c>
      <c r="DX61" s="5">
        <f t="shared" si="118"/>
        <v>1.7616977421325248</v>
      </c>
      <c r="DY61" s="173">
        <f t="shared" si="119"/>
        <v>0.38340579025361632</v>
      </c>
      <c r="EA61" s="5">
        <f t="shared" si="72"/>
        <v>3.8340579025361636</v>
      </c>
      <c r="EB61" s="5">
        <f t="shared" si="73"/>
        <v>1.9170289512680818</v>
      </c>
      <c r="EC61" s="5">
        <f t="shared" si="74"/>
        <v>0.54808374199678545</v>
      </c>
      <c r="ED61" s="5"/>
      <c r="EE61" s="173">
        <f t="shared" si="120"/>
        <v>0.78323002011272924</v>
      </c>
      <c r="EF61" s="173">
        <f t="shared" si="75"/>
        <v>0.99325260412153671</v>
      </c>
      <c r="EG61" s="173">
        <f t="shared" si="76"/>
        <v>0.24393115424749504</v>
      </c>
      <c r="EH61" s="173"/>
      <c r="EI61" s="528">
        <f t="shared" si="77"/>
        <v>1.2268985288115725E-2</v>
      </c>
      <c r="EJ61" s="528">
        <f t="shared" si="78"/>
        <v>0.59297539520624321</v>
      </c>
      <c r="EK61" s="528">
        <f t="shared" si="79"/>
        <v>4.0250000000000001E-2</v>
      </c>
      <c r="EL61" s="528">
        <f t="shared" si="80"/>
        <v>0.28553746375000005</v>
      </c>
      <c r="EM61">
        <f t="shared" si="81"/>
        <v>1.0800000000000001E-2</v>
      </c>
      <c r="EN61" s="460">
        <f t="shared" si="121"/>
        <v>51.05</v>
      </c>
      <c r="EO61">
        <f t="shared" si="82"/>
        <v>0.94790772642186105</v>
      </c>
      <c r="EP61" s="460">
        <f t="shared" si="122"/>
        <v>947.90772642186107</v>
      </c>
      <c r="EQ61" s="173">
        <f t="shared" si="83"/>
        <v>0.34789999999999999</v>
      </c>
      <c r="ER61" s="173">
        <f t="shared" si="170"/>
        <v>6.2125E-2</v>
      </c>
      <c r="ES61" s="528"/>
      <c r="EU61" s="460">
        <f t="shared" si="123"/>
        <v>410.02499999999998</v>
      </c>
      <c r="EV61" s="528">
        <f t="shared" si="85"/>
        <v>1.8403477932173586E-2</v>
      </c>
      <c r="EW61" s="528">
        <f t="shared" si="124"/>
        <v>2.9596522067826422E-2</v>
      </c>
      <c r="EX61" s="528">
        <f t="shared" si="86"/>
        <v>2.9751204006257608E-4</v>
      </c>
      <c r="EY61" s="528">
        <f t="shared" si="87"/>
        <v>0.81412606992236158</v>
      </c>
      <c r="EZ61" s="528">
        <f t="shared" si="88"/>
        <v>0.87740510353620338</v>
      </c>
      <c r="FA61" s="625">
        <f t="shared" si="89"/>
        <v>8.400000000000003E-3</v>
      </c>
      <c r="FB61" s="460">
        <f t="shared" si="125"/>
        <v>885.80510353620332</v>
      </c>
      <c r="FC61" s="173">
        <f t="shared" si="126"/>
        <v>2.2437378299580644</v>
      </c>
      <c r="FD61" s="5">
        <f t="shared" si="127"/>
        <v>10.080000000000002</v>
      </c>
      <c r="FE61" s="173">
        <f t="shared" si="128"/>
        <v>0.81793366096252806</v>
      </c>
      <c r="FF61" s="5">
        <f t="shared" si="129"/>
        <v>81.793366096252811</v>
      </c>
      <c r="FG61">
        <f t="shared" si="130"/>
        <v>56.000000000000007</v>
      </c>
      <c r="FI61" s="562">
        <f t="shared" si="90"/>
        <v>-50</v>
      </c>
      <c r="FJ61">
        <f t="shared" si="91"/>
        <v>-50</v>
      </c>
      <c r="FL61">
        <f t="shared" si="92"/>
        <v>0.53556443897320427</v>
      </c>
    </row>
    <row r="62" spans="5:168">
      <c r="E62" s="170">
        <v>57</v>
      </c>
      <c r="F62" s="217">
        <f t="shared" si="174"/>
        <v>0.56999999999999995</v>
      </c>
      <c r="G62" s="217">
        <f t="shared" si="171"/>
        <v>0.14249999999999999</v>
      </c>
      <c r="H62" s="217">
        <f t="shared" si="135"/>
        <v>9.1199999999999992</v>
      </c>
      <c r="I62" s="217">
        <f t="shared" si="175"/>
        <v>1.1399999999999999</v>
      </c>
      <c r="J62" s="541">
        <f t="shared" si="136"/>
        <v>23.928267375388096</v>
      </c>
      <c r="K62" s="443">
        <f t="shared" si="137"/>
        <v>16.731647613315562</v>
      </c>
      <c r="L62" s="172">
        <f t="shared" si="138"/>
        <v>40.659914988703662</v>
      </c>
      <c r="M62" s="443"/>
      <c r="N62" s="217">
        <f t="shared" si="139"/>
        <v>0.41150227731573052</v>
      </c>
      <c r="O62" s="172">
        <f t="shared" si="172"/>
        <v>21.881192260426445</v>
      </c>
      <c r="P62" s="172">
        <f t="shared" si="140"/>
        <v>3.0770426616224689</v>
      </c>
      <c r="Q62" s="217">
        <f t="shared" si="6"/>
        <v>1.3675745162766528</v>
      </c>
      <c r="R62" s="217">
        <f t="shared" si="141"/>
        <v>2.7351490325533057</v>
      </c>
      <c r="S62" s="443">
        <f t="shared" si="142"/>
        <v>16</v>
      </c>
      <c r="T62" s="217">
        <f t="shared" si="143"/>
        <v>2.0839815060018716</v>
      </c>
      <c r="U62" s="217">
        <f t="shared" si="10"/>
        <v>1.045114453115177</v>
      </c>
      <c r="V62" s="217">
        <f t="shared" si="11"/>
        <v>1.4946392997256586</v>
      </c>
      <c r="W62" s="197">
        <f t="shared" si="12"/>
        <v>350</v>
      </c>
      <c r="X62" s="443">
        <f t="shared" si="95"/>
        <v>350</v>
      </c>
      <c r="Z62" s="217">
        <f t="shared" si="13"/>
        <v>2.3444134564742618</v>
      </c>
      <c r="AA62" s="173">
        <f t="shared" si="14"/>
        <v>1.6814220648121982</v>
      </c>
      <c r="AB62" s="173">
        <f t="shared" si="144"/>
        <v>0.68984099008272981</v>
      </c>
      <c r="AC62" s="173"/>
      <c r="AD62" s="173">
        <f t="shared" si="16"/>
        <v>0.71720372537908517</v>
      </c>
      <c r="AE62" s="545">
        <f t="shared" si="145"/>
        <v>1589.5065232649781</v>
      </c>
      <c r="AF62" s="528">
        <f t="shared" si="146"/>
        <v>0.1255106519413399</v>
      </c>
      <c r="AH62" s="173">
        <f t="shared" si="147"/>
        <v>2.2103651928390216</v>
      </c>
      <c r="AI62" s="173">
        <f t="shared" si="148"/>
        <v>2.2103651928390216</v>
      </c>
      <c r="AJ62" s="173">
        <f t="shared" si="149"/>
        <v>2.0965668095103864</v>
      </c>
      <c r="AL62" s="545">
        <f t="shared" si="150"/>
        <v>570</v>
      </c>
      <c r="AM62" s="460">
        <f t="shared" si="151"/>
        <v>350</v>
      </c>
      <c r="AO62">
        <f t="shared" si="96"/>
        <v>570</v>
      </c>
      <c r="AP62">
        <f t="shared" si="24"/>
        <v>350</v>
      </c>
      <c r="AR62" s="5">
        <f t="shared" si="97"/>
        <v>2.8571428571428572</v>
      </c>
      <c r="AS62" s="5">
        <f t="shared" si="25"/>
        <v>1.1084957342691035</v>
      </c>
      <c r="AT62" s="5">
        <f t="shared" si="98"/>
        <v>1.7486471228737537</v>
      </c>
      <c r="AU62" s="173">
        <f t="shared" si="99"/>
        <v>0.3879735069941862</v>
      </c>
      <c r="AW62" s="5">
        <f t="shared" si="152"/>
        <v>3.9490160533336809</v>
      </c>
      <c r="AX62" s="5">
        <f t="shared" si="153"/>
        <v>1.9745080266668404</v>
      </c>
      <c r="AY62" s="5">
        <f t="shared" si="28"/>
        <v>0.55539826287255267</v>
      </c>
      <c r="AZ62" s="5"/>
      <c r="BA62" s="173">
        <f t="shared" si="100"/>
        <v>0.79488525494777473</v>
      </c>
      <c r="BB62" s="173">
        <f t="shared" si="154"/>
        <v>0.99836309028230785</v>
      </c>
      <c r="BC62" s="173">
        <f t="shared" si="155"/>
        <v>0.24518622952521379</v>
      </c>
      <c r="BD62" s="173"/>
      <c r="BE62" s="528">
        <f t="shared" si="31"/>
        <v>1.2636851370667777E-2</v>
      </c>
      <c r="BF62" s="528">
        <f t="shared" si="156"/>
        <v>0.57406545358243966</v>
      </c>
      <c r="BG62" s="528">
        <f t="shared" si="157"/>
        <v>0.19262255237187417</v>
      </c>
      <c r="BH62" s="528">
        <f t="shared" si="34"/>
        <v>0.28497529490242396</v>
      </c>
      <c r="BI62">
        <f t="shared" si="35"/>
        <v>1.0767720318924643E-2</v>
      </c>
      <c r="BJ62" s="460">
        <f t="shared" si="101"/>
        <v>203.39027269079881</v>
      </c>
      <c r="BK62">
        <f t="shared" si="158"/>
        <v>0.87772493277953145</v>
      </c>
      <c r="BL62" s="460">
        <f t="shared" si="102"/>
        <v>877.7249327795314</v>
      </c>
      <c r="BM62" s="173">
        <f t="shared" si="159"/>
        <v>0.35411249999999994</v>
      </c>
      <c r="BN62" s="173">
        <f t="shared" si="160"/>
        <v>6.3234374999999995E-2</v>
      </c>
      <c r="BO62" s="528"/>
      <c r="BQ62" s="460">
        <f t="shared" si="103"/>
        <v>417.34687499999995</v>
      </c>
      <c r="BR62" s="528">
        <f t="shared" si="39"/>
        <v>1.8955277056001665E-2</v>
      </c>
      <c r="BS62" s="528">
        <f t="shared" si="104"/>
        <v>2.9901865801141188E-2</v>
      </c>
      <c r="BT62" s="528">
        <f t="shared" si="161"/>
        <v>3.0058143574395412E-4</v>
      </c>
      <c r="BU62" s="528">
        <f t="shared" si="41"/>
        <v>0.83233891067403643</v>
      </c>
      <c r="BV62" s="528">
        <f t="shared" si="162"/>
        <v>0.89682134450868278</v>
      </c>
      <c r="BW62" s="625">
        <f t="shared" si="163"/>
        <v>8.5500000000000003E-3</v>
      </c>
      <c r="BX62" s="460">
        <f t="shared" si="105"/>
        <v>905.37134450868268</v>
      </c>
      <c r="BY62" s="173">
        <f t="shared" si="106"/>
        <v>2.2004431522882144</v>
      </c>
      <c r="BZ62" s="5">
        <f t="shared" si="107"/>
        <v>10.26</v>
      </c>
      <c r="CA62" s="173">
        <f t="shared" si="108"/>
        <v>0.82340570673169611</v>
      </c>
      <c r="CB62" s="5">
        <f t="shared" si="109"/>
        <v>82.340570673169609</v>
      </c>
      <c r="CC62">
        <f t="shared" si="173"/>
        <v>56.999999999999993</v>
      </c>
      <c r="CE62" s="562">
        <f t="shared" si="164"/>
        <v>-50</v>
      </c>
      <c r="CF62">
        <f t="shared" si="165"/>
        <v>-50</v>
      </c>
      <c r="CG62" s="173">
        <f t="shared" si="166"/>
        <v>0.54032510538766854</v>
      </c>
      <c r="CH62" s="173">
        <f t="shared" si="167"/>
        <v>0.19100294649355765</v>
      </c>
      <c r="CI62" s="170">
        <v>57</v>
      </c>
      <c r="CJ62" s="217">
        <f t="shared" si="133"/>
        <v>0.56999999999999995</v>
      </c>
      <c r="CK62" s="217">
        <f t="shared" si="111"/>
        <v>0.14249999999999999</v>
      </c>
      <c r="CL62" s="217">
        <f t="shared" si="48"/>
        <v>9.1199999999999992</v>
      </c>
      <c r="CM62" s="217">
        <f t="shared" si="134"/>
        <v>1.1399999999999999</v>
      </c>
      <c r="CN62" s="541">
        <f t="shared" si="112"/>
        <v>24</v>
      </c>
      <c r="CO62" s="443">
        <f t="shared" si="168"/>
        <v>16.7</v>
      </c>
      <c r="CP62" s="443">
        <f t="shared" si="169"/>
        <v>40.700000000000003</v>
      </c>
      <c r="CQ62" s="443"/>
      <c r="CR62" s="217">
        <f t="shared" si="113"/>
        <v>0.40594059405940591</v>
      </c>
      <c r="CS62" s="172">
        <f t="shared" si="114"/>
        <v>21.650165016501649</v>
      </c>
      <c r="CT62" s="172">
        <f t="shared" si="51"/>
        <v>3.0445544554455446</v>
      </c>
      <c r="CU62" s="217">
        <f t="shared" si="52"/>
        <v>1.3531353135313531</v>
      </c>
      <c r="CV62" s="217">
        <f t="shared" si="53"/>
        <v>2.7062706270627062</v>
      </c>
      <c r="CW62" s="443">
        <f t="shared" si="54"/>
        <v>16</v>
      </c>
      <c r="CX62" s="217">
        <f t="shared" si="55"/>
        <v>2.1062195121951222</v>
      </c>
      <c r="CY62" s="217">
        <f t="shared" si="56"/>
        <v>1.0531097560975611</v>
      </c>
      <c r="CZ62" s="217">
        <f t="shared" si="57"/>
        <v>1.5134511464875131</v>
      </c>
      <c r="DA62" s="197">
        <f t="shared" si="58"/>
        <v>350</v>
      </c>
      <c r="DB62" s="443">
        <f t="shared" si="115"/>
        <v>350</v>
      </c>
      <c r="DD62" s="217">
        <f t="shared" si="59"/>
        <v>2.344682344682345</v>
      </c>
      <c r="DE62" s="173">
        <f t="shared" si="60"/>
        <v>1.6848016848016851</v>
      </c>
      <c r="DF62" s="173">
        <f t="shared" si="61"/>
        <v>0.69130683381297664</v>
      </c>
      <c r="DG62" s="173"/>
      <c r="DH62" s="173">
        <f t="shared" si="62"/>
        <v>0.71856287425149712</v>
      </c>
      <c r="DI62" s="545">
        <f t="shared" si="63"/>
        <v>1586.4999999999998</v>
      </c>
      <c r="DJ62" s="528">
        <f t="shared" si="64"/>
        <v>0.125748502994012</v>
      </c>
      <c r="DL62" s="173">
        <f t="shared" si="65"/>
        <v>2.2103651928390216</v>
      </c>
      <c r="DM62" s="173">
        <f t="shared" si="66"/>
        <v>2.2103651928390216</v>
      </c>
      <c r="DN62" s="173">
        <f t="shared" si="67"/>
        <v>2.0965668095103864</v>
      </c>
      <c r="DP62" s="545">
        <f t="shared" si="68"/>
        <v>570</v>
      </c>
      <c r="DQ62" s="460">
        <f t="shared" si="69"/>
        <v>350</v>
      </c>
      <c r="DS62">
        <f t="shared" si="116"/>
        <v>570</v>
      </c>
      <c r="DT62">
        <f t="shared" si="70"/>
        <v>350</v>
      </c>
      <c r="DV62" s="5">
        <f t="shared" si="117"/>
        <v>2.8571428571428572</v>
      </c>
      <c r="DW62" s="5">
        <f t="shared" si="71"/>
        <v>1.1051825964195108</v>
      </c>
      <c r="DX62" s="5">
        <f t="shared" si="118"/>
        <v>1.7519602607233464</v>
      </c>
      <c r="DY62" s="173">
        <f t="shared" si="119"/>
        <v>0.38681390874682875</v>
      </c>
      <c r="EA62" s="5">
        <f t="shared" si="72"/>
        <v>3.9372129997445064</v>
      </c>
      <c r="EB62" s="5">
        <f t="shared" si="73"/>
        <v>1.9686064998722532</v>
      </c>
      <c r="EC62" s="5">
        <f t="shared" si="74"/>
        <v>0.55478741589572622</v>
      </c>
      <c r="ED62" s="5"/>
      <c r="EE62" s="173">
        <f t="shared" si="120"/>
        <v>0.79369646588549259</v>
      </c>
      <c r="EF62" s="173">
        <f t="shared" si="75"/>
        <v>0.99930843517520018</v>
      </c>
      <c r="EG62" s="173">
        <f t="shared" si="76"/>
        <v>0.24541839510920355</v>
      </c>
      <c r="EH62" s="173"/>
      <c r="EI62" s="528">
        <f t="shared" si="77"/>
        <v>1.2599081599182419E-2</v>
      </c>
      <c r="EJ62" s="528">
        <f t="shared" si="78"/>
        <v>0.5982463912678454</v>
      </c>
      <c r="EK62" s="528">
        <f t="shared" si="79"/>
        <v>4.0250000000000001E-2</v>
      </c>
      <c r="EL62" s="528">
        <f t="shared" si="80"/>
        <v>0.28553746375000005</v>
      </c>
      <c r="EM62">
        <f t="shared" si="81"/>
        <v>1.0800000000000001E-2</v>
      </c>
      <c r="EN62" s="460">
        <f t="shared" si="121"/>
        <v>51.05</v>
      </c>
      <c r="EO62">
        <f t="shared" si="82"/>
        <v>0.95368959831410882</v>
      </c>
      <c r="EP62" s="460">
        <f t="shared" si="122"/>
        <v>953.68959831410882</v>
      </c>
      <c r="EQ62" s="173">
        <f t="shared" si="83"/>
        <v>0.35411249999999994</v>
      </c>
      <c r="ER62" s="173">
        <f t="shared" si="170"/>
        <v>6.3234374999999995E-2</v>
      </c>
      <c r="ES62" s="528"/>
      <c r="EU62" s="460">
        <f t="shared" si="123"/>
        <v>417.34687499999995</v>
      </c>
      <c r="EV62" s="528">
        <f t="shared" si="85"/>
        <v>1.8898622398773626E-2</v>
      </c>
      <c r="EW62" s="528">
        <f t="shared" si="124"/>
        <v>2.9958520458369216E-2</v>
      </c>
      <c r="EX62" s="528">
        <f t="shared" si="86"/>
        <v>3.0115094328988574E-4</v>
      </c>
      <c r="EY62" s="528">
        <f t="shared" si="87"/>
        <v>0.83233891067403643</v>
      </c>
      <c r="EZ62" s="528">
        <f t="shared" si="88"/>
        <v>0.8968220945072537</v>
      </c>
      <c r="FA62" s="625">
        <f t="shared" si="89"/>
        <v>8.5500000000000003E-3</v>
      </c>
      <c r="FB62" s="460">
        <f t="shared" si="125"/>
        <v>905.37209450725368</v>
      </c>
      <c r="FC62" s="173">
        <f t="shared" si="126"/>
        <v>2.2764085678213624</v>
      </c>
      <c r="FD62" s="5">
        <f t="shared" si="127"/>
        <v>10.26</v>
      </c>
      <c r="FE62" s="173">
        <f t="shared" si="128"/>
        <v>0.81841621102996909</v>
      </c>
      <c r="FF62" s="5">
        <f t="shared" si="129"/>
        <v>81.841621102996911</v>
      </c>
      <c r="FG62">
        <f t="shared" si="130"/>
        <v>56.999999999999993</v>
      </c>
      <c r="FI62" s="562">
        <f t="shared" si="90"/>
        <v>-50</v>
      </c>
      <c r="FJ62">
        <f t="shared" si="91"/>
        <v>-50</v>
      </c>
      <c r="FL62">
        <f t="shared" si="92"/>
        <v>0.54032510538766854</v>
      </c>
    </row>
    <row r="63" spans="5:168">
      <c r="E63" s="170">
        <v>58</v>
      </c>
      <c r="F63" s="217">
        <f t="shared" si="174"/>
        <v>0.57999999999999996</v>
      </c>
      <c r="G63" s="217">
        <f t="shared" si="171"/>
        <v>0.14499999999999999</v>
      </c>
      <c r="H63" s="217">
        <f t="shared" si="135"/>
        <v>9.2799999999999994</v>
      </c>
      <c r="I63" s="217">
        <f t="shared" si="175"/>
        <v>1.1599999999999999</v>
      </c>
      <c r="J63" s="541">
        <f t="shared" si="136"/>
        <v>23.927640877688624</v>
      </c>
      <c r="K63" s="443">
        <f t="shared" si="137"/>
        <v>16.731924016933068</v>
      </c>
      <c r="L63" s="172">
        <f t="shared" si="138"/>
        <v>40.659564894621695</v>
      </c>
      <c r="M63" s="443"/>
      <c r="N63" s="217">
        <f t="shared" si="139"/>
        <v>0.41151261850188436</v>
      </c>
      <c r="O63" s="172">
        <f t="shared" si="172"/>
        <v>21.881169227000829</v>
      </c>
      <c r="P63" s="172">
        <f t="shared" si="140"/>
        <v>3.0770394225469917</v>
      </c>
      <c r="Q63" s="217">
        <f t="shared" si="6"/>
        <v>1.3675730766875518</v>
      </c>
      <c r="R63" s="217">
        <f t="shared" si="141"/>
        <v>2.7351461533751036</v>
      </c>
      <c r="S63" s="443">
        <f t="shared" si="142"/>
        <v>16</v>
      </c>
      <c r="T63" s="217">
        <f t="shared" si="143"/>
        <v>2.1205448172643138</v>
      </c>
      <c r="U63" s="217">
        <f t="shared" si="10"/>
        <v>1.0634787581963183</v>
      </c>
      <c r="V63" s="217">
        <f t="shared" si="11"/>
        <v>1.5208375188304299</v>
      </c>
      <c r="W63" s="197">
        <f t="shared" si="12"/>
        <v>350</v>
      </c>
      <c r="X63" s="443">
        <f t="shared" si="95"/>
        <v>350</v>
      </c>
      <c r="Z63" s="217">
        <f t="shared" si="13"/>
        <v>2.344410988607232</v>
      </c>
      <c r="AA63" s="173">
        <f t="shared" si="14"/>
        <v>1.6813925185660448</v>
      </c>
      <c r="AB63" s="173">
        <f t="shared" si="144"/>
        <v>0.68982814192043929</v>
      </c>
      <c r="AC63" s="173"/>
      <c r="AD63" s="173">
        <f t="shared" si="16"/>
        <v>0.7171918775064805</v>
      </c>
      <c r="AE63" s="545">
        <f t="shared" si="145"/>
        <v>1617.4193216368633</v>
      </c>
      <c r="AF63" s="528">
        <f t="shared" si="146"/>
        <v>0.12550857856363407</v>
      </c>
      <c r="AH63" s="173">
        <f t="shared" si="147"/>
        <v>2.2296700588716192</v>
      </c>
      <c r="AI63" s="173">
        <f t="shared" si="148"/>
        <v>2.2296700588716192</v>
      </c>
      <c r="AJ63" s="173">
        <f t="shared" si="149"/>
        <v>2.1108667102752734</v>
      </c>
      <c r="AL63" s="545">
        <f t="shared" si="150"/>
        <v>580</v>
      </c>
      <c r="AM63" s="460">
        <f t="shared" si="151"/>
        <v>350</v>
      </c>
      <c r="AO63">
        <f t="shared" si="96"/>
        <v>580</v>
      </c>
      <c r="AP63">
        <f t="shared" si="24"/>
        <v>350</v>
      </c>
      <c r="AR63" s="5">
        <f t="shared" si="97"/>
        <v>2.8571428571428572</v>
      </c>
      <c r="AS63" s="5">
        <f t="shared" si="25"/>
        <v>1.1182063807806542</v>
      </c>
      <c r="AT63" s="5">
        <f t="shared" si="98"/>
        <v>1.7389364763622031</v>
      </c>
      <c r="AU63" s="173">
        <f t="shared" si="99"/>
        <v>0.39137223327322895</v>
      </c>
      <c r="AW63" s="5">
        <f t="shared" si="152"/>
        <v>4.0534981303298707</v>
      </c>
      <c r="AX63" s="5">
        <f t="shared" si="153"/>
        <v>2.0267490651649354</v>
      </c>
      <c r="AY63" s="5">
        <f t="shared" si="28"/>
        <v>0.56201844076239205</v>
      </c>
      <c r="AZ63" s="5"/>
      <c r="BA63" s="173">
        <f t="shared" si="100"/>
        <v>0.80533204385072066</v>
      </c>
      <c r="BB63" s="173">
        <f t="shared" si="154"/>
        <v>1.0042824086331879</v>
      </c>
      <c r="BC63" s="173">
        <f t="shared" si="155"/>
        <v>0.24663994447315055</v>
      </c>
      <c r="BD63" s="173"/>
      <c r="BE63" s="528">
        <f t="shared" si="31"/>
        <v>1.2971194017055581E-2</v>
      </c>
      <c r="BF63" s="528">
        <f t="shared" si="156"/>
        <v>0.57907423481397424</v>
      </c>
      <c r="BG63" s="528">
        <f t="shared" si="157"/>
        <v>0.19261750906539346</v>
      </c>
      <c r="BH63" s="528">
        <f t="shared" si="34"/>
        <v>0.28497038747776438</v>
      </c>
      <c r="BI63">
        <f t="shared" si="35"/>
        <v>1.0767438394959881E-2</v>
      </c>
      <c r="BJ63" s="460">
        <f t="shared" si="101"/>
        <v>203.38494746035335</v>
      </c>
      <c r="BK63">
        <f t="shared" si="158"/>
        <v>0.88324014569352127</v>
      </c>
      <c r="BL63" s="460">
        <f t="shared" si="102"/>
        <v>883.2401456935213</v>
      </c>
      <c r="BM63" s="173">
        <f t="shared" si="159"/>
        <v>0.36032499999999995</v>
      </c>
      <c r="BN63" s="173">
        <f t="shared" si="160"/>
        <v>6.4343749999999991E-2</v>
      </c>
      <c r="BO63" s="528"/>
      <c r="BQ63" s="460">
        <f t="shared" si="103"/>
        <v>424.66874999999993</v>
      </c>
      <c r="BR63" s="528">
        <f t="shared" si="39"/>
        <v>1.945679102558337E-2</v>
      </c>
      <c r="BS63" s="528">
        <f t="shared" si="104"/>
        <v>3.025749468870232E-2</v>
      </c>
      <c r="BT63" s="528">
        <f t="shared" si="161"/>
        <v>3.0415631104859392E-4</v>
      </c>
      <c r="BU63" s="528">
        <f t="shared" si="41"/>
        <v>0.85063181134161481</v>
      </c>
      <c r="BV63" s="528">
        <f t="shared" si="162"/>
        <v>0.91632131662520511</v>
      </c>
      <c r="BW63" s="625">
        <f t="shared" si="163"/>
        <v>8.6999999999999977E-3</v>
      </c>
      <c r="BX63" s="460">
        <f t="shared" si="105"/>
        <v>925.02131662520515</v>
      </c>
      <c r="BY63" s="173">
        <f t="shared" si="106"/>
        <v>2.2329302123187267</v>
      </c>
      <c r="BZ63" s="5">
        <f t="shared" si="107"/>
        <v>10.44</v>
      </c>
      <c r="CA63" s="173">
        <f t="shared" si="108"/>
        <v>0.823803163521866</v>
      </c>
      <c r="CB63" s="5">
        <f t="shared" si="109"/>
        <v>82.380316352186597</v>
      </c>
      <c r="CC63">
        <f t="shared" si="173"/>
        <v>57.999999999999993</v>
      </c>
      <c r="CE63" s="562">
        <f t="shared" si="164"/>
        <v>-50</v>
      </c>
      <c r="CF63">
        <f t="shared" si="165"/>
        <v>-50</v>
      </c>
      <c r="CG63" s="173">
        <f t="shared" si="166"/>
        <v>0.54504419154019734</v>
      </c>
      <c r="CH63" s="173">
        <f t="shared" si="167"/>
        <v>0.19267112617076002</v>
      </c>
      <c r="CI63" s="170">
        <v>58</v>
      </c>
      <c r="CJ63" s="217">
        <f t="shared" si="133"/>
        <v>0.57999999999999996</v>
      </c>
      <c r="CK63" s="217">
        <f t="shared" si="111"/>
        <v>0.14499999999999999</v>
      </c>
      <c r="CL63" s="217">
        <f t="shared" si="48"/>
        <v>9.2799999999999994</v>
      </c>
      <c r="CM63" s="217">
        <f t="shared" si="134"/>
        <v>1.1599999999999999</v>
      </c>
      <c r="CN63" s="541">
        <f t="shared" si="112"/>
        <v>24</v>
      </c>
      <c r="CO63" s="443">
        <f t="shared" si="168"/>
        <v>16.7</v>
      </c>
      <c r="CP63" s="443">
        <f t="shared" si="169"/>
        <v>40.700000000000003</v>
      </c>
      <c r="CQ63" s="443"/>
      <c r="CR63" s="217">
        <f t="shared" si="113"/>
        <v>0.40594059405940591</v>
      </c>
      <c r="CS63" s="172">
        <f t="shared" si="114"/>
        <v>21.650165016501649</v>
      </c>
      <c r="CT63" s="172">
        <f t="shared" si="51"/>
        <v>3.0445544554455446</v>
      </c>
      <c r="CU63" s="217">
        <f t="shared" si="52"/>
        <v>1.3531353135313531</v>
      </c>
      <c r="CV63" s="217">
        <f t="shared" si="53"/>
        <v>2.7062706270627062</v>
      </c>
      <c r="CW63" s="443">
        <f t="shared" si="54"/>
        <v>16</v>
      </c>
      <c r="CX63" s="217">
        <f t="shared" si="55"/>
        <v>2.143170731707317</v>
      </c>
      <c r="CY63" s="217">
        <f t="shared" si="56"/>
        <v>1.0715853658536585</v>
      </c>
      <c r="CZ63" s="217">
        <f t="shared" si="57"/>
        <v>1.5400029209872936</v>
      </c>
      <c r="DA63" s="197">
        <f t="shared" si="58"/>
        <v>350</v>
      </c>
      <c r="DB63" s="443">
        <f t="shared" si="115"/>
        <v>350</v>
      </c>
      <c r="DD63" s="217">
        <f t="shared" si="59"/>
        <v>2.344682344682345</v>
      </c>
      <c r="DE63" s="173">
        <f t="shared" si="60"/>
        <v>1.6848016848016851</v>
      </c>
      <c r="DF63" s="173">
        <f t="shared" si="61"/>
        <v>0.69130683381297664</v>
      </c>
      <c r="DG63" s="173"/>
      <c r="DH63" s="173">
        <f t="shared" si="62"/>
        <v>0.71856287425149712</v>
      </c>
      <c r="DI63" s="545">
        <f t="shared" si="63"/>
        <v>1614.333333333333</v>
      </c>
      <c r="DJ63" s="528">
        <f t="shared" si="64"/>
        <v>0.125748502994012</v>
      </c>
      <c r="DL63" s="173">
        <f t="shared" si="65"/>
        <v>2.2296700588716192</v>
      </c>
      <c r="DM63" s="173">
        <f t="shared" si="66"/>
        <v>2.2296700588716192</v>
      </c>
      <c r="DN63" s="173">
        <f t="shared" si="67"/>
        <v>2.1108667102752734</v>
      </c>
      <c r="DP63" s="545">
        <f t="shared" si="68"/>
        <v>580</v>
      </c>
      <c r="DQ63" s="460">
        <f t="shared" si="69"/>
        <v>350</v>
      </c>
      <c r="DS63">
        <f t="shared" si="116"/>
        <v>580</v>
      </c>
      <c r="DT63">
        <f t="shared" si="70"/>
        <v>350</v>
      </c>
      <c r="DV63" s="5">
        <f t="shared" si="117"/>
        <v>2.8571428571428572</v>
      </c>
      <c r="DW63" s="5">
        <f t="shared" si="71"/>
        <v>1.1148350294358096</v>
      </c>
      <c r="DX63" s="5">
        <f t="shared" si="118"/>
        <v>1.7423078277070476</v>
      </c>
      <c r="DY63" s="173">
        <f t="shared" si="119"/>
        <v>0.39019226030253334</v>
      </c>
      <c r="EA63" s="5">
        <f t="shared" si="72"/>
        <v>4.0412769817048098</v>
      </c>
      <c r="EB63" s="5">
        <f t="shared" si="73"/>
        <v>2.0206384908524049</v>
      </c>
      <c r="EC63" s="5">
        <f t="shared" si="74"/>
        <v>0.56141030003893744</v>
      </c>
      <c r="ED63" s="5"/>
      <c r="EE63" s="173">
        <f t="shared" si="120"/>
        <v>0.80411710407923132</v>
      </c>
      <c r="EF63" s="173">
        <f t="shared" si="75"/>
        <v>1.0052554601045882</v>
      </c>
      <c r="EG63" s="173">
        <f t="shared" si="76"/>
        <v>0.24687891446686208</v>
      </c>
      <c r="EH63" s="173"/>
      <c r="EI63" s="528">
        <f t="shared" si="77"/>
        <v>1.2932086341455387E-2</v>
      </c>
      <c r="EJ63" s="528">
        <f t="shared" si="78"/>
        <v>0.60347134978389816</v>
      </c>
      <c r="EK63" s="528">
        <f t="shared" si="79"/>
        <v>4.0250000000000001E-2</v>
      </c>
      <c r="EL63" s="528">
        <f t="shared" si="80"/>
        <v>0.28553746375000005</v>
      </c>
      <c r="EM63">
        <f t="shared" si="81"/>
        <v>1.0800000000000001E-2</v>
      </c>
      <c r="EN63" s="460">
        <f t="shared" si="121"/>
        <v>51.05</v>
      </c>
      <c r="EO63">
        <f t="shared" si="82"/>
        <v>0.9594305706889048</v>
      </c>
      <c r="EP63" s="460">
        <f t="shared" si="122"/>
        <v>959.43057068890482</v>
      </c>
      <c r="EQ63" s="173">
        <f t="shared" si="83"/>
        <v>0.36032499999999995</v>
      </c>
      <c r="ER63" s="173">
        <f t="shared" si="170"/>
        <v>6.4343749999999991E-2</v>
      </c>
      <c r="ES63" s="528"/>
      <c r="EU63" s="460">
        <f t="shared" si="123"/>
        <v>424.66874999999993</v>
      </c>
      <c r="EV63" s="528">
        <f t="shared" si="85"/>
        <v>1.9398129512183081E-2</v>
      </c>
      <c r="EW63" s="528">
        <f t="shared" si="124"/>
        <v>3.0316156202102616E-2</v>
      </c>
      <c r="EX63" s="528">
        <f t="shared" si="86"/>
        <v>3.0474599204168099E-4</v>
      </c>
      <c r="EY63" s="528">
        <f t="shared" si="87"/>
        <v>0.85063181134161481</v>
      </c>
      <c r="EZ63" s="528">
        <f t="shared" si="88"/>
        <v>0.91632209416797239</v>
      </c>
      <c r="FA63" s="625">
        <f t="shared" si="89"/>
        <v>8.6999999999999977E-3</v>
      </c>
      <c r="FB63" s="460">
        <f t="shared" si="125"/>
        <v>925.02209416797245</v>
      </c>
      <c r="FC63" s="173">
        <f t="shared" si="126"/>
        <v>2.3091214148568771</v>
      </c>
      <c r="FD63" s="5">
        <f t="shared" si="127"/>
        <v>10.44</v>
      </c>
      <c r="FE63" s="173">
        <f t="shared" si="128"/>
        <v>0.81887995731486263</v>
      </c>
      <c r="FF63" s="5">
        <f t="shared" si="129"/>
        <v>81.887995731486257</v>
      </c>
      <c r="FG63">
        <f t="shared" si="130"/>
        <v>57.999999999999993</v>
      </c>
      <c r="FI63" s="562">
        <f t="shared" si="90"/>
        <v>-50</v>
      </c>
      <c r="FJ63">
        <f t="shared" si="91"/>
        <v>-50</v>
      </c>
      <c r="FL63">
        <f t="shared" si="92"/>
        <v>0.54504419154019734</v>
      </c>
    </row>
    <row r="64" spans="5:168">
      <c r="E64" s="170">
        <v>59</v>
      </c>
      <c r="F64" s="217">
        <f t="shared" si="174"/>
        <v>0.59</v>
      </c>
      <c r="G64" s="217">
        <f t="shared" si="171"/>
        <v>0.14749999999999999</v>
      </c>
      <c r="H64" s="217">
        <f t="shared" si="135"/>
        <v>9.44</v>
      </c>
      <c r="I64" s="217">
        <f t="shared" si="175"/>
        <v>1.18</v>
      </c>
      <c r="J64" s="541">
        <f t="shared" si="136"/>
        <v>23.927019757950305</v>
      </c>
      <c r="K64" s="443">
        <f t="shared" si="137"/>
        <v>16.732198047855643</v>
      </c>
      <c r="L64" s="172">
        <f t="shared" si="138"/>
        <v>40.659217805805952</v>
      </c>
      <c r="M64" s="443"/>
      <c r="N64" s="217">
        <f t="shared" si="139"/>
        <v>0.41152287109336277</v>
      </c>
      <c r="O64" s="172">
        <f t="shared" si="172"/>
        <v>21.881146372220726</v>
      </c>
      <c r="P64" s="172">
        <f t="shared" si="140"/>
        <v>3.0770362085935399</v>
      </c>
      <c r="Q64" s="217">
        <f t="shared" si="6"/>
        <v>1.3675716482637954</v>
      </c>
      <c r="R64" s="217">
        <f t="shared" si="141"/>
        <v>2.7351432965275908</v>
      </c>
      <c r="S64" s="443">
        <f t="shared" si="142"/>
        <v>16</v>
      </c>
      <c r="T64" s="217">
        <f t="shared" si="143"/>
        <v>2.1571081878928835</v>
      </c>
      <c r="U64" s="217">
        <f t="shared" si="10"/>
        <v>1.0818438115809896</v>
      </c>
      <c r="V64" s="217">
        <f t="shared" si="11"/>
        <v>1.5470351343368183</v>
      </c>
      <c r="W64" s="197">
        <f t="shared" si="12"/>
        <v>350</v>
      </c>
      <c r="X64" s="443">
        <f t="shared" si="95"/>
        <v>350</v>
      </c>
      <c r="Z64" s="217">
        <f t="shared" si="13"/>
        <v>2.3444085398807921</v>
      </c>
      <c r="AA64" s="173">
        <f t="shared" si="14"/>
        <v>1.6813632254475348</v>
      </c>
      <c r="AB64" s="173">
        <f t="shared" si="144"/>
        <v>0.68981540326662494</v>
      </c>
      <c r="AC64" s="173"/>
      <c r="AD64" s="173">
        <f t="shared" si="16"/>
        <v>0.71718013172440842</v>
      </c>
      <c r="AE64" s="545">
        <f t="shared" si="145"/>
        <v>1645.3328080391382</v>
      </c>
      <c r="AF64" s="528">
        <f t="shared" si="146"/>
        <v>0.12550652305177146</v>
      </c>
      <c r="AH64" s="173">
        <f t="shared" si="147"/>
        <v>2.2488092087019869</v>
      </c>
      <c r="AI64" s="173">
        <f t="shared" si="148"/>
        <v>2.2488092087019869</v>
      </c>
      <c r="AJ64" s="173">
        <f t="shared" si="149"/>
        <v>2.1250438582977678</v>
      </c>
      <c r="AL64" s="545">
        <f t="shared" si="150"/>
        <v>590</v>
      </c>
      <c r="AM64" s="460">
        <f t="shared" si="151"/>
        <v>350</v>
      </c>
      <c r="AO64">
        <f t="shared" si="96"/>
        <v>590</v>
      </c>
      <c r="AP64">
        <f t="shared" si="24"/>
        <v>350</v>
      </c>
      <c r="AR64" s="5">
        <f t="shared" si="97"/>
        <v>2.8571428571428572</v>
      </c>
      <c r="AS64" s="5">
        <f t="shared" si="25"/>
        <v>1.127834171468731</v>
      </c>
      <c r="AT64" s="5">
        <f t="shared" si="98"/>
        <v>1.7293086856741262</v>
      </c>
      <c r="AU64" s="173">
        <f t="shared" si="99"/>
        <v>0.39474196001405581</v>
      </c>
      <c r="AW64" s="5">
        <f t="shared" si="152"/>
        <v>4.1588885072909454</v>
      </c>
      <c r="AX64" s="5">
        <f t="shared" si="153"/>
        <v>2.0794442536454727</v>
      </c>
      <c r="AY64" s="5">
        <f t="shared" si="28"/>
        <v>0.56855785348902821</v>
      </c>
      <c r="AZ64" s="5"/>
      <c r="BA64" s="173">
        <f t="shared" si="100"/>
        <v>0.8157341240665068</v>
      </c>
      <c r="BB64" s="173">
        <f t="shared" si="154"/>
        <v>1.0100951066843826</v>
      </c>
      <c r="BC64" s="173">
        <f t="shared" si="155"/>
        <v>0.248067474729841</v>
      </c>
      <c r="BD64" s="173"/>
      <c r="BE64" s="528">
        <f t="shared" si="31"/>
        <v>1.3308443223331022E-2</v>
      </c>
      <c r="BF64" s="528">
        <f t="shared" si="156"/>
        <v>0.58403993459726988</v>
      </c>
      <c r="BG64" s="528">
        <f t="shared" si="157"/>
        <v>0.19261250905149999</v>
      </c>
      <c r="BH64" s="528">
        <f t="shared" si="34"/>
        <v>0.28496552222097193</v>
      </c>
      <c r="BI64">
        <f t="shared" si="35"/>
        <v>1.0767158891077638E-2</v>
      </c>
      <c r="BJ64" s="460">
        <f t="shared" si="101"/>
        <v>203.37966794257761</v>
      </c>
      <c r="BK64">
        <f t="shared" si="158"/>
        <v>0.88871738059665106</v>
      </c>
      <c r="BL64" s="460">
        <f t="shared" si="102"/>
        <v>888.71738059665108</v>
      </c>
      <c r="BM64" s="173">
        <f t="shared" si="159"/>
        <v>0.36653749999999996</v>
      </c>
      <c r="BN64" s="173">
        <f t="shared" si="160"/>
        <v>6.5453124999999987E-2</v>
      </c>
      <c r="BO64" s="528"/>
      <c r="BQ64" s="460">
        <f t="shared" si="103"/>
        <v>431.99062499999997</v>
      </c>
      <c r="BR64" s="528">
        <f t="shared" si="39"/>
        <v>1.9962664834996532E-2</v>
      </c>
      <c r="BS64" s="528">
        <f t="shared" si="104"/>
        <v>3.0608763736432027E-2</v>
      </c>
      <c r="BT64" s="528">
        <f t="shared" si="161"/>
        <v>3.0768736009420154E-4</v>
      </c>
      <c r="BU64" s="528">
        <f t="shared" si="41"/>
        <v>0.86900373432926292</v>
      </c>
      <c r="BV64" s="528">
        <f t="shared" si="162"/>
        <v>0.93590327257282502</v>
      </c>
      <c r="BW64" s="625">
        <f t="shared" si="163"/>
        <v>8.8499999999999985E-3</v>
      </c>
      <c r="BX64" s="460">
        <f t="shared" si="105"/>
        <v>944.75327257282504</v>
      </c>
      <c r="BY64" s="173">
        <f t="shared" si="106"/>
        <v>2.2654612781694756</v>
      </c>
      <c r="BZ64" s="5">
        <f t="shared" si="107"/>
        <v>10.62</v>
      </c>
      <c r="CA64" s="173">
        <f t="shared" si="108"/>
        <v>0.82418469705794584</v>
      </c>
      <c r="CB64" s="5">
        <f t="shared" si="109"/>
        <v>82.418469705794578</v>
      </c>
      <c r="CC64">
        <f t="shared" si="173"/>
        <v>59</v>
      </c>
      <c r="CE64" s="562">
        <f t="shared" si="164"/>
        <v>-50</v>
      </c>
      <c r="CF64">
        <f t="shared" si="165"/>
        <v>-50</v>
      </c>
      <c r="CG64" s="173">
        <f t="shared" si="166"/>
        <v>0.549722768267078</v>
      </c>
      <c r="CH64" s="173">
        <f t="shared" si="167"/>
        <v>0.19432498591431061</v>
      </c>
      <c r="CI64" s="170">
        <v>59</v>
      </c>
      <c r="CJ64" s="217">
        <f t="shared" si="133"/>
        <v>0.59</v>
      </c>
      <c r="CK64" s="217">
        <f t="shared" si="111"/>
        <v>0.14749999999999999</v>
      </c>
      <c r="CL64" s="217">
        <f t="shared" si="48"/>
        <v>9.44</v>
      </c>
      <c r="CM64" s="217">
        <f t="shared" si="134"/>
        <v>1.18</v>
      </c>
      <c r="CN64" s="541">
        <f t="shared" si="112"/>
        <v>24</v>
      </c>
      <c r="CO64" s="443">
        <f t="shared" si="168"/>
        <v>16.7</v>
      </c>
      <c r="CP64" s="443">
        <f t="shared" si="169"/>
        <v>40.700000000000003</v>
      </c>
      <c r="CQ64" s="443"/>
      <c r="CR64" s="217">
        <f t="shared" si="113"/>
        <v>0.40594059405940591</v>
      </c>
      <c r="CS64" s="172">
        <f t="shared" si="114"/>
        <v>21.650165016501649</v>
      </c>
      <c r="CT64" s="172">
        <f t="shared" si="51"/>
        <v>3.0445544554455446</v>
      </c>
      <c r="CU64" s="217">
        <f t="shared" si="52"/>
        <v>1.3531353135313531</v>
      </c>
      <c r="CV64" s="217">
        <f t="shared" si="53"/>
        <v>2.7062706270627062</v>
      </c>
      <c r="CW64" s="443">
        <f t="shared" si="54"/>
        <v>16</v>
      </c>
      <c r="CX64" s="217">
        <f t="shared" si="55"/>
        <v>2.1801219512195122</v>
      </c>
      <c r="CY64" s="217">
        <f t="shared" si="56"/>
        <v>1.0900609756097561</v>
      </c>
      <c r="CZ64" s="217">
        <f t="shared" si="57"/>
        <v>1.5665546954870746</v>
      </c>
      <c r="DA64" s="197">
        <f t="shared" si="58"/>
        <v>350</v>
      </c>
      <c r="DB64" s="443">
        <f t="shared" si="115"/>
        <v>350</v>
      </c>
      <c r="DD64" s="217">
        <f t="shared" si="59"/>
        <v>2.344682344682345</v>
      </c>
      <c r="DE64" s="173">
        <f t="shared" si="60"/>
        <v>1.6848016848016851</v>
      </c>
      <c r="DF64" s="173">
        <f t="shared" si="61"/>
        <v>0.69130683381297664</v>
      </c>
      <c r="DG64" s="173"/>
      <c r="DH64" s="173">
        <f t="shared" si="62"/>
        <v>0.71856287425149712</v>
      </c>
      <c r="DI64" s="545">
        <f t="shared" si="63"/>
        <v>1642.1666666666663</v>
      </c>
      <c r="DJ64" s="528">
        <f t="shared" si="64"/>
        <v>0.125748502994012</v>
      </c>
      <c r="DL64" s="173">
        <f t="shared" si="65"/>
        <v>2.2488092087019869</v>
      </c>
      <c r="DM64" s="173">
        <f t="shared" si="66"/>
        <v>2.2488092087019869</v>
      </c>
      <c r="DN64" s="173">
        <f t="shared" si="67"/>
        <v>2.1250438582977678</v>
      </c>
      <c r="DP64" s="545">
        <f t="shared" si="68"/>
        <v>590</v>
      </c>
      <c r="DQ64" s="460">
        <f t="shared" si="69"/>
        <v>350</v>
      </c>
      <c r="DS64">
        <f t="shared" si="116"/>
        <v>590</v>
      </c>
      <c r="DT64">
        <f t="shared" si="70"/>
        <v>350</v>
      </c>
      <c r="DV64" s="5">
        <f t="shared" si="117"/>
        <v>2.8571428571428572</v>
      </c>
      <c r="DW64" s="5">
        <f t="shared" si="71"/>
        <v>1.1244046043509934</v>
      </c>
      <c r="DX64" s="5">
        <f t="shared" si="118"/>
        <v>1.7327382527918638</v>
      </c>
      <c r="DY64" s="173">
        <f t="shared" si="119"/>
        <v>0.39354161152284767</v>
      </c>
      <c r="EA64" s="5">
        <f t="shared" si="72"/>
        <v>4.1462419785442872</v>
      </c>
      <c r="EB64" s="5">
        <f t="shared" si="73"/>
        <v>2.0731209892721436</v>
      </c>
      <c r="EC64" s="5">
        <f t="shared" si="74"/>
        <v>0.5679530939706664</v>
      </c>
      <c r="ED64" s="5"/>
      <c r="EE64" s="173">
        <f t="shared" si="120"/>
        <v>0.8144929198999129</v>
      </c>
      <c r="EF64" s="173">
        <f t="shared" si="75"/>
        <v>1.0110962215077255</v>
      </c>
      <c r="EG64" s="173">
        <f t="shared" si="76"/>
        <v>0.24831333675263256</v>
      </c>
      <c r="EH64" s="173"/>
      <c r="EI64" s="528">
        <f t="shared" si="77"/>
        <v>1.326797433134172E-2</v>
      </c>
      <c r="EJ64" s="528">
        <f t="shared" si="78"/>
        <v>0.60865145638123641</v>
      </c>
      <c r="EK64" s="528">
        <f t="shared" si="79"/>
        <v>4.0250000000000001E-2</v>
      </c>
      <c r="EL64" s="528">
        <f t="shared" si="80"/>
        <v>0.28553746375000005</v>
      </c>
      <c r="EM64">
        <f t="shared" si="81"/>
        <v>1.0800000000000001E-2</v>
      </c>
      <c r="EN64" s="460">
        <f t="shared" si="121"/>
        <v>51.05</v>
      </c>
      <c r="EO64">
        <f t="shared" si="82"/>
        <v>0.96513179724558296</v>
      </c>
      <c r="EP64" s="460">
        <f t="shared" si="122"/>
        <v>965.1317972455829</v>
      </c>
      <c r="EQ64" s="173">
        <f t="shared" si="83"/>
        <v>0.36653749999999996</v>
      </c>
      <c r="ER64" s="173">
        <f t="shared" si="170"/>
        <v>6.5453124999999987E-2</v>
      </c>
      <c r="ES64" s="528"/>
      <c r="EU64" s="460">
        <f t="shared" si="123"/>
        <v>431.99062499999997</v>
      </c>
      <c r="EV64" s="528">
        <f t="shared" si="85"/>
        <v>1.9901961497012576E-2</v>
      </c>
      <c r="EW64" s="528">
        <f t="shared" si="124"/>
        <v>3.0669467074415983E-2</v>
      </c>
      <c r="EX64" s="528">
        <f t="shared" si="86"/>
        <v>3.0829756604613154E-4</v>
      </c>
      <c r="EY64" s="528">
        <f t="shared" si="87"/>
        <v>0.86900373432926292</v>
      </c>
      <c r="EZ64" s="528">
        <f t="shared" si="88"/>
        <v>0.93590407819489174</v>
      </c>
      <c r="FA64" s="625">
        <f t="shared" si="89"/>
        <v>8.8499999999999985E-3</v>
      </c>
      <c r="FB64" s="460">
        <f t="shared" si="125"/>
        <v>944.7540781948918</v>
      </c>
      <c r="FC64" s="173">
        <f t="shared" si="126"/>
        <v>2.3418765004404745</v>
      </c>
      <c r="FD64" s="5">
        <f t="shared" si="127"/>
        <v>10.62</v>
      </c>
      <c r="FE64" s="173">
        <f t="shared" si="128"/>
        <v>0.81932581286660988</v>
      </c>
      <c r="FF64" s="5">
        <f t="shared" si="129"/>
        <v>81.932581286660991</v>
      </c>
      <c r="FG64">
        <f t="shared" si="130"/>
        <v>59</v>
      </c>
      <c r="FI64" s="562">
        <f t="shared" si="90"/>
        <v>-50</v>
      </c>
      <c r="FJ64">
        <f t="shared" si="91"/>
        <v>-50</v>
      </c>
      <c r="FL64">
        <f t="shared" si="92"/>
        <v>0.549722768267078</v>
      </c>
    </row>
    <row r="65" spans="5:168">
      <c r="E65" s="170">
        <v>60</v>
      </c>
      <c r="F65" s="217">
        <f t="shared" si="174"/>
        <v>0.6</v>
      </c>
      <c r="G65" s="217">
        <f t="shared" si="171"/>
        <v>0.15</v>
      </c>
      <c r="H65" s="217">
        <f t="shared" si="135"/>
        <v>9.6</v>
      </c>
      <c r="I65" s="217">
        <f t="shared" si="175"/>
        <v>1.2</v>
      </c>
      <c r="J65" s="541">
        <f t="shared" si="136"/>
        <v>23.926403880009936</v>
      </c>
      <c r="K65" s="443">
        <f t="shared" si="137"/>
        <v>16.732469766156928</v>
      </c>
      <c r="L65" s="172">
        <f t="shared" si="138"/>
        <v>40.658873646166867</v>
      </c>
      <c r="M65" s="443"/>
      <c r="N65" s="217">
        <f t="shared" si="139"/>
        <v>0.41153303733327568</v>
      </c>
      <c r="O65" s="172">
        <f t="shared" si="172"/>
        <v>21.881123691562578</v>
      </c>
      <c r="P65" s="172">
        <f t="shared" si="140"/>
        <v>3.0770330191259876</v>
      </c>
      <c r="Q65" s="217">
        <f t="shared" si="6"/>
        <v>1.3675702307226612</v>
      </c>
      <c r="R65" s="217">
        <f t="shared" si="141"/>
        <v>2.7351404614453223</v>
      </c>
      <c r="S65" s="443">
        <f t="shared" si="142"/>
        <v>16</v>
      </c>
      <c r="T65" s="217">
        <f t="shared" si="143"/>
        <v>2.1936716174457223</v>
      </c>
      <c r="U65" s="217">
        <f t="shared" si="10"/>
        <v>1.1002096069832679</v>
      </c>
      <c r="V65" s="217">
        <f t="shared" si="11"/>
        <v>1.573232151453916</v>
      </c>
      <c r="W65" s="197">
        <f t="shared" si="12"/>
        <v>350</v>
      </c>
      <c r="X65" s="443">
        <f t="shared" si="95"/>
        <v>348.01470990798259</v>
      </c>
      <c r="Z65" s="217">
        <f t="shared" si="13"/>
        <v>2.3444061098102766</v>
      </c>
      <c r="AA65" s="173">
        <f t="shared" si="14"/>
        <v>1.6813341790477838</v>
      </c>
      <c r="AB65" s="173">
        <f t="shared" si="144"/>
        <v>0.68980277134868229</v>
      </c>
      <c r="AC65" s="173"/>
      <c r="AD65" s="173">
        <f t="shared" si="16"/>
        <v>0.71716848544804701</v>
      </c>
      <c r="AE65" s="545">
        <f t="shared" si="145"/>
        <v>1673.2469766156926</v>
      </c>
      <c r="AF65" s="528">
        <f t="shared" si="146"/>
        <v>0.12550448495340821</v>
      </c>
      <c r="AH65" s="173">
        <f t="shared" si="147"/>
        <v>2.2677868380553634</v>
      </c>
      <c r="AI65" s="173">
        <f t="shared" si="148"/>
        <v>2.2677868380553634</v>
      </c>
      <c r="AJ65" s="173">
        <f t="shared" si="149"/>
        <v>2.1391013615224912</v>
      </c>
      <c r="AL65" s="545">
        <f t="shared" si="150"/>
        <v>600</v>
      </c>
      <c r="AM65" s="460">
        <f t="shared" si="151"/>
        <v>348.01470990798259</v>
      </c>
      <c r="AO65">
        <f t="shared" si="96"/>
        <v>600</v>
      </c>
      <c r="AP65">
        <f t="shared" si="24"/>
        <v>348.01470990798259</v>
      </c>
      <c r="AR65" s="5">
        <f t="shared" si="97"/>
        <v>2.8734417584371843</v>
      </c>
      <c r="AS65" s="5">
        <f t="shared" si="25"/>
        <v>1.1373812041767248</v>
      </c>
      <c r="AT65" s="5">
        <f t="shared" si="98"/>
        <v>1.7360605542604595</v>
      </c>
      <c r="AU65" s="173">
        <f t="shared" si="99"/>
        <v>0.39582538982635479</v>
      </c>
      <c r="AW65" s="5">
        <f t="shared" si="152"/>
        <v>4.2651795156627186</v>
      </c>
      <c r="AX65" s="5">
        <f t="shared" si="153"/>
        <v>2.1325897578313593</v>
      </c>
      <c r="AY65" s="5">
        <f t="shared" si="28"/>
        <v>0.58046685593597469</v>
      </c>
      <c r="AZ65" s="5"/>
      <c r="BA65" s="173">
        <f t="shared" si="100"/>
        <v>0.82374620553353328</v>
      </c>
      <c r="BB65" s="173">
        <f t="shared" si="154"/>
        <v>1.0177071794749315</v>
      </c>
      <c r="BC65" s="173">
        <f t="shared" si="155"/>
        <v>0.24993691025340223</v>
      </c>
      <c r="BD65" s="173"/>
      <c r="BE65" s="528">
        <f t="shared" si="31"/>
        <v>1.3571156222617882E-2</v>
      </c>
      <c r="BF65" s="528">
        <f t="shared" si="156"/>
        <v>0.58562289031055692</v>
      </c>
      <c r="BG65" s="528">
        <f t="shared" si="157"/>
        <v>0.1915150316251864</v>
      </c>
      <c r="BH65" s="528">
        <f t="shared" si="34"/>
        <v>0.28334432763446166</v>
      </c>
      <c r="BI65">
        <f t="shared" si="35"/>
        <v>1.0766881746004471E-2</v>
      </c>
      <c r="BJ65" s="460">
        <f t="shared" si="101"/>
        <v>202.28191337119085</v>
      </c>
      <c r="BK65">
        <f t="shared" si="158"/>
        <v>0.88906939659025597</v>
      </c>
      <c r="BL65" s="460">
        <f t="shared" si="102"/>
        <v>889.06939659025602</v>
      </c>
      <c r="BM65" s="173">
        <f t="shared" si="159"/>
        <v>0.37274999999999997</v>
      </c>
      <c r="BN65" s="173">
        <f t="shared" si="160"/>
        <v>6.6562499999999997E-2</v>
      </c>
      <c r="BO65" s="528"/>
      <c r="BQ65" s="460">
        <f t="shared" si="103"/>
        <v>439.3125</v>
      </c>
      <c r="BR65" s="528">
        <f t="shared" si="39"/>
        <v>2.0356734333926822E-2</v>
      </c>
      <c r="BS65" s="528">
        <f t="shared" si="104"/>
        <v>3.107183709464461E-2</v>
      </c>
      <c r="BT65" s="528">
        <f t="shared" si="161"/>
        <v>3.1234229553508622E-4</v>
      </c>
      <c r="BU65" s="528">
        <f t="shared" si="41"/>
        <v>0.87492249565832014</v>
      </c>
      <c r="BV65" s="528">
        <f t="shared" si="162"/>
        <v>0.94298449904487225</v>
      </c>
      <c r="BW65" s="625">
        <f t="shared" si="163"/>
        <v>8.9489496833481258E-3</v>
      </c>
      <c r="BX65" s="460">
        <f t="shared" si="105"/>
        <v>951.93344872822036</v>
      </c>
      <c r="BY65" s="173">
        <f t="shared" si="106"/>
        <v>2.2803153453184763</v>
      </c>
      <c r="BZ65" s="5">
        <f t="shared" si="107"/>
        <v>10.799999999999999</v>
      </c>
      <c r="CA65" s="173">
        <f t="shared" si="108"/>
        <v>0.82566816738599391</v>
      </c>
      <c r="CB65" s="5">
        <f t="shared" si="109"/>
        <v>82.566816738599385</v>
      </c>
      <c r="CC65">
        <f t="shared" si="173"/>
        <v>60</v>
      </c>
      <c r="CE65" s="562">
        <f t="shared" si="164"/>
        <v>-50</v>
      </c>
      <c r="CF65">
        <f t="shared" si="165"/>
        <v>-50</v>
      </c>
      <c r="CG65" s="173">
        <f t="shared" si="166"/>
        <v>0.55436186121587738</v>
      </c>
      <c r="CH65" s="173">
        <f t="shared" si="167"/>
        <v>0.19596488828686914</v>
      </c>
      <c r="CI65" s="170">
        <v>60</v>
      </c>
      <c r="CJ65" s="217">
        <f t="shared" si="133"/>
        <v>0.6</v>
      </c>
      <c r="CK65" s="217">
        <f t="shared" si="111"/>
        <v>0.15</v>
      </c>
      <c r="CL65" s="217">
        <f t="shared" si="48"/>
        <v>9.6</v>
      </c>
      <c r="CM65" s="217">
        <f t="shared" si="134"/>
        <v>1.2</v>
      </c>
      <c r="CN65" s="541">
        <f t="shared" si="112"/>
        <v>24</v>
      </c>
      <c r="CO65" s="443">
        <f t="shared" si="168"/>
        <v>16.7</v>
      </c>
      <c r="CP65" s="443">
        <f t="shared" si="169"/>
        <v>40.700000000000003</v>
      </c>
      <c r="CQ65" s="443"/>
      <c r="CR65" s="217">
        <f t="shared" si="113"/>
        <v>0.40594059405940591</v>
      </c>
      <c r="CS65" s="172">
        <f t="shared" si="114"/>
        <v>21.650165016501649</v>
      </c>
      <c r="CT65" s="172">
        <f t="shared" si="51"/>
        <v>3.0445544554455446</v>
      </c>
      <c r="CU65" s="217">
        <f t="shared" si="52"/>
        <v>1.3531353135313531</v>
      </c>
      <c r="CV65" s="217">
        <f t="shared" si="53"/>
        <v>2.7062706270627062</v>
      </c>
      <c r="CW65" s="443">
        <f t="shared" si="54"/>
        <v>16</v>
      </c>
      <c r="CX65" s="217">
        <f t="shared" si="55"/>
        <v>2.2170731707317071</v>
      </c>
      <c r="CY65" s="217">
        <f t="shared" si="56"/>
        <v>1.1085365853658535</v>
      </c>
      <c r="CZ65" s="217">
        <f t="shared" si="57"/>
        <v>1.5931064699868556</v>
      </c>
      <c r="DA65" s="197">
        <f t="shared" si="58"/>
        <v>350</v>
      </c>
      <c r="DB65" s="443">
        <f t="shared" si="115"/>
        <v>350</v>
      </c>
      <c r="DD65" s="217">
        <f t="shared" si="59"/>
        <v>2.344682344682345</v>
      </c>
      <c r="DE65" s="173">
        <f t="shared" si="60"/>
        <v>1.6848016848016851</v>
      </c>
      <c r="DF65" s="173">
        <f t="shared" si="61"/>
        <v>0.69130683381297664</v>
      </c>
      <c r="DG65" s="173"/>
      <c r="DH65" s="173">
        <f t="shared" si="62"/>
        <v>0.71856287425149712</v>
      </c>
      <c r="DI65" s="545">
        <f t="shared" si="63"/>
        <v>1669.9999999999998</v>
      </c>
      <c r="DJ65" s="528">
        <f t="shared" si="64"/>
        <v>0.125748502994012</v>
      </c>
      <c r="DL65" s="173">
        <f t="shared" si="65"/>
        <v>2.2677868380553634</v>
      </c>
      <c r="DM65" s="173">
        <f t="shared" si="66"/>
        <v>2.2677868380553634</v>
      </c>
      <c r="DN65" s="173">
        <f t="shared" si="67"/>
        <v>2.1391013615224912</v>
      </c>
      <c r="DP65" s="545">
        <f t="shared" si="68"/>
        <v>600</v>
      </c>
      <c r="DQ65" s="460">
        <f t="shared" si="69"/>
        <v>350</v>
      </c>
      <c r="DS65">
        <f t="shared" si="116"/>
        <v>600</v>
      </c>
      <c r="DT65">
        <f t="shared" si="70"/>
        <v>350</v>
      </c>
      <c r="DV65" s="5">
        <f t="shared" si="117"/>
        <v>2.8571428571428572</v>
      </c>
      <c r="DW65" s="5">
        <f t="shared" si="71"/>
        <v>1.1338934190276817</v>
      </c>
      <c r="DX65" s="5">
        <f t="shared" si="118"/>
        <v>1.7232494381151755</v>
      </c>
      <c r="DY65" s="173">
        <f t="shared" si="119"/>
        <v>0.3968626966596886</v>
      </c>
      <c r="EA65" s="5">
        <f t="shared" si="72"/>
        <v>4.2521003213538062</v>
      </c>
      <c r="EB65" s="5">
        <f t="shared" si="73"/>
        <v>2.1260501606769031</v>
      </c>
      <c r="EC65" s="5">
        <f t="shared" si="74"/>
        <v>0.57441647937172502</v>
      </c>
      <c r="ED65" s="5"/>
      <c r="EE65" s="173">
        <f t="shared" si="120"/>
        <v>0.82482486105633912</v>
      </c>
      <c r="EF65" s="173">
        <f t="shared" si="75"/>
        <v>1.0168331538994513</v>
      </c>
      <c r="EG65" s="173">
        <f t="shared" si="76"/>
        <v>0.24972225985471813</v>
      </c>
      <c r="EH65" s="173"/>
      <c r="EI65" s="528">
        <f t="shared" si="77"/>
        <v>1.3606721028332183E-2</v>
      </c>
      <c r="EJ65" s="528">
        <f t="shared" si="78"/>
        <v>0.61378784665387442</v>
      </c>
      <c r="EK65" s="528">
        <f t="shared" si="79"/>
        <v>4.0250000000000001E-2</v>
      </c>
      <c r="EL65" s="528">
        <f t="shared" si="80"/>
        <v>0.28553746375000005</v>
      </c>
      <c r="EM65">
        <f t="shared" si="81"/>
        <v>1.0800000000000001E-2</v>
      </c>
      <c r="EN65" s="460">
        <f t="shared" si="121"/>
        <v>51.05</v>
      </c>
      <c r="EO65">
        <f t="shared" si="82"/>
        <v>0.97079438252317063</v>
      </c>
      <c r="EP65" s="460">
        <f t="shared" si="122"/>
        <v>970.79438252317061</v>
      </c>
      <c r="EQ65" s="173">
        <f t="shared" si="83"/>
        <v>0.37274999999999997</v>
      </c>
      <c r="ER65" s="173">
        <f t="shared" si="170"/>
        <v>6.6562499999999997E-2</v>
      </c>
      <c r="ES65" s="528"/>
      <c r="EU65" s="460">
        <f t="shared" si="123"/>
        <v>439.3125</v>
      </c>
      <c r="EV65" s="528">
        <f t="shared" si="85"/>
        <v>2.0410081542498272E-2</v>
      </c>
      <c r="EW65" s="528">
        <f t="shared" si="124"/>
        <v>3.1018489886073156E-2</v>
      </c>
      <c r="EX65" s="528">
        <f t="shared" si="86"/>
        <v>3.1180603533473685E-4</v>
      </c>
      <c r="EY65" s="528">
        <f t="shared" si="87"/>
        <v>0.88745367288729471</v>
      </c>
      <c r="EZ65" s="528">
        <f t="shared" si="88"/>
        <v>0.95556705294344757</v>
      </c>
      <c r="FA65" s="625">
        <f t="shared" si="89"/>
        <v>9.0000000000000011E-3</v>
      </c>
      <c r="FB65" s="460">
        <f t="shared" si="125"/>
        <v>964.56705294344761</v>
      </c>
      <c r="FC65" s="173">
        <f t="shared" si="126"/>
        <v>2.374673935466618</v>
      </c>
      <c r="FD65" s="5">
        <f t="shared" si="127"/>
        <v>10.799999999999999</v>
      </c>
      <c r="FE65" s="173">
        <f t="shared" si="128"/>
        <v>0.81975463323810049</v>
      </c>
      <c r="FF65" s="5">
        <f t="shared" si="129"/>
        <v>81.975463323810047</v>
      </c>
      <c r="FG65">
        <f t="shared" si="130"/>
        <v>60</v>
      </c>
      <c r="FI65" s="562">
        <f t="shared" si="90"/>
        <v>-50</v>
      </c>
      <c r="FJ65">
        <f t="shared" si="91"/>
        <v>-50</v>
      </c>
      <c r="FL65">
        <f t="shared" si="92"/>
        <v>0.55436186121587738</v>
      </c>
    </row>
    <row r="66" spans="5:168">
      <c r="E66" s="170">
        <v>61</v>
      </c>
      <c r="F66" s="217">
        <f t="shared" si="174"/>
        <v>0.61</v>
      </c>
      <c r="G66" s="217">
        <f t="shared" si="171"/>
        <v>0.1525</v>
      </c>
      <c r="H66" s="217">
        <f t="shared" si="135"/>
        <v>9.76</v>
      </c>
      <c r="I66" s="217">
        <f t="shared" si="175"/>
        <v>1.22</v>
      </c>
      <c r="J66" s="541">
        <f t="shared" si="136"/>
        <v>23.925793113354946</v>
      </c>
      <c r="K66" s="443">
        <f t="shared" si="137"/>
        <v>16.732739229417582</v>
      </c>
      <c r="L66" s="172">
        <f t="shared" si="138"/>
        <v>40.658532342772531</v>
      </c>
      <c r="M66" s="443"/>
      <c r="N66" s="217">
        <f t="shared" si="139"/>
        <v>0.41154311937164639</v>
      </c>
      <c r="O66" s="172">
        <f t="shared" si="172"/>
        <v>21.881101180690553</v>
      </c>
      <c r="P66" s="172">
        <f t="shared" si="140"/>
        <v>3.0770298535346092</v>
      </c>
      <c r="Q66" s="217">
        <f t="shared" si="6"/>
        <v>1.3675688237931596</v>
      </c>
      <c r="R66" s="217">
        <f t="shared" si="141"/>
        <v>2.7351376475863192</v>
      </c>
      <c r="S66" s="443">
        <f t="shared" si="142"/>
        <v>16</v>
      </c>
      <c r="T66" s="217">
        <f t="shared" si="143"/>
        <v>2.2302351054920675</v>
      </c>
      <c r="U66" s="217">
        <f t="shared" si="10"/>
        <v>1.1185761382750687</v>
      </c>
      <c r="V66" s="217">
        <f t="shared" si="11"/>
        <v>1.5994285752600199</v>
      </c>
      <c r="W66" s="197">
        <f t="shared" si="12"/>
        <v>350</v>
      </c>
      <c r="X66" s="443">
        <f t="shared" si="95"/>
        <v>342.69992620694757</v>
      </c>
      <c r="Z66" s="217">
        <f t="shared" si="13"/>
        <v>2.3444036979311313</v>
      </c>
      <c r="AA66" s="173">
        <f t="shared" si="14"/>
        <v>1.6813053732238674</v>
      </c>
      <c r="AB66" s="173">
        <f t="shared" si="144"/>
        <v>0.68979024350906526</v>
      </c>
      <c r="AC66" s="173"/>
      <c r="AD66" s="173">
        <f t="shared" si="16"/>
        <v>0.717156936199841</v>
      </c>
      <c r="AE66" s="545">
        <f t="shared" si="145"/>
        <v>1701.1618216574541</v>
      </c>
      <c r="AF66" s="528">
        <f t="shared" si="146"/>
        <v>0.12550246383497216</v>
      </c>
      <c r="AH66" s="173">
        <f t="shared" si="147"/>
        <v>2.2866069685390684</v>
      </c>
      <c r="AI66" s="173">
        <f t="shared" si="148"/>
        <v>2.2866069685390684</v>
      </c>
      <c r="AJ66" s="173">
        <f t="shared" si="149"/>
        <v>2.1530421989178286</v>
      </c>
      <c r="AL66" s="545">
        <f t="shared" si="150"/>
        <v>610</v>
      </c>
      <c r="AM66" s="460">
        <f t="shared" si="151"/>
        <v>342.69992620694757</v>
      </c>
      <c r="AO66">
        <f t="shared" si="96"/>
        <v>610</v>
      </c>
      <c r="AP66">
        <f t="shared" si="24"/>
        <v>342.69992620694757</v>
      </c>
      <c r="AR66" s="5">
        <f t="shared" si="97"/>
        <v>2.9180047135350882</v>
      </c>
      <c r="AS66" s="5">
        <f t="shared" si="25"/>
        <v>1.1468494896895483</v>
      </c>
      <c r="AT66" s="5">
        <f t="shared" si="98"/>
        <v>1.7711552238455399</v>
      </c>
      <c r="AU66" s="173">
        <f t="shared" si="99"/>
        <v>0.39302523548708368</v>
      </c>
      <c r="AW66" s="5">
        <f t="shared" si="152"/>
        <v>4.3723636794414018</v>
      </c>
      <c r="AX66" s="5">
        <f t="shared" si="153"/>
        <v>2.1861818397207009</v>
      </c>
      <c r="AY66" s="5">
        <f t="shared" si="28"/>
        <v>0.60208644922911914</v>
      </c>
      <c r="AZ66" s="5"/>
      <c r="BA66" s="173">
        <f t="shared" si="100"/>
        <v>0.82763931696831217</v>
      </c>
      <c r="BB66" s="173">
        <f t="shared" si="154"/>
        <v>1.0285282222016898</v>
      </c>
      <c r="BC66" s="173">
        <f t="shared" si="155"/>
        <v>0.25259443104070911</v>
      </c>
      <c r="BD66" s="173"/>
      <c r="BE66" s="528">
        <f t="shared" si="31"/>
        <v>1.3699736779835485E-2</v>
      </c>
      <c r="BF66" s="528">
        <f t="shared" si="156"/>
        <v>0.58146034306122174</v>
      </c>
      <c r="BG66" s="528">
        <f t="shared" si="157"/>
        <v>0.18858545329095699</v>
      </c>
      <c r="BH66" s="528">
        <f t="shared" si="34"/>
        <v>0.27901248769944381</v>
      </c>
      <c r="BI66">
        <f t="shared" si="35"/>
        <v>1.0766606901009725E-2</v>
      </c>
      <c r="BJ66" s="460">
        <f t="shared" si="101"/>
        <v>199.35206019196673</v>
      </c>
      <c r="BK66">
        <f t="shared" si="158"/>
        <v>0.88073835040788118</v>
      </c>
      <c r="BL66" s="460">
        <f t="shared" si="102"/>
        <v>880.73835040788117</v>
      </c>
      <c r="BM66" s="173">
        <f t="shared" si="159"/>
        <v>0.37896249999999998</v>
      </c>
      <c r="BN66" s="173">
        <f t="shared" si="160"/>
        <v>6.7671874999999992E-2</v>
      </c>
      <c r="BO66" s="528"/>
      <c r="BQ66" s="460">
        <f t="shared" si="103"/>
        <v>446.63437499999998</v>
      </c>
      <c r="BR66" s="528">
        <f t="shared" si="39"/>
        <v>2.0549605169753227E-2</v>
      </c>
      <c r="BS66" s="528">
        <f t="shared" si="104"/>
        <v>3.1736109115961059E-2</v>
      </c>
      <c r="BT66" s="528">
        <f t="shared" si="161"/>
        <v>3.1901973296389772E-4</v>
      </c>
      <c r="BU66" s="528">
        <f t="shared" si="41"/>
        <v>0.85947616700676299</v>
      </c>
      <c r="BV66" s="528">
        <f t="shared" si="162"/>
        <v>0.92861399657358601</v>
      </c>
      <c r="BW66" s="625">
        <f t="shared" si="163"/>
        <v>8.959155213695915E-3</v>
      </c>
      <c r="BX66" s="460">
        <f t="shared" si="105"/>
        <v>937.57315178728197</v>
      </c>
      <c r="BY66" s="173">
        <f t="shared" si="106"/>
        <v>2.2649458771951632</v>
      </c>
      <c r="BZ66" s="5">
        <f t="shared" si="107"/>
        <v>10.98</v>
      </c>
      <c r="CA66" s="173">
        <f t="shared" si="108"/>
        <v>0.82899545998939161</v>
      </c>
      <c r="CB66" s="5">
        <f t="shared" si="109"/>
        <v>82.899545998939161</v>
      </c>
      <c r="CC66">
        <f t="shared" si="173"/>
        <v>61</v>
      </c>
      <c r="CE66" s="562">
        <f t="shared" si="164"/>
        <v>-50</v>
      </c>
      <c r="CF66">
        <f t="shared" si="165"/>
        <v>-50</v>
      </c>
      <c r="CG66" s="173">
        <f t="shared" si="166"/>
        <v>0.5589624534709321</v>
      </c>
      <c r="CH66" s="173">
        <f t="shared" si="167"/>
        <v>0.19759118080514926</v>
      </c>
      <c r="CI66" s="170">
        <v>61</v>
      </c>
      <c r="CJ66" s="217">
        <f t="shared" si="133"/>
        <v>0.61</v>
      </c>
      <c r="CK66" s="217">
        <f t="shared" si="111"/>
        <v>0.1525</v>
      </c>
      <c r="CL66" s="217">
        <f t="shared" si="48"/>
        <v>9.76</v>
      </c>
      <c r="CM66" s="217">
        <f t="shared" si="134"/>
        <v>1.22</v>
      </c>
      <c r="CN66" s="541">
        <f t="shared" si="112"/>
        <v>24</v>
      </c>
      <c r="CO66" s="443">
        <f t="shared" si="168"/>
        <v>16.7</v>
      </c>
      <c r="CP66" s="443">
        <f t="shared" si="169"/>
        <v>40.700000000000003</v>
      </c>
      <c r="CQ66" s="443"/>
      <c r="CR66" s="217">
        <f t="shared" si="113"/>
        <v>0.40594059405940591</v>
      </c>
      <c r="CS66" s="172">
        <f t="shared" si="114"/>
        <v>21.650165016501649</v>
      </c>
      <c r="CT66" s="172">
        <f t="shared" si="51"/>
        <v>3.0445544554455446</v>
      </c>
      <c r="CU66" s="217">
        <f t="shared" si="52"/>
        <v>1.3531353135313531</v>
      </c>
      <c r="CV66" s="217">
        <f t="shared" si="53"/>
        <v>2.7062706270627062</v>
      </c>
      <c r="CW66" s="443">
        <f t="shared" si="54"/>
        <v>16</v>
      </c>
      <c r="CX66" s="217">
        <f t="shared" si="55"/>
        <v>2.2540243902439028</v>
      </c>
      <c r="CY66" s="217">
        <f t="shared" si="56"/>
        <v>1.1270121951219514</v>
      </c>
      <c r="CZ66" s="217">
        <f t="shared" si="57"/>
        <v>1.6196582444866368</v>
      </c>
      <c r="DA66" s="197">
        <f t="shared" si="58"/>
        <v>350</v>
      </c>
      <c r="DB66" s="443">
        <f t="shared" si="115"/>
        <v>350</v>
      </c>
      <c r="DD66" s="217">
        <f t="shared" si="59"/>
        <v>2.344682344682345</v>
      </c>
      <c r="DE66" s="173">
        <f t="shared" si="60"/>
        <v>1.6848016848016851</v>
      </c>
      <c r="DF66" s="173">
        <f t="shared" si="61"/>
        <v>0.69130683381297664</v>
      </c>
      <c r="DG66" s="173"/>
      <c r="DH66" s="173">
        <f t="shared" si="62"/>
        <v>0.71856287425149712</v>
      </c>
      <c r="DI66" s="545">
        <f t="shared" si="63"/>
        <v>1697.833333333333</v>
      </c>
      <c r="DJ66" s="528">
        <f t="shared" si="64"/>
        <v>0.125748502994012</v>
      </c>
      <c r="DL66" s="173">
        <f t="shared" si="65"/>
        <v>2.2866069685390684</v>
      </c>
      <c r="DM66" s="173">
        <f t="shared" si="66"/>
        <v>2.2866069685390684</v>
      </c>
      <c r="DN66" s="173">
        <f t="shared" si="67"/>
        <v>2.1530421989178286</v>
      </c>
      <c r="DP66" s="545">
        <f t="shared" si="68"/>
        <v>610</v>
      </c>
      <c r="DQ66" s="460">
        <f t="shared" si="69"/>
        <v>350</v>
      </c>
      <c r="DS66">
        <f t="shared" si="116"/>
        <v>610</v>
      </c>
      <c r="DT66">
        <f t="shared" si="70"/>
        <v>350</v>
      </c>
      <c r="DV66" s="5">
        <f t="shared" si="117"/>
        <v>2.8571428571428572</v>
      </c>
      <c r="DW66" s="5">
        <f t="shared" si="71"/>
        <v>1.1433034842695342</v>
      </c>
      <c r="DX66" s="5">
        <f t="shared" si="118"/>
        <v>1.713839372873323</v>
      </c>
      <c r="DY66" s="173">
        <f t="shared" si="119"/>
        <v>0.40015621949433694</v>
      </c>
      <c r="EA66" s="5">
        <f t="shared" si="72"/>
        <v>4.3588445337775994</v>
      </c>
      <c r="EB66" s="5">
        <f t="shared" si="73"/>
        <v>2.1794222668887997</v>
      </c>
      <c r="EC66" s="5">
        <f t="shared" si="74"/>
        <v>0.58080112080707047</v>
      </c>
      <c r="ED66" s="5"/>
      <c r="EE66" s="173">
        <f t="shared" si="120"/>
        <v>0.83511383978737641</v>
      </c>
      <c r="EF66" s="173">
        <f t="shared" si="75"/>
        <v>1.0224685899589909</v>
      </c>
      <c r="EG66" s="173">
        <f t="shared" si="76"/>
        <v>0.25110625665169334</v>
      </c>
      <c r="EH66" s="173"/>
      <c r="EI66" s="528">
        <f t="shared" si="77"/>
        <v>1.3948302508088315E-2</v>
      </c>
      <c r="EJ66" s="528">
        <f t="shared" si="78"/>
        <v>0.61888160906994161</v>
      </c>
      <c r="EK66" s="528">
        <f t="shared" si="79"/>
        <v>4.0250000000000001E-2</v>
      </c>
      <c r="EL66" s="528">
        <f t="shared" si="80"/>
        <v>0.28553746375000005</v>
      </c>
      <c r="EM66">
        <f t="shared" si="81"/>
        <v>1.0800000000000001E-2</v>
      </c>
      <c r="EN66" s="460">
        <f t="shared" si="121"/>
        <v>51.05</v>
      </c>
      <c r="EO66">
        <f t="shared" si="82"/>
        <v>0.97641938477097656</v>
      </c>
      <c r="EP66" s="460">
        <f t="shared" si="122"/>
        <v>976.41938477097654</v>
      </c>
      <c r="EQ66" s="173">
        <f t="shared" si="83"/>
        <v>0.37896249999999998</v>
      </c>
      <c r="ER66" s="173">
        <f t="shared" si="170"/>
        <v>6.7671874999999992E-2</v>
      </c>
      <c r="ES66" s="528"/>
      <c r="EU66" s="460">
        <f t="shared" si="123"/>
        <v>446.63437499999998</v>
      </c>
      <c r="EV66" s="528">
        <f t="shared" si="85"/>
        <v>2.0922453762132472E-2</v>
      </c>
      <c r="EW66" s="528">
        <f t="shared" si="124"/>
        <v>3.1363260523581807E-2</v>
      </c>
      <c r="EX66" s="528">
        <f t="shared" si="86"/>
        <v>3.1527176064813042E-4</v>
      </c>
      <c r="EY66" s="528">
        <f t="shared" si="87"/>
        <v>0.90598064969515535</v>
      </c>
      <c r="EZ66" s="528">
        <f t="shared" si="88"/>
        <v>0.97531005403610316</v>
      </c>
      <c r="FA66" s="625">
        <f t="shared" si="89"/>
        <v>9.1500000000000001E-3</v>
      </c>
      <c r="FB66" s="460">
        <f t="shared" si="125"/>
        <v>984.4600540361032</v>
      </c>
      <c r="FC66" s="173">
        <f t="shared" si="126"/>
        <v>2.4075138138070797</v>
      </c>
      <c r="FD66" s="5">
        <f t="shared" si="127"/>
        <v>10.98</v>
      </c>
      <c r="FE66" s="173">
        <f t="shared" si="128"/>
        <v>0.82016722094253869</v>
      </c>
      <c r="FF66" s="5">
        <f t="shared" si="129"/>
        <v>82.016722094253865</v>
      </c>
      <c r="FG66">
        <f t="shared" si="130"/>
        <v>61</v>
      </c>
      <c r="FI66" s="562">
        <f t="shared" si="90"/>
        <v>-50</v>
      </c>
      <c r="FJ66">
        <f t="shared" si="91"/>
        <v>-50</v>
      </c>
      <c r="FL66">
        <f t="shared" si="92"/>
        <v>0.5589624534709321</v>
      </c>
    </row>
    <row r="67" spans="5:168">
      <c r="E67" s="170">
        <v>62</v>
      </c>
      <c r="F67" s="217">
        <f t="shared" si="174"/>
        <v>0.62</v>
      </c>
      <c r="G67" s="217">
        <f t="shared" si="171"/>
        <v>0.155</v>
      </c>
      <c r="H67" s="217">
        <f t="shared" si="135"/>
        <v>9.92</v>
      </c>
      <c r="I67" s="217">
        <f t="shared" si="175"/>
        <v>1.24</v>
      </c>
      <c r="J67" s="541">
        <f t="shared" si="136"/>
        <v>23.925187332800441</v>
      </c>
      <c r="K67" s="443">
        <f t="shared" si="137"/>
        <v>16.733006492867744</v>
      </c>
      <c r="L67" s="172">
        <f t="shared" si="138"/>
        <v>40.658193825668185</v>
      </c>
      <c r="M67" s="443"/>
      <c r="N67" s="217">
        <f t="shared" si="139"/>
        <v>0.41155311927073168</v>
      </c>
      <c r="O67" s="172">
        <f t="shared" si="172"/>
        <v>21.88107883544582</v>
      </c>
      <c r="P67" s="172">
        <f t="shared" si="140"/>
        <v>3.0770267112345682</v>
      </c>
      <c r="Q67" s="217">
        <f t="shared" si="6"/>
        <v>1.3675674272153637</v>
      </c>
      <c r="R67" s="217">
        <f t="shared" si="141"/>
        <v>2.7351348544307275</v>
      </c>
      <c r="S67" s="443">
        <f t="shared" si="142"/>
        <v>16</v>
      </c>
      <c r="T67" s="217">
        <f t="shared" si="143"/>
        <v>2.2667986516117966</v>
      </c>
      <c r="U67" s="217">
        <f t="shared" si="10"/>
        <v>1.1369433994796485</v>
      </c>
      <c r="V67" s="217">
        <f t="shared" si="11"/>
        <v>1.6256244107080178</v>
      </c>
      <c r="W67" s="197">
        <f t="shared" si="12"/>
        <v>350</v>
      </c>
      <c r="X67" s="443">
        <f t="shared" si="95"/>
        <v>337.54501637437767</v>
      </c>
      <c r="Z67" s="217">
        <f t="shared" si="13"/>
        <v>2.3444013037977665</v>
      </c>
      <c r="AA67" s="173">
        <f t="shared" si="14"/>
        <v>1.681276802083624</v>
      </c>
      <c r="AB67" s="173">
        <f t="shared" si="144"/>
        <v>0.68977781719871278</v>
      </c>
      <c r="AC67" s="173"/>
      <c r="AD67" s="173">
        <f t="shared" si="16"/>
        <v>0.71714548160337266</v>
      </c>
      <c r="AE67" s="545">
        <f t="shared" si="145"/>
        <v>1729.0773375963333</v>
      </c>
      <c r="AF67" s="528">
        <f t="shared" si="146"/>
        <v>0.12550045928059023</v>
      </c>
      <c r="AH67" s="173">
        <f t="shared" si="147"/>
        <v>2.3052734575936351</v>
      </c>
      <c r="AI67" s="173">
        <f t="shared" si="148"/>
        <v>2.3052734575936351</v>
      </c>
      <c r="AJ67" s="173">
        <f t="shared" si="149"/>
        <v>2.1668692278471369</v>
      </c>
      <c r="AL67" s="545">
        <f t="shared" si="150"/>
        <v>620</v>
      </c>
      <c r="AM67" s="460">
        <f t="shared" si="151"/>
        <v>337.54501637437767</v>
      </c>
      <c r="AO67">
        <f t="shared" si="96"/>
        <v>620</v>
      </c>
      <c r="AP67">
        <f t="shared" si="24"/>
        <v>337.54501637437767</v>
      </c>
      <c r="AR67" s="5">
        <f t="shared" si="97"/>
        <v>2.9625678101876662</v>
      </c>
      <c r="AS67" s="5">
        <f t="shared" si="25"/>
        <v>1.1562409567091836</v>
      </c>
      <c r="AT67" s="5">
        <f t="shared" si="98"/>
        <v>1.8063268534784827</v>
      </c>
      <c r="AU67" s="173">
        <f t="shared" si="99"/>
        <v>0.39028337266512747</v>
      </c>
      <c r="AW67" s="5">
        <f t="shared" si="152"/>
        <v>4.4804337072480864</v>
      </c>
      <c r="AX67" s="5">
        <f t="shared" si="153"/>
        <v>2.2402168536240432</v>
      </c>
      <c r="AY67" s="5">
        <f t="shared" si="28"/>
        <v>0.6241247678041747</v>
      </c>
      <c r="AZ67" s="5"/>
      <c r="BA67" s="173">
        <f t="shared" si="100"/>
        <v>0.83148007630520615</v>
      </c>
      <c r="BB67" s="173">
        <f t="shared" si="154"/>
        <v>1.039263900140893</v>
      </c>
      <c r="BC67" s="173">
        <f t="shared" si="155"/>
        <v>0.25523098724048399</v>
      </c>
      <c r="BD67" s="173"/>
      <c r="BE67" s="528">
        <f t="shared" si="31"/>
        <v>1.3827182345850229E-2</v>
      </c>
      <c r="BF67" s="528">
        <f t="shared" si="156"/>
        <v>0.57738447334875764</v>
      </c>
      <c r="BG67" s="528">
        <f t="shared" si="157"/>
        <v>0.18574403825023411</v>
      </c>
      <c r="BH67" s="528">
        <f t="shared" si="34"/>
        <v>0.27481099144612875</v>
      </c>
      <c r="BI67">
        <f t="shared" si="35"/>
        <v>1.0766334299760198E-2</v>
      </c>
      <c r="BJ67" s="460">
        <f t="shared" si="101"/>
        <v>196.51037254999432</v>
      </c>
      <c r="BK67">
        <f t="shared" si="158"/>
        <v>0.87262284783422761</v>
      </c>
      <c r="BL67" s="460">
        <f t="shared" si="102"/>
        <v>872.62284783422763</v>
      </c>
      <c r="BM67" s="173">
        <f t="shared" si="159"/>
        <v>0.38517499999999999</v>
      </c>
      <c r="BN67" s="173">
        <f t="shared" si="160"/>
        <v>6.8781250000000002E-2</v>
      </c>
      <c r="BO67" s="528"/>
      <c r="BQ67" s="460">
        <f t="shared" si="103"/>
        <v>453.95625000000001</v>
      </c>
      <c r="BR67" s="528">
        <f t="shared" si="39"/>
        <v>2.0740773518775343E-2</v>
      </c>
      <c r="BS67" s="528">
        <f t="shared" si="104"/>
        <v>3.2402083624081798E-2</v>
      </c>
      <c r="BT67" s="528">
        <f t="shared" si="161"/>
        <v>3.2571428423876052E-4</v>
      </c>
      <c r="BU67" s="528">
        <f t="shared" si="41"/>
        <v>0.84451113452368098</v>
      </c>
      <c r="BV67" s="528">
        <f t="shared" si="162"/>
        <v>0.9147248857243595</v>
      </c>
      <c r="BW67" s="625">
        <f t="shared" si="163"/>
        <v>8.9690532922334608E-3</v>
      </c>
      <c r="BX67" s="460">
        <f t="shared" si="105"/>
        <v>923.69393901659294</v>
      </c>
      <c r="BY67" s="173">
        <f t="shared" si="106"/>
        <v>2.2502730368508201</v>
      </c>
      <c r="BZ67" s="5">
        <f t="shared" si="107"/>
        <v>11.16</v>
      </c>
      <c r="CA67" s="173">
        <f t="shared" si="108"/>
        <v>0.83219782097894857</v>
      </c>
      <c r="CB67" s="5">
        <f t="shared" si="109"/>
        <v>83.21978209789485</v>
      </c>
      <c r="CC67">
        <f t="shared" si="173"/>
        <v>62</v>
      </c>
      <c r="CE67" s="562">
        <f t="shared" si="164"/>
        <v>-50</v>
      </c>
      <c r="CF67">
        <f t="shared" si="165"/>
        <v>-50</v>
      </c>
      <c r="CG67" s="173">
        <f t="shared" si="166"/>
        <v>0.5635254879859084</v>
      </c>
      <c r="CH67" s="173">
        <f t="shared" si="167"/>
        <v>0.19920419679981963</v>
      </c>
      <c r="CI67" s="170">
        <v>62</v>
      </c>
      <c r="CJ67" s="217">
        <f t="shared" si="133"/>
        <v>0.62</v>
      </c>
      <c r="CK67" s="217">
        <f t="shared" si="111"/>
        <v>0.155</v>
      </c>
      <c r="CL67" s="217">
        <f t="shared" si="48"/>
        <v>9.92</v>
      </c>
      <c r="CM67" s="217">
        <f t="shared" si="134"/>
        <v>1.24</v>
      </c>
      <c r="CN67" s="541">
        <f t="shared" si="112"/>
        <v>24</v>
      </c>
      <c r="CO67" s="443">
        <f t="shared" si="168"/>
        <v>16.7</v>
      </c>
      <c r="CP67" s="443">
        <f t="shared" si="169"/>
        <v>40.700000000000003</v>
      </c>
      <c r="CQ67" s="443"/>
      <c r="CR67" s="217">
        <f t="shared" si="113"/>
        <v>0.40594059405940591</v>
      </c>
      <c r="CS67" s="172">
        <f t="shared" si="114"/>
        <v>21.650165016501649</v>
      </c>
      <c r="CT67" s="172">
        <f t="shared" si="51"/>
        <v>3.0445544554455446</v>
      </c>
      <c r="CU67" s="217">
        <f t="shared" si="52"/>
        <v>1.3531353135313531</v>
      </c>
      <c r="CV67" s="217">
        <f t="shared" si="53"/>
        <v>2.7062706270627062</v>
      </c>
      <c r="CW67" s="443">
        <f t="shared" si="54"/>
        <v>16</v>
      </c>
      <c r="CX67" s="217">
        <f t="shared" si="55"/>
        <v>2.2909756097560976</v>
      </c>
      <c r="CY67" s="217">
        <f t="shared" si="56"/>
        <v>1.1454878048780488</v>
      </c>
      <c r="CZ67" s="217">
        <f t="shared" si="57"/>
        <v>1.6462100189864177</v>
      </c>
      <c r="DA67" s="197">
        <f t="shared" si="58"/>
        <v>350</v>
      </c>
      <c r="DB67" s="443">
        <f t="shared" si="115"/>
        <v>350</v>
      </c>
      <c r="DD67" s="217">
        <f t="shared" si="59"/>
        <v>2.344682344682345</v>
      </c>
      <c r="DE67" s="173">
        <f t="shared" si="60"/>
        <v>1.6848016848016851</v>
      </c>
      <c r="DF67" s="173">
        <f t="shared" si="61"/>
        <v>0.69130683381297664</v>
      </c>
      <c r="DG67" s="173"/>
      <c r="DH67" s="173">
        <f t="shared" si="62"/>
        <v>0.71856287425149712</v>
      </c>
      <c r="DI67" s="545">
        <f t="shared" si="63"/>
        <v>1725.6666666666665</v>
      </c>
      <c r="DJ67" s="528">
        <f t="shared" si="64"/>
        <v>0.125748502994012</v>
      </c>
      <c r="DL67" s="173">
        <f t="shared" si="65"/>
        <v>2.3052734575936351</v>
      </c>
      <c r="DM67" s="173">
        <f t="shared" si="66"/>
        <v>2.3052734575936351</v>
      </c>
      <c r="DN67" s="173">
        <f t="shared" si="67"/>
        <v>2.1668692278471369</v>
      </c>
      <c r="DP67" s="545">
        <f t="shared" si="68"/>
        <v>620</v>
      </c>
      <c r="DQ67" s="460">
        <f t="shared" si="69"/>
        <v>350</v>
      </c>
      <c r="DS67">
        <f t="shared" si="116"/>
        <v>620</v>
      </c>
      <c r="DT67">
        <f t="shared" si="70"/>
        <v>350</v>
      </c>
      <c r="DV67" s="5">
        <f t="shared" si="117"/>
        <v>2.8571428571428572</v>
      </c>
      <c r="DW67" s="5">
        <f t="shared" si="71"/>
        <v>1.1526367287968178</v>
      </c>
      <c r="DX67" s="5">
        <f t="shared" si="118"/>
        <v>1.7045061283460394</v>
      </c>
      <c r="DY67" s="173">
        <f t="shared" si="119"/>
        <v>0.4034228550788862</v>
      </c>
      <c r="EA67" s="5">
        <f t="shared" si="72"/>
        <v>4.4664673240876693</v>
      </c>
      <c r="EB67" s="5">
        <f t="shared" si="73"/>
        <v>2.2332336620438347</v>
      </c>
      <c r="EC67" s="5">
        <f t="shared" si="74"/>
        <v>0.58710766643030243</v>
      </c>
      <c r="ED67" s="5"/>
      <c r="EE67" s="173">
        <f t="shared" si="120"/>
        <v>0.84536073474820606</v>
      </c>
      <c r="EF67" s="173">
        <f t="shared" si="75"/>
        <v>1.0280047663189817</v>
      </c>
      <c r="EG67" s="173">
        <f t="shared" si="76"/>
        <v>0.25246587643422053</v>
      </c>
      <c r="EH67" s="173"/>
      <c r="EI67" s="528">
        <f t="shared" si="77"/>
        <v>1.4292695437080536E-2</v>
      </c>
      <c r="EJ67" s="528">
        <f t="shared" si="78"/>
        <v>0.62393378766500551</v>
      </c>
      <c r="EK67" s="528">
        <f t="shared" si="79"/>
        <v>4.0250000000000001E-2</v>
      </c>
      <c r="EL67" s="528">
        <f t="shared" si="80"/>
        <v>0.28553746375000005</v>
      </c>
      <c r="EM67">
        <f t="shared" si="81"/>
        <v>1.0800000000000001E-2</v>
      </c>
      <c r="EN67" s="460">
        <f t="shared" si="121"/>
        <v>51.05</v>
      </c>
      <c r="EO67">
        <f t="shared" si="82"/>
        <v>0.98200781860766007</v>
      </c>
      <c r="EP67" s="460">
        <f t="shared" si="122"/>
        <v>982.00781860766006</v>
      </c>
      <c r="EQ67" s="173">
        <f t="shared" si="83"/>
        <v>0.38517499999999999</v>
      </c>
      <c r="ER67" s="173">
        <f t="shared" si="170"/>
        <v>6.8781250000000002E-2</v>
      </c>
      <c r="ES67" s="528"/>
      <c r="EU67" s="460">
        <f t="shared" si="123"/>
        <v>453.95625000000001</v>
      </c>
      <c r="EV67" s="528">
        <f t="shared" si="85"/>
        <v>2.1439043155620802E-2</v>
      </c>
      <c r="EW67" s="528">
        <f t="shared" si="124"/>
        <v>3.1703813987236325E-2</v>
      </c>
      <c r="EX67" s="528">
        <f t="shared" si="86"/>
        <v>3.1869509381849559E-4</v>
      </c>
      <c r="EY67" s="528">
        <f t="shared" si="87"/>
        <v>0.92458371553171548</v>
      </c>
      <c r="EZ67" s="528">
        <f t="shared" si="88"/>
        <v>0.99513214503753888</v>
      </c>
      <c r="FA67" s="625">
        <f t="shared" si="89"/>
        <v>9.2999999999999992E-3</v>
      </c>
      <c r="FB67" s="460">
        <f t="shared" si="125"/>
        <v>1004.4321450375388</v>
      </c>
      <c r="FC67" s="173">
        <f t="shared" si="126"/>
        <v>2.4403962136451991</v>
      </c>
      <c r="FD67" s="5">
        <f t="shared" si="127"/>
        <v>11.16</v>
      </c>
      <c r="FE67" s="173">
        <f t="shared" si="128"/>
        <v>0.8205643295011682</v>
      </c>
      <c r="FF67" s="5">
        <f t="shared" si="129"/>
        <v>82.056432950116815</v>
      </c>
      <c r="FG67">
        <f t="shared" si="130"/>
        <v>62</v>
      </c>
      <c r="FI67" s="562">
        <f t="shared" si="90"/>
        <v>-50</v>
      </c>
      <c r="FJ67">
        <f t="shared" si="91"/>
        <v>-50</v>
      </c>
      <c r="FL67">
        <f t="shared" si="92"/>
        <v>0.5635254879859084</v>
      </c>
    </row>
    <row r="68" spans="5:168">
      <c r="E68" s="170">
        <v>63</v>
      </c>
      <c r="F68" s="217">
        <f t="shared" si="174"/>
        <v>0.63</v>
      </c>
      <c r="G68" s="217">
        <f t="shared" si="171"/>
        <v>0.1575</v>
      </c>
      <c r="H68" s="217">
        <f t="shared" si="135"/>
        <v>10.08</v>
      </c>
      <c r="I68" s="217">
        <f t="shared" si="175"/>
        <v>1.26</v>
      </c>
      <c r="J68" s="541">
        <f t="shared" si="136"/>
        <v>23.924586418189612</v>
      </c>
      <c r="K68" s="443">
        <f t="shared" si="137"/>
        <v>16.733271609519228</v>
      </c>
      <c r="L68" s="172">
        <f t="shared" si="138"/>
        <v>40.657858027708841</v>
      </c>
      <c r="M68" s="443"/>
      <c r="N68" s="217">
        <f t="shared" si="139"/>
        <v>0.41156303900995705</v>
      </c>
      <c r="O68" s="172">
        <f t="shared" si="172"/>
        <v>21.881056651836577</v>
      </c>
      <c r="P68" s="172">
        <f t="shared" si="140"/>
        <v>3.0770235916645188</v>
      </c>
      <c r="Q68" s="217">
        <f t="shared" si="6"/>
        <v>1.367566040739786</v>
      </c>
      <c r="R68" s="217">
        <f t="shared" si="141"/>
        <v>2.7351320814795721</v>
      </c>
      <c r="S68" s="443">
        <f t="shared" si="142"/>
        <v>16</v>
      </c>
      <c r="T68" s="217">
        <f t="shared" si="143"/>
        <v>2.3033622553949966</v>
      </c>
      <c r="U68" s="217">
        <f t="shared" si="10"/>
        <v>1.1553113847654768</v>
      </c>
      <c r="V68" s="217">
        <f t="shared" si="11"/>
        <v>1.6518196626304633</v>
      </c>
      <c r="W68" s="197">
        <f t="shared" si="12"/>
        <v>350</v>
      </c>
      <c r="X68" s="443">
        <f t="shared" si="95"/>
        <v>332.54287366889497</v>
      </c>
      <c r="Z68" s="217">
        <f t="shared" si="13"/>
        <v>2.3443989269824903</v>
      </c>
      <c r="AA68" s="173">
        <f t="shared" si="14"/>
        <v>1.6812484599715511</v>
      </c>
      <c r="AB68" s="173">
        <f t="shared" si="144"/>
        <v>0.689765489970947</v>
      </c>
      <c r="AC68" s="173"/>
      <c r="AD68" s="173">
        <f t="shared" si="16"/>
        <v>0.71713411937767368</v>
      </c>
      <c r="AE68" s="545">
        <f t="shared" si="145"/>
        <v>1756.993518999519</v>
      </c>
      <c r="AF68" s="528">
        <f t="shared" si="146"/>
        <v>0.12549847089109289</v>
      </c>
      <c r="AH68" s="173">
        <f t="shared" si="147"/>
        <v>2.3237900077244502</v>
      </c>
      <c r="AI68" s="173">
        <f t="shared" si="148"/>
        <v>2.3237900077244502</v>
      </c>
      <c r="AJ68" s="173">
        <f t="shared" si="149"/>
        <v>2.1805851909070002</v>
      </c>
      <c r="AL68" s="545">
        <f t="shared" si="150"/>
        <v>630</v>
      </c>
      <c r="AM68" s="460">
        <f t="shared" si="151"/>
        <v>332.54287366889497</v>
      </c>
      <c r="AO68">
        <f t="shared" si="96"/>
        <v>630</v>
      </c>
      <c r="AP68">
        <f t="shared" si="24"/>
        <v>332.54287366889497</v>
      </c>
      <c r="AR68" s="5">
        <f t="shared" si="97"/>
        <v>3.0071310473959403</v>
      </c>
      <c r="AS68" s="5">
        <f t="shared" si="25"/>
        <v>1.1655574564704851</v>
      </c>
      <c r="AT68" s="5">
        <f t="shared" si="98"/>
        <v>1.8415735909254551</v>
      </c>
      <c r="AU68" s="173">
        <f t="shared" si="99"/>
        <v>0.38759782600090309</v>
      </c>
      <c r="AW68" s="5">
        <f t="shared" si="152"/>
        <v>4.5893824848525355</v>
      </c>
      <c r="AX68" s="5">
        <f t="shared" si="153"/>
        <v>2.2946912424262678</v>
      </c>
      <c r="AY68" s="5">
        <f t="shared" si="28"/>
        <v>0.6465824693217157</v>
      </c>
      <c r="AZ68" s="5"/>
      <c r="BA68" s="173">
        <f t="shared" si="100"/>
        <v>0.83527006818251648</v>
      </c>
      <c r="BB68" s="173">
        <f t="shared" si="154"/>
        <v>1.0499161457937365</v>
      </c>
      <c r="BC68" s="173">
        <f t="shared" si="155"/>
        <v>0.25784705345228526</v>
      </c>
      <c r="BD68" s="173"/>
      <c r="BE68" s="528">
        <f t="shared" si="31"/>
        <v>1.3953521736032514E-2</v>
      </c>
      <c r="BF68" s="528">
        <f t="shared" si="156"/>
        <v>0.57339234301513375</v>
      </c>
      <c r="BG68" s="528">
        <f t="shared" si="157"/>
        <v>0.18298686653342552</v>
      </c>
      <c r="BH68" s="528">
        <f t="shared" si="34"/>
        <v>0.27073404391875827</v>
      </c>
      <c r="BI68">
        <f t="shared" si="35"/>
        <v>1.0766063888185325E-2</v>
      </c>
      <c r="BJ68" s="460">
        <f t="shared" si="101"/>
        <v>193.75293042161084</v>
      </c>
      <c r="BK68">
        <f t="shared" si="158"/>
        <v>0.86471419559636664</v>
      </c>
      <c r="BL68" s="460">
        <f t="shared" si="102"/>
        <v>864.71419559636661</v>
      </c>
      <c r="BM68" s="173">
        <f t="shared" si="159"/>
        <v>0.39138749999999994</v>
      </c>
      <c r="BN68" s="173">
        <f t="shared" si="160"/>
        <v>6.9890624999999998E-2</v>
      </c>
      <c r="BO68" s="528"/>
      <c r="BQ68" s="460">
        <f t="shared" si="103"/>
        <v>461.27812499999993</v>
      </c>
      <c r="BR68" s="528">
        <f t="shared" si="39"/>
        <v>2.0930282604048771E-2</v>
      </c>
      <c r="BS68" s="528">
        <f t="shared" si="104"/>
        <v>3.3069717395951236E-2</v>
      </c>
      <c r="BT68" s="528">
        <f t="shared" si="161"/>
        <v>3.3242551487012827E-4</v>
      </c>
      <c r="BU68" s="528">
        <f t="shared" si="41"/>
        <v>0.83000616402397065</v>
      </c>
      <c r="BV68" s="528">
        <f t="shared" si="162"/>
        <v>0.90129593922117679</v>
      </c>
      <c r="BW68" s="625">
        <f t="shared" si="163"/>
        <v>8.9786575890601662E-3</v>
      </c>
      <c r="BX68" s="460">
        <f t="shared" si="105"/>
        <v>910.27459681023697</v>
      </c>
      <c r="BY68" s="173">
        <f t="shared" si="106"/>
        <v>2.2362669174066032</v>
      </c>
      <c r="BZ68" s="5">
        <f t="shared" si="107"/>
        <v>11.34</v>
      </c>
      <c r="CA68" s="173">
        <f t="shared" si="108"/>
        <v>0.83528116152906451</v>
      </c>
      <c r="CB68" s="5">
        <f t="shared" si="109"/>
        <v>83.528116152906449</v>
      </c>
      <c r="CC68">
        <f t="shared" si="173"/>
        <v>63</v>
      </c>
      <c r="CE68" s="562">
        <f t="shared" si="164"/>
        <v>-50</v>
      </c>
      <c r="CF68">
        <f t="shared" si="165"/>
        <v>-50</v>
      </c>
      <c r="CG68" s="173">
        <f t="shared" si="166"/>
        <v>0.56805186984048239</v>
      </c>
      <c r="CH68" s="173">
        <f t="shared" si="167"/>
        <v>0.20080425621323209</v>
      </c>
      <c r="CI68" s="170">
        <v>63</v>
      </c>
      <c r="CJ68" s="217">
        <f t="shared" si="133"/>
        <v>0.63</v>
      </c>
      <c r="CK68" s="217">
        <f t="shared" si="111"/>
        <v>0.1575</v>
      </c>
      <c r="CL68" s="217">
        <f t="shared" si="48"/>
        <v>10.08</v>
      </c>
      <c r="CM68" s="217">
        <f t="shared" si="134"/>
        <v>1.26</v>
      </c>
      <c r="CN68" s="541">
        <f t="shared" si="112"/>
        <v>24</v>
      </c>
      <c r="CO68" s="443">
        <f t="shared" si="168"/>
        <v>16.7</v>
      </c>
      <c r="CP68" s="443">
        <f t="shared" si="169"/>
        <v>40.700000000000003</v>
      </c>
      <c r="CQ68" s="443"/>
      <c r="CR68" s="217">
        <f t="shared" si="113"/>
        <v>0.40594059405940591</v>
      </c>
      <c r="CS68" s="172">
        <f t="shared" si="114"/>
        <v>21.650165016501649</v>
      </c>
      <c r="CT68" s="172">
        <f t="shared" si="51"/>
        <v>3.0445544554455446</v>
      </c>
      <c r="CU68" s="217">
        <f t="shared" si="52"/>
        <v>1.3531353135313531</v>
      </c>
      <c r="CV68" s="217">
        <f t="shared" si="53"/>
        <v>2.7062706270627062</v>
      </c>
      <c r="CW68" s="443">
        <f t="shared" si="54"/>
        <v>16</v>
      </c>
      <c r="CX68" s="217">
        <f t="shared" si="55"/>
        <v>2.3279268292682929</v>
      </c>
      <c r="CY68" s="217">
        <f t="shared" si="56"/>
        <v>1.1639634146341464</v>
      </c>
      <c r="CZ68" s="217">
        <f t="shared" si="57"/>
        <v>1.6727617934861985</v>
      </c>
      <c r="DA68" s="197">
        <f t="shared" si="58"/>
        <v>350</v>
      </c>
      <c r="DB68" s="443">
        <f t="shared" si="115"/>
        <v>350</v>
      </c>
      <c r="DD68" s="217">
        <f t="shared" si="59"/>
        <v>2.344682344682345</v>
      </c>
      <c r="DE68" s="173">
        <f t="shared" si="60"/>
        <v>1.6848016848016851</v>
      </c>
      <c r="DF68" s="173">
        <f t="shared" si="61"/>
        <v>0.69130683381297664</v>
      </c>
      <c r="DG68" s="173"/>
      <c r="DH68" s="173">
        <f t="shared" si="62"/>
        <v>0.71856287425149712</v>
      </c>
      <c r="DI68" s="545">
        <f t="shared" si="63"/>
        <v>1753.4999999999998</v>
      </c>
      <c r="DJ68" s="528">
        <f t="shared" si="64"/>
        <v>0.125748502994012</v>
      </c>
      <c r="DL68" s="173">
        <f t="shared" si="65"/>
        <v>2.3237900077244502</v>
      </c>
      <c r="DM68" s="173">
        <f t="shared" si="66"/>
        <v>2.3237900077244502</v>
      </c>
      <c r="DN68" s="173">
        <f t="shared" si="67"/>
        <v>2.1805851909070002</v>
      </c>
      <c r="DP68" s="545">
        <f t="shared" si="68"/>
        <v>630</v>
      </c>
      <c r="DQ68" s="460">
        <f t="shared" si="69"/>
        <v>350</v>
      </c>
      <c r="DS68">
        <f t="shared" si="116"/>
        <v>630</v>
      </c>
      <c r="DT68">
        <f t="shared" si="70"/>
        <v>350</v>
      </c>
      <c r="DV68" s="5">
        <f t="shared" si="117"/>
        <v>2.8571428571428572</v>
      </c>
      <c r="DW68" s="5">
        <f t="shared" si="71"/>
        <v>1.1618950038622251</v>
      </c>
      <c r="DX68" s="5">
        <f t="shared" si="118"/>
        <v>1.6952478532806321</v>
      </c>
      <c r="DY68" s="173">
        <f t="shared" si="119"/>
        <v>0.40666325135177878</v>
      </c>
      <c r="EA68" s="5">
        <f t="shared" si="72"/>
        <v>4.5749615777075112</v>
      </c>
      <c r="EB68" s="5">
        <f t="shared" si="73"/>
        <v>2.2874807888537556</v>
      </c>
      <c r="EC68" s="5">
        <f t="shared" si="74"/>
        <v>0.59333674864822117</v>
      </c>
      <c r="ED68" s="5"/>
      <c r="EE68" s="173">
        <f t="shared" si="120"/>
        <v>0.85556639276750568</v>
      </c>
      <c r="EF68" s="173">
        <f t="shared" si="75"/>
        <v>1.0334438289364345</v>
      </c>
      <c r="EG68" s="173">
        <f t="shared" si="76"/>
        <v>0.2538016462240949</v>
      </c>
      <c r="EH68" s="173"/>
      <c r="EI68" s="528">
        <f t="shared" si="77"/>
        <v>1.4639877048664037E-2</v>
      </c>
      <c r="EJ68" s="528">
        <f t="shared" si="78"/>
        <v>0.62894538454066118</v>
      </c>
      <c r="EK68" s="528">
        <f t="shared" si="79"/>
        <v>4.0250000000000001E-2</v>
      </c>
      <c r="EL68" s="528">
        <f t="shared" si="80"/>
        <v>0.28553746375000005</v>
      </c>
      <c r="EM68">
        <f t="shared" si="81"/>
        <v>1.0800000000000001E-2</v>
      </c>
      <c r="EN68" s="460">
        <f t="shared" si="121"/>
        <v>51.05</v>
      </c>
      <c r="EO68">
        <f t="shared" si="82"/>
        <v>0.98756065748750721</v>
      </c>
      <c r="EP68" s="460">
        <f t="shared" si="122"/>
        <v>987.56065748750723</v>
      </c>
      <c r="EQ68" s="173">
        <f t="shared" si="83"/>
        <v>0.39138749999999994</v>
      </c>
      <c r="ER68" s="173">
        <f t="shared" si="170"/>
        <v>6.9890624999999998E-2</v>
      </c>
      <c r="ES68" s="528"/>
      <c r="EU68" s="460">
        <f t="shared" si="123"/>
        <v>461.27812499999993</v>
      </c>
      <c r="EV68" s="528">
        <f t="shared" si="85"/>
        <v>2.1959815572996054E-2</v>
      </c>
      <c r="EW68" s="528">
        <f t="shared" si="124"/>
        <v>3.2040184427003959E-2</v>
      </c>
      <c r="EX68" s="528">
        <f t="shared" si="86"/>
        <v>3.2207637813030314E-4</v>
      </c>
      <c r="EY68" s="528">
        <f t="shared" si="87"/>
        <v>0.94326194802617347</v>
      </c>
      <c r="EZ68" s="528">
        <f t="shared" si="88"/>
        <v>1.0150324162102271</v>
      </c>
      <c r="FA68" s="625">
        <f t="shared" si="89"/>
        <v>9.4500000000000018E-3</v>
      </c>
      <c r="FB68" s="460">
        <f t="shared" si="125"/>
        <v>1024.482416210227</v>
      </c>
      <c r="FC68" s="173">
        <f t="shared" si="126"/>
        <v>2.4733211986977341</v>
      </c>
      <c r="FD68" s="5">
        <f t="shared" si="127"/>
        <v>11.34</v>
      </c>
      <c r="FE68" s="173">
        <f t="shared" si="128"/>
        <v>0.82094666712514375</v>
      </c>
      <c r="FF68" s="5">
        <f t="shared" si="129"/>
        <v>82.094666712514368</v>
      </c>
      <c r="FG68">
        <f t="shared" si="130"/>
        <v>63</v>
      </c>
      <c r="FI68" s="562">
        <f t="shared" si="90"/>
        <v>-50</v>
      </c>
      <c r="FJ68">
        <f t="shared" si="91"/>
        <v>-50</v>
      </c>
      <c r="FL68">
        <f t="shared" si="92"/>
        <v>0.56805186984048239</v>
      </c>
    </row>
    <row r="69" spans="5:168">
      <c r="E69" s="170">
        <v>64</v>
      </c>
      <c r="F69" s="217">
        <f t="shared" si="174"/>
        <v>0.64</v>
      </c>
      <c r="G69" s="217">
        <f t="shared" si="171"/>
        <v>0.16</v>
      </c>
      <c r="H69" s="217">
        <f t="shared" ref="H69:H105" si="176">F69*Vout</f>
        <v>10.24</v>
      </c>
      <c r="I69" s="217">
        <f t="shared" si="175"/>
        <v>1.28</v>
      </c>
      <c r="J69" s="541">
        <f t="shared" ref="J69:J105" si="177">Vin-(F69/CG69/Nps+G69/CH69/(Nps/Nsec1sec2))*(Rdcr_pri+RON/1000)</f>
        <v>23.92366360454751</v>
      </c>
      <c r="K69" s="443">
        <f t="shared" ref="K69:K105" si="178">MAX((S69+Vfwd2+Rdcr_sec*F69/CG69)*Nps,(Vout2+Vfwd22+Rdcr_sec2*G69/CH69)*Nps/Nsec1sec2)</f>
        <v>16.733678744340597</v>
      </c>
      <c r="L69" s="172">
        <f t="shared" ref="L69:L105" si="179">MAX((Vout+Vfwd2+F69/CG69*Rdcr_sec)*Nps+J69, (Vout2+Vfwd22+G69/CH69*Rdcr_sec2)*Nps/Nsec1sec2+J69)</f>
        <v>40.657342348888108</v>
      </c>
      <c r="M69" s="443"/>
      <c r="N69" s="217">
        <f t="shared" ref="N69:N105" si="180">MAX((Vout+Vfwd2+F69/CG69*Rdcr_sec)*Nps/((Vout+Vfwd2+F69/CG69*Rdcr_sec)*Nps+J69), (Vout2+Vfwd22+G69/CH69*Rdcr_sec2)*Nps/Nsec1sec2/((Vout2+Vfwd22+G69/CH69*Rdcr_sec2)*Nps/Nsec1sec2+J69))</f>
        <v>0.41157827289215887</v>
      </c>
      <c r="O69" s="172">
        <f t="shared" si="172"/>
        <v>21.881022550250364</v>
      </c>
      <c r="P69" s="172">
        <f t="shared" ref="P69:P105" si="181">N69*J69*Isw_max*0.5*Efficiency*(Pout2/Pout_total)</f>
        <v>3.0770187961289572</v>
      </c>
      <c r="Q69" s="217">
        <f t="shared" ref="Q69:Q105" si="182">O69/Vout</f>
        <v>1.3675639093906478</v>
      </c>
      <c r="R69" s="217">
        <f t="shared" ref="R69:R105" si="183">O69/Vout2</f>
        <v>2.7351278187812955</v>
      </c>
      <c r="S69" s="443">
        <f t="shared" ref="S69:S105" si="184">MIN(Vout,O69/F69)</f>
        <v>16</v>
      </c>
      <c r="T69" s="217">
        <f t="shared" ref="T69:T105" si="185">MIN(2*(Vout*F69+Vout2*G69)/(Efficiency*J69*N69), Isw_max)</f>
        <v>2.3399272078084015</v>
      </c>
      <c r="U69" s="217">
        <f t="shared" ref="U69:U105" si="186">L*T69/J69*1000000</f>
        <v>1.1736967614092109</v>
      </c>
      <c r="V69" s="217">
        <f t="shared" ref="V69:V105" si="187">L*T69/K69*1000000</f>
        <v>1.6780008103835089</v>
      </c>
      <c r="W69" s="197">
        <f t="shared" ref="W69:W105" si="188">IF(1/((350000*L)*(1/J69+1/K69))&gt;Isw_min, 350, 0.001/((Isw_min*L)*(1/J69+1/K69)))</f>
        <v>350</v>
      </c>
      <c r="X69" s="443">
        <f t="shared" si="95"/>
        <v>327.68646842437596</v>
      </c>
      <c r="Z69" s="217">
        <f t="shared" ref="Z69:Z105" si="189">1/((W69*1000*L)*(1/J69+1/K69))</f>
        <v>2.3443952732411102</v>
      </c>
      <c r="AA69" s="173">
        <f t="shared" ref="AA69:AA105" si="190">L*Z69/K69*1000000</f>
        <v>1.6812049345938316</v>
      </c>
      <c r="AB69" s="173">
        <f t="shared" ref="AB69:AB100" si="191">0.5*AA69*Z69*Nps*W69/1000*(Pout/Pout_total)</f>
        <v>0.68974655785199646</v>
      </c>
      <c r="AC69" s="173"/>
      <c r="AD69" s="173">
        <f t="shared" ref="AD69:AD105" si="192">L*Isw_min/K69*1000000</f>
        <v>0.71711667131523316</v>
      </c>
      <c r="AE69" s="545">
        <f t="shared" ref="AE69:AE100" si="193">MAX(10, F69/(0.5*AD69/1000000*Isw_min*Nps)/1000*Pout_total/Pout)</f>
        <v>1784.9257327296639</v>
      </c>
      <c r="AF69" s="528">
        <f t="shared" ref="AF69:AF105" si="194">0.5*AD69/1000000*Isw_min*Nps*W69*1000*(Pout/Pout_total)</f>
        <v>0.12549541748016579</v>
      </c>
      <c r="AH69" s="173">
        <f t="shared" ref="AH69:AH105" si="195">SQRT((H69+I69)/(0.5*L*Fsw_DCM))</f>
        <v>2.3421601750764793</v>
      </c>
      <c r="AI69" s="173">
        <f t="shared" ref="AI69:AI100" si="196">MAX(IF(F69&gt;AB69,T69,AH69),Isw_min)</f>
        <v>2.3421601750764793</v>
      </c>
      <c r="AJ69" s="173">
        <f t="shared" ref="AJ69:AJ100" si="197">IF(F69&gt;AF69, (AI69-Isw_min)/1.08*0.8+1.2, AE69*0.2/350+1)</f>
        <v>2.1941927222788733</v>
      </c>
      <c r="AL69" s="545">
        <f t="shared" ref="AL69:AL105" si="198">F69*1000</f>
        <v>640</v>
      </c>
      <c r="AM69" s="460">
        <f t="shared" ref="AM69:AM105" si="199">IF(F69&gt;AF69, X69, AE69)</f>
        <v>327.68646842437596</v>
      </c>
      <c r="AO69">
        <f t="shared" si="96"/>
        <v>640</v>
      </c>
      <c r="AP69">
        <f t="shared" ref="AP69:AP105" si="200">IF(H69&gt;O69, "",AM69)</f>
        <v>327.68646842437596</v>
      </c>
      <c r="AR69" s="5">
        <f t="shared" si="97"/>
        <v>3.0516975717927202</v>
      </c>
      <c r="AS69" s="5">
        <f t="shared" ref="AS69:AS105" si="201">L*AI69/J69*1000000</f>
        <v>1.1748168075551464</v>
      </c>
      <c r="AT69" s="5">
        <f t="shared" si="98"/>
        <v>1.8768807642375738</v>
      </c>
      <c r="AU69" s="173">
        <f t="shared" si="99"/>
        <v>0.38497157071334565</v>
      </c>
      <c r="AW69" s="5">
        <f t="shared" ref="AW69:AW105" si="202">F69*AS69/Vout_ripple*1000</f>
        <v>4.6992672302205856</v>
      </c>
      <c r="AX69" s="5">
        <f t="shared" ref="AX69:AX105" si="203">G69*AS69/Vout_ripple2*1000</f>
        <v>2.3496336151102928</v>
      </c>
      <c r="AY69" s="5">
        <f t="shared" ref="AY69:AY105" si="204">H69/Efficiency/J69*AT69/Vinripple1</f>
        <v>0.66946473804773898</v>
      </c>
      <c r="AZ69" s="5"/>
      <c r="BA69" s="173">
        <f t="shared" si="100"/>
        <v>0.83901609937991606</v>
      </c>
      <c r="BB69" s="173">
        <f t="shared" ref="BB69:BB105" si="205">AI69*Npri_sec1*SQRT((1-AU69)/3)*(Pout/Pout_total)</f>
        <v>1.0604826323673289</v>
      </c>
      <c r="BC69" s="173">
        <f t="shared" ref="BC69:BC105" si="206">AI69*Npri_sec2*SQRT((1-AU69)/3)*(Pout2/Pout_total)</f>
        <v>0.26044205824315281</v>
      </c>
      <c r="BD69" s="173"/>
      <c r="BE69" s="528">
        <f t="shared" ref="BE69:BE105" si="207">Rdson*BA69^2</f>
        <v>1.4078960300373785E-2</v>
      </c>
      <c r="BF69" s="528">
        <f t="shared" ref="BF69:BF105" si="208">0.5*L69*AI69*AM69*1000*Tfall</f>
        <v>0.56947800575463958</v>
      </c>
      <c r="BG69" s="528">
        <f t="shared" ref="BG69:BG105" si="209">Qg*Vdd*AM69*1000*0+Qg*J69*AM69*1000</f>
        <v>0.18030759928197987</v>
      </c>
      <c r="BH69" s="528">
        <f t="shared" ref="BH69:BH105" si="210">0.5*(Coss+Csw)*L69^2*AM69*1000</f>
        <v>0.26677351806114091</v>
      </c>
      <c r="BI69">
        <f t="shared" ref="BI69:BI105" si="211">J69*IQ</f>
        <v>1.0765648622046379E-2</v>
      </c>
      <c r="BJ69" s="460">
        <f t="shared" si="101"/>
        <v>191.07324790402623</v>
      </c>
      <c r="BK69">
        <f t="shared" ref="BK69:BK105" si="212">(BF69+BG69*0+BH69+BI69*0+BE69*(1+RdsonTC*(Ta-25)))/(1-BE69*RdsonTC*ThetaJA)</f>
        <v>0.85699860166864683</v>
      </c>
      <c r="BL69" s="460">
        <f t="shared" si="102"/>
        <v>856.99860166864687</v>
      </c>
      <c r="BM69" s="173">
        <f t="shared" ref="BM69:BM105" si="213">Vfwd2*F69*(1+Diode_TC/1000*(Ta-25))</f>
        <v>0.39759999999999995</v>
      </c>
      <c r="BN69" s="173">
        <f t="shared" ref="BN69:BN105" si="214">Vfwd22*G69*(1+Diode_TC/1000*(Ta-25))</f>
        <v>7.0999999999999994E-2</v>
      </c>
      <c r="BO69" s="528"/>
      <c r="BQ69" s="460">
        <f t="shared" si="103"/>
        <v>468.59999999999997</v>
      </c>
      <c r="BR69" s="528">
        <f t="shared" ref="BR69:BR105" si="215">Rdcr_pri*BA69^2</f>
        <v>2.1118440450560674E-2</v>
      </c>
      <c r="BS69" s="528">
        <f t="shared" ref="BS69:BS105" si="216">Rdcr_sec*BB69^2</f>
        <v>3.3738702406582173E-2</v>
      </c>
      <c r="BT69" s="528">
        <f t="shared" ref="BT69:BT105" si="217">Rdcr_sec2*BC69^2</f>
        <v>3.3915032850964898E-4</v>
      </c>
      <c r="BU69" s="528">
        <f t="shared" ref="BU69:BU105" si="218">AI69^2.5*AM69^2.5*k_core</f>
        <v>0.81593911755329496</v>
      </c>
      <c r="BV69" s="528">
        <f t="shared" ref="BV69:BV100" si="219">(BU69+(BR69+BS69+BT69)*(1+Ltc*(Ta-25)))/(1-(BR69+BS69+BT69)*Ltc*ThetaCa)</f>
        <v>0.88830501261667805</v>
      </c>
      <c r="BW69" s="625">
        <f t="shared" ref="BW69:BW105" si="220">0.5*Lleak*0.000000001*AI69^2*AM69*1000</f>
        <v>8.9879717053543105E-3</v>
      </c>
      <c r="BX69" s="460">
        <f t="shared" si="105"/>
        <v>897.29298432203234</v>
      </c>
      <c r="BY69" s="173">
        <f t="shared" si="106"/>
        <v>2.2228915859906793</v>
      </c>
      <c r="BZ69" s="5">
        <f t="shared" si="107"/>
        <v>11.52</v>
      </c>
      <c r="CA69" s="173">
        <f t="shared" si="108"/>
        <v>0.838251537379756</v>
      </c>
      <c r="CB69" s="5">
        <f t="shared" si="109"/>
        <v>83.825153737975597</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0.57009251312425169</v>
      </c>
      <c r="CH69" s="173">
        <f t="shared" ref="CH69:CH105" si="224">MIN(SQRT(2*DT69*1000*Ls2_*(CM69+CK69*Vfwd22))/(Vout2+Vfwd22), 1-DY69)</f>
        <v>0.20152561614275558</v>
      </c>
      <c r="CI69" s="170">
        <v>64</v>
      </c>
      <c r="CJ69" s="217">
        <f t="shared" si="133"/>
        <v>0.64</v>
      </c>
      <c r="CK69" s="217">
        <f t="shared" si="111"/>
        <v>0.16</v>
      </c>
      <c r="CL69" s="217">
        <f t="shared" ref="CL69:CL105" si="225">CJ69*Vout</f>
        <v>10.24</v>
      </c>
      <c r="CM69" s="217">
        <f t="shared" si="134"/>
        <v>1.28</v>
      </c>
      <c r="CN69" s="541">
        <f t="shared" si="112"/>
        <v>24</v>
      </c>
      <c r="CO69" s="443">
        <f t="shared" ref="CO69:CO105" si="226">(CW69+Vfwd2)*Nps</f>
        <v>16.7</v>
      </c>
      <c r="CP69" s="443">
        <f t="shared" ref="CP69:CP105" si="227">(Vout+Vfwd2)*Nps+CN69</f>
        <v>40.700000000000003</v>
      </c>
      <c r="CQ69" s="443"/>
      <c r="CR69" s="217">
        <f t="shared" ref="CR69:CR105" si="228">(Vout+Vfwd1)*Nps/((Vout+Vfwd1)*Nps+CN69)</f>
        <v>0.40594059405940591</v>
      </c>
      <c r="CS69" s="172">
        <f t="shared" si="114"/>
        <v>21.650165016501649</v>
      </c>
      <c r="CT69" s="172">
        <f t="shared" ref="CT69:CT105" si="229">CR69*CN69*Isw_max*0.5*Efficiency*(Pout2/Pout_total)</f>
        <v>3.0445544554455446</v>
      </c>
      <c r="CU69" s="217">
        <f t="shared" ref="CU69:CU105" si="230">CS69/Vout</f>
        <v>1.3531353135313531</v>
      </c>
      <c r="CV69" s="217">
        <f t="shared" ref="CV69:CV105" si="231">CS69/Vout2</f>
        <v>2.7062706270627062</v>
      </c>
      <c r="CW69" s="443">
        <f t="shared" ref="CW69:CW105" si="232">MIN(Vout,CS69/CJ69)</f>
        <v>16</v>
      </c>
      <c r="CX69" s="217">
        <f t="shared" ref="CX69:CX105" si="233">MIN(2*(Vout*CJ69+Vout2*CK69)/(Efficiency*CN69*CR69), Isw_max)</f>
        <v>2.3648780487804877</v>
      </c>
      <c r="CY69" s="217">
        <f t="shared" ref="CY69:CY105" si="234">L*CX69/CN69*1000000</f>
        <v>1.1824390243902441</v>
      </c>
      <c r="CZ69" s="217">
        <f t="shared" ref="CZ69:CZ105" si="235">L*CX69/CO69*1000000</f>
        <v>1.6993135679859794</v>
      </c>
      <c r="DA69" s="197">
        <f t="shared" ref="DA69:DA105" si="236">IF(1/((350000*L)*(1/CN69+1/CO69))&gt;Isw_min, 350, 0.001/((Isw_min*L)*(1/CN69+1/CO69)))</f>
        <v>350</v>
      </c>
      <c r="DB69" s="443">
        <f t="shared" si="115"/>
        <v>347.01105245659704</v>
      </c>
      <c r="DD69" s="217">
        <f t="shared" ref="DD69:DD105" si="237">1/((DA69*1000*L)*(1/CN69+1/CO69))</f>
        <v>2.344682344682345</v>
      </c>
      <c r="DE69" s="173">
        <f t="shared" ref="DE69:DE105" si="238">L*DD69/CO69*1000000</f>
        <v>1.6848016848016851</v>
      </c>
      <c r="DF69" s="173">
        <f t="shared" ref="DF69:DF105" si="239">0.5*DE69*DD69*Nps*DA69/1000*(Pout/Pout_total)</f>
        <v>0.69130683381297664</v>
      </c>
      <c r="DG69" s="173"/>
      <c r="DH69" s="173">
        <f t="shared" ref="DH69:DH105" si="240">L*Isw_min/CO69*1000000</f>
        <v>0.71856287425149712</v>
      </c>
      <c r="DI69" s="545">
        <f t="shared" ref="DI69:DI105" si="241">MAX(10, CJ69/(0.5*DH69/1000000*Isw_min*Nps)/1000*Pout_total/Pout)</f>
        <v>1781.3333333333333</v>
      </c>
      <c r="DJ69" s="528">
        <f t="shared" ref="DJ69:DJ105" si="242">0.5*DH69/1000000*Isw_min*Nps*DA69*1000*(Pout/Pout_total)</f>
        <v>0.125748502994012</v>
      </c>
      <c r="DL69" s="173">
        <f t="shared" ref="DL69:DL105" si="243">SQRT((CL69+CM69)/(0.5*L*Fsw_DCM))</f>
        <v>2.3421601750764793</v>
      </c>
      <c r="DM69" s="173">
        <f t="shared" ref="DM69:DM105" si="244">MAX(IF(CJ69&gt;DF69,CX69,DL69),Isw_min)</f>
        <v>2.3421601750764793</v>
      </c>
      <c r="DN69" s="173">
        <f t="shared" ref="DN69:DN105" si="245">IF(CJ69&gt;DJ69, (DM69-Isw_min)/1.08*0.8+1.2, DI69*0.2/350+1)</f>
        <v>2.1941927222788733</v>
      </c>
      <c r="DP69" s="545">
        <f t="shared" ref="DP69:DP105" si="246">CJ69*1000</f>
        <v>640</v>
      </c>
      <c r="DQ69" s="460">
        <f t="shared" ref="DQ69:DQ105" si="247">IF(CJ69&gt;DJ69, DB69, DI69)</f>
        <v>347.01105245659704</v>
      </c>
      <c r="DS69">
        <f t="shared" si="116"/>
        <v>640</v>
      </c>
      <c r="DT69">
        <f t="shared" ref="DT69:DT90" si="248">IF(CL69&gt;CS69, "",DQ69)</f>
        <v>347.01105245659704</v>
      </c>
      <c r="DV69" s="5">
        <f t="shared" si="117"/>
        <v>2.8817525923762228</v>
      </c>
      <c r="DW69" s="5">
        <f t="shared" ref="DW69:DW105" si="249">L*DM69/CN69*1000000</f>
        <v>1.1710800875382397</v>
      </c>
      <c r="DX69" s="5">
        <f t="shared" si="118"/>
        <v>1.7106725048379832</v>
      </c>
      <c r="DY69" s="173">
        <f t="shared" si="119"/>
        <v>0.40637773368760838</v>
      </c>
      <c r="EA69" s="5">
        <f t="shared" ref="EA69:EA105" si="250">CJ69*DW69/Vout_ripple*1000</f>
        <v>4.6843203501529596</v>
      </c>
      <c r="EB69" s="5">
        <f t="shared" ref="EB69:EB105" si="251">CK69*DW69/Vout_ripple2*1000</f>
        <v>2.3421601750764798</v>
      </c>
      <c r="EC69" s="5">
        <f t="shared" ref="EC69:EC105" si="252">CL69/Efficiency/CN69*DX69/Vinripple1</f>
        <v>0.60823911283128285</v>
      </c>
      <c r="ED69" s="5"/>
      <c r="EE69" s="173">
        <f t="shared" si="120"/>
        <v>0.86202709529850008</v>
      </c>
      <c r="EF69" s="173">
        <f t="shared" ref="EF69:EF105" si="253">DM69*Npri_sec1*SQRT((1-DY69)/3)*(Pout/Pout_total)</f>
        <v>1.0418640580913896</v>
      </c>
      <c r="EG69" s="173">
        <f t="shared" ref="EG69:EG105" si="254">DM69*Npri_sec2*SQRT((1-DY69)/3)*(Pout2/Pout_total)</f>
        <v>0.25586955544303247</v>
      </c>
      <c r="EH69" s="173"/>
      <c r="EI69" s="528">
        <f t="shared" ref="EI69:EI105" si="255">Rdson*EE69^2</f>
        <v>1.4861814260575389E-2</v>
      </c>
      <c r="EJ69" s="528">
        <f t="shared" ref="EJ69:EJ105" si="256">0.5*CP69*DM69*DQ69*1000*Trise</f>
        <v>0.62850380292125507</v>
      </c>
      <c r="EK69" s="528">
        <f t="shared" ref="EK69:EK105" si="257">Qg*Vdd*DQ69*1000</f>
        <v>3.9906271032508663E-2</v>
      </c>
      <c r="EL69" s="528">
        <f t="shared" ref="EL69:EL105" si="258">0.5*(Coss+Csw)*CP69^2*DQ69*1000</f>
        <v>0.28309901660478554</v>
      </c>
      <c r="EM69">
        <f t="shared" ref="EM69:EM105" si="259">CN69*IQ</f>
        <v>1.0800000000000001E-2</v>
      </c>
      <c r="EN69" s="460">
        <f t="shared" si="121"/>
        <v>50.70627103250866</v>
      </c>
      <c r="EO69">
        <f t="shared" ref="EO69:EO105" si="260">(EJ69+EK69+EL69+EM69+EI69*(1+RdsonTC*(Ta-25)))/(1-EI69*RdsonTC*ThetaJA)</f>
        <v>0.98466059573861742</v>
      </c>
      <c r="EP69" s="460">
        <f t="shared" si="122"/>
        <v>984.66059573861742</v>
      </c>
      <c r="EQ69" s="173">
        <f t="shared" ref="EQ69:EQ105" si="261">Vfwd2*CJ69*(1+Diode_TC/1000*(Ta-25))</f>
        <v>0.39759999999999995</v>
      </c>
      <c r="ER69" s="173">
        <f t="shared" ref="ER69:ER105" si="262">Vfwd22*CK69*(1+Diode_TC/1000*(Ta-25))</f>
        <v>7.0999999999999994E-2</v>
      </c>
      <c r="ES69" s="528"/>
      <c r="EU69" s="460">
        <f t="shared" si="123"/>
        <v>468.59999999999997</v>
      </c>
      <c r="EV69" s="528">
        <f t="shared" ref="EV69:EV105" si="263">Rdcr_pri*EE69^2</f>
        <v>2.2292721390863079E-2</v>
      </c>
      <c r="EW69" s="528">
        <f t="shared" si="124"/>
        <v>3.2564421466279754E-2</v>
      </c>
      <c r="EX69" s="528">
        <f t="shared" ref="EX69:EX105" si="264">Rdcr_sec2*EG69^2</f>
        <v>3.2734614701307533E-4</v>
      </c>
      <c r="EY69" s="528">
        <f t="shared" ref="EY69:EY105" si="265">DM69^2.5*DQ69^2.5*k_core</f>
        <v>0.94160716272159883</v>
      </c>
      <c r="EZ69" s="528">
        <f t="shared" ref="EZ69:EZ105" si="266">(EY69+(EV69+EW69+EX69)*(1+Ltc*(Ta-25)))/(1-(EV69+EW69+EX69)*Ltc*ThetaCa)</f>
        <v>1.0145147674088826</v>
      </c>
      <c r="FA69" s="625">
        <f t="shared" ref="FA69:FA105" si="267">0.5*Lleak*0.000000001*DM69^2*DQ69*1000</f>
        <v>9.5180174388095149E-3</v>
      </c>
      <c r="FB69" s="460">
        <f t="shared" si="125"/>
        <v>1024.032784847692</v>
      </c>
      <c r="FC69" s="173">
        <f t="shared" si="126"/>
        <v>2.4772933805863095</v>
      </c>
      <c r="FD69" s="5">
        <f t="shared" si="127"/>
        <v>11.52</v>
      </c>
      <c r="FE69" s="173">
        <f t="shared" si="128"/>
        <v>0.82301625655555533</v>
      </c>
      <c r="FF69" s="5">
        <f t="shared" si="129"/>
        <v>82.301625655555526</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0.57009251312425169</v>
      </c>
    </row>
    <row r="70" spans="5:168">
      <c r="E70" s="170">
        <v>65</v>
      </c>
      <c r="F70" s="217">
        <f t="shared" si="174"/>
        <v>0.65</v>
      </c>
      <c r="G70" s="217">
        <f t="shared" ref="G70:G105" si="271">IF(PLOT_TYPE=1, E70/100*Iout2, min_I*EXP(Q70*rr/100))</f>
        <v>0.16250000000000001</v>
      </c>
      <c r="H70" s="217">
        <f t="shared" si="176"/>
        <v>10.4</v>
      </c>
      <c r="I70" s="217">
        <f t="shared" si="175"/>
        <v>1.3</v>
      </c>
      <c r="J70" s="541">
        <f t="shared" si="177"/>
        <v>23.922470848368565</v>
      </c>
      <c r="K70" s="443">
        <f t="shared" si="178"/>
        <v>16.734204974720917</v>
      </c>
      <c r="L70" s="172">
        <f t="shared" si="179"/>
        <v>40.656675823089486</v>
      </c>
      <c r="M70" s="443"/>
      <c r="N70" s="217">
        <f t="shared" si="180"/>
        <v>0.41159796358012457</v>
      </c>
      <c r="O70" s="172">
        <f t="shared" ref="O70:O101" si="272">N70*J70*Isw_max*0.5*Efficiency*Pout/(Pout+Pout2)</f>
        <v>21.880978411096439</v>
      </c>
      <c r="P70" s="172">
        <f t="shared" si="181"/>
        <v>3.0770125890604367</v>
      </c>
      <c r="Q70" s="217">
        <f t="shared" si="182"/>
        <v>1.3675611506935275</v>
      </c>
      <c r="R70" s="217">
        <f t="shared" si="183"/>
        <v>2.7351223013870549</v>
      </c>
      <c r="S70" s="443">
        <f t="shared" si="184"/>
        <v>16</v>
      </c>
      <c r="T70" s="217">
        <f t="shared" si="185"/>
        <v>2.3764933643748485</v>
      </c>
      <c r="U70" s="217">
        <f t="shared" si="186"/>
        <v>1.192097612042571</v>
      </c>
      <c r="V70" s="217">
        <f t="shared" si="187"/>
        <v>1.7041694191972683</v>
      </c>
      <c r="W70" s="197">
        <f t="shared" si="188"/>
        <v>350</v>
      </c>
      <c r="X70" s="443">
        <f t="shared" ref="X70:X105" si="273">MIN(1/(U70+V70+0.2)*1000, 350)</f>
        <v>322.96955976680397</v>
      </c>
      <c r="Z70" s="217">
        <f t="shared" si="189"/>
        <v>2.3443905440460466</v>
      </c>
      <c r="AA70" s="173">
        <f t="shared" si="190"/>
        <v>1.6811486754853582</v>
      </c>
      <c r="AB70" s="173">
        <f t="shared" si="191"/>
        <v>0.6897220851400967</v>
      </c>
      <c r="AC70" s="173"/>
      <c r="AD70" s="173">
        <f t="shared" si="192"/>
        <v>0.71709412058281119</v>
      </c>
      <c r="AE70" s="545">
        <f t="shared" si="193"/>
        <v>1812.872205594766</v>
      </c>
      <c r="AF70" s="528">
        <f t="shared" si="194"/>
        <v>0.12549147110199196</v>
      </c>
      <c r="AH70" s="173">
        <f t="shared" si="195"/>
        <v>2.3603873774083297</v>
      </c>
      <c r="AI70" s="173">
        <f t="shared" si="196"/>
        <v>2.3603873774083297</v>
      </c>
      <c r="AJ70" s="173">
        <f t="shared" si="197"/>
        <v>2.2076943536357998</v>
      </c>
      <c r="AL70" s="545">
        <f t="shared" si="198"/>
        <v>650</v>
      </c>
      <c r="AM70" s="460">
        <f t="shared" si="199"/>
        <v>322.96955976680397</v>
      </c>
      <c r="AO70">
        <f t="shared" ref="AO70:AO105" si="274">IF(H70&gt;O70, "",AL70)</f>
        <v>650</v>
      </c>
      <c r="AP70">
        <f t="shared" si="200"/>
        <v>322.96955976680397</v>
      </c>
      <c r="AR70" s="5">
        <f t="shared" ref="AR70:AR133" si="275">1/AM70*1000</f>
        <v>3.0962670312398393</v>
      </c>
      <c r="AS70" s="5">
        <f t="shared" si="201"/>
        <v>1.1840185200113476</v>
      </c>
      <c r="AT70" s="5">
        <f t="shared" ref="AT70:AT105" si="276">AR70-AS70</f>
        <v>1.9122485112284917</v>
      </c>
      <c r="AU70" s="173">
        <f t="shared" ref="AU70:AU105" si="277">AS70/AR70</f>
        <v>0.38240194016380769</v>
      </c>
      <c r="AW70" s="5">
        <f t="shared" si="202"/>
        <v>4.8100752375460996</v>
      </c>
      <c r="AX70" s="5">
        <f t="shared" si="203"/>
        <v>2.4050376187730498</v>
      </c>
      <c r="AY70" s="5">
        <f t="shared" si="204"/>
        <v>0.69277210266836375</v>
      </c>
      <c r="AZ70" s="5"/>
      <c r="BA70" s="173">
        <f t="shared" ref="BA70:BA105" si="278">AI70*SQRT(AU70/3)</f>
        <v>0.84271883314233931</v>
      </c>
      <c r="BB70" s="173">
        <f t="shared" si="205"/>
        <v>1.0709658376484619</v>
      </c>
      <c r="BC70" s="173">
        <f t="shared" si="206"/>
        <v>0.2630166101283723</v>
      </c>
      <c r="BD70" s="173"/>
      <c r="BE70" s="528">
        <f t="shared" si="207"/>
        <v>1.4203500634655719E-2</v>
      </c>
      <c r="BF70" s="528">
        <f t="shared" si="208"/>
        <v>0.56563934505590741</v>
      </c>
      <c r="BG70" s="528">
        <f t="shared" si="209"/>
        <v>0.17770328720393136</v>
      </c>
      <c r="BH70" s="528">
        <f t="shared" si="210"/>
        <v>0.26292480480875435</v>
      </c>
      <c r="BI70">
        <f t="shared" si="211"/>
        <v>1.0765111881765854E-2</v>
      </c>
      <c r="BJ70" s="460">
        <f t="shared" ref="BJ70:BJ105" si="279">(BG70+BI70)*1000</f>
        <v>188.4683990856972</v>
      </c>
      <c r="BK70">
        <f t="shared" si="212"/>
        <v>0.84946934382599726</v>
      </c>
      <c r="BL70" s="460">
        <f t="shared" ref="BL70:BL105" si="280">BK70*1000</f>
        <v>849.46934382599727</v>
      </c>
      <c r="BM70" s="173">
        <f t="shared" si="213"/>
        <v>0.40381249999999996</v>
      </c>
      <c r="BN70" s="173">
        <f t="shared" si="214"/>
        <v>7.2109375000000003E-2</v>
      </c>
      <c r="BO70" s="528"/>
      <c r="BQ70" s="460">
        <f t="shared" ref="BQ70:BQ105" si="281">SUM(BM70:BP70)*1000</f>
        <v>475.92187499999994</v>
      </c>
      <c r="BR70" s="528">
        <f t="shared" si="215"/>
        <v>2.1305250951983577E-2</v>
      </c>
      <c r="BS70" s="528">
        <f t="shared" si="216"/>
        <v>3.440903476230215E-2</v>
      </c>
      <c r="BT70" s="528">
        <f t="shared" si="217"/>
        <v>3.4588868601710096E-4</v>
      </c>
      <c r="BU70" s="528">
        <f t="shared" si="218"/>
        <v>0.80229150166704399</v>
      </c>
      <c r="BV70" s="528">
        <f t="shared" si="219"/>
        <v>0.87573362028191659</v>
      </c>
      <c r="BW70" s="625">
        <f t="shared" si="220"/>
        <v>8.9970091649323996E-3</v>
      </c>
      <c r="BX70" s="460">
        <f t="shared" ref="BX70:BX105" si="282">(BV70+BW70)*1000</f>
        <v>884.73062944684898</v>
      </c>
      <c r="BY70" s="173">
        <f t="shared" ref="BY70:BY104" si="283">SUM(BK70,BM70:BP70,BV70:BW70)</f>
        <v>2.2101218482728462</v>
      </c>
      <c r="BZ70" s="5">
        <f t="shared" ref="BZ70:BZ105" si="284">MIN(H70+I70,O70+P70)</f>
        <v>11.700000000000001</v>
      </c>
      <c r="CA70" s="173">
        <f t="shared" ref="CA70:CA105" si="285">BZ70/(BZ70+BY70)</f>
        <v>0.84111412736853441</v>
      </c>
      <c r="CB70" s="5">
        <f t="shared" ref="CB70:CB105" si="286">CA70*100</f>
        <v>84.111412736853438</v>
      </c>
      <c r="CC70">
        <f t="shared" ref="CC70:CC105" si="287">F70/Iout*100</f>
        <v>65</v>
      </c>
      <c r="CE70" s="562">
        <f t="shared" si="221"/>
        <v>-50</v>
      </c>
      <c r="CF70">
        <f t="shared" si="222"/>
        <v>-50</v>
      </c>
      <c r="CG70" s="173">
        <f t="shared" si="223"/>
        <v>0.57009251312425158</v>
      </c>
      <c r="CH70" s="173">
        <f t="shared" si="224"/>
        <v>0.20152561614275555</v>
      </c>
      <c r="CI70" s="170">
        <v>65</v>
      </c>
      <c r="CJ70" s="217">
        <f t="shared" si="133"/>
        <v>0.65</v>
      </c>
      <c r="CK70" s="217">
        <f t="shared" ref="CK70:CK105" si="288">IF(PLOT_TYPE=1, CI70/100*Iout2, min_I*EXP(CU70*rr/100))</f>
        <v>0.16250000000000001</v>
      </c>
      <c r="CL70" s="217">
        <f t="shared" si="225"/>
        <v>10.4</v>
      </c>
      <c r="CM70" s="217">
        <f t="shared" si="134"/>
        <v>1.3</v>
      </c>
      <c r="CN70" s="541">
        <f t="shared" ref="CN70:CN105" si="289">Vin</f>
        <v>24</v>
      </c>
      <c r="CO70" s="443">
        <f t="shared" si="226"/>
        <v>16.7</v>
      </c>
      <c r="CP70" s="443">
        <f t="shared" si="227"/>
        <v>40.700000000000003</v>
      </c>
      <c r="CQ70" s="443"/>
      <c r="CR70" s="217">
        <f t="shared" si="228"/>
        <v>0.40594059405940591</v>
      </c>
      <c r="CS70" s="172">
        <f t="shared" ref="CS70:CS105" si="290">CR70*CN70*Isw_max*0.5*Efficiency*Pout/(Pout+Pout2)</f>
        <v>21.650165016501649</v>
      </c>
      <c r="CT70" s="172">
        <f t="shared" si="229"/>
        <v>3.0445544554455446</v>
      </c>
      <c r="CU70" s="217">
        <f t="shared" si="230"/>
        <v>1.3531353135313531</v>
      </c>
      <c r="CV70" s="217">
        <f t="shared" si="231"/>
        <v>2.7062706270627062</v>
      </c>
      <c r="CW70" s="443">
        <f t="shared" si="232"/>
        <v>16</v>
      </c>
      <c r="CX70" s="217">
        <f t="shared" si="233"/>
        <v>2.4018292682926834</v>
      </c>
      <c r="CY70" s="217">
        <f t="shared" si="234"/>
        <v>1.2009146341463419</v>
      </c>
      <c r="CZ70" s="217">
        <f t="shared" si="235"/>
        <v>1.7258653424857606</v>
      </c>
      <c r="DA70" s="197">
        <f t="shared" si="236"/>
        <v>350</v>
      </c>
      <c r="DB70" s="443">
        <f t="shared" ref="DB70:DB105" si="291">MIN(1/(CY70+CZ70)*1000, 350)</f>
        <v>341.67242088034158</v>
      </c>
      <c r="DD70" s="217">
        <f t="shared" si="237"/>
        <v>2.344682344682345</v>
      </c>
      <c r="DE70" s="173">
        <f t="shared" si="238"/>
        <v>1.6848016848016851</v>
      </c>
      <c r="DF70" s="173">
        <f t="shared" si="239"/>
        <v>0.69130683381297664</v>
      </c>
      <c r="DG70" s="173"/>
      <c r="DH70" s="173">
        <f t="shared" si="240"/>
        <v>0.71856287425149712</v>
      </c>
      <c r="DI70" s="545">
        <f t="shared" si="241"/>
        <v>1809.1666666666665</v>
      </c>
      <c r="DJ70" s="528">
        <f t="shared" si="242"/>
        <v>0.125748502994012</v>
      </c>
      <c r="DL70" s="173">
        <f t="shared" si="243"/>
        <v>2.3603873774083297</v>
      </c>
      <c r="DM70" s="173">
        <f t="shared" si="244"/>
        <v>2.3603873774083297</v>
      </c>
      <c r="DN70" s="173">
        <f t="shared" si="245"/>
        <v>2.2076943536357998</v>
      </c>
      <c r="DP70" s="545">
        <f t="shared" si="246"/>
        <v>650</v>
      </c>
      <c r="DQ70" s="460">
        <f t="shared" si="247"/>
        <v>341.67242088034158</v>
      </c>
      <c r="DS70">
        <f t="shared" ref="DS70:DS90" si="292">IF(CL70&gt;CS70, "",DP70)</f>
        <v>650</v>
      </c>
      <c r="DT70">
        <f t="shared" si="248"/>
        <v>341.67242088034158</v>
      </c>
      <c r="DV70" s="5">
        <f t="shared" ref="DV70:DV105" si="293">1/DQ70*1000</f>
        <v>2.9267799766321025</v>
      </c>
      <c r="DW70" s="5">
        <f t="shared" si="249"/>
        <v>1.1801936887041649</v>
      </c>
      <c r="DX70" s="5">
        <f t="shared" ref="DX70:DX105" si="294">DV70-DW70</f>
        <v>1.7465862879279377</v>
      </c>
      <c r="DY70" s="173">
        <f t="shared" ref="DY70:DY105" si="295">DW70/DV70</f>
        <v>0.40323963472725222</v>
      </c>
      <c r="EA70" s="5">
        <f t="shared" si="250"/>
        <v>4.7945368603606697</v>
      </c>
      <c r="EB70" s="5">
        <f t="shared" si="251"/>
        <v>2.3972684301803349</v>
      </c>
      <c r="EC70" s="5">
        <f t="shared" si="252"/>
        <v>0.6307117150850885</v>
      </c>
      <c r="ED70" s="5"/>
      <c r="EE70" s="173">
        <f t="shared" ref="EE70:EE105" si="296">DM70*SQRT(DY70/3)</f>
        <v>0.8653748363285193</v>
      </c>
      <c r="EF70" s="173">
        <f t="shared" si="253"/>
        <v>1.0527436771561471</v>
      </c>
      <c r="EG70" s="173">
        <f t="shared" si="254"/>
        <v>0.25854146188981847</v>
      </c>
      <c r="EH70" s="173"/>
      <c r="EI70" s="528">
        <f t="shared" si="255"/>
        <v>1.4977472147012233E-2</v>
      </c>
      <c r="EJ70" s="528">
        <f t="shared" si="256"/>
        <v>0.6236504190691684</v>
      </c>
      <c r="EK70" s="528">
        <f t="shared" si="257"/>
        <v>3.9292328401239286E-2</v>
      </c>
      <c r="EL70" s="528">
        <f t="shared" si="258"/>
        <v>0.27874364711855798</v>
      </c>
      <c r="EM70">
        <f t="shared" si="259"/>
        <v>1.0800000000000001E-2</v>
      </c>
      <c r="EN70" s="460">
        <f t="shared" ref="EN70:EN105" si="297">(EK70+EM70)*1000</f>
        <v>50.092328401239286</v>
      </c>
      <c r="EO70">
        <f t="shared" si="260"/>
        <v>0.97497738493420338</v>
      </c>
      <c r="EP70" s="460">
        <f t="shared" ref="EP70:EP105" si="298">EO70*1000</f>
        <v>974.97738493420343</v>
      </c>
      <c r="EQ70" s="173">
        <f t="shared" si="261"/>
        <v>0.40381249999999996</v>
      </c>
      <c r="ER70" s="173">
        <f t="shared" si="262"/>
        <v>7.2109375000000003E-2</v>
      </c>
      <c r="ES70" s="528"/>
      <c r="EU70" s="460">
        <f t="shared" ref="EU70:EU105" si="299">SUM(EQ70:ET70)*1000</f>
        <v>475.92187499999994</v>
      </c>
      <c r="EV70" s="528">
        <f t="shared" si="263"/>
        <v>2.2466208220518348E-2</v>
      </c>
      <c r="EW70" s="528">
        <f t="shared" ref="EW70:EW105" si="300">Rdcr_sec*EF70^2</f>
        <v>3.3248077493767382E-2</v>
      </c>
      <c r="EX70" s="528">
        <f t="shared" si="264"/>
        <v>3.3421843758062229E-4</v>
      </c>
      <c r="EY70" s="528">
        <f t="shared" si="265"/>
        <v>0.92353429026219336</v>
      </c>
      <c r="EZ70" s="528">
        <f t="shared" si="266"/>
        <v>0.99750713804797952</v>
      </c>
      <c r="FA70" s="625">
        <f t="shared" si="267"/>
        <v>9.5180174388095184E-3</v>
      </c>
      <c r="FB70" s="460">
        <f t="shared" ref="FB70:FB105" si="301">(EZ70+FA70)*1000</f>
        <v>1007.025155486789</v>
      </c>
      <c r="FC70" s="173">
        <f t="shared" ref="FC70:FC105" si="302">SUM(EO70,EQ70:ET70,EZ70:FA70)</f>
        <v>2.457924415420992</v>
      </c>
      <c r="FD70" s="5">
        <f t="shared" ref="FD70:FD105" si="303">MIN(CL70+CM70,CS70+CT70)</f>
        <v>11.700000000000001</v>
      </c>
      <c r="FE70" s="173">
        <f t="shared" ref="FE70:FE105" si="304">FD70/(FD70+FC70)</f>
        <v>0.82639231971433691</v>
      </c>
      <c r="FF70" s="5">
        <f t="shared" ref="FF70:FF105" si="305">FE70*100</f>
        <v>82.639231971433688</v>
      </c>
      <c r="FG70">
        <f t="shared" ref="FG70:FG105" si="306">CJ70/Iout*100</f>
        <v>65</v>
      </c>
      <c r="FI70" s="562">
        <f t="shared" si="268"/>
        <v>-50</v>
      </c>
      <c r="FJ70">
        <f t="shared" si="269"/>
        <v>-50</v>
      </c>
      <c r="FL70">
        <f t="shared" si="270"/>
        <v>0.57009251312425158</v>
      </c>
    </row>
    <row r="71" spans="5:168">
      <c r="E71" s="170">
        <v>66</v>
      </c>
      <c r="F71" s="217">
        <f t="shared" si="174"/>
        <v>0.66</v>
      </c>
      <c r="G71" s="217">
        <f t="shared" si="271"/>
        <v>0.16500000000000001</v>
      </c>
      <c r="H71" s="217">
        <f t="shared" si="176"/>
        <v>10.56</v>
      </c>
      <c r="I71" s="217">
        <f t="shared" si="175"/>
        <v>1.32</v>
      </c>
      <c r="J71" s="541">
        <f t="shared" si="177"/>
        <v>23.921278092189617</v>
      </c>
      <c r="K71" s="443">
        <f t="shared" si="178"/>
        <v>16.734731205101241</v>
      </c>
      <c r="L71" s="172">
        <f t="shared" si="179"/>
        <v>40.656009297290858</v>
      </c>
      <c r="M71" s="443"/>
      <c r="N71" s="217">
        <f t="shared" si="180"/>
        <v>0.41161765491371954</v>
      </c>
      <c r="O71" s="172">
        <f t="shared" si="272"/>
        <v>21.880934201880059</v>
      </c>
      <c r="P71" s="172">
        <f t="shared" si="181"/>
        <v>3.0770063721393832</v>
      </c>
      <c r="Q71" s="217">
        <f t="shared" si="182"/>
        <v>1.3675583876175037</v>
      </c>
      <c r="R71" s="217">
        <f t="shared" si="183"/>
        <v>2.7351167752350074</v>
      </c>
      <c r="S71" s="443">
        <f t="shared" si="184"/>
        <v>16</v>
      </c>
      <c r="T71" s="217">
        <f t="shared" si="185"/>
        <v>2.4130596761935013</v>
      </c>
      <c r="U71" s="217">
        <f t="shared" si="186"/>
        <v>1.2105003755537831</v>
      </c>
      <c r="V71" s="217">
        <f t="shared" si="187"/>
        <v>1.7303364935730281</v>
      </c>
      <c r="W71" s="197">
        <f t="shared" si="188"/>
        <v>350</v>
      </c>
      <c r="X71" s="443">
        <f t="shared" si="273"/>
        <v>318.38648158699544</v>
      </c>
      <c r="Z71" s="217">
        <f t="shared" si="189"/>
        <v>2.3443858073442914</v>
      </c>
      <c r="AA71" s="173">
        <f t="shared" si="190"/>
        <v>1.6810924145322297</v>
      </c>
      <c r="AB71" s="173">
        <f t="shared" si="191"/>
        <v>0.68969760955611348</v>
      </c>
      <c r="AC71" s="173"/>
      <c r="AD71" s="173">
        <f t="shared" si="192"/>
        <v>0.71707157126862286</v>
      </c>
      <c r="AE71" s="545">
        <f t="shared" si="193"/>
        <v>1840.8204325611366</v>
      </c>
      <c r="AF71" s="528">
        <f t="shared" si="194"/>
        <v>0.12548752497200902</v>
      </c>
      <c r="AH71" s="173">
        <f t="shared" si="195"/>
        <v>2.3784749015162756</v>
      </c>
      <c r="AI71" s="173">
        <f t="shared" si="196"/>
        <v>2.3784749015162756</v>
      </c>
      <c r="AJ71" s="173">
        <f t="shared" si="197"/>
        <v>2.2210925196416857</v>
      </c>
      <c r="AL71" s="545">
        <f t="shared" si="198"/>
        <v>660</v>
      </c>
      <c r="AM71" s="460">
        <f t="shared" si="199"/>
        <v>318.38648158699544</v>
      </c>
      <c r="AO71">
        <f t="shared" si="274"/>
        <v>660</v>
      </c>
      <c r="AP71">
        <f t="shared" si="200"/>
        <v>318.38648158699544</v>
      </c>
      <c r="AR71" s="5">
        <f t="shared" si="275"/>
        <v>3.1408368691268116</v>
      </c>
      <c r="AS71" s="5">
        <f t="shared" si="201"/>
        <v>1.1931510811503954</v>
      </c>
      <c r="AT71" s="5">
        <f t="shared" si="276"/>
        <v>1.9476857879764162</v>
      </c>
      <c r="AU71" s="173">
        <f t="shared" si="277"/>
        <v>0.37988317472919403</v>
      </c>
      <c r="AW71" s="5">
        <f t="shared" si="202"/>
        <v>4.9217482097453811</v>
      </c>
      <c r="AX71" s="5">
        <f t="shared" si="203"/>
        <v>2.4608741048726905</v>
      </c>
      <c r="AY71" s="5">
        <f t="shared" si="204"/>
        <v>0.71650163791994925</v>
      </c>
      <c r="AZ71" s="5"/>
      <c r="BA71" s="173">
        <f t="shared" si="278"/>
        <v>0.84637528879885027</v>
      </c>
      <c r="BB71" s="173">
        <f t="shared" si="205"/>
        <v>1.0813709614304188</v>
      </c>
      <c r="BC71" s="173">
        <f t="shared" si="206"/>
        <v>0.26557198611599991</v>
      </c>
      <c r="BD71" s="173"/>
      <c r="BE71" s="528">
        <f t="shared" si="207"/>
        <v>1.4327022589786744E-2</v>
      </c>
      <c r="BF71" s="528">
        <f t="shared" si="208"/>
        <v>0.56187642234584267</v>
      </c>
      <c r="BG71" s="528">
        <f t="shared" si="209"/>
        <v>0.17517286603723553</v>
      </c>
      <c r="BH71" s="528">
        <f t="shared" si="210"/>
        <v>0.25918528937389779</v>
      </c>
      <c r="BI71">
        <f t="shared" si="211"/>
        <v>1.0764575141485327E-2</v>
      </c>
      <c r="BJ71" s="460">
        <f t="shared" si="279"/>
        <v>185.93744117872086</v>
      </c>
      <c r="BK71">
        <f t="shared" si="212"/>
        <v>0.84212370418796068</v>
      </c>
      <c r="BL71" s="460">
        <f t="shared" si="280"/>
        <v>842.1237041879607</v>
      </c>
      <c r="BM71" s="173">
        <f t="shared" si="213"/>
        <v>0.41002499999999997</v>
      </c>
      <c r="BN71" s="173">
        <f t="shared" si="214"/>
        <v>7.3218749999999999E-2</v>
      </c>
      <c r="BO71" s="528"/>
      <c r="BQ71" s="460">
        <f t="shared" si="281"/>
        <v>483.24374999999998</v>
      </c>
      <c r="BR71" s="528">
        <f t="shared" si="215"/>
        <v>2.1490533884680117E-2</v>
      </c>
      <c r="BS71" s="528">
        <f t="shared" si="216"/>
        <v>3.5080894686748444E-2</v>
      </c>
      <c r="BT71" s="528">
        <f t="shared" si="217"/>
        <v>3.5264239904798429E-4</v>
      </c>
      <c r="BU71" s="528">
        <f t="shared" si="218"/>
        <v>0.78904720529255712</v>
      </c>
      <c r="BV71" s="528">
        <f t="shared" si="219"/>
        <v>0.86356566716196359</v>
      </c>
      <c r="BW71" s="625">
        <f t="shared" si="220"/>
        <v>9.005789050603584E-3</v>
      </c>
      <c r="BX71" s="460">
        <f t="shared" si="282"/>
        <v>872.57145621256711</v>
      </c>
      <c r="BY71" s="173">
        <f t="shared" si="283"/>
        <v>2.197938910400528</v>
      </c>
      <c r="BZ71" s="5">
        <f t="shared" si="284"/>
        <v>11.88</v>
      </c>
      <c r="CA71" s="173">
        <f t="shared" si="285"/>
        <v>0.84387352975535856</v>
      </c>
      <c r="CB71" s="5">
        <f t="shared" si="286"/>
        <v>84.387352975535862</v>
      </c>
      <c r="CC71">
        <f t="shared" si="287"/>
        <v>66</v>
      </c>
      <c r="CE71" s="562">
        <f t="shared" si="221"/>
        <v>-50</v>
      </c>
      <c r="CF71">
        <f t="shared" si="222"/>
        <v>-50</v>
      </c>
      <c r="CG71" s="173">
        <f t="shared" si="223"/>
        <v>0.57009251312425158</v>
      </c>
      <c r="CH71" s="173">
        <f t="shared" si="224"/>
        <v>0.20152561614275555</v>
      </c>
      <c r="CI71" s="170">
        <v>66</v>
      </c>
      <c r="CJ71" s="217">
        <f t="shared" si="133"/>
        <v>0.66</v>
      </c>
      <c r="CK71" s="217">
        <f t="shared" si="288"/>
        <v>0.16500000000000001</v>
      </c>
      <c r="CL71" s="217">
        <f t="shared" si="225"/>
        <v>10.56</v>
      </c>
      <c r="CM71" s="217">
        <f t="shared" si="134"/>
        <v>1.32</v>
      </c>
      <c r="CN71" s="541">
        <f t="shared" si="289"/>
        <v>24</v>
      </c>
      <c r="CO71" s="443">
        <f t="shared" si="226"/>
        <v>16.7</v>
      </c>
      <c r="CP71" s="443">
        <f t="shared" si="227"/>
        <v>40.700000000000003</v>
      </c>
      <c r="CQ71" s="443"/>
      <c r="CR71" s="217">
        <f t="shared" si="228"/>
        <v>0.40594059405940591</v>
      </c>
      <c r="CS71" s="172">
        <f t="shared" si="290"/>
        <v>21.650165016501649</v>
      </c>
      <c r="CT71" s="172">
        <f t="shared" si="229"/>
        <v>3.0445544554455446</v>
      </c>
      <c r="CU71" s="217">
        <f t="shared" si="230"/>
        <v>1.3531353135313531</v>
      </c>
      <c r="CV71" s="217">
        <f t="shared" si="231"/>
        <v>2.7062706270627062</v>
      </c>
      <c r="CW71" s="443">
        <f t="shared" si="232"/>
        <v>16</v>
      </c>
      <c r="CX71" s="217">
        <f t="shared" si="233"/>
        <v>2.4387804878048782</v>
      </c>
      <c r="CY71" s="217">
        <f t="shared" si="234"/>
        <v>1.2193902439024393</v>
      </c>
      <c r="CZ71" s="217">
        <f t="shared" si="235"/>
        <v>1.7524171169855414</v>
      </c>
      <c r="DA71" s="197">
        <f t="shared" si="236"/>
        <v>350</v>
      </c>
      <c r="DB71" s="443">
        <f t="shared" si="291"/>
        <v>336.49556601851822</v>
      </c>
      <c r="DD71" s="217">
        <f t="shared" si="237"/>
        <v>2.344682344682345</v>
      </c>
      <c r="DE71" s="173">
        <f t="shared" si="238"/>
        <v>1.6848016848016851</v>
      </c>
      <c r="DF71" s="173">
        <f t="shared" si="239"/>
        <v>0.69130683381297664</v>
      </c>
      <c r="DG71" s="173"/>
      <c r="DH71" s="173">
        <f t="shared" si="240"/>
        <v>0.71856287425149712</v>
      </c>
      <c r="DI71" s="545">
        <f t="shared" si="241"/>
        <v>1836.9999999999998</v>
      </c>
      <c r="DJ71" s="528">
        <f t="shared" si="242"/>
        <v>0.125748502994012</v>
      </c>
      <c r="DL71" s="173">
        <f t="shared" si="243"/>
        <v>2.3784749015162756</v>
      </c>
      <c r="DM71" s="173">
        <f t="shared" si="244"/>
        <v>2.3784749015162756</v>
      </c>
      <c r="DN71" s="173">
        <f t="shared" si="245"/>
        <v>2.2210925196416857</v>
      </c>
      <c r="DP71" s="545">
        <f t="shared" si="246"/>
        <v>660</v>
      </c>
      <c r="DQ71" s="460">
        <f t="shared" si="247"/>
        <v>336.49556601851822</v>
      </c>
      <c r="DS71">
        <f t="shared" si="292"/>
        <v>660</v>
      </c>
      <c r="DT71">
        <f t="shared" si="248"/>
        <v>336.49556601851822</v>
      </c>
      <c r="DV71" s="5">
        <f t="shared" si="293"/>
        <v>2.9718073608879809</v>
      </c>
      <c r="DW71" s="5">
        <f t="shared" si="249"/>
        <v>1.1892374507581378</v>
      </c>
      <c r="DX71" s="5">
        <f t="shared" si="294"/>
        <v>1.7825699101298431</v>
      </c>
      <c r="DY71" s="173">
        <f t="shared" si="295"/>
        <v>0.40017312912327929</v>
      </c>
      <c r="EA71" s="5">
        <f t="shared" si="250"/>
        <v>4.905604484377319</v>
      </c>
      <c r="EB71" s="5">
        <f t="shared" si="251"/>
        <v>2.4528022421886595</v>
      </c>
      <c r="EC71" s="5">
        <f t="shared" si="252"/>
        <v>0.65360896704760907</v>
      </c>
      <c r="ED71" s="5"/>
      <c r="EE71" s="173">
        <f t="shared" si="296"/>
        <v>0.868684169503943</v>
      </c>
      <c r="EF71" s="173">
        <f t="shared" si="253"/>
        <v>1.0635328388759466</v>
      </c>
      <c r="EG71" s="173">
        <f t="shared" si="254"/>
        <v>0.26119115307688689</v>
      </c>
      <c r="EH71" s="173"/>
      <c r="EI71" s="528">
        <f t="shared" si="255"/>
        <v>1.5092243726935104E-2</v>
      </c>
      <c r="EJ71" s="528">
        <f t="shared" si="256"/>
        <v>0.61890776150206384</v>
      </c>
      <c r="EK71" s="528">
        <f t="shared" si="257"/>
        <v>3.8696990092129596E-2</v>
      </c>
      <c r="EL71" s="528">
        <f t="shared" si="258"/>
        <v>0.2745202585258526</v>
      </c>
      <c r="EM71">
        <f t="shared" si="259"/>
        <v>1.0800000000000001E-2</v>
      </c>
      <c r="EN71" s="460">
        <f t="shared" si="297"/>
        <v>49.4969900921296</v>
      </c>
      <c r="EO71">
        <f t="shared" si="260"/>
        <v>0.96555455826390713</v>
      </c>
      <c r="EP71" s="460">
        <f t="shared" si="298"/>
        <v>965.5545582639071</v>
      </c>
      <c r="EQ71" s="173">
        <f t="shared" si="261"/>
        <v>0.41002499999999997</v>
      </c>
      <c r="ER71" s="173">
        <f t="shared" si="262"/>
        <v>7.3218749999999999E-2</v>
      </c>
      <c r="ES71" s="528"/>
      <c r="EU71" s="460">
        <f t="shared" si="299"/>
        <v>483.24374999999998</v>
      </c>
      <c r="EV71" s="528">
        <f t="shared" si="263"/>
        <v>2.2638365590402654E-2</v>
      </c>
      <c r="EW71" s="528">
        <f t="shared" si="300"/>
        <v>3.3933062981025906E-2</v>
      </c>
      <c r="EX71" s="528">
        <f t="shared" si="264"/>
        <v>3.4110409222816885E-4</v>
      </c>
      <c r="EY71" s="528">
        <f t="shared" si="265"/>
        <v>0.90607636407747283</v>
      </c>
      <c r="EZ71" s="528">
        <f t="shared" si="266"/>
        <v>0.98111492339034756</v>
      </c>
      <c r="FA71" s="625">
        <f t="shared" si="267"/>
        <v>9.5180174388095132E-3</v>
      </c>
      <c r="FB71" s="460">
        <f t="shared" si="301"/>
        <v>990.63294082915706</v>
      </c>
      <c r="FC71" s="173">
        <f t="shared" si="302"/>
        <v>2.4394312490930643</v>
      </c>
      <c r="FD71" s="5">
        <f t="shared" si="303"/>
        <v>11.88</v>
      </c>
      <c r="FE71" s="173">
        <f t="shared" si="304"/>
        <v>0.82964188963527674</v>
      </c>
      <c r="FF71" s="5">
        <f t="shared" si="305"/>
        <v>82.964188963527675</v>
      </c>
      <c r="FG71">
        <f t="shared" si="306"/>
        <v>66</v>
      </c>
      <c r="FI71" s="562">
        <f t="shared" si="268"/>
        <v>-50</v>
      </c>
      <c r="FJ71">
        <f t="shared" si="269"/>
        <v>-50</v>
      </c>
      <c r="FL71">
        <f t="shared" si="270"/>
        <v>0.57009251312425158</v>
      </c>
    </row>
    <row r="72" spans="5:168">
      <c r="E72" s="170">
        <v>67</v>
      </c>
      <c r="F72" s="217">
        <f t="shared" ref="F72:F103" si="307">IF(PLOT_TYPE=1, E72/100*Iout_max, min_I*EXP(O72*rr/100))</f>
        <v>0.67</v>
      </c>
      <c r="G72" s="217">
        <f t="shared" si="271"/>
        <v>0.16750000000000001</v>
      </c>
      <c r="H72" s="217">
        <f t="shared" si="176"/>
        <v>10.72</v>
      </c>
      <c r="I72" s="217">
        <f t="shared" ref="I72:I105" si="308">Vout2*G72</f>
        <v>1.34</v>
      </c>
      <c r="J72" s="541">
        <f t="shared" si="177"/>
        <v>23.920085336010672</v>
      </c>
      <c r="K72" s="443">
        <f t="shared" si="178"/>
        <v>16.735257435481561</v>
      </c>
      <c r="L72" s="172">
        <f t="shared" si="179"/>
        <v>40.655342771492229</v>
      </c>
      <c r="M72" s="443"/>
      <c r="N72" s="217">
        <f t="shared" si="180"/>
        <v>0.41163734689297526</v>
      </c>
      <c r="O72" s="172">
        <f t="shared" si="272"/>
        <v>21.88088992259777</v>
      </c>
      <c r="P72" s="172">
        <f t="shared" si="181"/>
        <v>3.0770001453653113</v>
      </c>
      <c r="Q72" s="217">
        <f t="shared" si="182"/>
        <v>1.3675556201623607</v>
      </c>
      <c r="R72" s="217">
        <f t="shared" si="183"/>
        <v>2.7351112403247213</v>
      </c>
      <c r="S72" s="443">
        <f t="shared" si="184"/>
        <v>16</v>
      </c>
      <c r="T72" s="217">
        <f t="shared" si="185"/>
        <v>2.4496261436169431</v>
      </c>
      <c r="U72" s="217">
        <f t="shared" si="186"/>
        <v>1.22890505240588</v>
      </c>
      <c r="V72" s="217">
        <f t="shared" si="187"/>
        <v>1.756502033908357</v>
      </c>
      <c r="W72" s="197">
        <f t="shared" si="188"/>
        <v>350</v>
      </c>
      <c r="X72" s="443">
        <f t="shared" si="273"/>
        <v>313.93161781311835</v>
      </c>
      <c r="Z72" s="217">
        <f t="shared" si="189"/>
        <v>2.3443810631354749</v>
      </c>
      <c r="AA72" s="173">
        <f t="shared" si="190"/>
        <v>1.6810361517343564</v>
      </c>
      <c r="AB72" s="173">
        <f t="shared" si="191"/>
        <v>0.68967313110012762</v>
      </c>
      <c r="AC72" s="173"/>
      <c r="AD72" s="173">
        <f t="shared" si="192"/>
        <v>0.71704902337253451</v>
      </c>
      <c r="AE72" s="545">
        <f t="shared" si="193"/>
        <v>1868.7704136287743</v>
      </c>
      <c r="AF72" s="528">
        <f t="shared" si="194"/>
        <v>0.12548357909019353</v>
      </c>
      <c r="AH72" s="173">
        <f t="shared" si="195"/>
        <v>2.3964259101539405</v>
      </c>
      <c r="AI72" s="173">
        <f t="shared" si="196"/>
        <v>2.3964259101539405</v>
      </c>
      <c r="AJ72" s="173">
        <f t="shared" si="197"/>
        <v>2.2343895630769928</v>
      </c>
      <c r="AL72" s="545">
        <f t="shared" si="198"/>
        <v>670</v>
      </c>
      <c r="AM72" s="460">
        <f t="shared" si="199"/>
        <v>313.93161781311835</v>
      </c>
      <c r="AO72">
        <f t="shared" si="274"/>
        <v>670</v>
      </c>
      <c r="AP72">
        <f t="shared" si="200"/>
        <v>313.93161781311835</v>
      </c>
      <c r="AR72" s="5">
        <f t="shared" si="275"/>
        <v>3.1854070863142372</v>
      </c>
      <c r="AS72" s="5">
        <f t="shared" si="201"/>
        <v>1.2022160672877984</v>
      </c>
      <c r="AT72" s="5">
        <f t="shared" si="276"/>
        <v>1.9831910190264388</v>
      </c>
      <c r="AU72" s="173">
        <f t="shared" si="277"/>
        <v>0.3774136349645833</v>
      </c>
      <c r="AW72" s="5">
        <f t="shared" si="202"/>
        <v>5.0342797817676557</v>
      </c>
      <c r="AX72" s="5">
        <f t="shared" si="203"/>
        <v>2.5171398908838278</v>
      </c>
      <c r="AY72" s="5">
        <f t="shared" si="204"/>
        <v>0.74065398127843374</v>
      </c>
      <c r="AZ72" s="5"/>
      <c r="BA72" s="173">
        <f t="shared" si="278"/>
        <v>0.84998678212625456</v>
      </c>
      <c r="BB72" s="173">
        <f t="shared" si="205"/>
        <v>1.0916996768783844</v>
      </c>
      <c r="BC72" s="173">
        <f t="shared" si="206"/>
        <v>0.26810859711572088</v>
      </c>
      <c r="BD72" s="173"/>
      <c r="BE72" s="528">
        <f t="shared" si="207"/>
        <v>1.4449550595786899E-2</v>
      </c>
      <c r="BF72" s="528">
        <f t="shared" si="208"/>
        <v>0.55818679794756765</v>
      </c>
      <c r="BG72" s="528">
        <f t="shared" si="209"/>
        <v>0.17271323501851862</v>
      </c>
      <c r="BH72" s="528">
        <f t="shared" si="210"/>
        <v>0.25555038937163116</v>
      </c>
      <c r="BI72">
        <f t="shared" si="211"/>
        <v>1.0764038401204802E-2</v>
      </c>
      <c r="BJ72" s="460">
        <f t="shared" si="279"/>
        <v>183.47727341972342</v>
      </c>
      <c r="BK72">
        <f t="shared" si="212"/>
        <v>0.83495469407093525</v>
      </c>
      <c r="BL72" s="460">
        <f t="shared" si="280"/>
        <v>834.95469407093526</v>
      </c>
      <c r="BM72" s="173">
        <f t="shared" si="213"/>
        <v>0.41623749999999993</v>
      </c>
      <c r="BN72" s="173">
        <f t="shared" si="214"/>
        <v>7.4328124999999995E-2</v>
      </c>
      <c r="BO72" s="528"/>
      <c r="BQ72" s="460">
        <f t="shared" si="281"/>
        <v>490.5656249999999</v>
      </c>
      <c r="BR72" s="528">
        <f t="shared" si="215"/>
        <v>2.167432589368035E-2</v>
      </c>
      <c r="BS72" s="528">
        <f t="shared" si="216"/>
        <v>3.5754245534891073E-2</v>
      </c>
      <c r="BT72" s="528">
        <f t="shared" si="217"/>
        <v>3.5941109923679968E-4</v>
      </c>
      <c r="BU72" s="528">
        <f t="shared" si="218"/>
        <v>0.7761893258146233</v>
      </c>
      <c r="BV72" s="528">
        <f t="shared" si="219"/>
        <v>0.85178425564371363</v>
      </c>
      <c r="BW72" s="625">
        <f t="shared" si="220"/>
        <v>9.0143221686338256E-3</v>
      </c>
      <c r="BX72" s="460">
        <f t="shared" si="282"/>
        <v>860.7985778123475</v>
      </c>
      <c r="BY72" s="173">
        <f t="shared" si="283"/>
        <v>2.1863188968832823</v>
      </c>
      <c r="BZ72" s="5">
        <f t="shared" si="284"/>
        <v>12.06</v>
      </c>
      <c r="CA72" s="173">
        <f t="shared" si="285"/>
        <v>0.84653446881905814</v>
      </c>
      <c r="CB72" s="5">
        <f t="shared" si="286"/>
        <v>84.653446881905808</v>
      </c>
      <c r="CC72">
        <f t="shared" si="287"/>
        <v>67</v>
      </c>
      <c r="CE72" s="562">
        <f t="shared" si="221"/>
        <v>-50</v>
      </c>
      <c r="CF72">
        <f t="shared" si="222"/>
        <v>-50</v>
      </c>
      <c r="CG72" s="173">
        <f t="shared" si="223"/>
        <v>0.57009251312425169</v>
      </c>
      <c r="CH72" s="173">
        <f t="shared" si="224"/>
        <v>0.20152561614275555</v>
      </c>
      <c r="CI72" s="170">
        <v>67</v>
      </c>
      <c r="CJ72" s="217">
        <f t="shared" ref="CJ72:CJ105" si="309">IF(PLOT_TYPE=1, CI72/100*Iout_max, min_I*EXP(CS72*rr/100))</f>
        <v>0.67</v>
      </c>
      <c r="CK72" s="217">
        <f t="shared" si="288"/>
        <v>0.16750000000000001</v>
      </c>
      <c r="CL72" s="217">
        <f t="shared" si="225"/>
        <v>10.72</v>
      </c>
      <c r="CM72" s="217">
        <f t="shared" ref="CM72:CM105" si="310">Vout2*CK72</f>
        <v>1.34</v>
      </c>
      <c r="CN72" s="541">
        <f t="shared" si="289"/>
        <v>24</v>
      </c>
      <c r="CO72" s="443">
        <f t="shared" si="226"/>
        <v>16.7</v>
      </c>
      <c r="CP72" s="443">
        <f t="shared" si="227"/>
        <v>40.700000000000003</v>
      </c>
      <c r="CQ72" s="443"/>
      <c r="CR72" s="217">
        <f t="shared" si="228"/>
        <v>0.40594059405940591</v>
      </c>
      <c r="CS72" s="172">
        <f t="shared" si="290"/>
        <v>21.650165016501649</v>
      </c>
      <c r="CT72" s="172">
        <f t="shared" si="229"/>
        <v>3.0445544554455446</v>
      </c>
      <c r="CU72" s="217">
        <f t="shared" si="230"/>
        <v>1.3531353135313531</v>
      </c>
      <c r="CV72" s="217">
        <f t="shared" si="231"/>
        <v>2.7062706270627062</v>
      </c>
      <c r="CW72" s="443">
        <f t="shared" si="232"/>
        <v>16</v>
      </c>
      <c r="CX72" s="217">
        <f t="shared" si="233"/>
        <v>2.4757317073170735</v>
      </c>
      <c r="CY72" s="217">
        <f t="shared" si="234"/>
        <v>1.2378658536585367</v>
      </c>
      <c r="CZ72" s="217">
        <f t="shared" si="235"/>
        <v>1.7789688914853226</v>
      </c>
      <c r="DA72" s="197">
        <f t="shared" si="236"/>
        <v>350</v>
      </c>
      <c r="DB72" s="443">
        <f t="shared" si="291"/>
        <v>331.47324413764483</v>
      </c>
      <c r="DD72" s="217">
        <f t="shared" si="237"/>
        <v>2.344682344682345</v>
      </c>
      <c r="DE72" s="173">
        <f t="shared" si="238"/>
        <v>1.6848016848016851</v>
      </c>
      <c r="DF72" s="173">
        <f t="shared" si="239"/>
        <v>0.69130683381297664</v>
      </c>
      <c r="DG72" s="173"/>
      <c r="DH72" s="173">
        <f t="shared" si="240"/>
        <v>0.71856287425149712</v>
      </c>
      <c r="DI72" s="545">
        <f t="shared" si="241"/>
        <v>1864.8333333333333</v>
      </c>
      <c r="DJ72" s="528">
        <f t="shared" si="242"/>
        <v>0.125748502994012</v>
      </c>
      <c r="DL72" s="173">
        <f t="shared" si="243"/>
        <v>2.3964259101539405</v>
      </c>
      <c r="DM72" s="173">
        <f t="shared" si="244"/>
        <v>2.3964259101539405</v>
      </c>
      <c r="DN72" s="173">
        <f t="shared" si="245"/>
        <v>2.2343895630769928</v>
      </c>
      <c r="DP72" s="545">
        <f t="shared" si="246"/>
        <v>670</v>
      </c>
      <c r="DQ72" s="460">
        <f t="shared" si="247"/>
        <v>331.47324413764483</v>
      </c>
      <c r="DS72">
        <f t="shared" si="292"/>
        <v>670</v>
      </c>
      <c r="DT72">
        <f t="shared" si="248"/>
        <v>331.47324413764483</v>
      </c>
      <c r="DV72" s="5">
        <f t="shared" si="293"/>
        <v>3.0168347451438593</v>
      </c>
      <c r="DW72" s="5">
        <f t="shared" si="249"/>
        <v>1.1982129550769702</v>
      </c>
      <c r="DX72" s="5">
        <f t="shared" si="294"/>
        <v>1.8186217900668891</v>
      </c>
      <c r="DY72" s="173">
        <f t="shared" si="295"/>
        <v>0.39717553538711742</v>
      </c>
      <c r="EA72" s="5">
        <f t="shared" si="250"/>
        <v>5.0175167493848125</v>
      </c>
      <c r="EB72" s="5">
        <f t="shared" si="251"/>
        <v>2.5087583746924063</v>
      </c>
      <c r="EC72" s="5">
        <f t="shared" si="252"/>
        <v>0.67693144408045314</v>
      </c>
      <c r="ED72" s="5"/>
      <c r="EE72" s="173">
        <f t="shared" si="296"/>
        <v>0.87195610752797581</v>
      </c>
      <c r="EF72" s="173">
        <f t="shared" si="253"/>
        <v>1.074233801753778</v>
      </c>
      <c r="EG72" s="173">
        <f t="shared" si="254"/>
        <v>0.26381918366600132</v>
      </c>
      <c r="EH72" s="173"/>
      <c r="EI72" s="528">
        <f t="shared" si="255"/>
        <v>1.5206149069106778E-2</v>
      </c>
      <c r="EJ72" s="528">
        <f t="shared" si="256"/>
        <v>0.6142716830297158</v>
      </c>
      <c r="EK72" s="528">
        <f t="shared" si="257"/>
        <v>3.8119423075829155E-2</v>
      </c>
      <c r="EL72" s="528">
        <f t="shared" si="258"/>
        <v>0.2704229412344219</v>
      </c>
      <c r="EM72">
        <f t="shared" si="259"/>
        <v>1.0800000000000001E-2</v>
      </c>
      <c r="EN72" s="460">
        <f t="shared" si="297"/>
        <v>48.919423075829151</v>
      </c>
      <c r="EO72">
        <f t="shared" si="260"/>
        <v>0.95638124393883883</v>
      </c>
      <c r="EP72" s="460">
        <f t="shared" si="298"/>
        <v>956.38124393883879</v>
      </c>
      <c r="EQ72" s="173">
        <f t="shared" si="261"/>
        <v>0.41623749999999993</v>
      </c>
      <c r="ER72" s="173">
        <f t="shared" si="262"/>
        <v>7.4328124999999995E-2</v>
      </c>
      <c r="ES72" s="528"/>
      <c r="EU72" s="460">
        <f t="shared" si="299"/>
        <v>490.5656249999999</v>
      </c>
      <c r="EV72" s="528">
        <f t="shared" si="263"/>
        <v>2.2809223603660167E-2</v>
      </c>
      <c r="EW72" s="528">
        <f t="shared" si="300"/>
        <v>3.4619347824911259E-2</v>
      </c>
      <c r="EX72" s="528">
        <f t="shared" si="264"/>
        <v>3.4800280835097668E-4</v>
      </c>
      <c r="EY72" s="528">
        <f t="shared" si="265"/>
        <v>0.88920361083204391</v>
      </c>
      <c r="EZ72" s="528">
        <f t="shared" si="266"/>
        <v>0.96530833960138773</v>
      </c>
      <c r="FA72" s="625">
        <f t="shared" si="267"/>
        <v>9.5180174388095149E-3</v>
      </c>
      <c r="FB72" s="460">
        <f t="shared" si="301"/>
        <v>974.82635704019731</v>
      </c>
      <c r="FC72" s="173">
        <f t="shared" si="302"/>
        <v>2.4217732259790359</v>
      </c>
      <c r="FD72" s="5">
        <f t="shared" si="303"/>
        <v>12.06</v>
      </c>
      <c r="FE72" s="173">
        <f t="shared" si="304"/>
        <v>0.83277094674880103</v>
      </c>
      <c r="FF72" s="5">
        <f t="shared" si="305"/>
        <v>83.277094674880104</v>
      </c>
      <c r="FG72">
        <f t="shared" si="306"/>
        <v>67</v>
      </c>
      <c r="FI72" s="562">
        <f t="shared" si="268"/>
        <v>-50</v>
      </c>
      <c r="FJ72">
        <f t="shared" si="269"/>
        <v>-50</v>
      </c>
      <c r="FL72">
        <f t="shared" si="270"/>
        <v>0.57009251312425158</v>
      </c>
    </row>
    <row r="73" spans="5:168">
      <c r="E73" s="170">
        <v>68</v>
      </c>
      <c r="F73" s="217">
        <f t="shared" si="307"/>
        <v>0.68</v>
      </c>
      <c r="G73" s="217">
        <f t="shared" si="271"/>
        <v>0.17</v>
      </c>
      <c r="H73" s="217">
        <f t="shared" si="176"/>
        <v>10.88</v>
      </c>
      <c r="I73" s="217">
        <f t="shared" si="308"/>
        <v>1.36</v>
      </c>
      <c r="J73" s="541">
        <f t="shared" si="177"/>
        <v>23.918892579831727</v>
      </c>
      <c r="K73" s="443">
        <f t="shared" si="178"/>
        <v>16.735783665861884</v>
      </c>
      <c r="L73" s="172">
        <f t="shared" si="179"/>
        <v>40.654676245693608</v>
      </c>
      <c r="M73" s="443"/>
      <c r="N73" s="217">
        <f t="shared" si="180"/>
        <v>0.41165703951792365</v>
      </c>
      <c r="O73" s="172">
        <f t="shared" si="272"/>
        <v>21.880845573246134</v>
      </c>
      <c r="P73" s="172">
        <f t="shared" si="181"/>
        <v>3.0769939087377374</v>
      </c>
      <c r="Q73" s="217">
        <f t="shared" si="182"/>
        <v>1.3675528483278834</v>
      </c>
      <c r="R73" s="217">
        <f t="shared" si="183"/>
        <v>2.7351056966557667</v>
      </c>
      <c r="S73" s="443">
        <f t="shared" si="184"/>
        <v>16</v>
      </c>
      <c r="T73" s="217">
        <f t="shared" si="185"/>
        <v>2.4861927669977835</v>
      </c>
      <c r="U73" s="217">
        <f t="shared" si="186"/>
        <v>1.2473116430620006</v>
      </c>
      <c r="V73" s="217">
        <f t="shared" si="187"/>
        <v>1.7826660406007913</v>
      </c>
      <c r="W73" s="197">
        <f t="shared" si="188"/>
        <v>350</v>
      </c>
      <c r="X73" s="443">
        <f t="shared" si="273"/>
        <v>309.59966226949308</v>
      </c>
      <c r="Z73" s="217">
        <f t="shared" si="189"/>
        <v>2.3443763114192282</v>
      </c>
      <c r="AA73" s="173">
        <f t="shared" si="190"/>
        <v>1.680979887091647</v>
      </c>
      <c r="AB73" s="173">
        <f t="shared" si="191"/>
        <v>0.68964864977221962</v>
      </c>
      <c r="AC73" s="173"/>
      <c r="AD73" s="173">
        <f t="shared" si="192"/>
        <v>0.71702647689441235</v>
      </c>
      <c r="AE73" s="545">
        <f t="shared" si="193"/>
        <v>1896.7221487976803</v>
      </c>
      <c r="AF73" s="528">
        <f t="shared" si="194"/>
        <v>0.12547963345652216</v>
      </c>
      <c r="AH73" s="173">
        <f t="shared" si="195"/>
        <v>2.4142434484888695</v>
      </c>
      <c r="AI73" s="173">
        <f t="shared" si="196"/>
        <v>2.4142434484888695</v>
      </c>
      <c r="AJ73" s="173">
        <f t="shared" si="197"/>
        <v>2.2475877396213848</v>
      </c>
      <c r="AL73" s="545">
        <f t="shared" si="198"/>
        <v>680</v>
      </c>
      <c r="AM73" s="460">
        <f t="shared" si="199"/>
        <v>309.59966226949308</v>
      </c>
      <c r="AO73">
        <f t="shared" si="274"/>
        <v>680</v>
      </c>
      <c r="AP73">
        <f t="shared" si="200"/>
        <v>309.59966226949308</v>
      </c>
      <c r="AR73" s="5">
        <f t="shared" si="275"/>
        <v>3.229977683662792</v>
      </c>
      <c r="AS73" s="5">
        <f t="shared" si="201"/>
        <v>1.2112149960610865</v>
      </c>
      <c r="AT73" s="5">
        <f t="shared" si="276"/>
        <v>2.0187626876017055</v>
      </c>
      <c r="AU73" s="173">
        <f t="shared" si="277"/>
        <v>0.37499175371625781</v>
      </c>
      <c r="AW73" s="5">
        <f t="shared" si="202"/>
        <v>5.147663733259618</v>
      </c>
      <c r="AX73" s="5">
        <f t="shared" si="203"/>
        <v>2.573831866629809</v>
      </c>
      <c r="AY73" s="5">
        <f t="shared" si="204"/>
        <v>0.76522975746051713</v>
      </c>
      <c r="AZ73" s="5"/>
      <c r="BA73" s="173">
        <f t="shared" si="278"/>
        <v>0.85355457190513484</v>
      </c>
      <c r="BB73" s="173">
        <f t="shared" si="205"/>
        <v>1.1019535995843859</v>
      </c>
      <c r="BC73" s="173">
        <f t="shared" si="206"/>
        <v>0.27062683989793002</v>
      </c>
      <c r="BD73" s="173"/>
      <c r="BE73" s="528">
        <f t="shared" si="207"/>
        <v>1.4571108144403161E-2</v>
      </c>
      <c r="BF73" s="528">
        <f t="shared" si="208"/>
        <v>0.55456813973764563</v>
      </c>
      <c r="BG73" s="528">
        <f t="shared" si="209"/>
        <v>0.17032146448525229</v>
      </c>
      <c r="BH73" s="528">
        <f t="shared" si="210"/>
        <v>0.25201577527408314</v>
      </c>
      <c r="BI73">
        <f t="shared" si="211"/>
        <v>1.0763501660924277E-2</v>
      </c>
      <c r="BJ73" s="460">
        <f t="shared" si="279"/>
        <v>181.08496614617655</v>
      </c>
      <c r="BK73">
        <f t="shared" si="212"/>
        <v>0.8279556838326777</v>
      </c>
      <c r="BL73" s="460">
        <f t="shared" si="280"/>
        <v>827.95568383267766</v>
      </c>
      <c r="BM73" s="173">
        <f t="shared" si="213"/>
        <v>0.42244999999999994</v>
      </c>
      <c r="BN73" s="173">
        <f t="shared" si="214"/>
        <v>7.5437500000000005E-2</v>
      </c>
      <c r="BO73" s="528"/>
      <c r="BQ73" s="460">
        <f t="shared" si="281"/>
        <v>497.88749999999993</v>
      </c>
      <c r="BR73" s="528">
        <f t="shared" si="215"/>
        <v>2.185666221660474E-2</v>
      </c>
      <c r="BS73" s="528">
        <f t="shared" si="216"/>
        <v>3.6429052069109548E-2</v>
      </c>
      <c r="BT73" s="528">
        <f t="shared" si="217"/>
        <v>3.6619443236569926E-4</v>
      </c>
      <c r="BU73" s="528">
        <f t="shared" si="218"/>
        <v>0.76370186965326192</v>
      </c>
      <c r="BV73" s="528">
        <f t="shared" si="219"/>
        <v>0.84037339676417022</v>
      </c>
      <c r="BW73" s="625">
        <f t="shared" si="220"/>
        <v>9.0226187289966578E-3</v>
      </c>
      <c r="BX73" s="460">
        <f t="shared" si="282"/>
        <v>849.39601549316694</v>
      </c>
      <c r="BY73" s="173">
        <f t="shared" si="283"/>
        <v>2.1752391993258446</v>
      </c>
      <c r="BZ73" s="5">
        <f t="shared" si="284"/>
        <v>12.24</v>
      </c>
      <c r="CA73" s="173">
        <f t="shared" si="285"/>
        <v>0.84910141488130331</v>
      </c>
      <c r="CB73" s="5">
        <f t="shared" si="286"/>
        <v>84.910141488130336</v>
      </c>
      <c r="CC73">
        <f t="shared" si="287"/>
        <v>68</v>
      </c>
      <c r="CE73" s="562">
        <f t="shared" si="221"/>
        <v>-50</v>
      </c>
      <c r="CF73">
        <f t="shared" si="222"/>
        <v>-50</v>
      </c>
      <c r="CG73" s="173">
        <f t="shared" si="223"/>
        <v>0.57009251312425169</v>
      </c>
      <c r="CH73" s="173">
        <f t="shared" si="224"/>
        <v>0.20152561614275558</v>
      </c>
      <c r="CI73" s="170">
        <v>68</v>
      </c>
      <c r="CJ73" s="217">
        <f t="shared" si="309"/>
        <v>0.68</v>
      </c>
      <c r="CK73" s="217">
        <f t="shared" si="288"/>
        <v>0.17</v>
      </c>
      <c r="CL73" s="217">
        <f t="shared" si="225"/>
        <v>10.88</v>
      </c>
      <c r="CM73" s="217">
        <f t="shared" si="310"/>
        <v>1.36</v>
      </c>
      <c r="CN73" s="541">
        <f t="shared" si="289"/>
        <v>24</v>
      </c>
      <c r="CO73" s="443">
        <f t="shared" si="226"/>
        <v>16.7</v>
      </c>
      <c r="CP73" s="443">
        <f t="shared" si="227"/>
        <v>40.700000000000003</v>
      </c>
      <c r="CQ73" s="443"/>
      <c r="CR73" s="217">
        <f t="shared" si="228"/>
        <v>0.40594059405940591</v>
      </c>
      <c r="CS73" s="172">
        <f t="shared" si="290"/>
        <v>21.650165016501649</v>
      </c>
      <c r="CT73" s="172">
        <f t="shared" si="229"/>
        <v>3.0445544554455446</v>
      </c>
      <c r="CU73" s="217">
        <f t="shared" si="230"/>
        <v>1.3531353135313531</v>
      </c>
      <c r="CV73" s="217">
        <f t="shared" si="231"/>
        <v>2.7062706270627062</v>
      </c>
      <c r="CW73" s="443">
        <f t="shared" si="232"/>
        <v>16</v>
      </c>
      <c r="CX73" s="217">
        <f t="shared" si="233"/>
        <v>2.5126829268292683</v>
      </c>
      <c r="CY73" s="217">
        <f t="shared" si="234"/>
        <v>1.2563414634146342</v>
      </c>
      <c r="CZ73" s="217">
        <f t="shared" si="235"/>
        <v>1.8055206659851031</v>
      </c>
      <c r="DA73" s="197">
        <f t="shared" si="236"/>
        <v>350</v>
      </c>
      <c r="DB73" s="443">
        <f t="shared" si="291"/>
        <v>326.59863760620897</v>
      </c>
      <c r="DD73" s="217">
        <f t="shared" si="237"/>
        <v>2.344682344682345</v>
      </c>
      <c r="DE73" s="173">
        <f t="shared" si="238"/>
        <v>1.6848016848016851</v>
      </c>
      <c r="DF73" s="173">
        <f t="shared" si="239"/>
        <v>0.69130683381297664</v>
      </c>
      <c r="DG73" s="173"/>
      <c r="DH73" s="173">
        <f t="shared" si="240"/>
        <v>0.71856287425149712</v>
      </c>
      <c r="DI73" s="545">
        <f t="shared" si="241"/>
        <v>1892.6666666666665</v>
      </c>
      <c r="DJ73" s="528">
        <f t="shared" si="242"/>
        <v>0.125748502994012</v>
      </c>
      <c r="DL73" s="173">
        <f t="shared" si="243"/>
        <v>2.4142434484888695</v>
      </c>
      <c r="DM73" s="173">
        <f t="shared" si="244"/>
        <v>2.4142434484888695</v>
      </c>
      <c r="DN73" s="173">
        <f t="shared" si="245"/>
        <v>2.2475877396213848</v>
      </c>
      <c r="DP73" s="545">
        <f t="shared" si="246"/>
        <v>680</v>
      </c>
      <c r="DQ73" s="460">
        <f t="shared" si="247"/>
        <v>326.59863760620897</v>
      </c>
      <c r="DS73">
        <f t="shared" si="292"/>
        <v>680</v>
      </c>
      <c r="DT73">
        <f t="shared" si="248"/>
        <v>326.59863760620897</v>
      </c>
      <c r="DV73" s="5">
        <f t="shared" si="293"/>
        <v>3.0618621293997368</v>
      </c>
      <c r="DW73" s="5">
        <f t="shared" si="249"/>
        <v>1.2071217242444348</v>
      </c>
      <c r="DX73" s="5">
        <f t="shared" si="294"/>
        <v>1.854740405155302</v>
      </c>
      <c r="DY73" s="173">
        <f t="shared" si="295"/>
        <v>0.39424431056309028</v>
      </c>
      <c r="EA73" s="5">
        <f t="shared" si="250"/>
        <v>5.1302673280388484</v>
      </c>
      <c r="EB73" s="5">
        <f t="shared" si="251"/>
        <v>2.5651336640194242</v>
      </c>
      <c r="EC73" s="5">
        <f t="shared" si="252"/>
        <v>0.70067970861422513</v>
      </c>
      <c r="ED73" s="5"/>
      <c r="EE73" s="173">
        <f t="shared" si="296"/>
        <v>0.87519162176536502</v>
      </c>
      <c r="EF73" s="173">
        <f t="shared" si="253"/>
        <v>1.0848487304914236</v>
      </c>
      <c r="EG73" s="173">
        <f t="shared" si="254"/>
        <v>0.26642608528245254</v>
      </c>
      <c r="EH73" s="173"/>
      <c r="EI73" s="528">
        <f t="shared" si="255"/>
        <v>1.5319207496165794E-2</v>
      </c>
      <c r="EJ73" s="528">
        <f t="shared" si="256"/>
        <v>0.60973825071687549</v>
      </c>
      <c r="EK73" s="528">
        <f t="shared" si="257"/>
        <v>3.7558843324714035E-2</v>
      </c>
      <c r="EL73" s="528">
        <f t="shared" si="258"/>
        <v>0.26644613327509231</v>
      </c>
      <c r="EM73">
        <f t="shared" si="259"/>
        <v>1.0800000000000001E-2</v>
      </c>
      <c r="EN73" s="460">
        <f t="shared" si="297"/>
        <v>48.35884332471403</v>
      </c>
      <c r="EO73">
        <f t="shared" si="260"/>
        <v>0.94744718048882925</v>
      </c>
      <c r="EP73" s="460">
        <f t="shared" si="298"/>
        <v>947.4471804888293</v>
      </c>
      <c r="EQ73" s="173">
        <f t="shared" si="261"/>
        <v>0.42244999999999994</v>
      </c>
      <c r="ER73" s="173">
        <f t="shared" si="262"/>
        <v>7.5437500000000005E-2</v>
      </c>
      <c r="ES73" s="528"/>
      <c r="EU73" s="460">
        <f t="shared" si="299"/>
        <v>497.88749999999993</v>
      </c>
      <c r="EV73" s="528">
        <f t="shared" si="263"/>
        <v>2.2978811244248689E-2</v>
      </c>
      <c r="EW73" s="528">
        <f t="shared" si="300"/>
        <v>3.5306903041465602E-2</v>
      </c>
      <c r="EX73" s="528">
        <f t="shared" si="264"/>
        <v>3.549142945946634E-4</v>
      </c>
      <c r="EY73" s="528">
        <f t="shared" si="265"/>
        <v>0.87288811456440141</v>
      </c>
      <c r="EZ73" s="528">
        <f t="shared" si="266"/>
        <v>0.95005946072121339</v>
      </c>
      <c r="FA73" s="625">
        <f t="shared" si="267"/>
        <v>9.5180174388095201E-3</v>
      </c>
      <c r="FB73" s="460">
        <f t="shared" si="301"/>
        <v>959.57747816002291</v>
      </c>
      <c r="FC73" s="173">
        <f t="shared" si="302"/>
        <v>2.4049121586488518</v>
      </c>
      <c r="FD73" s="5">
        <f t="shared" si="303"/>
        <v>12.24</v>
      </c>
      <c r="FE73" s="173">
        <f t="shared" si="304"/>
        <v>0.83578514281298832</v>
      </c>
      <c r="FF73" s="5">
        <f t="shared" si="305"/>
        <v>83.578514281298837</v>
      </c>
      <c r="FG73">
        <f t="shared" si="306"/>
        <v>68</v>
      </c>
      <c r="FI73" s="562">
        <f t="shared" si="268"/>
        <v>-50</v>
      </c>
      <c r="FJ73">
        <f t="shared" si="269"/>
        <v>-50</v>
      </c>
      <c r="FL73">
        <f t="shared" si="270"/>
        <v>0.57009251312425169</v>
      </c>
    </row>
    <row r="74" spans="5:168">
      <c r="E74" s="170">
        <v>69</v>
      </c>
      <c r="F74" s="217">
        <f t="shared" si="307"/>
        <v>0.69</v>
      </c>
      <c r="G74" s="217">
        <f t="shared" si="271"/>
        <v>0.17249999999999999</v>
      </c>
      <c r="H74" s="217">
        <f t="shared" si="176"/>
        <v>11.04</v>
      </c>
      <c r="I74" s="217">
        <f t="shared" si="308"/>
        <v>1.38</v>
      </c>
      <c r="J74" s="541">
        <f t="shared" si="177"/>
        <v>23.917699823652782</v>
      </c>
      <c r="K74" s="443">
        <f t="shared" si="178"/>
        <v>16.736309896242204</v>
      </c>
      <c r="L74" s="172">
        <f t="shared" si="179"/>
        <v>40.654009719894987</v>
      </c>
      <c r="M74" s="443"/>
      <c r="N74" s="217">
        <f t="shared" si="180"/>
        <v>0.41167673278859629</v>
      </c>
      <c r="O74" s="172">
        <f t="shared" si="272"/>
        <v>21.880801153821697</v>
      </c>
      <c r="P74" s="172">
        <f t="shared" si="181"/>
        <v>3.076987662256176</v>
      </c>
      <c r="Q74" s="217">
        <f t="shared" si="182"/>
        <v>1.367550072113856</v>
      </c>
      <c r="R74" s="217">
        <f t="shared" si="183"/>
        <v>2.7351001442277121</v>
      </c>
      <c r="S74" s="443">
        <f t="shared" si="184"/>
        <v>16</v>
      </c>
      <c r="T74" s="217">
        <f t="shared" si="185"/>
        <v>2.522759546688663</v>
      </c>
      <c r="U74" s="217">
        <f t="shared" si="186"/>
        <v>1.2657201479853908</v>
      </c>
      <c r="V74" s="217">
        <f t="shared" si="187"/>
        <v>1.8088285140478406</v>
      </c>
      <c r="W74" s="197">
        <f t="shared" si="188"/>
        <v>350</v>
      </c>
      <c r="X74" s="443">
        <f t="shared" si="273"/>
        <v>305.38559759227405</v>
      </c>
      <c r="Z74" s="217">
        <f t="shared" si="189"/>
        <v>2.3443715521951813</v>
      </c>
      <c r="AA74" s="173">
        <f t="shared" si="190"/>
        <v>1.6809236206040106</v>
      </c>
      <c r="AB74" s="173">
        <f t="shared" si="191"/>
        <v>0.68962416557246942</v>
      </c>
      <c r="AC74" s="173"/>
      <c r="AD74" s="173">
        <f t="shared" si="192"/>
        <v>0.71700393183412281</v>
      </c>
      <c r="AE74" s="545">
        <f t="shared" si="193"/>
        <v>1924.6756380678532</v>
      </c>
      <c r="AF74" s="528">
        <f t="shared" si="194"/>
        <v>0.12547568807097148</v>
      </c>
      <c r="AH74" s="173">
        <f t="shared" si="195"/>
        <v>2.4319304501333323</v>
      </c>
      <c r="AI74" s="173">
        <f t="shared" si="196"/>
        <v>2.522759546688663</v>
      </c>
      <c r="AJ74" s="173">
        <f t="shared" si="197"/>
        <v>2.3279700345841947</v>
      </c>
      <c r="AL74" s="545">
        <f t="shared" si="198"/>
        <v>690</v>
      </c>
      <c r="AM74" s="460">
        <f t="shared" si="199"/>
        <v>305.38559759227405</v>
      </c>
      <c r="AO74">
        <f t="shared" si="274"/>
        <v>690</v>
      </c>
      <c r="AP74">
        <f t="shared" si="200"/>
        <v>305.38559759227405</v>
      </c>
      <c r="AR74" s="5">
        <f t="shared" si="275"/>
        <v>3.274548662033232</v>
      </c>
      <c r="AS74" s="5">
        <f t="shared" si="201"/>
        <v>1.2657201479853908</v>
      </c>
      <c r="AT74" s="5">
        <f t="shared" si="276"/>
        <v>2.008828514047841</v>
      </c>
      <c r="AU74" s="173">
        <f t="shared" si="277"/>
        <v>0.38653270377710014</v>
      </c>
      <c r="AW74" s="5">
        <f t="shared" si="202"/>
        <v>5.4584181381869978</v>
      </c>
      <c r="AX74" s="5">
        <f t="shared" si="203"/>
        <v>2.7292090690934989</v>
      </c>
      <c r="AY74" s="5">
        <f t="shared" si="204"/>
        <v>0.77270065539344268</v>
      </c>
      <c r="AZ74" s="5"/>
      <c r="BA74" s="173">
        <f t="shared" si="278"/>
        <v>0.90554148938007228</v>
      </c>
      <c r="BB74" s="173">
        <f t="shared" si="205"/>
        <v>1.1408037464061247</v>
      </c>
      <c r="BC74" s="173">
        <f t="shared" si="206"/>
        <v>0.28016797889679829</v>
      </c>
      <c r="BD74" s="173"/>
      <c r="BE74" s="528">
        <f t="shared" si="207"/>
        <v>1.6400107779773593E-2</v>
      </c>
      <c r="BF74" s="528">
        <f t="shared" si="208"/>
        <v>0.57159795328786356</v>
      </c>
      <c r="BG74" s="528">
        <f t="shared" si="209"/>
        <v>0.16799478423461314</v>
      </c>
      <c r="BH74" s="528">
        <f t="shared" si="210"/>
        <v>0.24857735320688523</v>
      </c>
      <c r="BI74">
        <f t="shared" si="211"/>
        <v>1.0762964920643752E-2</v>
      </c>
      <c r="BJ74" s="460">
        <f t="shared" si="279"/>
        <v>178.75774915525687</v>
      </c>
      <c r="BK74">
        <f t="shared" si="212"/>
        <v>0.84429337232245294</v>
      </c>
      <c r="BL74" s="460">
        <f t="shared" si="280"/>
        <v>844.29337232245291</v>
      </c>
      <c r="BM74" s="173">
        <f t="shared" si="213"/>
        <v>0.42866249999999989</v>
      </c>
      <c r="BN74" s="173">
        <f t="shared" si="214"/>
        <v>7.6546874999999986E-2</v>
      </c>
      <c r="BO74" s="528"/>
      <c r="BQ74" s="460">
        <f t="shared" si="281"/>
        <v>505.20937499999985</v>
      </c>
      <c r="BR74" s="528">
        <f t="shared" si="215"/>
        <v>2.4600161669660385E-2</v>
      </c>
      <c r="BS74" s="528">
        <f t="shared" si="216"/>
        <v>3.9042995634427494E-2</v>
      </c>
      <c r="BT74" s="528">
        <f t="shared" si="217"/>
        <v>3.9247048199558403E-4</v>
      </c>
      <c r="BU74" s="528">
        <f t="shared" si="218"/>
        <v>0.82372268853702835</v>
      </c>
      <c r="BV74" s="528">
        <f t="shared" si="219"/>
        <v>0.90777727400222563</v>
      </c>
      <c r="BW74" s="625">
        <f t="shared" si="220"/>
        <v>9.7178518129839887E-3</v>
      </c>
      <c r="BX74" s="460">
        <f t="shared" si="282"/>
        <v>917.49512581520969</v>
      </c>
      <c r="BY74" s="173">
        <f t="shared" si="283"/>
        <v>2.2669978731376625</v>
      </c>
      <c r="BZ74" s="5">
        <f t="shared" si="284"/>
        <v>12.419999999999998</v>
      </c>
      <c r="CA74" s="173">
        <f t="shared" si="285"/>
        <v>0.84564593167920499</v>
      </c>
      <c r="CB74" s="5">
        <f t="shared" si="286"/>
        <v>84.564593167920492</v>
      </c>
      <c r="CC74">
        <f t="shared" si="287"/>
        <v>69</v>
      </c>
      <c r="CE74" s="562">
        <f t="shared" si="221"/>
        <v>-50</v>
      </c>
      <c r="CF74">
        <f t="shared" si="222"/>
        <v>-50</v>
      </c>
      <c r="CG74" s="173">
        <f t="shared" si="223"/>
        <v>0.57009251312425169</v>
      </c>
      <c r="CH74" s="173">
        <f t="shared" si="224"/>
        <v>0.20152561614275555</v>
      </c>
      <c r="CI74" s="170">
        <v>69</v>
      </c>
      <c r="CJ74" s="217">
        <f t="shared" si="309"/>
        <v>0.69</v>
      </c>
      <c r="CK74" s="217">
        <f t="shared" si="288"/>
        <v>0.17249999999999999</v>
      </c>
      <c r="CL74" s="217">
        <f t="shared" si="225"/>
        <v>11.04</v>
      </c>
      <c r="CM74" s="217">
        <f t="shared" si="310"/>
        <v>1.38</v>
      </c>
      <c r="CN74" s="541">
        <f t="shared" si="289"/>
        <v>24</v>
      </c>
      <c r="CO74" s="443">
        <f t="shared" si="226"/>
        <v>16.7</v>
      </c>
      <c r="CP74" s="443">
        <f t="shared" si="227"/>
        <v>40.700000000000003</v>
      </c>
      <c r="CQ74" s="443"/>
      <c r="CR74" s="217">
        <f t="shared" si="228"/>
        <v>0.40594059405940591</v>
      </c>
      <c r="CS74" s="172">
        <f t="shared" si="290"/>
        <v>21.650165016501649</v>
      </c>
      <c r="CT74" s="172">
        <f t="shared" si="229"/>
        <v>3.0445544554455446</v>
      </c>
      <c r="CU74" s="217">
        <f t="shared" si="230"/>
        <v>1.3531353135313531</v>
      </c>
      <c r="CV74" s="217">
        <f t="shared" si="231"/>
        <v>2.7062706270627062</v>
      </c>
      <c r="CW74" s="443">
        <f t="shared" si="232"/>
        <v>16</v>
      </c>
      <c r="CX74" s="217">
        <f t="shared" si="233"/>
        <v>2.5496341463414631</v>
      </c>
      <c r="CY74" s="217">
        <f t="shared" si="234"/>
        <v>1.2748170731707316</v>
      </c>
      <c r="CZ74" s="217">
        <f t="shared" si="235"/>
        <v>1.8320724404848838</v>
      </c>
      <c r="DA74" s="197">
        <f t="shared" si="236"/>
        <v>350</v>
      </c>
      <c r="DB74" s="443">
        <f t="shared" si="291"/>
        <v>321.86532401771319</v>
      </c>
      <c r="DD74" s="217">
        <f t="shared" si="237"/>
        <v>2.344682344682345</v>
      </c>
      <c r="DE74" s="173">
        <f t="shared" si="238"/>
        <v>1.6848016848016851</v>
      </c>
      <c r="DF74" s="173">
        <f t="shared" si="239"/>
        <v>0.69130683381297664</v>
      </c>
      <c r="DG74" s="173"/>
      <c r="DH74" s="173">
        <f t="shared" si="240"/>
        <v>0.71856287425149712</v>
      </c>
      <c r="DI74" s="545">
        <f t="shared" si="241"/>
        <v>1920.4999999999995</v>
      </c>
      <c r="DJ74" s="528">
        <f t="shared" si="242"/>
        <v>0.125748502994012</v>
      </c>
      <c r="DL74" s="173">
        <f t="shared" si="243"/>
        <v>2.4319304501333323</v>
      </c>
      <c r="DM74" s="173">
        <f t="shared" si="244"/>
        <v>2.4319304501333323</v>
      </c>
      <c r="DN74" s="173">
        <f t="shared" si="245"/>
        <v>2.2606892223209867</v>
      </c>
      <c r="DP74" s="545">
        <f t="shared" si="246"/>
        <v>690</v>
      </c>
      <c r="DQ74" s="460">
        <f t="shared" si="247"/>
        <v>321.86532401771319</v>
      </c>
      <c r="DS74">
        <f t="shared" si="292"/>
        <v>690</v>
      </c>
      <c r="DT74">
        <f t="shared" si="248"/>
        <v>321.86532401771319</v>
      </c>
      <c r="DV74" s="5">
        <f t="shared" si="293"/>
        <v>3.1068895136556152</v>
      </c>
      <c r="DW74" s="5">
        <f t="shared" si="249"/>
        <v>1.2159652250666662</v>
      </c>
      <c r="DX74" s="5">
        <f t="shared" si="294"/>
        <v>1.890924288588949</v>
      </c>
      <c r="DY74" s="173">
        <f t="shared" si="295"/>
        <v>0.3913770411603541</v>
      </c>
      <c r="EA74" s="5">
        <f t="shared" si="250"/>
        <v>5.2438500330999984</v>
      </c>
      <c r="EB74" s="5">
        <f t="shared" si="251"/>
        <v>2.6219250165499992</v>
      </c>
      <c r="EC74" s="5">
        <f t="shared" si="252"/>
        <v>0.72485431062576366</v>
      </c>
      <c r="ED74" s="5"/>
      <c r="EE74" s="173">
        <f t="shared" si="296"/>
        <v>0.87839164450983809</v>
      </c>
      <c r="EF74" s="173">
        <f t="shared" si="253"/>
        <v>1.095379701420413</v>
      </c>
      <c r="EG74" s="173">
        <f t="shared" si="254"/>
        <v>0.2690123678488367</v>
      </c>
      <c r="EH74" s="173"/>
      <c r="EI74" s="528">
        <f t="shared" si="255"/>
        <v>1.5431437622893956E-2</v>
      </c>
      <c r="EJ74" s="528">
        <f t="shared" si="256"/>
        <v>0.60530373185860364</v>
      </c>
      <c r="EK74" s="528">
        <f t="shared" si="257"/>
        <v>3.7014512262037023E-2</v>
      </c>
      <c r="EL74" s="528">
        <f t="shared" si="258"/>
        <v>0.26258459511168514</v>
      </c>
      <c r="EM74">
        <f t="shared" si="259"/>
        <v>1.0800000000000001E-2</v>
      </c>
      <c r="EN74" s="460">
        <f t="shared" si="297"/>
        <v>47.81451226203702</v>
      </c>
      <c r="EO74">
        <f t="shared" si="260"/>
        <v>0.93874267402009914</v>
      </c>
      <c r="EP74" s="460">
        <f t="shared" si="298"/>
        <v>938.74267402009912</v>
      </c>
      <c r="EQ74" s="173">
        <f t="shared" si="261"/>
        <v>0.42866249999999989</v>
      </c>
      <c r="ER74" s="173">
        <f t="shared" si="262"/>
        <v>7.6546874999999986E-2</v>
      </c>
      <c r="ES74" s="528"/>
      <c r="EU74" s="460">
        <f t="shared" si="299"/>
        <v>505.20937499999985</v>
      </c>
      <c r="EV74" s="528">
        <f t="shared" si="263"/>
        <v>2.3147156434340933E-2</v>
      </c>
      <c r="EW74" s="528">
        <f t="shared" si="300"/>
        <v>3.5995700708516189E-2</v>
      </c>
      <c r="EX74" s="528">
        <f t="shared" si="264"/>
        <v>3.6183827027818917E-4</v>
      </c>
      <c r="EY74" s="528">
        <f t="shared" si="265"/>
        <v>0.85710367562455603</v>
      </c>
      <c r="EZ74" s="528">
        <f t="shared" si="266"/>
        <v>0.93534207757148224</v>
      </c>
      <c r="FA74" s="625">
        <f t="shared" si="267"/>
        <v>9.5180174388095149E-3</v>
      </c>
      <c r="FB74" s="460">
        <f t="shared" si="301"/>
        <v>944.86009501029173</v>
      </c>
      <c r="FC74" s="173">
        <f t="shared" si="302"/>
        <v>2.3888121440303909</v>
      </c>
      <c r="FD74" s="5">
        <f t="shared" si="303"/>
        <v>12.419999999999998</v>
      </c>
      <c r="FE74" s="173">
        <f t="shared" si="304"/>
        <v>0.83868982057461305</v>
      </c>
      <c r="FF74" s="5">
        <f t="shared" si="305"/>
        <v>83.868982057461309</v>
      </c>
      <c r="FG74">
        <f t="shared" si="306"/>
        <v>69</v>
      </c>
      <c r="FI74" s="562">
        <f t="shared" si="268"/>
        <v>-50</v>
      </c>
      <c r="FJ74">
        <f t="shared" si="269"/>
        <v>-50</v>
      </c>
      <c r="FL74">
        <f t="shared" si="270"/>
        <v>0.57009251312425169</v>
      </c>
    </row>
    <row r="75" spans="5:168">
      <c r="E75" s="170">
        <v>70</v>
      </c>
      <c r="F75" s="217">
        <f t="shared" si="307"/>
        <v>0.7</v>
      </c>
      <c r="G75" s="217">
        <f t="shared" si="271"/>
        <v>0.17499999999999999</v>
      </c>
      <c r="H75" s="217">
        <f t="shared" si="176"/>
        <v>11.2</v>
      </c>
      <c r="I75" s="217">
        <f t="shared" si="308"/>
        <v>1.4</v>
      </c>
      <c r="J75" s="541">
        <f t="shared" si="177"/>
        <v>23.916507067473837</v>
      </c>
      <c r="K75" s="443">
        <f t="shared" si="178"/>
        <v>16.736836126622528</v>
      </c>
      <c r="L75" s="172">
        <f t="shared" si="179"/>
        <v>40.653343194096365</v>
      </c>
      <c r="M75" s="443"/>
      <c r="N75" s="217">
        <f t="shared" si="180"/>
        <v>0.41169642670502515</v>
      </c>
      <c r="O75" s="172">
        <f t="shared" si="272"/>
        <v>21.880756664321019</v>
      </c>
      <c r="P75" s="172">
        <f t="shared" si="181"/>
        <v>3.0769814059201432</v>
      </c>
      <c r="Q75" s="217">
        <f t="shared" si="182"/>
        <v>1.3675472915200637</v>
      </c>
      <c r="R75" s="217">
        <f t="shared" si="183"/>
        <v>2.7350945830401274</v>
      </c>
      <c r="S75" s="443">
        <f t="shared" si="184"/>
        <v>16</v>
      </c>
      <c r="T75" s="217">
        <f t="shared" si="185"/>
        <v>2.5593264830422506</v>
      </c>
      <c r="U75" s="217">
        <f t="shared" si="186"/>
        <v>1.2841305676394046</v>
      </c>
      <c r="V75" s="217">
        <f t="shared" si="187"/>
        <v>1.834989454646984</v>
      </c>
      <c r="W75" s="197">
        <f t="shared" si="188"/>
        <v>350</v>
      </c>
      <c r="X75" s="443">
        <f t="shared" si="273"/>
        <v>301.28467584343218</v>
      </c>
      <c r="Z75" s="217">
        <f t="shared" si="189"/>
        <v>2.3443667854629662</v>
      </c>
      <c r="AA75" s="173">
        <f t="shared" si="190"/>
        <v>1.6808673522713566</v>
      </c>
      <c r="AB75" s="173">
        <f t="shared" si="191"/>
        <v>0.68959967850095838</v>
      </c>
      <c r="AC75" s="173"/>
      <c r="AD75" s="173">
        <f t="shared" si="192"/>
        <v>0.71698138819153179</v>
      </c>
      <c r="AE75" s="545">
        <f t="shared" si="193"/>
        <v>1952.6308814392949</v>
      </c>
      <c r="AF75" s="528">
        <f t="shared" si="194"/>
        <v>0.12547174293351807</v>
      </c>
      <c r="AH75" s="173">
        <f t="shared" si="195"/>
        <v>2.4494897427831779</v>
      </c>
      <c r="AI75" s="173">
        <f t="shared" si="196"/>
        <v>2.5593264830422506</v>
      </c>
      <c r="AJ75" s="173">
        <f t="shared" si="197"/>
        <v>2.355056654105371</v>
      </c>
      <c r="AL75" s="545">
        <f t="shared" si="198"/>
        <v>700</v>
      </c>
      <c r="AM75" s="460">
        <f t="shared" si="199"/>
        <v>301.28467584343218</v>
      </c>
      <c r="AO75">
        <f t="shared" si="274"/>
        <v>700</v>
      </c>
      <c r="AP75">
        <f t="shared" si="200"/>
        <v>301.28467584343218</v>
      </c>
      <c r="AR75" s="5">
        <f t="shared" si="275"/>
        <v>3.3191200222863886</v>
      </c>
      <c r="AS75" s="5">
        <f t="shared" si="201"/>
        <v>1.2841305676394046</v>
      </c>
      <c r="AT75" s="5">
        <f t="shared" si="276"/>
        <v>2.034989454646984</v>
      </c>
      <c r="AU75" s="173">
        <f t="shared" si="277"/>
        <v>0.38688886181188059</v>
      </c>
      <c r="AW75" s="5">
        <f t="shared" si="202"/>
        <v>5.6180712334223948</v>
      </c>
      <c r="AX75" s="5">
        <f t="shared" si="203"/>
        <v>2.8090356167111974</v>
      </c>
      <c r="AY75" s="5">
        <f t="shared" si="204"/>
        <v>0.79414752565892388</v>
      </c>
      <c r="AZ75" s="5"/>
      <c r="BA75" s="173">
        <f t="shared" si="278"/>
        <v>0.91909028756369748</v>
      </c>
      <c r="BB75" s="173">
        <f t="shared" si="205"/>
        <v>1.15700348266829</v>
      </c>
      <c r="BC75" s="173">
        <f t="shared" si="206"/>
        <v>0.2841464435376535</v>
      </c>
      <c r="BD75" s="173"/>
      <c r="BE75" s="528">
        <f t="shared" si="207"/>
        <v>1.6894539133878405E-2</v>
      </c>
      <c r="BF75" s="528">
        <f t="shared" si="208"/>
        <v>0.57208672274906602</v>
      </c>
      <c r="BG75" s="528">
        <f t="shared" si="209"/>
        <v>0.16573057282001322</v>
      </c>
      <c r="BH75" s="528">
        <f t="shared" si="210"/>
        <v>0.24523124913131925</v>
      </c>
      <c r="BI75">
        <f t="shared" si="211"/>
        <v>1.0762428180363227E-2</v>
      </c>
      <c r="BJ75" s="460">
        <f t="shared" si="279"/>
        <v>176.49300100037644</v>
      </c>
      <c r="BK75">
        <f t="shared" si="212"/>
        <v>0.84215456500987818</v>
      </c>
      <c r="BL75" s="460">
        <f t="shared" si="280"/>
        <v>842.15456500987818</v>
      </c>
      <c r="BM75" s="173">
        <f t="shared" si="213"/>
        <v>0.4348749999999999</v>
      </c>
      <c r="BN75" s="173">
        <f t="shared" si="214"/>
        <v>7.7656249999999996E-2</v>
      </c>
      <c r="BO75" s="528"/>
      <c r="BQ75" s="460">
        <f t="shared" si="281"/>
        <v>512.53124999999989</v>
      </c>
      <c r="BR75" s="528">
        <f t="shared" si="215"/>
        <v>2.5341808700817606E-2</v>
      </c>
      <c r="BS75" s="528">
        <f t="shared" si="216"/>
        <v>4.0159711767196564E-2</v>
      </c>
      <c r="BT75" s="528">
        <f t="shared" si="217"/>
        <v>4.0369600687548455E-4</v>
      </c>
      <c r="BU75" s="528">
        <f t="shared" si="218"/>
        <v>0.82551855264249352</v>
      </c>
      <c r="BV75" s="528">
        <f t="shared" si="219"/>
        <v>0.9120497278513493</v>
      </c>
      <c r="BW75" s="625">
        <f t="shared" si="220"/>
        <v>9.8673021807287927E-3</v>
      </c>
      <c r="BX75" s="460">
        <f t="shared" si="282"/>
        <v>921.91703003207817</v>
      </c>
      <c r="BY75" s="173">
        <f t="shared" si="283"/>
        <v>2.2766028450419564</v>
      </c>
      <c r="BZ75" s="5">
        <f t="shared" si="284"/>
        <v>12.6</v>
      </c>
      <c r="CA75" s="173">
        <f t="shared" si="285"/>
        <v>0.84696755914266419</v>
      </c>
      <c r="CB75" s="5">
        <f t="shared" si="286"/>
        <v>84.696755914266419</v>
      </c>
      <c r="CC75">
        <f t="shared" si="287"/>
        <v>70</v>
      </c>
      <c r="CE75" s="562">
        <f t="shared" si="221"/>
        <v>-50</v>
      </c>
      <c r="CF75">
        <f t="shared" si="222"/>
        <v>-50</v>
      </c>
      <c r="CG75" s="173">
        <f t="shared" si="223"/>
        <v>0.57009251312425169</v>
      </c>
      <c r="CH75" s="173">
        <f t="shared" si="224"/>
        <v>0.20152561614275555</v>
      </c>
      <c r="CI75" s="170">
        <v>70</v>
      </c>
      <c r="CJ75" s="217">
        <f t="shared" si="309"/>
        <v>0.7</v>
      </c>
      <c r="CK75" s="217">
        <f t="shared" si="288"/>
        <v>0.17499999999999999</v>
      </c>
      <c r="CL75" s="217">
        <f t="shared" si="225"/>
        <v>11.2</v>
      </c>
      <c r="CM75" s="217">
        <f t="shared" si="310"/>
        <v>1.4</v>
      </c>
      <c r="CN75" s="541">
        <f t="shared" si="289"/>
        <v>24</v>
      </c>
      <c r="CO75" s="443">
        <f t="shared" si="226"/>
        <v>16.7</v>
      </c>
      <c r="CP75" s="443">
        <f t="shared" si="227"/>
        <v>40.700000000000003</v>
      </c>
      <c r="CQ75" s="443"/>
      <c r="CR75" s="217">
        <f t="shared" si="228"/>
        <v>0.40594059405940591</v>
      </c>
      <c r="CS75" s="172">
        <f t="shared" si="290"/>
        <v>21.650165016501649</v>
      </c>
      <c r="CT75" s="172">
        <f t="shared" si="229"/>
        <v>3.0445544554455446</v>
      </c>
      <c r="CU75" s="217">
        <f t="shared" si="230"/>
        <v>1.3531353135313531</v>
      </c>
      <c r="CV75" s="217">
        <f t="shared" si="231"/>
        <v>2.7062706270627062</v>
      </c>
      <c r="CW75" s="443">
        <f t="shared" si="232"/>
        <v>16</v>
      </c>
      <c r="CX75" s="217">
        <f t="shared" si="233"/>
        <v>2.5865853658536584</v>
      </c>
      <c r="CY75" s="217">
        <f t="shared" si="234"/>
        <v>1.293292682926829</v>
      </c>
      <c r="CZ75" s="217">
        <f t="shared" si="235"/>
        <v>1.8586242149846646</v>
      </c>
      <c r="DA75" s="197">
        <f t="shared" si="236"/>
        <v>350</v>
      </c>
      <c r="DB75" s="443">
        <f t="shared" si="291"/>
        <v>317.26724796031732</v>
      </c>
      <c r="DD75" s="217">
        <f t="shared" si="237"/>
        <v>2.344682344682345</v>
      </c>
      <c r="DE75" s="173">
        <f t="shared" si="238"/>
        <v>1.6848016848016851</v>
      </c>
      <c r="DF75" s="173">
        <f t="shared" si="239"/>
        <v>0.69130683381297664</v>
      </c>
      <c r="DG75" s="173"/>
      <c r="DH75" s="173">
        <f t="shared" si="240"/>
        <v>0.71856287425149712</v>
      </c>
      <c r="DI75" s="545">
        <f t="shared" si="241"/>
        <v>1948.333333333333</v>
      </c>
      <c r="DJ75" s="528">
        <f t="shared" si="242"/>
        <v>0.125748502994012</v>
      </c>
      <c r="DL75" s="173">
        <f t="shared" si="243"/>
        <v>2.4494897427831779</v>
      </c>
      <c r="DM75" s="173">
        <f t="shared" si="244"/>
        <v>2.5865853658536584</v>
      </c>
      <c r="DN75" s="173">
        <f t="shared" si="245"/>
        <v>2.375248419150858</v>
      </c>
      <c r="DP75" s="545">
        <f t="shared" si="246"/>
        <v>700</v>
      </c>
      <c r="DQ75" s="460">
        <f t="shared" si="247"/>
        <v>317.26724796031732</v>
      </c>
      <c r="DS75">
        <f t="shared" si="292"/>
        <v>700</v>
      </c>
      <c r="DT75">
        <f t="shared" si="248"/>
        <v>317.26724796031732</v>
      </c>
      <c r="DV75" s="5">
        <f t="shared" si="293"/>
        <v>3.1519168979114935</v>
      </c>
      <c r="DW75" s="5">
        <f t="shared" si="249"/>
        <v>1.293292682926829</v>
      </c>
      <c r="DX75" s="5">
        <f t="shared" si="294"/>
        <v>1.8586242149846646</v>
      </c>
      <c r="DY75" s="173">
        <f t="shared" si="295"/>
        <v>0.41031941031941027</v>
      </c>
      <c r="EA75" s="5">
        <f t="shared" si="250"/>
        <v>5.6581554878048763</v>
      </c>
      <c r="EB75" s="5">
        <f t="shared" si="251"/>
        <v>2.8290777439024382</v>
      </c>
      <c r="EC75" s="5">
        <f t="shared" si="252"/>
        <v>0.72279830582736937</v>
      </c>
      <c r="ED75" s="5"/>
      <c r="EE75" s="173">
        <f t="shared" si="296"/>
        <v>0.95659304668674239</v>
      </c>
      <c r="EF75" s="173">
        <f t="shared" si="253"/>
        <v>1.1467654633707847</v>
      </c>
      <c r="EG75" s="173">
        <f t="shared" si="254"/>
        <v>0.2816321064454721</v>
      </c>
      <c r="EH75" s="173"/>
      <c r="EI75" s="528">
        <f t="shared" si="255"/>
        <v>1.8301405139388483E-2</v>
      </c>
      <c r="EJ75" s="528">
        <f t="shared" si="256"/>
        <v>0.63460000000000016</v>
      </c>
      <c r="EK75" s="528">
        <f t="shared" si="257"/>
        <v>3.6485733515436491E-2</v>
      </c>
      <c r="EL75" s="528">
        <f t="shared" si="258"/>
        <v>0.2588333866100897</v>
      </c>
      <c r="EM75">
        <f t="shared" si="259"/>
        <v>1.0800000000000001E-2</v>
      </c>
      <c r="EN75" s="460">
        <f t="shared" si="297"/>
        <v>47.285733515436497</v>
      </c>
      <c r="EO75">
        <f t="shared" si="260"/>
        <v>0.96817191683566384</v>
      </c>
      <c r="EP75" s="460">
        <f t="shared" si="298"/>
        <v>968.17191683566386</v>
      </c>
      <c r="EQ75" s="173">
        <f t="shared" si="261"/>
        <v>0.4348749999999999</v>
      </c>
      <c r="ER75" s="173">
        <f t="shared" si="262"/>
        <v>7.7656249999999996E-2</v>
      </c>
      <c r="ES75" s="528"/>
      <c r="EU75" s="460">
        <f t="shared" si="299"/>
        <v>512.53124999999989</v>
      </c>
      <c r="EV75" s="528">
        <f t="shared" si="263"/>
        <v>2.7452107709082723E-2</v>
      </c>
      <c r="EW75" s="528">
        <f t="shared" si="300"/>
        <v>3.9452130839400308E-2</v>
      </c>
      <c r="EX75" s="528">
        <f t="shared" si="264"/>
        <v>3.9658321690456863E-4</v>
      </c>
      <c r="EY75" s="528">
        <f t="shared" si="265"/>
        <v>0.96460642051434142</v>
      </c>
      <c r="EZ75" s="528">
        <f t="shared" si="266"/>
        <v>1.0537328062057254</v>
      </c>
      <c r="FA75" s="625">
        <f t="shared" si="267"/>
        <v>1.0613261820578895E-2</v>
      </c>
      <c r="FB75" s="460">
        <f t="shared" si="301"/>
        <v>1064.3460680263045</v>
      </c>
      <c r="FC75" s="173">
        <f t="shared" si="302"/>
        <v>2.5450492348619678</v>
      </c>
      <c r="FD75" s="5">
        <f t="shared" si="303"/>
        <v>12.6</v>
      </c>
      <c r="FE75" s="173">
        <f t="shared" si="304"/>
        <v>0.83195503722737396</v>
      </c>
      <c r="FF75" s="5">
        <f t="shared" si="305"/>
        <v>83.195503722737399</v>
      </c>
      <c r="FG75">
        <f t="shared" si="306"/>
        <v>70</v>
      </c>
      <c r="FI75" s="562">
        <f t="shared" si="268"/>
        <v>-50</v>
      </c>
      <c r="FJ75">
        <f t="shared" si="269"/>
        <v>-50</v>
      </c>
      <c r="FL75">
        <f t="shared" si="270"/>
        <v>0.57009251312425169</v>
      </c>
    </row>
    <row r="76" spans="5:168">
      <c r="E76" s="170">
        <v>71</v>
      </c>
      <c r="F76" s="217">
        <f t="shared" si="307"/>
        <v>0.71</v>
      </c>
      <c r="G76" s="217">
        <f t="shared" si="271"/>
        <v>0.17749999999999999</v>
      </c>
      <c r="H76" s="217">
        <f t="shared" si="176"/>
        <v>11.36</v>
      </c>
      <c r="I76" s="217">
        <f t="shared" si="308"/>
        <v>1.42</v>
      </c>
      <c r="J76" s="541">
        <f t="shared" si="177"/>
        <v>23.915314311294892</v>
      </c>
      <c r="K76" s="443">
        <f t="shared" si="178"/>
        <v>16.737362357002848</v>
      </c>
      <c r="L76" s="172">
        <f t="shared" si="179"/>
        <v>40.652676668297744</v>
      </c>
      <c r="M76" s="443"/>
      <c r="N76" s="217">
        <f t="shared" si="180"/>
        <v>0.41171612126724189</v>
      </c>
      <c r="O76" s="172">
        <f t="shared" si="272"/>
        <v>21.880712104740653</v>
      </c>
      <c r="P76" s="172">
        <f t="shared" si="181"/>
        <v>3.076975139729154</v>
      </c>
      <c r="Q76" s="217">
        <f t="shared" si="182"/>
        <v>1.3675445065462908</v>
      </c>
      <c r="R76" s="217">
        <f t="shared" si="183"/>
        <v>2.7350890130925816</v>
      </c>
      <c r="S76" s="443">
        <f t="shared" si="184"/>
        <v>16</v>
      </c>
      <c r="T76" s="217">
        <f t="shared" si="185"/>
        <v>2.5958935764112439</v>
      </c>
      <c r="U76" s="217">
        <f t="shared" si="186"/>
        <v>1.302542902487501</v>
      </c>
      <c r="V76" s="217">
        <f t="shared" si="187"/>
        <v>1.8611488627956712</v>
      </c>
      <c r="W76" s="197">
        <f t="shared" si="188"/>
        <v>350</v>
      </c>
      <c r="X76" s="443">
        <f t="shared" si="273"/>
        <v>297.29240066555712</v>
      </c>
      <c r="Z76" s="217">
        <f t="shared" si="189"/>
        <v>2.3443620112222128</v>
      </c>
      <c r="AA76" s="173">
        <f t="shared" si="190"/>
        <v>1.6808110820935946</v>
      </c>
      <c r="AB76" s="173">
        <f t="shared" si="191"/>
        <v>0.68957518855776656</v>
      </c>
      <c r="AC76" s="173"/>
      <c r="AD76" s="173">
        <f t="shared" si="192"/>
        <v>0.71695884596650594</v>
      </c>
      <c r="AE76" s="545">
        <f t="shared" si="193"/>
        <v>1980.5878789120036</v>
      </c>
      <c r="AF76" s="528">
        <f t="shared" si="194"/>
        <v>0.12546779804413855</v>
      </c>
      <c r="AH76" s="173">
        <f t="shared" si="195"/>
        <v>2.4669240534954224</v>
      </c>
      <c r="AI76" s="173">
        <f t="shared" si="196"/>
        <v>2.5958935764112439</v>
      </c>
      <c r="AJ76" s="173">
        <f t="shared" si="197"/>
        <v>2.3821433899342548</v>
      </c>
      <c r="AL76" s="545">
        <f t="shared" si="198"/>
        <v>710</v>
      </c>
      <c r="AM76" s="460">
        <f t="shared" si="199"/>
        <v>297.29240066555712</v>
      </c>
      <c r="AO76">
        <f t="shared" si="274"/>
        <v>710</v>
      </c>
      <c r="AP76">
        <f t="shared" si="200"/>
        <v>297.29240066555712</v>
      </c>
      <c r="AR76" s="5">
        <f t="shared" si="275"/>
        <v>3.3636917652831722</v>
      </c>
      <c r="AS76" s="5">
        <f t="shared" si="201"/>
        <v>1.302542902487501</v>
      </c>
      <c r="AT76" s="5">
        <f t="shared" si="276"/>
        <v>2.0611488627956711</v>
      </c>
      <c r="AU76" s="173">
        <f t="shared" si="277"/>
        <v>0.38723610645039186</v>
      </c>
      <c r="AW76" s="5">
        <f t="shared" si="202"/>
        <v>5.7800341297882856</v>
      </c>
      <c r="AX76" s="5">
        <f t="shared" si="203"/>
        <v>2.8900170648941428</v>
      </c>
      <c r="AY76" s="5">
        <f t="shared" si="204"/>
        <v>0.81588763503101103</v>
      </c>
      <c r="AZ76" s="5"/>
      <c r="BA76" s="173">
        <f t="shared" si="278"/>
        <v>0.93264030239432094</v>
      </c>
      <c r="BB76" s="173">
        <f t="shared" si="205"/>
        <v>1.1732021222708739</v>
      </c>
      <c r="BC76" s="173">
        <f t="shared" si="206"/>
        <v>0.28812463885181755</v>
      </c>
      <c r="BD76" s="173"/>
      <c r="BE76" s="528">
        <f t="shared" si="207"/>
        <v>1.7396358673003411E-2</v>
      </c>
      <c r="BF76" s="528">
        <f t="shared" si="208"/>
        <v>0.57256224411617229</v>
      </c>
      <c r="BG76" s="528">
        <f t="shared" si="209"/>
        <v>0.16352634769835292</v>
      </c>
      <c r="BH76" s="528">
        <f t="shared" si="210"/>
        <v>0.24197379428368368</v>
      </c>
      <c r="BI76">
        <f t="shared" si="211"/>
        <v>1.0761891440082702E-2</v>
      </c>
      <c r="BJ76" s="460">
        <f t="shared" si="279"/>
        <v>174.28823913843561</v>
      </c>
      <c r="BK76">
        <f t="shared" si="212"/>
        <v>0.840101869830154</v>
      </c>
      <c r="BL76" s="460">
        <f t="shared" si="280"/>
        <v>840.10186983015399</v>
      </c>
      <c r="BM76" s="173">
        <f t="shared" si="213"/>
        <v>0.44108749999999991</v>
      </c>
      <c r="BN76" s="173">
        <f t="shared" si="214"/>
        <v>7.8765624999999992E-2</v>
      </c>
      <c r="BO76" s="528"/>
      <c r="BQ76" s="460">
        <f t="shared" si="281"/>
        <v>519.85312499999986</v>
      </c>
      <c r="BR76" s="528">
        <f t="shared" si="215"/>
        <v>2.6094538009505112E-2</v>
      </c>
      <c r="BS76" s="528">
        <f t="shared" si="216"/>
        <v>4.1292096591026478E-2</v>
      </c>
      <c r="BT76" s="528">
        <f t="shared" si="217"/>
        <v>4.1507903756745143E-4</v>
      </c>
      <c r="BU76" s="528">
        <f t="shared" si="218"/>
        <v>0.82726896814863904</v>
      </c>
      <c r="BV76" s="528">
        <f t="shared" si="219"/>
        <v>0.91631330202843486</v>
      </c>
      <c r="BW76" s="625">
        <f t="shared" si="220"/>
        <v>1.0016767186582365E-2</v>
      </c>
      <c r="BX76" s="460">
        <f t="shared" si="282"/>
        <v>926.33006921501726</v>
      </c>
      <c r="BY76" s="173">
        <f t="shared" si="283"/>
        <v>2.2862850640451713</v>
      </c>
      <c r="BZ76" s="5">
        <f t="shared" si="284"/>
        <v>12.78</v>
      </c>
      <c r="CA76" s="173">
        <f t="shared" si="285"/>
        <v>0.84825157267857221</v>
      </c>
      <c r="CB76" s="5">
        <f t="shared" si="286"/>
        <v>84.825157267857222</v>
      </c>
      <c r="CC76">
        <f t="shared" si="287"/>
        <v>71</v>
      </c>
      <c r="CE76" s="562">
        <f t="shared" si="221"/>
        <v>-50</v>
      </c>
      <c r="CF76">
        <f t="shared" si="222"/>
        <v>-50</v>
      </c>
      <c r="CG76" s="173">
        <f t="shared" si="223"/>
        <v>0.57009251312425158</v>
      </c>
      <c r="CH76" s="173">
        <f t="shared" si="224"/>
        <v>0.20152561614275552</v>
      </c>
      <c r="CI76" s="170">
        <v>71</v>
      </c>
      <c r="CJ76" s="217">
        <f t="shared" si="309"/>
        <v>0.71</v>
      </c>
      <c r="CK76" s="217">
        <f t="shared" si="288"/>
        <v>0.17749999999999999</v>
      </c>
      <c r="CL76" s="217">
        <f t="shared" si="225"/>
        <v>11.36</v>
      </c>
      <c r="CM76" s="217">
        <f t="shared" si="310"/>
        <v>1.42</v>
      </c>
      <c r="CN76" s="541">
        <f t="shared" si="289"/>
        <v>24</v>
      </c>
      <c r="CO76" s="443">
        <f t="shared" si="226"/>
        <v>16.7</v>
      </c>
      <c r="CP76" s="443">
        <f t="shared" si="227"/>
        <v>40.700000000000003</v>
      </c>
      <c r="CQ76" s="443"/>
      <c r="CR76" s="217">
        <f t="shared" si="228"/>
        <v>0.40594059405940591</v>
      </c>
      <c r="CS76" s="172">
        <f t="shared" si="290"/>
        <v>21.650165016501649</v>
      </c>
      <c r="CT76" s="172">
        <f t="shared" si="229"/>
        <v>3.0445544554455446</v>
      </c>
      <c r="CU76" s="217">
        <f t="shared" si="230"/>
        <v>1.3531353135313531</v>
      </c>
      <c r="CV76" s="217">
        <f t="shared" si="231"/>
        <v>2.7062706270627062</v>
      </c>
      <c r="CW76" s="443">
        <f t="shared" si="232"/>
        <v>16</v>
      </c>
      <c r="CX76" s="217">
        <f t="shared" si="233"/>
        <v>2.6235365853658537</v>
      </c>
      <c r="CY76" s="217">
        <f t="shared" si="234"/>
        <v>1.3117682926829268</v>
      </c>
      <c r="CZ76" s="217">
        <f t="shared" si="235"/>
        <v>1.8851759894844462</v>
      </c>
      <c r="DA76" s="197">
        <f t="shared" si="236"/>
        <v>350</v>
      </c>
      <c r="DB76" s="443">
        <f t="shared" si="291"/>
        <v>312.79869517214371</v>
      </c>
      <c r="DD76" s="217">
        <f t="shared" si="237"/>
        <v>2.344682344682345</v>
      </c>
      <c r="DE76" s="173">
        <f t="shared" si="238"/>
        <v>1.6848016848016851</v>
      </c>
      <c r="DF76" s="173">
        <f t="shared" si="239"/>
        <v>0.69130683381297664</v>
      </c>
      <c r="DG76" s="173"/>
      <c r="DH76" s="173">
        <f t="shared" si="240"/>
        <v>0.71856287425149712</v>
      </c>
      <c r="DI76" s="545">
        <f t="shared" si="241"/>
        <v>1976.1666666666663</v>
      </c>
      <c r="DJ76" s="528">
        <f t="shared" si="242"/>
        <v>0.125748502994012</v>
      </c>
      <c r="DL76" s="173">
        <f t="shared" si="243"/>
        <v>2.4669240534954224</v>
      </c>
      <c r="DM76" s="173">
        <f t="shared" si="244"/>
        <v>2.6235365853658537</v>
      </c>
      <c r="DN76" s="173">
        <f t="shared" si="245"/>
        <v>2.4026196928635954</v>
      </c>
      <c r="DP76" s="545">
        <f t="shared" si="246"/>
        <v>710</v>
      </c>
      <c r="DQ76" s="460">
        <f t="shared" si="247"/>
        <v>312.79869517214371</v>
      </c>
      <c r="DS76">
        <f t="shared" si="292"/>
        <v>710</v>
      </c>
      <c r="DT76">
        <f t="shared" si="248"/>
        <v>312.79869517214371</v>
      </c>
      <c r="DV76" s="5">
        <f t="shared" si="293"/>
        <v>3.1969442821673733</v>
      </c>
      <c r="DW76" s="5">
        <f t="shared" si="249"/>
        <v>1.3117682926829268</v>
      </c>
      <c r="DX76" s="5">
        <f t="shared" si="294"/>
        <v>1.8851759894844464</v>
      </c>
      <c r="DY76" s="173">
        <f t="shared" si="295"/>
        <v>0.41031941031941022</v>
      </c>
      <c r="EA76" s="5">
        <f t="shared" si="250"/>
        <v>5.8209717987804872</v>
      </c>
      <c r="EB76" s="5">
        <f t="shared" si="251"/>
        <v>2.9104858993902436</v>
      </c>
      <c r="EC76" s="5">
        <f t="shared" si="252"/>
        <v>0.74359719585219819</v>
      </c>
      <c r="ED76" s="5"/>
      <c r="EE76" s="173">
        <f t="shared" si="296"/>
        <v>0.97025866163940999</v>
      </c>
      <c r="EF76" s="173">
        <f t="shared" si="253"/>
        <v>1.1631478271332247</v>
      </c>
      <c r="EG76" s="173">
        <f t="shared" si="254"/>
        <v>0.28565542225183604</v>
      </c>
      <c r="EH76" s="173"/>
      <c r="EI76" s="528">
        <f t="shared" si="255"/>
        <v>1.8828037409725981E-2</v>
      </c>
      <c r="EJ76" s="528">
        <f t="shared" si="256"/>
        <v>0.63459999999999994</v>
      </c>
      <c r="EK76" s="528">
        <f t="shared" si="257"/>
        <v>3.5971849944796526E-2</v>
      </c>
      <c r="EL76" s="528">
        <f t="shared" si="258"/>
        <v>0.25518784595360944</v>
      </c>
      <c r="EM76">
        <f t="shared" si="259"/>
        <v>1.0800000000000001E-2</v>
      </c>
      <c r="EN76" s="460">
        <f t="shared" si="297"/>
        <v>46.771849944796521</v>
      </c>
      <c r="EO76">
        <f t="shared" si="260"/>
        <v>0.96478731970403919</v>
      </c>
      <c r="EP76" s="460">
        <f t="shared" si="298"/>
        <v>964.78731970403919</v>
      </c>
      <c r="EQ76" s="173">
        <f t="shared" si="261"/>
        <v>0.44108749999999991</v>
      </c>
      <c r="ER76" s="173">
        <f t="shared" si="262"/>
        <v>7.8765624999999992E-2</v>
      </c>
      <c r="ES76" s="528"/>
      <c r="EU76" s="460">
        <f t="shared" si="299"/>
        <v>519.85312499999986</v>
      </c>
      <c r="EV76" s="528">
        <f t="shared" si="263"/>
        <v>2.8242056114588972E-2</v>
      </c>
      <c r="EW76" s="528">
        <f t="shared" si="300"/>
        <v>4.0587386032942256E-2</v>
      </c>
      <c r="EX76" s="528">
        <f t="shared" si="264"/>
        <v>4.0799510130937379E-4</v>
      </c>
      <c r="EY76" s="528">
        <f t="shared" si="265"/>
        <v>0.96460642051434098</v>
      </c>
      <c r="EZ76" s="528">
        <f t="shared" si="266"/>
        <v>1.0563117481732522</v>
      </c>
      <c r="FA76" s="625">
        <f t="shared" si="267"/>
        <v>1.0764879846587163E-2</v>
      </c>
      <c r="FB76" s="460">
        <f t="shared" si="301"/>
        <v>1067.0766280198393</v>
      </c>
      <c r="FC76" s="173">
        <f t="shared" si="302"/>
        <v>2.5517170727238785</v>
      </c>
      <c r="FD76" s="5">
        <f t="shared" si="303"/>
        <v>12.78</v>
      </c>
      <c r="FE76" s="173">
        <f t="shared" si="304"/>
        <v>0.83356612565832244</v>
      </c>
      <c r="FF76" s="5">
        <f t="shared" si="305"/>
        <v>83.356612565832251</v>
      </c>
      <c r="FG76">
        <f t="shared" si="306"/>
        <v>71</v>
      </c>
      <c r="FI76" s="562">
        <f t="shared" si="268"/>
        <v>-50</v>
      </c>
      <c r="FJ76">
        <f t="shared" si="269"/>
        <v>-50</v>
      </c>
      <c r="FL76">
        <f t="shared" si="270"/>
        <v>0.57009251312425158</v>
      </c>
    </row>
    <row r="77" spans="5:168">
      <c r="E77" s="170">
        <v>72</v>
      </c>
      <c r="F77" s="217">
        <f t="shared" si="307"/>
        <v>0.72</v>
      </c>
      <c r="G77" s="217">
        <f t="shared" si="271"/>
        <v>0.18</v>
      </c>
      <c r="H77" s="217">
        <f t="shared" si="176"/>
        <v>11.52</v>
      </c>
      <c r="I77" s="217">
        <f t="shared" si="308"/>
        <v>1.44</v>
      </c>
      <c r="J77" s="541">
        <f t="shared" si="177"/>
        <v>23.914121555115948</v>
      </c>
      <c r="K77" s="443">
        <f t="shared" si="178"/>
        <v>16.737888587383171</v>
      </c>
      <c r="L77" s="172">
        <f t="shared" si="179"/>
        <v>40.652010142499122</v>
      </c>
      <c r="M77" s="443"/>
      <c r="N77" s="217">
        <f t="shared" si="180"/>
        <v>0.41173581647527829</v>
      </c>
      <c r="O77" s="172">
        <f t="shared" si="272"/>
        <v>21.88066747507715</v>
      </c>
      <c r="P77" s="172">
        <f t="shared" si="181"/>
        <v>3.0769688636827244</v>
      </c>
      <c r="Q77" s="217">
        <f t="shared" si="182"/>
        <v>1.3675417171923219</v>
      </c>
      <c r="R77" s="217">
        <f t="shared" si="183"/>
        <v>2.7350834343846437</v>
      </c>
      <c r="S77" s="443">
        <f t="shared" si="184"/>
        <v>16</v>
      </c>
      <c r="T77" s="217">
        <f t="shared" si="185"/>
        <v>2.6324608271483685</v>
      </c>
      <c r="U77" s="217">
        <f t="shared" si="186"/>
        <v>1.3209571529932478</v>
      </c>
      <c r="V77" s="217">
        <f t="shared" si="187"/>
        <v>1.8873067388913225</v>
      </c>
      <c r="W77" s="197">
        <f t="shared" si="188"/>
        <v>350</v>
      </c>
      <c r="X77" s="443">
        <f t="shared" si="273"/>
        <v>293.40451083647122</v>
      </c>
      <c r="Z77" s="217">
        <f t="shared" si="189"/>
        <v>2.3443572294725517</v>
      </c>
      <c r="AA77" s="173">
        <f t="shared" si="190"/>
        <v>1.6807548100706333</v>
      </c>
      <c r="AB77" s="173">
        <f t="shared" si="191"/>
        <v>0.68955069574297456</v>
      </c>
      <c r="AC77" s="173"/>
      <c r="AD77" s="173">
        <f t="shared" si="192"/>
        <v>0.71693630515891127</v>
      </c>
      <c r="AE77" s="545">
        <f t="shared" si="193"/>
        <v>2008.5466304859806</v>
      </c>
      <c r="AF77" s="528">
        <f t="shared" si="194"/>
        <v>0.12546385340280947</v>
      </c>
      <c r="AH77" s="173">
        <f t="shared" si="195"/>
        <v>2.4842360136324753</v>
      </c>
      <c r="AI77" s="173">
        <f t="shared" si="196"/>
        <v>2.6324608271483685</v>
      </c>
      <c r="AJ77" s="173">
        <f t="shared" si="197"/>
        <v>2.409230242332125</v>
      </c>
      <c r="AL77" s="545">
        <f t="shared" si="198"/>
        <v>720</v>
      </c>
      <c r="AM77" s="460">
        <f t="shared" si="199"/>
        <v>293.40451083647122</v>
      </c>
      <c r="AO77">
        <f t="shared" si="274"/>
        <v>720</v>
      </c>
      <c r="AP77">
        <f t="shared" si="200"/>
        <v>293.40451083647122</v>
      </c>
      <c r="AR77" s="5">
        <f t="shared" si="275"/>
        <v>3.4082638918845705</v>
      </c>
      <c r="AS77" s="5">
        <f t="shared" si="201"/>
        <v>1.3209571529932478</v>
      </c>
      <c r="AT77" s="5">
        <f t="shared" si="276"/>
        <v>2.0873067388913227</v>
      </c>
      <c r="AU77" s="173">
        <f t="shared" si="277"/>
        <v>0.38757478730992151</v>
      </c>
      <c r="AW77" s="5">
        <f t="shared" si="202"/>
        <v>5.9443071884696153</v>
      </c>
      <c r="AX77" s="5">
        <f t="shared" si="203"/>
        <v>2.9721535942348076</v>
      </c>
      <c r="AY77" s="5">
        <f t="shared" si="204"/>
        <v>0.83792100191403163</v>
      </c>
      <c r="AZ77" s="5"/>
      <c r="BA77" s="173">
        <f t="shared" si="278"/>
        <v>0.94619151379755551</v>
      </c>
      <c r="BB77" s="173">
        <f t="shared" si="205"/>
        <v>1.1893996894965044</v>
      </c>
      <c r="BC77" s="173">
        <f t="shared" si="206"/>
        <v>0.29210257080281798</v>
      </c>
      <c r="BD77" s="173"/>
      <c r="BE77" s="528">
        <f t="shared" si="207"/>
        <v>1.7905567615650195E-2</v>
      </c>
      <c r="BF77" s="528">
        <f t="shared" si="208"/>
        <v>0.57302503691718076</v>
      </c>
      <c r="BG77" s="528">
        <f t="shared" si="209"/>
        <v>0.16137975615014225</v>
      </c>
      <c r="BH77" s="528">
        <f t="shared" si="210"/>
        <v>0.23880151175682399</v>
      </c>
      <c r="BI77">
        <f t="shared" si="211"/>
        <v>1.0761354699802175E-2</v>
      </c>
      <c r="BJ77" s="460">
        <f t="shared" si="279"/>
        <v>172.14111084994443</v>
      </c>
      <c r="BK77">
        <f t="shared" si="212"/>
        <v>0.83813233864376324</v>
      </c>
      <c r="BL77" s="460">
        <f t="shared" si="280"/>
        <v>838.13233864376321</v>
      </c>
      <c r="BM77" s="173">
        <f t="shared" si="213"/>
        <v>0.44729999999999998</v>
      </c>
      <c r="BN77" s="173">
        <f t="shared" si="214"/>
        <v>7.9874999999999988E-2</v>
      </c>
      <c r="BO77" s="528"/>
      <c r="BQ77" s="460">
        <f t="shared" si="281"/>
        <v>527.17499999999995</v>
      </c>
      <c r="BR77" s="528">
        <f t="shared" si="215"/>
        <v>2.6858351423475289E-2</v>
      </c>
      <c r="BS77" s="528">
        <f t="shared" si="216"/>
        <v>4.2440148641231433E-2</v>
      </c>
      <c r="BT77" s="528">
        <f t="shared" si="217"/>
        <v>4.2661955934807653E-4</v>
      </c>
      <c r="BU77" s="528">
        <f t="shared" si="218"/>
        <v>0.82897563049262302</v>
      </c>
      <c r="BV77" s="528">
        <f t="shared" si="219"/>
        <v>0.92056972556543759</v>
      </c>
      <c r="BW77" s="625">
        <f t="shared" si="220"/>
        <v>1.0166246256593223E-2</v>
      </c>
      <c r="BX77" s="460">
        <f t="shared" si="282"/>
        <v>930.73597182203082</v>
      </c>
      <c r="BY77" s="173">
        <f t="shared" si="283"/>
        <v>2.296043310465794</v>
      </c>
      <c r="BZ77" s="5">
        <f t="shared" si="284"/>
        <v>12.959999999999999</v>
      </c>
      <c r="CA77" s="173">
        <f t="shared" si="285"/>
        <v>0.84949942368800913</v>
      </c>
      <c r="CB77" s="5">
        <f t="shared" si="286"/>
        <v>84.949942368800919</v>
      </c>
      <c r="CC77">
        <f t="shared" si="287"/>
        <v>72</v>
      </c>
      <c r="CE77" s="562">
        <f t="shared" si="221"/>
        <v>-50</v>
      </c>
      <c r="CF77">
        <f t="shared" si="222"/>
        <v>-50</v>
      </c>
      <c r="CG77" s="173">
        <f t="shared" si="223"/>
        <v>0.57009251312425169</v>
      </c>
      <c r="CH77" s="173">
        <f t="shared" si="224"/>
        <v>0.20152561614275558</v>
      </c>
      <c r="CI77" s="170">
        <v>72</v>
      </c>
      <c r="CJ77" s="217">
        <f t="shared" si="309"/>
        <v>0.72</v>
      </c>
      <c r="CK77" s="217">
        <f t="shared" si="288"/>
        <v>0.18</v>
      </c>
      <c r="CL77" s="217">
        <f t="shared" si="225"/>
        <v>11.52</v>
      </c>
      <c r="CM77" s="217">
        <f t="shared" si="310"/>
        <v>1.44</v>
      </c>
      <c r="CN77" s="541">
        <f t="shared" si="289"/>
        <v>24</v>
      </c>
      <c r="CO77" s="443">
        <f t="shared" si="226"/>
        <v>16.7</v>
      </c>
      <c r="CP77" s="443">
        <f t="shared" si="227"/>
        <v>40.700000000000003</v>
      </c>
      <c r="CQ77" s="443"/>
      <c r="CR77" s="217">
        <f t="shared" si="228"/>
        <v>0.40594059405940591</v>
      </c>
      <c r="CS77" s="172">
        <f t="shared" si="290"/>
        <v>21.650165016501649</v>
      </c>
      <c r="CT77" s="172">
        <f t="shared" si="229"/>
        <v>3.0445544554455446</v>
      </c>
      <c r="CU77" s="217">
        <f t="shared" si="230"/>
        <v>1.3531353135313531</v>
      </c>
      <c r="CV77" s="217">
        <f t="shared" si="231"/>
        <v>2.7062706270627062</v>
      </c>
      <c r="CW77" s="443">
        <f t="shared" si="232"/>
        <v>16</v>
      </c>
      <c r="CX77" s="217">
        <f t="shared" si="233"/>
        <v>2.6604878048780485</v>
      </c>
      <c r="CY77" s="217">
        <f t="shared" si="234"/>
        <v>1.3302439024390245</v>
      </c>
      <c r="CZ77" s="217">
        <f t="shared" si="235"/>
        <v>1.9117277639842267</v>
      </c>
      <c r="DA77" s="197">
        <f t="shared" si="236"/>
        <v>350</v>
      </c>
      <c r="DB77" s="443">
        <f t="shared" si="291"/>
        <v>308.45426885030849</v>
      </c>
      <c r="DD77" s="217">
        <f t="shared" si="237"/>
        <v>2.344682344682345</v>
      </c>
      <c r="DE77" s="173">
        <f t="shared" si="238"/>
        <v>1.6848016848016851</v>
      </c>
      <c r="DF77" s="173">
        <f t="shared" si="239"/>
        <v>0.69130683381297664</v>
      </c>
      <c r="DG77" s="173"/>
      <c r="DH77" s="173">
        <f t="shared" si="240"/>
        <v>0.71856287425149712</v>
      </c>
      <c r="DI77" s="545">
        <f t="shared" si="241"/>
        <v>2003.9999999999998</v>
      </c>
      <c r="DJ77" s="528">
        <f t="shared" si="242"/>
        <v>0.125748502994012</v>
      </c>
      <c r="DL77" s="173">
        <f t="shared" si="243"/>
        <v>2.4842360136324753</v>
      </c>
      <c r="DM77" s="173">
        <f t="shared" si="244"/>
        <v>2.6604878048780485</v>
      </c>
      <c r="DN77" s="173">
        <f t="shared" si="245"/>
        <v>2.429990966576332</v>
      </c>
      <c r="DP77" s="545">
        <f t="shared" si="246"/>
        <v>720</v>
      </c>
      <c r="DQ77" s="460">
        <f t="shared" si="247"/>
        <v>308.45426885030849</v>
      </c>
      <c r="DS77">
        <f t="shared" si="292"/>
        <v>720</v>
      </c>
      <c r="DT77">
        <f t="shared" si="248"/>
        <v>308.45426885030849</v>
      </c>
      <c r="DV77" s="5">
        <f t="shared" si="293"/>
        <v>3.2419716664232507</v>
      </c>
      <c r="DW77" s="5">
        <f t="shared" si="249"/>
        <v>1.3302439024390245</v>
      </c>
      <c r="DX77" s="5">
        <f t="shared" si="294"/>
        <v>1.9117277639842263</v>
      </c>
      <c r="DY77" s="173">
        <f t="shared" si="295"/>
        <v>0.41031941031941038</v>
      </c>
      <c r="EA77" s="5">
        <f t="shared" si="250"/>
        <v>5.98609756097561</v>
      </c>
      <c r="EB77" s="5">
        <f t="shared" si="251"/>
        <v>2.993048780487805</v>
      </c>
      <c r="EC77" s="5">
        <f t="shared" si="252"/>
        <v>0.76469110559369036</v>
      </c>
      <c r="ED77" s="5"/>
      <c r="EE77" s="173">
        <f t="shared" si="296"/>
        <v>0.98392427659207782</v>
      </c>
      <c r="EF77" s="173">
        <f t="shared" si="253"/>
        <v>1.1795301908956641</v>
      </c>
      <c r="EG77" s="173">
        <f t="shared" si="254"/>
        <v>0.28967873805819983</v>
      </c>
      <c r="EH77" s="173"/>
      <c r="EI77" s="528">
        <f t="shared" si="255"/>
        <v>1.9362139641344873E-2</v>
      </c>
      <c r="EJ77" s="528">
        <f t="shared" si="256"/>
        <v>0.63460000000000005</v>
      </c>
      <c r="EK77" s="528">
        <f t="shared" si="257"/>
        <v>3.5472240917785482E-2</v>
      </c>
      <c r="EL77" s="528">
        <f t="shared" si="258"/>
        <v>0.25164357031536494</v>
      </c>
      <c r="EM77">
        <f t="shared" si="259"/>
        <v>1.0800000000000001E-2</v>
      </c>
      <c r="EN77" s="460">
        <f t="shared" si="297"/>
        <v>46.272240917785481</v>
      </c>
      <c r="EO77">
        <f t="shared" si="260"/>
        <v>0.96152919013545346</v>
      </c>
      <c r="EP77" s="460">
        <f t="shared" si="298"/>
        <v>961.5291901354534</v>
      </c>
      <c r="EQ77" s="173">
        <f t="shared" si="261"/>
        <v>0.44729999999999998</v>
      </c>
      <c r="ER77" s="173">
        <f t="shared" si="262"/>
        <v>7.9874999999999988E-2</v>
      </c>
      <c r="ES77" s="528"/>
      <c r="EU77" s="460">
        <f t="shared" si="299"/>
        <v>527.17499999999995</v>
      </c>
      <c r="EV77" s="528">
        <f t="shared" si="263"/>
        <v>2.904320946201731E-2</v>
      </c>
      <c r="EW77" s="528">
        <f t="shared" si="300"/>
        <v>4.1738744137030853E-2</v>
      </c>
      <c r="EX77" s="528">
        <f t="shared" si="264"/>
        <v>4.1956885641495571E-4</v>
      </c>
      <c r="EY77" s="528">
        <f t="shared" si="265"/>
        <v>0.96460642051433976</v>
      </c>
      <c r="EZ77" s="528">
        <f t="shared" si="266"/>
        <v>1.058928091743353</v>
      </c>
      <c r="FA77" s="625">
        <f t="shared" si="267"/>
        <v>1.0916497872595434E-2</v>
      </c>
      <c r="FB77" s="460">
        <f t="shared" si="301"/>
        <v>1069.8445896159485</v>
      </c>
      <c r="FC77" s="173">
        <f t="shared" si="302"/>
        <v>2.5585487797514022</v>
      </c>
      <c r="FD77" s="5">
        <f t="shared" si="303"/>
        <v>12.959999999999999</v>
      </c>
      <c r="FE77" s="173">
        <f t="shared" si="304"/>
        <v>0.83512963640712357</v>
      </c>
      <c r="FF77" s="5">
        <f t="shared" si="305"/>
        <v>83.512963640712357</v>
      </c>
      <c r="FG77">
        <f t="shared" si="306"/>
        <v>72</v>
      </c>
      <c r="FI77" s="562">
        <f t="shared" si="268"/>
        <v>-50</v>
      </c>
      <c r="FJ77">
        <f t="shared" si="269"/>
        <v>-50</v>
      </c>
      <c r="FL77">
        <f t="shared" si="270"/>
        <v>0.57009251312425169</v>
      </c>
    </row>
    <row r="78" spans="5:168">
      <c r="E78" s="170">
        <v>73</v>
      </c>
      <c r="F78" s="217">
        <f t="shared" si="307"/>
        <v>0.73</v>
      </c>
      <c r="G78" s="217">
        <f t="shared" si="271"/>
        <v>0.1825</v>
      </c>
      <c r="H78" s="217">
        <f t="shared" si="176"/>
        <v>11.68</v>
      </c>
      <c r="I78" s="217">
        <f t="shared" si="308"/>
        <v>1.46</v>
      </c>
      <c r="J78" s="541">
        <f t="shared" si="177"/>
        <v>23.912928798937003</v>
      </c>
      <c r="K78" s="443">
        <f t="shared" si="178"/>
        <v>16.738414817763491</v>
      </c>
      <c r="L78" s="172">
        <f t="shared" si="179"/>
        <v>40.651343616700494</v>
      </c>
      <c r="M78" s="443"/>
      <c r="N78" s="217">
        <f t="shared" si="180"/>
        <v>0.41175551232916618</v>
      </c>
      <c r="O78" s="172">
        <f t="shared" si="272"/>
        <v>21.880622775327065</v>
      </c>
      <c r="P78" s="172">
        <f t="shared" si="181"/>
        <v>3.0769625777803684</v>
      </c>
      <c r="Q78" s="217">
        <f t="shared" si="182"/>
        <v>1.3675389234579416</v>
      </c>
      <c r="R78" s="217">
        <f t="shared" si="183"/>
        <v>2.7350778469158832</v>
      </c>
      <c r="S78" s="443">
        <f t="shared" si="184"/>
        <v>16</v>
      </c>
      <c r="T78" s="217">
        <f t="shared" si="185"/>
        <v>2.6690282356063815</v>
      </c>
      <c r="U78" s="217">
        <f t="shared" si="186"/>
        <v>1.3393733196203188</v>
      </c>
      <c r="V78" s="217">
        <f t="shared" si="187"/>
        <v>1.9134630833313317</v>
      </c>
      <c r="W78" s="197">
        <f t="shared" si="188"/>
        <v>350</v>
      </c>
      <c r="X78" s="443">
        <f t="shared" si="273"/>
        <v>289.61696509720298</v>
      </c>
      <c r="Z78" s="217">
        <f t="shared" si="189"/>
        <v>2.3443524402136138</v>
      </c>
      <c r="AA78" s="173">
        <f t="shared" si="190"/>
        <v>1.6806985362023823</v>
      </c>
      <c r="AB78" s="173">
        <f t="shared" si="191"/>
        <v>0.6895262000566631</v>
      </c>
      <c r="AC78" s="173"/>
      <c r="AD78" s="173">
        <f t="shared" si="192"/>
        <v>0.71691376576861443</v>
      </c>
      <c r="AE78" s="545">
        <f t="shared" si="193"/>
        <v>2036.5071361612245</v>
      </c>
      <c r="AF78" s="528">
        <f t="shared" si="194"/>
        <v>0.12545990900950751</v>
      </c>
      <c r="AH78" s="173">
        <f t="shared" si="195"/>
        <v>2.5014281634983759</v>
      </c>
      <c r="AI78" s="173">
        <f t="shared" si="196"/>
        <v>2.6690282356063815</v>
      </c>
      <c r="AJ78" s="173">
        <f t="shared" si="197"/>
        <v>2.4363172115602829</v>
      </c>
      <c r="AL78" s="545">
        <f t="shared" si="198"/>
        <v>730</v>
      </c>
      <c r="AM78" s="460">
        <f t="shared" si="199"/>
        <v>289.61696509720298</v>
      </c>
      <c r="AO78">
        <f t="shared" si="274"/>
        <v>730</v>
      </c>
      <c r="AP78">
        <f t="shared" si="200"/>
        <v>289.61696509720298</v>
      </c>
      <c r="AR78" s="5">
        <f t="shared" si="275"/>
        <v>3.4528364029516503</v>
      </c>
      <c r="AS78" s="5">
        <f t="shared" si="201"/>
        <v>1.3393733196203188</v>
      </c>
      <c r="AT78" s="5">
        <f t="shared" si="276"/>
        <v>2.1134630833313315</v>
      </c>
      <c r="AU78" s="173">
        <f t="shared" si="277"/>
        <v>0.38790523596060278</v>
      </c>
      <c r="AW78" s="5">
        <f t="shared" si="202"/>
        <v>6.1108907707677051</v>
      </c>
      <c r="AX78" s="5">
        <f t="shared" si="203"/>
        <v>3.0554453853838526</v>
      </c>
      <c r="AY78" s="5">
        <f t="shared" si="204"/>
        <v>0.86024764472483739</v>
      </c>
      <c r="AZ78" s="5"/>
      <c r="BA78" s="173">
        <f t="shared" si="278"/>
        <v>0.95974390275353383</v>
      </c>
      <c r="BB78" s="173">
        <f t="shared" si="205"/>
        <v>1.2055962073937194</v>
      </c>
      <c r="BC78" s="173">
        <f t="shared" si="206"/>
        <v>0.29608024505110458</v>
      </c>
      <c r="BD78" s="173"/>
      <c r="BE78" s="528">
        <f t="shared" si="207"/>
        <v>1.8422167177451692E-2</v>
      </c>
      <c r="BF78" s="528">
        <f t="shared" si="208"/>
        <v>0.57347559386218649</v>
      </c>
      <c r="BG78" s="528">
        <f t="shared" si="209"/>
        <v>0.15928856690267368</v>
      </c>
      <c r="BH78" s="528">
        <f t="shared" si="210"/>
        <v>0.23571110412064941</v>
      </c>
      <c r="BI78">
        <f t="shared" si="211"/>
        <v>1.076081795952165E-2</v>
      </c>
      <c r="BJ78" s="460">
        <f t="shared" si="279"/>
        <v>170.04938486219535</v>
      </c>
      <c r="BK78">
        <f t="shared" si="212"/>
        <v>0.83624317609221499</v>
      </c>
      <c r="BL78" s="460">
        <f t="shared" si="280"/>
        <v>836.24317609221498</v>
      </c>
      <c r="BM78" s="173">
        <f t="shared" si="213"/>
        <v>0.45351249999999999</v>
      </c>
      <c r="BN78" s="173">
        <f t="shared" si="214"/>
        <v>8.0984374999999997E-2</v>
      </c>
      <c r="BO78" s="528"/>
      <c r="BQ78" s="460">
        <f t="shared" si="281"/>
        <v>534.49687499999993</v>
      </c>
      <c r="BR78" s="528">
        <f t="shared" si="215"/>
        <v>2.7633250766177536E-2</v>
      </c>
      <c r="BS78" s="528">
        <f t="shared" si="216"/>
        <v>4.3603866458463605E-2</v>
      </c>
      <c r="BT78" s="528">
        <f t="shared" si="217"/>
        <v>4.3831755754761075E-4</v>
      </c>
      <c r="BU78" s="528">
        <f t="shared" si="218"/>
        <v>0.83064015196993601</v>
      </c>
      <c r="BV78" s="528">
        <f t="shared" si="219"/>
        <v>0.92482064484503501</v>
      </c>
      <c r="BW78" s="625">
        <f t="shared" si="220"/>
        <v>1.0315738846437125E-2</v>
      </c>
      <c r="BX78" s="460">
        <f t="shared" si="282"/>
        <v>935.13638369147213</v>
      </c>
      <c r="BY78" s="173">
        <f t="shared" si="283"/>
        <v>2.3058764347836873</v>
      </c>
      <c r="BZ78" s="5">
        <f t="shared" si="284"/>
        <v>13.14</v>
      </c>
      <c r="CA78" s="173">
        <f t="shared" si="285"/>
        <v>0.85071248986616799</v>
      </c>
      <c r="CB78" s="5">
        <f t="shared" si="286"/>
        <v>85.071248986616794</v>
      </c>
      <c r="CC78">
        <f t="shared" si="287"/>
        <v>73</v>
      </c>
      <c r="CE78" s="562">
        <f t="shared" si="221"/>
        <v>-50</v>
      </c>
      <c r="CF78">
        <f t="shared" si="222"/>
        <v>-50</v>
      </c>
      <c r="CG78" s="173">
        <f t="shared" si="223"/>
        <v>0.57009251312425158</v>
      </c>
      <c r="CH78" s="173">
        <f t="shared" si="224"/>
        <v>0.20152561614275552</v>
      </c>
      <c r="CI78" s="170">
        <v>73</v>
      </c>
      <c r="CJ78" s="217">
        <f t="shared" si="309"/>
        <v>0.73</v>
      </c>
      <c r="CK78" s="217">
        <f t="shared" si="288"/>
        <v>0.1825</v>
      </c>
      <c r="CL78" s="217">
        <f t="shared" si="225"/>
        <v>11.68</v>
      </c>
      <c r="CM78" s="217">
        <f t="shared" si="310"/>
        <v>1.46</v>
      </c>
      <c r="CN78" s="541">
        <f t="shared" si="289"/>
        <v>24</v>
      </c>
      <c r="CO78" s="443">
        <f t="shared" si="226"/>
        <v>16.7</v>
      </c>
      <c r="CP78" s="443">
        <f t="shared" si="227"/>
        <v>40.700000000000003</v>
      </c>
      <c r="CQ78" s="443"/>
      <c r="CR78" s="217">
        <f t="shared" si="228"/>
        <v>0.40594059405940591</v>
      </c>
      <c r="CS78" s="172">
        <f t="shared" si="290"/>
        <v>21.650165016501649</v>
      </c>
      <c r="CT78" s="172">
        <f t="shared" si="229"/>
        <v>3.0445544554455446</v>
      </c>
      <c r="CU78" s="217">
        <f t="shared" si="230"/>
        <v>1.3531353135313531</v>
      </c>
      <c r="CV78" s="217">
        <f t="shared" si="231"/>
        <v>2.7062706270627062</v>
      </c>
      <c r="CW78" s="443">
        <f t="shared" si="232"/>
        <v>16</v>
      </c>
      <c r="CX78" s="217">
        <f t="shared" si="233"/>
        <v>2.6974390243902442</v>
      </c>
      <c r="CY78" s="217">
        <f t="shared" si="234"/>
        <v>1.3487195121951223</v>
      </c>
      <c r="CZ78" s="217">
        <f t="shared" si="235"/>
        <v>1.9382795384840079</v>
      </c>
      <c r="DA78" s="197">
        <f t="shared" si="236"/>
        <v>350</v>
      </c>
      <c r="DB78" s="443">
        <f t="shared" si="291"/>
        <v>304.22886790715347</v>
      </c>
      <c r="DD78" s="217">
        <f t="shared" si="237"/>
        <v>2.344682344682345</v>
      </c>
      <c r="DE78" s="173">
        <f t="shared" si="238"/>
        <v>1.6848016848016851</v>
      </c>
      <c r="DF78" s="173">
        <f t="shared" si="239"/>
        <v>0.69130683381297664</v>
      </c>
      <c r="DG78" s="173"/>
      <c r="DH78" s="173">
        <f t="shared" si="240"/>
        <v>0.71856287425149712</v>
      </c>
      <c r="DI78" s="545">
        <f t="shared" si="241"/>
        <v>2031.833333333333</v>
      </c>
      <c r="DJ78" s="528">
        <f t="shared" si="242"/>
        <v>0.125748502994012</v>
      </c>
      <c r="DL78" s="173">
        <f t="shared" si="243"/>
        <v>2.5014281634983759</v>
      </c>
      <c r="DM78" s="173">
        <f t="shared" si="244"/>
        <v>2.6974390243902442</v>
      </c>
      <c r="DN78" s="173">
        <f t="shared" si="245"/>
        <v>2.4573622402890698</v>
      </c>
      <c r="DP78" s="545">
        <f t="shared" si="246"/>
        <v>730</v>
      </c>
      <c r="DQ78" s="460">
        <f t="shared" si="247"/>
        <v>304.22886790715347</v>
      </c>
      <c r="DS78">
        <f t="shared" si="292"/>
        <v>730</v>
      </c>
      <c r="DT78">
        <f t="shared" si="248"/>
        <v>304.22886790715347</v>
      </c>
      <c r="DV78" s="5">
        <f t="shared" si="293"/>
        <v>3.2869990506791305</v>
      </c>
      <c r="DW78" s="5">
        <f t="shared" si="249"/>
        <v>1.3487195121951223</v>
      </c>
      <c r="DX78" s="5">
        <f t="shared" si="294"/>
        <v>1.9382795384840081</v>
      </c>
      <c r="DY78" s="173">
        <f t="shared" si="295"/>
        <v>0.41031941031941033</v>
      </c>
      <c r="EA78" s="5">
        <f t="shared" si="250"/>
        <v>6.1535327743902455</v>
      </c>
      <c r="EB78" s="5">
        <f t="shared" si="251"/>
        <v>3.0767663871951227</v>
      </c>
      <c r="EC78" s="5">
        <f t="shared" si="252"/>
        <v>0.78608003505184765</v>
      </c>
      <c r="ED78" s="5"/>
      <c r="EE78" s="173">
        <f t="shared" si="296"/>
        <v>0.99758989154474575</v>
      </c>
      <c r="EF78" s="173">
        <f t="shared" si="253"/>
        <v>1.1959125546581042</v>
      </c>
      <c r="EG78" s="173">
        <f t="shared" si="254"/>
        <v>0.29370205386456383</v>
      </c>
      <c r="EH78" s="173"/>
      <c r="EI78" s="528">
        <f t="shared" si="255"/>
        <v>1.9903711834245153E-2</v>
      </c>
      <c r="EJ78" s="528">
        <f t="shared" si="256"/>
        <v>0.63460000000000005</v>
      </c>
      <c r="EK78" s="528">
        <f t="shared" si="257"/>
        <v>3.4986319809322652E-2</v>
      </c>
      <c r="EL78" s="528">
        <f t="shared" si="258"/>
        <v>0.24819639811926397</v>
      </c>
      <c r="EM78">
        <f t="shared" si="259"/>
        <v>1.0800000000000001E-2</v>
      </c>
      <c r="EN78" s="460">
        <f t="shared" si="297"/>
        <v>45.786319809322656</v>
      </c>
      <c r="EO78">
        <f t="shared" si="260"/>
        <v>0.9583927883125819</v>
      </c>
      <c r="EP78" s="460">
        <f t="shared" si="298"/>
        <v>958.39278831258196</v>
      </c>
      <c r="EQ78" s="173">
        <f t="shared" si="261"/>
        <v>0.45351249999999999</v>
      </c>
      <c r="ER78" s="173">
        <f t="shared" si="262"/>
        <v>8.0984374999999997E-2</v>
      </c>
      <c r="ES78" s="528"/>
      <c r="EU78" s="460">
        <f t="shared" si="299"/>
        <v>534.49687499999993</v>
      </c>
      <c r="EV78" s="528">
        <f t="shared" si="263"/>
        <v>2.9855567751367728E-2</v>
      </c>
      <c r="EW78" s="528">
        <f t="shared" si="300"/>
        <v>4.2906205151666189E-2</v>
      </c>
      <c r="EX78" s="528">
        <f t="shared" si="264"/>
        <v>4.3130448222131581E-4</v>
      </c>
      <c r="EY78" s="528">
        <f t="shared" si="265"/>
        <v>0.96460642051434065</v>
      </c>
      <c r="EZ78" s="528">
        <f t="shared" si="266"/>
        <v>1.0615818720007077</v>
      </c>
      <c r="FA78" s="625">
        <f t="shared" si="267"/>
        <v>1.1068115898603703E-2</v>
      </c>
      <c r="FB78" s="460">
        <f t="shared" si="301"/>
        <v>1072.6499878993113</v>
      </c>
      <c r="FC78" s="173">
        <f t="shared" si="302"/>
        <v>2.5655396512118931</v>
      </c>
      <c r="FD78" s="5">
        <f t="shared" si="303"/>
        <v>13.14</v>
      </c>
      <c r="FE78" s="173">
        <f t="shared" si="304"/>
        <v>0.83664746909769971</v>
      </c>
      <c r="FF78" s="5">
        <f t="shared" si="305"/>
        <v>83.664746909769974</v>
      </c>
      <c r="FG78">
        <f t="shared" si="306"/>
        <v>73</v>
      </c>
      <c r="FI78" s="562">
        <f t="shared" si="268"/>
        <v>-50</v>
      </c>
      <c r="FJ78">
        <f t="shared" si="269"/>
        <v>-50</v>
      </c>
      <c r="FL78">
        <f t="shared" si="270"/>
        <v>0.57009251312425158</v>
      </c>
    </row>
    <row r="79" spans="5:168">
      <c r="E79" s="170">
        <v>74</v>
      </c>
      <c r="F79" s="217">
        <f t="shared" si="307"/>
        <v>0.74</v>
      </c>
      <c r="G79" s="217">
        <f t="shared" si="271"/>
        <v>0.185</v>
      </c>
      <c r="H79" s="217">
        <f t="shared" si="176"/>
        <v>11.84</v>
      </c>
      <c r="I79" s="217">
        <f t="shared" si="308"/>
        <v>1.48</v>
      </c>
      <c r="J79" s="541">
        <f t="shared" si="177"/>
        <v>23.911736042758058</v>
      </c>
      <c r="K79" s="443">
        <f t="shared" si="178"/>
        <v>16.738941048143815</v>
      </c>
      <c r="L79" s="172">
        <f t="shared" si="179"/>
        <v>40.650677090901873</v>
      </c>
      <c r="M79" s="443"/>
      <c r="N79" s="217">
        <f t="shared" si="180"/>
        <v>0.41177520882893726</v>
      </c>
      <c r="O79" s="172">
        <f t="shared" si="272"/>
        <v>21.880578005486946</v>
      </c>
      <c r="P79" s="172">
        <f t="shared" si="181"/>
        <v>3.0769562820216017</v>
      </c>
      <c r="Q79" s="217">
        <f t="shared" si="182"/>
        <v>1.3675361253429341</v>
      </c>
      <c r="R79" s="217">
        <f t="shared" si="183"/>
        <v>2.7350722506858682</v>
      </c>
      <c r="S79" s="443">
        <f t="shared" si="184"/>
        <v>16</v>
      </c>
      <c r="T79" s="217">
        <f t="shared" si="185"/>
        <v>2.7055958021380673</v>
      </c>
      <c r="U79" s="217">
        <f t="shared" si="186"/>
        <v>1.3577914028324953</v>
      </c>
      <c r="V79" s="217">
        <f t="shared" si="187"/>
        <v>1.939617896513059</v>
      </c>
      <c r="W79" s="197">
        <f t="shared" si="188"/>
        <v>350</v>
      </c>
      <c r="X79" s="443">
        <f t="shared" si="273"/>
        <v>285.92592813975841</v>
      </c>
      <c r="Z79" s="217">
        <f t="shared" si="189"/>
        <v>2.3443476434450297</v>
      </c>
      <c r="AA79" s="173">
        <f t="shared" si="190"/>
        <v>1.6806422604887508</v>
      </c>
      <c r="AB79" s="173">
        <f t="shared" si="191"/>
        <v>0.68950170149891288</v>
      </c>
      <c r="AC79" s="173"/>
      <c r="AD79" s="173">
        <f t="shared" si="192"/>
        <v>0.71689122779548131</v>
      </c>
      <c r="AE79" s="545">
        <f t="shared" si="193"/>
        <v>2064.4693959377373</v>
      </c>
      <c r="AF79" s="528">
        <f t="shared" si="194"/>
        <v>0.12545596486420921</v>
      </c>
      <c r="AH79" s="173">
        <f t="shared" si="195"/>
        <v>2.5185029566901727</v>
      </c>
      <c r="AI79" s="173">
        <f t="shared" si="196"/>
        <v>2.7055958021380673</v>
      </c>
      <c r="AJ79" s="173">
        <f t="shared" si="197"/>
        <v>2.4634042978800501</v>
      </c>
      <c r="AL79" s="545">
        <f t="shared" si="198"/>
        <v>740</v>
      </c>
      <c r="AM79" s="460">
        <f t="shared" si="199"/>
        <v>285.92592813975841</v>
      </c>
      <c r="AO79">
        <f t="shared" si="274"/>
        <v>740</v>
      </c>
      <c r="AP79">
        <f t="shared" si="200"/>
        <v>285.92592813975841</v>
      </c>
      <c r="AR79" s="5">
        <f t="shared" si="275"/>
        <v>3.4974092993455552</v>
      </c>
      <c r="AS79" s="5">
        <f t="shared" si="201"/>
        <v>1.3577914028324953</v>
      </c>
      <c r="AT79" s="5">
        <f t="shared" si="276"/>
        <v>2.1396178965130597</v>
      </c>
      <c r="AU79" s="173">
        <f t="shared" si="277"/>
        <v>0.38822776707506579</v>
      </c>
      <c r="AW79" s="5">
        <f t="shared" si="202"/>
        <v>6.279785238100291</v>
      </c>
      <c r="AX79" s="5">
        <f t="shared" si="203"/>
        <v>3.1398926190501455</v>
      </c>
      <c r="AY79" s="5">
        <f t="shared" si="204"/>
        <v>0.88286758189280556</v>
      </c>
      <c r="AZ79" s="5"/>
      <c r="BA79" s="173">
        <f t="shared" si="278"/>
        <v>0.97329745122903555</v>
      </c>
      <c r="BB79" s="173">
        <f t="shared" si="205"/>
        <v>1.2217916978547425</v>
      </c>
      <c r="BC79" s="173">
        <f t="shared" si="206"/>
        <v>0.30005766697314995</v>
      </c>
      <c r="BD79" s="173"/>
      <c r="BE79" s="528">
        <f t="shared" si="207"/>
        <v>1.8946158571378737E-2</v>
      </c>
      <c r="BF79" s="528">
        <f t="shared" si="208"/>
        <v>0.57391438255175187</v>
      </c>
      <c r="BG79" s="528">
        <f t="shared" si="209"/>
        <v>0.15725066239354576</v>
      </c>
      <c r="BH79" s="528">
        <f t="shared" si="210"/>
        <v>0.23269944198897749</v>
      </c>
      <c r="BI79">
        <f t="shared" si="211"/>
        <v>1.0760281219241125E-2</v>
      </c>
      <c r="BJ79" s="460">
        <f t="shared" si="279"/>
        <v>168.01094361278689</v>
      </c>
      <c r="BK79">
        <f t="shared" si="212"/>
        <v>0.83443172987337055</v>
      </c>
      <c r="BL79" s="460">
        <f t="shared" si="280"/>
        <v>834.4317298733705</v>
      </c>
      <c r="BM79" s="173">
        <f t="shared" si="213"/>
        <v>0.45972499999999999</v>
      </c>
      <c r="BN79" s="173">
        <f t="shared" si="214"/>
        <v>8.2093749999999993E-2</v>
      </c>
      <c r="BO79" s="528"/>
      <c r="BQ79" s="460">
        <f t="shared" si="281"/>
        <v>541.81875000000002</v>
      </c>
      <c r="BR79" s="528">
        <f t="shared" si="215"/>
        <v>2.8419237857068104E-2</v>
      </c>
      <c r="BS79" s="528">
        <f t="shared" si="216"/>
        <v>4.4783248588403234E-2</v>
      </c>
      <c r="BT79" s="528">
        <f t="shared" si="217"/>
        <v>4.5017301754684879E-4</v>
      </c>
      <c r="BU79" s="528">
        <f t="shared" si="218"/>
        <v>0.83226406675840614</v>
      </c>
      <c r="BV79" s="528">
        <f t="shared" si="219"/>
        <v>0.9290676286260936</v>
      </c>
      <c r="BW79" s="625">
        <f t="shared" si="220"/>
        <v>1.0465244439529734E-2</v>
      </c>
      <c r="BX79" s="460">
        <f t="shared" si="282"/>
        <v>939.53287306562333</v>
      </c>
      <c r="BY79" s="173">
        <f t="shared" si="283"/>
        <v>2.3157833529389942</v>
      </c>
      <c r="BZ79" s="5">
        <f t="shared" si="284"/>
        <v>13.32</v>
      </c>
      <c r="CA79" s="173">
        <f t="shared" si="285"/>
        <v>0.85189207981039816</v>
      </c>
      <c r="CB79" s="5">
        <f t="shared" si="286"/>
        <v>85.189207981039814</v>
      </c>
      <c r="CC79">
        <f t="shared" si="287"/>
        <v>74</v>
      </c>
      <c r="CE79" s="562">
        <f t="shared" si="221"/>
        <v>-50</v>
      </c>
      <c r="CF79">
        <f t="shared" si="222"/>
        <v>-50</v>
      </c>
      <c r="CG79" s="173">
        <f t="shared" si="223"/>
        <v>0.57009251312425169</v>
      </c>
      <c r="CH79" s="173">
        <f t="shared" si="224"/>
        <v>0.20152561614275558</v>
      </c>
      <c r="CI79" s="170">
        <v>74</v>
      </c>
      <c r="CJ79" s="217">
        <f t="shared" si="309"/>
        <v>0.74</v>
      </c>
      <c r="CK79" s="217">
        <f t="shared" si="288"/>
        <v>0.185</v>
      </c>
      <c r="CL79" s="217">
        <f t="shared" si="225"/>
        <v>11.84</v>
      </c>
      <c r="CM79" s="217">
        <f t="shared" si="310"/>
        <v>1.48</v>
      </c>
      <c r="CN79" s="541">
        <f t="shared" si="289"/>
        <v>24</v>
      </c>
      <c r="CO79" s="443">
        <f t="shared" si="226"/>
        <v>16.7</v>
      </c>
      <c r="CP79" s="443">
        <f t="shared" si="227"/>
        <v>40.700000000000003</v>
      </c>
      <c r="CQ79" s="443"/>
      <c r="CR79" s="217">
        <f t="shared" si="228"/>
        <v>0.40594059405940591</v>
      </c>
      <c r="CS79" s="172">
        <f t="shared" si="290"/>
        <v>21.650165016501649</v>
      </c>
      <c r="CT79" s="172">
        <f t="shared" si="229"/>
        <v>3.0445544554455446</v>
      </c>
      <c r="CU79" s="217">
        <f t="shared" si="230"/>
        <v>1.3531353135313531</v>
      </c>
      <c r="CV79" s="217">
        <f t="shared" si="231"/>
        <v>2.7062706270627062</v>
      </c>
      <c r="CW79" s="443">
        <f t="shared" si="232"/>
        <v>16</v>
      </c>
      <c r="CX79" s="217">
        <f t="shared" si="233"/>
        <v>2.734390243902439</v>
      </c>
      <c r="CY79" s="217">
        <f t="shared" si="234"/>
        <v>1.3671951219512195</v>
      </c>
      <c r="CZ79" s="217">
        <f t="shared" si="235"/>
        <v>1.9648313129837884</v>
      </c>
      <c r="DA79" s="197">
        <f t="shared" si="236"/>
        <v>350</v>
      </c>
      <c r="DB79" s="443">
        <f t="shared" si="291"/>
        <v>300.11766698948935</v>
      </c>
      <c r="DD79" s="217">
        <f t="shared" si="237"/>
        <v>2.344682344682345</v>
      </c>
      <c r="DE79" s="173">
        <f t="shared" si="238"/>
        <v>1.6848016848016851</v>
      </c>
      <c r="DF79" s="173">
        <f t="shared" si="239"/>
        <v>0.69130683381297664</v>
      </c>
      <c r="DG79" s="173"/>
      <c r="DH79" s="173">
        <f t="shared" si="240"/>
        <v>0.71856287425149712</v>
      </c>
      <c r="DI79" s="545">
        <f t="shared" si="241"/>
        <v>2059.6666666666661</v>
      </c>
      <c r="DJ79" s="528">
        <f t="shared" si="242"/>
        <v>0.125748502994012</v>
      </c>
      <c r="DL79" s="173">
        <f t="shared" si="243"/>
        <v>2.5185029566901727</v>
      </c>
      <c r="DM79" s="173">
        <f t="shared" si="244"/>
        <v>2.734390243902439</v>
      </c>
      <c r="DN79" s="173">
        <f t="shared" si="245"/>
        <v>2.4847335140018068</v>
      </c>
      <c r="DP79" s="545">
        <f t="shared" si="246"/>
        <v>740</v>
      </c>
      <c r="DQ79" s="460">
        <f t="shared" si="247"/>
        <v>300.11766698948935</v>
      </c>
      <c r="DS79">
        <f t="shared" si="292"/>
        <v>740</v>
      </c>
      <c r="DT79">
        <f t="shared" si="248"/>
        <v>300.11766698948935</v>
      </c>
      <c r="DV79" s="5">
        <f t="shared" si="293"/>
        <v>3.3320264349350075</v>
      </c>
      <c r="DW79" s="5">
        <f t="shared" si="249"/>
        <v>1.3671951219512195</v>
      </c>
      <c r="DX79" s="5">
        <f t="shared" si="294"/>
        <v>1.964831312983788</v>
      </c>
      <c r="DY79" s="173">
        <f t="shared" si="295"/>
        <v>0.41031941031941038</v>
      </c>
      <c r="EA79" s="5">
        <f t="shared" si="250"/>
        <v>6.3232774390243902</v>
      </c>
      <c r="EB79" s="5">
        <f t="shared" si="251"/>
        <v>3.1616387195121951</v>
      </c>
      <c r="EC79" s="5">
        <f t="shared" si="252"/>
        <v>0.80776398422666829</v>
      </c>
      <c r="ED79" s="5"/>
      <c r="EE79" s="173">
        <f t="shared" si="296"/>
        <v>1.0112555064974134</v>
      </c>
      <c r="EF79" s="173">
        <f t="shared" si="253"/>
        <v>1.2122949184205438</v>
      </c>
      <c r="EG79" s="173">
        <f t="shared" si="254"/>
        <v>0.29772536967092766</v>
      </c>
      <c r="EH79" s="173"/>
      <c r="EI79" s="528">
        <f t="shared" si="255"/>
        <v>2.0452753988426799E-2</v>
      </c>
      <c r="EJ79" s="528">
        <f t="shared" si="256"/>
        <v>0.63460000000000016</v>
      </c>
      <c r="EK79" s="528">
        <f t="shared" si="257"/>
        <v>3.4513531703791282E-2</v>
      </c>
      <c r="EL79" s="528">
        <f t="shared" si="258"/>
        <v>0.244842392739274</v>
      </c>
      <c r="EM79">
        <f t="shared" si="259"/>
        <v>1.0800000000000001E-2</v>
      </c>
      <c r="EN79" s="460">
        <f t="shared" si="297"/>
        <v>45.313531703791277</v>
      </c>
      <c r="EO79">
        <f t="shared" si="260"/>
        <v>0.95537363119896335</v>
      </c>
      <c r="EP79" s="460">
        <f t="shared" si="298"/>
        <v>955.37363119896338</v>
      </c>
      <c r="EQ79" s="173">
        <f t="shared" si="261"/>
        <v>0.45972499999999999</v>
      </c>
      <c r="ER79" s="173">
        <f t="shared" si="262"/>
        <v>8.2093749999999993E-2</v>
      </c>
      <c r="ES79" s="528"/>
      <c r="EU79" s="460">
        <f t="shared" si="299"/>
        <v>541.81875000000002</v>
      </c>
      <c r="EV79" s="528">
        <f t="shared" si="263"/>
        <v>3.0679130982640197E-2</v>
      </c>
      <c r="EW79" s="528">
        <f t="shared" si="300"/>
        <v>4.4089769076848188E-2</v>
      </c>
      <c r="EX79" s="528">
        <f t="shared" si="264"/>
        <v>4.4320197872845267E-4</v>
      </c>
      <c r="EY79" s="528">
        <f t="shared" si="265"/>
        <v>0.96460642051434198</v>
      </c>
      <c r="EZ79" s="528">
        <f t="shared" si="266"/>
        <v>1.0642731245489394</v>
      </c>
      <c r="FA79" s="625">
        <f t="shared" si="267"/>
        <v>1.1219733924611976E-2</v>
      </c>
      <c r="FB79" s="460">
        <f t="shared" si="301"/>
        <v>1075.4928584735515</v>
      </c>
      <c r="FC79" s="173">
        <f t="shared" si="302"/>
        <v>2.5726852396725146</v>
      </c>
      <c r="FD79" s="5">
        <f t="shared" si="303"/>
        <v>13.32</v>
      </c>
      <c r="FE79" s="173">
        <f t="shared" si="304"/>
        <v>0.83812142499051168</v>
      </c>
      <c r="FF79" s="5">
        <f t="shared" si="305"/>
        <v>83.812142499051163</v>
      </c>
      <c r="FG79">
        <f t="shared" si="306"/>
        <v>74</v>
      </c>
      <c r="FI79" s="562">
        <f t="shared" si="268"/>
        <v>-50</v>
      </c>
      <c r="FJ79">
        <f t="shared" si="269"/>
        <v>-50</v>
      </c>
      <c r="FL79">
        <f t="shared" si="270"/>
        <v>0.57009251312425169</v>
      </c>
    </row>
    <row r="80" spans="5:168">
      <c r="E80" s="170">
        <v>75</v>
      </c>
      <c r="F80" s="217">
        <f t="shared" si="307"/>
        <v>0.75</v>
      </c>
      <c r="G80" s="217">
        <f t="shared" si="271"/>
        <v>0.1875</v>
      </c>
      <c r="H80" s="217">
        <f t="shared" si="176"/>
        <v>12</v>
      </c>
      <c r="I80" s="217">
        <f t="shared" si="308"/>
        <v>1.5</v>
      </c>
      <c r="J80" s="541">
        <f t="shared" si="177"/>
        <v>23.910543286579113</v>
      </c>
      <c r="K80" s="443">
        <f t="shared" si="178"/>
        <v>16.739467278524135</v>
      </c>
      <c r="L80" s="172">
        <f t="shared" si="179"/>
        <v>40.650010565103244</v>
      </c>
      <c r="M80" s="443"/>
      <c r="N80" s="217">
        <f t="shared" si="180"/>
        <v>0.41179490597462332</v>
      </c>
      <c r="O80" s="172">
        <f t="shared" si="272"/>
        <v>21.880533165553345</v>
      </c>
      <c r="P80" s="172">
        <f t="shared" si="181"/>
        <v>3.0769499764059391</v>
      </c>
      <c r="Q80" s="217">
        <f t="shared" si="182"/>
        <v>1.3675333228470841</v>
      </c>
      <c r="R80" s="217">
        <f t="shared" si="183"/>
        <v>2.7350666456941681</v>
      </c>
      <c r="S80" s="443">
        <f t="shared" si="184"/>
        <v>16</v>
      </c>
      <c r="T80" s="217">
        <f t="shared" si="185"/>
        <v>2.7421635270962388</v>
      </c>
      <c r="U80" s="217">
        <f t="shared" si="186"/>
        <v>1.3762114030936654</v>
      </c>
      <c r="V80" s="217">
        <f t="shared" si="187"/>
        <v>1.9657711788338388</v>
      </c>
      <c r="W80" s="197">
        <f t="shared" si="188"/>
        <v>350</v>
      </c>
      <c r="X80" s="443">
        <f t="shared" si="273"/>
        <v>282.32775765255514</v>
      </c>
      <c r="Z80" s="217">
        <f t="shared" si="189"/>
        <v>2.3443428391664298</v>
      </c>
      <c r="AA80" s="173">
        <f t="shared" si="190"/>
        <v>1.6805859829296477</v>
      </c>
      <c r="AB80" s="173">
        <f t="shared" si="191"/>
        <v>0.68947720006980417</v>
      </c>
      <c r="AC80" s="173"/>
      <c r="AD80" s="173">
        <f t="shared" si="192"/>
        <v>0.71686869123937869</v>
      </c>
      <c r="AE80" s="545">
        <f t="shared" si="193"/>
        <v>2092.4334098155164</v>
      </c>
      <c r="AF80" s="528">
        <f t="shared" si="194"/>
        <v>0.12545202096689129</v>
      </c>
      <c r="AH80" s="173">
        <f t="shared" si="195"/>
        <v>2.5354627641855494</v>
      </c>
      <c r="AI80" s="173">
        <f t="shared" si="196"/>
        <v>2.7421635270962388</v>
      </c>
      <c r="AJ80" s="173">
        <f t="shared" si="197"/>
        <v>2.4904915015527695</v>
      </c>
      <c r="AL80" s="545">
        <f t="shared" si="198"/>
        <v>750</v>
      </c>
      <c r="AM80" s="460">
        <f t="shared" si="199"/>
        <v>282.32775765255514</v>
      </c>
      <c r="AO80">
        <f t="shared" si="274"/>
        <v>750</v>
      </c>
      <c r="AP80">
        <f t="shared" si="200"/>
        <v>282.32775765255514</v>
      </c>
      <c r="AR80" s="5">
        <f t="shared" si="275"/>
        <v>3.5419825819275044</v>
      </c>
      <c r="AS80" s="5">
        <f t="shared" si="201"/>
        <v>1.3762114030936654</v>
      </c>
      <c r="AT80" s="5">
        <f t="shared" si="276"/>
        <v>2.1657711788338387</v>
      </c>
      <c r="AU80" s="173">
        <f t="shared" si="277"/>
        <v>0.38854267949131127</v>
      </c>
      <c r="AW80" s="5">
        <f t="shared" si="202"/>
        <v>6.4509909520015558</v>
      </c>
      <c r="AX80" s="5">
        <f t="shared" si="203"/>
        <v>3.2254954760007779</v>
      </c>
      <c r="AY80" s="5">
        <f t="shared" si="204"/>
        <v>0.90578083185984171</v>
      </c>
      <c r="AZ80" s="5"/>
      <c r="BA80" s="173">
        <f t="shared" si="278"/>
        <v>0.98685214211479133</v>
      </c>
      <c r="BB80" s="173">
        <f t="shared" si="205"/>
        <v>1.2379861816874516</v>
      </c>
      <c r="BC80" s="173">
        <f t="shared" si="206"/>
        <v>0.30403484167912409</v>
      </c>
      <c r="BD80" s="173"/>
      <c r="BE80" s="528">
        <f t="shared" si="207"/>
        <v>1.9477543007931048E-2</v>
      </c>
      <c r="BF80" s="528">
        <f t="shared" si="208"/>
        <v>0.57434184705632607</v>
      </c>
      <c r="BG80" s="528">
        <f t="shared" si="209"/>
        <v>0.15526403161814745</v>
      </c>
      <c r="BH80" s="528">
        <f t="shared" si="210"/>
        <v>0.22976355344936783</v>
      </c>
      <c r="BI80">
        <f t="shared" si="211"/>
        <v>1.07597444789606E-2</v>
      </c>
      <c r="BJ80" s="460">
        <f t="shared" si="279"/>
        <v>166.02377609710805</v>
      </c>
      <c r="BK80">
        <f t="shared" si="212"/>
        <v>0.8326954817508212</v>
      </c>
      <c r="BL80" s="460">
        <f t="shared" si="280"/>
        <v>832.69548175082116</v>
      </c>
      <c r="BM80" s="173">
        <f t="shared" si="213"/>
        <v>0.46593749999999989</v>
      </c>
      <c r="BN80" s="173">
        <f t="shared" si="214"/>
        <v>8.3203124999999989E-2</v>
      </c>
      <c r="BO80" s="528"/>
      <c r="BQ80" s="460">
        <f t="shared" si="281"/>
        <v>549.14062499999989</v>
      </c>
      <c r="BR80" s="528">
        <f t="shared" si="215"/>
        <v>2.9216314511896567E-2</v>
      </c>
      <c r="BS80" s="528">
        <f t="shared" si="216"/>
        <v>4.597829358147227E-2</v>
      </c>
      <c r="BT80" s="528">
        <f t="shared" si="217"/>
        <v>4.6218592477425028E-4</v>
      </c>
      <c r="BU80" s="528">
        <f t="shared" si="218"/>
        <v>0.83384883558307132</v>
      </c>
      <c r="BV80" s="528">
        <f t="shared" si="219"/>
        <v>0.93331217270999645</v>
      </c>
      <c r="BW80" s="625">
        <f t="shared" si="220"/>
        <v>1.061476254528175E-2</v>
      </c>
      <c r="BX80" s="460">
        <f t="shared" si="282"/>
        <v>943.92693525527818</v>
      </c>
      <c r="BY80" s="173">
        <f t="shared" si="283"/>
        <v>2.3257630420060997</v>
      </c>
      <c r="BZ80" s="5">
        <f t="shared" si="284"/>
        <v>13.5</v>
      </c>
      <c r="CA80" s="173">
        <f t="shared" si="285"/>
        <v>0.85303943728761389</v>
      </c>
      <c r="CB80" s="5">
        <f t="shared" si="286"/>
        <v>85.303943728761382</v>
      </c>
      <c r="CC80">
        <f t="shared" si="287"/>
        <v>75</v>
      </c>
      <c r="CE80" s="562">
        <f t="shared" si="221"/>
        <v>-50</v>
      </c>
      <c r="CF80">
        <f t="shared" si="222"/>
        <v>-50</v>
      </c>
      <c r="CG80" s="173">
        <f t="shared" si="223"/>
        <v>0.57009251312425169</v>
      </c>
      <c r="CH80" s="173">
        <f t="shared" si="224"/>
        <v>0.20152561614275555</v>
      </c>
      <c r="CI80" s="170">
        <v>75</v>
      </c>
      <c r="CJ80" s="217">
        <f t="shared" si="309"/>
        <v>0.75</v>
      </c>
      <c r="CK80" s="217">
        <f t="shared" si="288"/>
        <v>0.1875</v>
      </c>
      <c r="CL80" s="217">
        <f t="shared" si="225"/>
        <v>12</v>
      </c>
      <c r="CM80" s="217">
        <f t="shared" si="310"/>
        <v>1.5</v>
      </c>
      <c r="CN80" s="541">
        <f t="shared" si="289"/>
        <v>24</v>
      </c>
      <c r="CO80" s="443">
        <f t="shared" si="226"/>
        <v>16.7</v>
      </c>
      <c r="CP80" s="443">
        <f t="shared" si="227"/>
        <v>40.700000000000003</v>
      </c>
      <c r="CQ80" s="443"/>
      <c r="CR80" s="217">
        <f t="shared" si="228"/>
        <v>0.40594059405940591</v>
      </c>
      <c r="CS80" s="172">
        <f t="shared" si="290"/>
        <v>21.650165016501649</v>
      </c>
      <c r="CT80" s="172">
        <f t="shared" si="229"/>
        <v>3.0445544554455446</v>
      </c>
      <c r="CU80" s="217">
        <f t="shared" si="230"/>
        <v>1.3531353135313531</v>
      </c>
      <c r="CV80" s="217">
        <f t="shared" si="231"/>
        <v>2.7062706270627062</v>
      </c>
      <c r="CW80" s="443">
        <f t="shared" si="232"/>
        <v>16</v>
      </c>
      <c r="CX80" s="217">
        <f t="shared" si="233"/>
        <v>2.7713414634146343</v>
      </c>
      <c r="CY80" s="217">
        <f t="shared" si="234"/>
        <v>1.3856707317073171</v>
      </c>
      <c r="CZ80" s="217">
        <f t="shared" si="235"/>
        <v>1.9913830874835696</v>
      </c>
      <c r="DA80" s="197">
        <f t="shared" si="236"/>
        <v>350</v>
      </c>
      <c r="DB80" s="443">
        <f t="shared" si="291"/>
        <v>296.11609809629607</v>
      </c>
      <c r="DD80" s="217">
        <f t="shared" si="237"/>
        <v>2.344682344682345</v>
      </c>
      <c r="DE80" s="173">
        <f t="shared" si="238"/>
        <v>1.6848016848016851</v>
      </c>
      <c r="DF80" s="173">
        <f t="shared" si="239"/>
        <v>0.69130683381297664</v>
      </c>
      <c r="DG80" s="173"/>
      <c r="DH80" s="173">
        <f t="shared" si="240"/>
        <v>0.71856287425149712</v>
      </c>
      <c r="DI80" s="545">
        <f t="shared" si="241"/>
        <v>2087.4999999999995</v>
      </c>
      <c r="DJ80" s="528">
        <f t="shared" si="242"/>
        <v>0.125748502994012</v>
      </c>
      <c r="DL80" s="173">
        <f t="shared" si="243"/>
        <v>2.5354627641855494</v>
      </c>
      <c r="DM80" s="173">
        <f t="shared" si="244"/>
        <v>2.7713414634146343</v>
      </c>
      <c r="DN80" s="173">
        <f t="shared" si="245"/>
        <v>2.5121047877145442</v>
      </c>
      <c r="DP80" s="545">
        <f t="shared" si="246"/>
        <v>750</v>
      </c>
      <c r="DQ80" s="460">
        <f t="shared" si="247"/>
        <v>296.11609809629607</v>
      </c>
      <c r="DS80">
        <f t="shared" si="292"/>
        <v>750</v>
      </c>
      <c r="DT80">
        <f t="shared" si="248"/>
        <v>296.11609809629607</v>
      </c>
      <c r="DV80" s="5">
        <f t="shared" si="293"/>
        <v>3.3770538191908872</v>
      </c>
      <c r="DW80" s="5">
        <f t="shared" si="249"/>
        <v>1.3856707317073171</v>
      </c>
      <c r="DX80" s="5">
        <f t="shared" si="294"/>
        <v>1.9913830874835701</v>
      </c>
      <c r="DY80" s="173">
        <f t="shared" si="295"/>
        <v>0.41031941031941027</v>
      </c>
      <c r="EA80" s="5">
        <f t="shared" si="250"/>
        <v>6.4953315548780486</v>
      </c>
      <c r="EB80" s="5">
        <f t="shared" si="251"/>
        <v>3.2476657774390243</v>
      </c>
      <c r="EC80" s="5">
        <f t="shared" si="252"/>
        <v>0.82974295311815405</v>
      </c>
      <c r="ED80" s="5"/>
      <c r="EE80" s="173">
        <f t="shared" si="296"/>
        <v>1.0249211214500813</v>
      </c>
      <c r="EF80" s="173">
        <f t="shared" si="253"/>
        <v>1.2286772821829837</v>
      </c>
      <c r="EG80" s="173">
        <f t="shared" si="254"/>
        <v>0.30174868547729161</v>
      </c>
      <c r="EH80" s="173"/>
      <c r="EI80" s="528">
        <f t="shared" si="255"/>
        <v>2.1009266103889847E-2</v>
      </c>
      <c r="EJ80" s="528">
        <f t="shared" si="256"/>
        <v>0.63460000000000005</v>
      </c>
      <c r="EK80" s="528">
        <f t="shared" si="257"/>
        <v>3.4053351281074055E-2</v>
      </c>
      <c r="EL80" s="528">
        <f t="shared" si="258"/>
        <v>0.24157782750275028</v>
      </c>
      <c r="EM80">
        <f t="shared" si="259"/>
        <v>1.0800000000000001E-2</v>
      </c>
      <c r="EN80" s="460">
        <f t="shared" si="297"/>
        <v>44.853351281074055</v>
      </c>
      <c r="EO80">
        <f t="shared" si="260"/>
        <v>0.95246747542859167</v>
      </c>
      <c r="EP80" s="460">
        <f t="shared" si="298"/>
        <v>952.46747542859168</v>
      </c>
      <c r="EQ80" s="173">
        <f t="shared" si="261"/>
        <v>0.46593749999999989</v>
      </c>
      <c r="ER80" s="173">
        <f t="shared" si="262"/>
        <v>8.3203124999999989E-2</v>
      </c>
      <c r="ES80" s="528"/>
      <c r="EU80" s="460">
        <f t="shared" si="299"/>
        <v>549.14062499999989</v>
      </c>
      <c r="EV80" s="528">
        <f t="shared" si="263"/>
        <v>3.1513899155834767E-2</v>
      </c>
      <c r="EW80" s="528">
        <f t="shared" si="300"/>
        <v>4.5289435912576892E-2</v>
      </c>
      <c r="EX80" s="528">
        <f t="shared" si="264"/>
        <v>4.5526134593636727E-4</v>
      </c>
      <c r="EY80" s="528">
        <f t="shared" si="265"/>
        <v>0.96460642051434142</v>
      </c>
      <c r="EZ80" s="528">
        <f t="shared" si="266"/>
        <v>1.0670018855118213</v>
      </c>
      <c r="FA80" s="625">
        <f t="shared" si="267"/>
        <v>1.1371351950620242E-2</v>
      </c>
      <c r="FB80" s="460">
        <f t="shared" si="301"/>
        <v>1078.3732374624415</v>
      </c>
      <c r="FC80" s="173">
        <f t="shared" si="302"/>
        <v>2.579981337891033</v>
      </c>
      <c r="FD80" s="5">
        <f t="shared" si="303"/>
        <v>13.5</v>
      </c>
      <c r="FE80" s="173">
        <f t="shared" si="304"/>
        <v>0.839553213173728</v>
      </c>
      <c r="FF80" s="5">
        <f t="shared" si="305"/>
        <v>83.955321317372807</v>
      </c>
      <c r="FG80">
        <f t="shared" si="306"/>
        <v>75</v>
      </c>
      <c r="FI80" s="562">
        <f t="shared" si="268"/>
        <v>-50</v>
      </c>
      <c r="FJ80">
        <f t="shared" si="269"/>
        <v>-50</v>
      </c>
      <c r="FL80">
        <f t="shared" si="270"/>
        <v>0.57009251312425169</v>
      </c>
    </row>
    <row r="81" spans="5:168">
      <c r="E81" s="170">
        <v>76</v>
      </c>
      <c r="F81" s="217">
        <f t="shared" si="307"/>
        <v>0.76</v>
      </c>
      <c r="G81" s="217">
        <f t="shared" si="271"/>
        <v>0.19</v>
      </c>
      <c r="H81" s="217">
        <f t="shared" si="176"/>
        <v>12.16</v>
      </c>
      <c r="I81" s="217">
        <f t="shared" si="308"/>
        <v>1.52</v>
      </c>
      <c r="J81" s="541">
        <f t="shared" si="177"/>
        <v>23.909350530400168</v>
      </c>
      <c r="K81" s="443">
        <f t="shared" si="178"/>
        <v>16.739993508904458</v>
      </c>
      <c r="L81" s="172">
        <f t="shared" si="179"/>
        <v>40.649344039304623</v>
      </c>
      <c r="M81" s="443"/>
      <c r="N81" s="217">
        <f t="shared" si="180"/>
        <v>0.41181460376625612</v>
      </c>
      <c r="O81" s="172">
        <f t="shared" si="272"/>
        <v>21.88048825552282</v>
      </c>
      <c r="P81" s="172">
        <f t="shared" si="181"/>
        <v>3.0769436609328968</v>
      </c>
      <c r="Q81" s="217">
        <f t="shared" si="182"/>
        <v>1.3675305159701763</v>
      </c>
      <c r="R81" s="217">
        <f t="shared" si="183"/>
        <v>2.7350610319403525</v>
      </c>
      <c r="S81" s="443">
        <f t="shared" si="184"/>
        <v>16</v>
      </c>
      <c r="T81" s="217">
        <f t="shared" si="185"/>
        <v>2.7787314108337391</v>
      </c>
      <c r="U81" s="217">
        <f t="shared" si="186"/>
        <v>1.3946333208678245</v>
      </c>
      <c r="V81" s="217">
        <f t="shared" si="187"/>
        <v>1.9919229306909751</v>
      </c>
      <c r="W81" s="197">
        <f t="shared" si="188"/>
        <v>350</v>
      </c>
      <c r="X81" s="443">
        <f t="shared" si="273"/>
        <v>278.81899233153723</v>
      </c>
      <c r="Z81" s="217">
        <f t="shared" si="189"/>
        <v>2.3443380273774452</v>
      </c>
      <c r="AA81" s="173">
        <f t="shared" si="190"/>
        <v>1.6805297035249827</v>
      </c>
      <c r="AB81" s="173">
        <f t="shared" si="191"/>
        <v>0.68945269576941814</v>
      </c>
      <c r="AC81" s="173"/>
      <c r="AD81" s="173">
        <f t="shared" si="192"/>
        <v>0.71684615610017255</v>
      </c>
      <c r="AE81" s="545">
        <f t="shared" si="193"/>
        <v>2120.3991777945644</v>
      </c>
      <c r="AF81" s="528">
        <f t="shared" si="194"/>
        <v>0.12544807731753022</v>
      </c>
      <c r="AH81" s="173">
        <f t="shared" si="195"/>
        <v>2.5523098781859765</v>
      </c>
      <c r="AI81" s="173">
        <f t="shared" si="196"/>
        <v>2.7787314108337391</v>
      </c>
      <c r="AJ81" s="173">
        <f t="shared" si="197"/>
        <v>2.5175788228398064</v>
      </c>
      <c r="AL81" s="545">
        <f t="shared" si="198"/>
        <v>760</v>
      </c>
      <c r="AM81" s="460">
        <f t="shared" si="199"/>
        <v>278.81899233153723</v>
      </c>
      <c r="AO81">
        <f t="shared" si="274"/>
        <v>760</v>
      </c>
      <c r="AP81">
        <f t="shared" si="200"/>
        <v>278.81899233153723</v>
      </c>
      <c r="AR81" s="5">
        <f t="shared" si="275"/>
        <v>3.5865562515588003</v>
      </c>
      <c r="AS81" s="5">
        <f t="shared" si="201"/>
        <v>1.3946333208678245</v>
      </c>
      <c r="AT81" s="5">
        <f t="shared" si="276"/>
        <v>2.1919229306909758</v>
      </c>
      <c r="AU81" s="173">
        <f t="shared" si="277"/>
        <v>0.38885025719635224</v>
      </c>
      <c r="AW81" s="5">
        <f t="shared" si="202"/>
        <v>6.6245082741221664</v>
      </c>
      <c r="AX81" s="5">
        <f t="shared" si="203"/>
        <v>3.3122541370610832</v>
      </c>
      <c r="AY81" s="5">
        <f t="shared" si="204"/>
        <v>0.92898741308038368</v>
      </c>
      <c r="AZ81" s="5"/>
      <c r="BA81" s="173">
        <f t="shared" si="278"/>
        <v>1.0004079591675092</v>
      </c>
      <c r="BB81" s="173">
        <f t="shared" si="205"/>
        <v>1.2541796786820407</v>
      </c>
      <c r="BC81" s="173">
        <f t="shared" si="206"/>
        <v>0.30801177402926583</v>
      </c>
      <c r="BD81" s="173"/>
      <c r="BE81" s="528">
        <f t="shared" si="207"/>
        <v>2.0016321695314018E-2</v>
      </c>
      <c r="BF81" s="528">
        <f t="shared" si="208"/>
        <v>0.57475840937792932</v>
      </c>
      <c r="BG81" s="528">
        <f t="shared" si="209"/>
        <v>0.15332676351031665</v>
      </c>
      <c r="BH81" s="528">
        <f t="shared" si="210"/>
        <v>0.2269006142808967</v>
      </c>
      <c r="BI81">
        <f t="shared" si="211"/>
        <v>1.0759207738680075E-2</v>
      </c>
      <c r="BJ81" s="460">
        <f t="shared" si="279"/>
        <v>164.08597124899674</v>
      </c>
      <c r="BK81">
        <f t="shared" si="212"/>
        <v>0.8310320392334859</v>
      </c>
      <c r="BL81" s="460">
        <f t="shared" si="280"/>
        <v>831.03203923348588</v>
      </c>
      <c r="BM81" s="173">
        <f t="shared" si="213"/>
        <v>0.4721499999999999</v>
      </c>
      <c r="BN81" s="173">
        <f t="shared" si="214"/>
        <v>8.4312499999999999E-2</v>
      </c>
      <c r="BO81" s="528"/>
      <c r="BQ81" s="460">
        <f t="shared" si="281"/>
        <v>556.46249999999986</v>
      </c>
      <c r="BR81" s="528">
        <f t="shared" si="215"/>
        <v>3.0024482542971024E-2</v>
      </c>
      <c r="BS81" s="528">
        <f t="shared" si="216"/>
        <v>4.7188999992569605E-2</v>
      </c>
      <c r="BT81" s="528">
        <f t="shared" si="217"/>
        <v>4.7435626470327758E-4</v>
      </c>
      <c r="BU81" s="528">
        <f t="shared" si="218"/>
        <v>0.83539585005141348</v>
      </c>
      <c r="BV81" s="528">
        <f t="shared" si="219"/>
        <v>0.9375557042773276</v>
      </c>
      <c r="BW81" s="625">
        <f t="shared" si="220"/>
        <v>1.0764292697484093E-2</v>
      </c>
      <c r="BX81" s="460">
        <f t="shared" si="282"/>
        <v>948.31999697481172</v>
      </c>
      <c r="BY81" s="173">
        <f t="shared" si="283"/>
        <v>2.3358145362082974</v>
      </c>
      <c r="BZ81" s="5">
        <f t="shared" si="284"/>
        <v>13.68</v>
      </c>
      <c r="CA81" s="173">
        <f t="shared" si="285"/>
        <v>0.85415574519001047</v>
      </c>
      <c r="CB81" s="5">
        <f t="shared" si="286"/>
        <v>85.415574519001041</v>
      </c>
      <c r="CC81">
        <f t="shared" si="287"/>
        <v>76</v>
      </c>
      <c r="CE81" s="562">
        <f t="shared" si="221"/>
        <v>-50</v>
      </c>
      <c r="CF81">
        <f t="shared" si="222"/>
        <v>-50</v>
      </c>
      <c r="CG81" s="173">
        <f t="shared" si="223"/>
        <v>0.5700925131242518</v>
      </c>
      <c r="CH81" s="173">
        <f t="shared" si="224"/>
        <v>0.20152561614275558</v>
      </c>
      <c r="CI81" s="170">
        <v>76</v>
      </c>
      <c r="CJ81" s="217">
        <f t="shared" si="309"/>
        <v>0.76</v>
      </c>
      <c r="CK81" s="217">
        <f t="shared" si="288"/>
        <v>0.19</v>
      </c>
      <c r="CL81" s="217">
        <f t="shared" si="225"/>
        <v>12.16</v>
      </c>
      <c r="CM81" s="217">
        <f t="shared" si="310"/>
        <v>1.52</v>
      </c>
      <c r="CN81" s="541">
        <f t="shared" si="289"/>
        <v>24</v>
      </c>
      <c r="CO81" s="443">
        <f t="shared" si="226"/>
        <v>16.7</v>
      </c>
      <c r="CP81" s="443">
        <f t="shared" si="227"/>
        <v>40.700000000000003</v>
      </c>
      <c r="CQ81" s="443"/>
      <c r="CR81" s="217">
        <f t="shared" si="228"/>
        <v>0.40594059405940591</v>
      </c>
      <c r="CS81" s="172">
        <f t="shared" si="290"/>
        <v>21.650165016501649</v>
      </c>
      <c r="CT81" s="172">
        <f t="shared" si="229"/>
        <v>3.0445544554455446</v>
      </c>
      <c r="CU81" s="217">
        <f t="shared" si="230"/>
        <v>1.3531353135313531</v>
      </c>
      <c r="CV81" s="217">
        <f t="shared" si="231"/>
        <v>2.7062706270627062</v>
      </c>
      <c r="CW81" s="443">
        <f t="shared" si="232"/>
        <v>16</v>
      </c>
      <c r="CX81" s="217">
        <f t="shared" si="233"/>
        <v>2.8082926829268291</v>
      </c>
      <c r="CY81" s="217">
        <f t="shared" si="234"/>
        <v>1.4041463414634145</v>
      </c>
      <c r="CZ81" s="217">
        <f t="shared" si="235"/>
        <v>2.0179348619833504</v>
      </c>
      <c r="DA81" s="197">
        <f t="shared" si="236"/>
        <v>350</v>
      </c>
      <c r="DB81" s="443">
        <f t="shared" si="291"/>
        <v>292.21983364766066</v>
      </c>
      <c r="DD81" s="217">
        <f t="shared" si="237"/>
        <v>2.344682344682345</v>
      </c>
      <c r="DE81" s="173">
        <f t="shared" si="238"/>
        <v>1.6848016848016851</v>
      </c>
      <c r="DF81" s="173">
        <f t="shared" si="239"/>
        <v>0.69130683381297664</v>
      </c>
      <c r="DG81" s="173"/>
      <c r="DH81" s="173">
        <f t="shared" si="240"/>
        <v>0.71856287425149712</v>
      </c>
      <c r="DI81" s="545">
        <f t="shared" si="241"/>
        <v>2115.333333333333</v>
      </c>
      <c r="DJ81" s="528">
        <f t="shared" si="242"/>
        <v>0.125748502994012</v>
      </c>
      <c r="DL81" s="173">
        <f t="shared" si="243"/>
        <v>2.5523098781859765</v>
      </c>
      <c r="DM81" s="173">
        <f t="shared" si="244"/>
        <v>2.8082926829268291</v>
      </c>
      <c r="DN81" s="173">
        <f t="shared" si="245"/>
        <v>2.5394760614272807</v>
      </c>
      <c r="DP81" s="545">
        <f t="shared" si="246"/>
        <v>760</v>
      </c>
      <c r="DQ81" s="460">
        <f t="shared" si="247"/>
        <v>292.21983364766066</v>
      </c>
      <c r="DS81">
        <f t="shared" si="292"/>
        <v>760</v>
      </c>
      <c r="DT81">
        <f t="shared" si="248"/>
        <v>292.21983364766066</v>
      </c>
      <c r="DV81" s="5">
        <f t="shared" si="293"/>
        <v>3.4220812034467647</v>
      </c>
      <c r="DW81" s="5">
        <f t="shared" si="249"/>
        <v>1.4041463414634145</v>
      </c>
      <c r="DX81" s="5">
        <f t="shared" si="294"/>
        <v>2.0179348619833499</v>
      </c>
      <c r="DY81" s="173">
        <f t="shared" si="295"/>
        <v>0.41031941031941033</v>
      </c>
      <c r="EA81" s="5">
        <f t="shared" si="250"/>
        <v>6.6696951219512188</v>
      </c>
      <c r="EB81" s="5">
        <f t="shared" si="251"/>
        <v>3.3348475609756094</v>
      </c>
      <c r="EC81" s="5">
        <f t="shared" si="252"/>
        <v>0.85201694172630316</v>
      </c>
      <c r="ED81" s="5"/>
      <c r="EE81" s="173">
        <f t="shared" si="296"/>
        <v>1.0385867364027488</v>
      </c>
      <c r="EF81" s="173">
        <f t="shared" si="253"/>
        <v>1.2450596459454233</v>
      </c>
      <c r="EG81" s="173">
        <f t="shared" si="254"/>
        <v>0.30577200128365545</v>
      </c>
      <c r="EH81" s="173"/>
      <c r="EI81" s="528">
        <f t="shared" si="255"/>
        <v>2.1573248180634254E-2</v>
      </c>
      <c r="EJ81" s="528">
        <f t="shared" si="256"/>
        <v>0.63460000000000005</v>
      </c>
      <c r="EK81" s="528">
        <f t="shared" si="257"/>
        <v>3.3605280869480982E-2</v>
      </c>
      <c r="EL81" s="528">
        <f t="shared" si="258"/>
        <v>0.23839917187771417</v>
      </c>
      <c r="EM81">
        <f t="shared" si="259"/>
        <v>1.0800000000000001E-2</v>
      </c>
      <c r="EN81" s="460">
        <f t="shared" si="297"/>
        <v>44.405280869480976</v>
      </c>
      <c r="EO81">
        <f t="shared" si="260"/>
        <v>0.94967030154635756</v>
      </c>
      <c r="EP81" s="460">
        <f t="shared" si="298"/>
        <v>949.67030154635756</v>
      </c>
      <c r="EQ81" s="173">
        <f t="shared" si="261"/>
        <v>0.4721499999999999</v>
      </c>
      <c r="ER81" s="173">
        <f t="shared" si="262"/>
        <v>8.4312499999999999E-2</v>
      </c>
      <c r="ES81" s="528"/>
      <c r="EU81" s="460">
        <f t="shared" si="299"/>
        <v>556.46249999999986</v>
      </c>
      <c r="EV81" s="528">
        <f t="shared" si="263"/>
        <v>3.2359872270951384E-2</v>
      </c>
      <c r="EW81" s="528">
        <f t="shared" si="300"/>
        <v>4.6505205658852279E-2</v>
      </c>
      <c r="EX81" s="528">
        <f t="shared" si="264"/>
        <v>4.6748258384505896E-4</v>
      </c>
      <c r="EY81" s="528">
        <f t="shared" si="265"/>
        <v>0.9646064205143392</v>
      </c>
      <c r="EZ81" s="528">
        <f t="shared" si="266"/>
        <v>1.0697681915345025</v>
      </c>
      <c r="FA81" s="625">
        <f t="shared" si="267"/>
        <v>1.1522969976628513E-2</v>
      </c>
      <c r="FB81" s="460">
        <f t="shared" si="301"/>
        <v>1081.2911615111311</v>
      </c>
      <c r="FC81" s="173">
        <f t="shared" si="302"/>
        <v>2.5874239630574887</v>
      </c>
      <c r="FD81" s="5">
        <f t="shared" si="303"/>
        <v>13.68</v>
      </c>
      <c r="FE81" s="173">
        <f t="shared" si="304"/>
        <v>0.84094445629907966</v>
      </c>
      <c r="FF81" s="5">
        <f t="shared" si="305"/>
        <v>84.094445629907966</v>
      </c>
      <c r="FG81">
        <f t="shared" si="306"/>
        <v>76</v>
      </c>
      <c r="FI81" s="562">
        <f t="shared" si="268"/>
        <v>-50</v>
      </c>
      <c r="FJ81">
        <f t="shared" si="269"/>
        <v>-50</v>
      </c>
      <c r="FL81">
        <f t="shared" si="270"/>
        <v>0.57009251312425169</v>
      </c>
    </row>
    <row r="82" spans="5:168">
      <c r="E82" s="170">
        <v>77</v>
      </c>
      <c r="F82" s="217">
        <f t="shared" si="307"/>
        <v>0.77</v>
      </c>
      <c r="G82" s="217">
        <f t="shared" si="271"/>
        <v>0.1925</v>
      </c>
      <c r="H82" s="217">
        <f t="shared" si="176"/>
        <v>12.32</v>
      </c>
      <c r="I82" s="217">
        <f t="shared" si="308"/>
        <v>1.54</v>
      </c>
      <c r="J82" s="541">
        <f t="shared" si="177"/>
        <v>23.908157774221223</v>
      </c>
      <c r="K82" s="443">
        <f t="shared" si="178"/>
        <v>16.740519739284778</v>
      </c>
      <c r="L82" s="172">
        <f t="shared" si="179"/>
        <v>40.648677513506001</v>
      </c>
      <c r="M82" s="443"/>
      <c r="N82" s="217">
        <f t="shared" si="180"/>
        <v>0.41183430220386735</v>
      </c>
      <c r="O82" s="172">
        <f t="shared" si="272"/>
        <v>21.880443275391919</v>
      </c>
      <c r="P82" s="172">
        <f t="shared" si="181"/>
        <v>3.0769373356019885</v>
      </c>
      <c r="Q82" s="217">
        <f t="shared" si="182"/>
        <v>1.3675277047119949</v>
      </c>
      <c r="R82" s="217">
        <f t="shared" si="183"/>
        <v>2.7350554094239898</v>
      </c>
      <c r="S82" s="443">
        <f t="shared" si="184"/>
        <v>16</v>
      </c>
      <c r="T82" s="217">
        <f t="shared" si="185"/>
        <v>2.815299453703441</v>
      </c>
      <c r="U82" s="217">
        <f t="shared" si="186"/>
        <v>1.4130571566190757</v>
      </c>
      <c r="V82" s="217">
        <f t="shared" si="187"/>
        <v>2.0180731524817439</v>
      </c>
      <c r="W82" s="197">
        <f t="shared" si="188"/>
        <v>350</v>
      </c>
      <c r="X82" s="443">
        <f t="shared" si="273"/>
        <v>275.39634077401945</v>
      </c>
      <c r="Z82" s="217">
        <f t="shared" si="189"/>
        <v>2.3443332080777055</v>
      </c>
      <c r="AA82" s="173">
        <f t="shared" si="190"/>
        <v>1.6804734222746647</v>
      </c>
      <c r="AB82" s="173">
        <f t="shared" si="191"/>
        <v>0.68942818859783495</v>
      </c>
      <c r="AC82" s="173"/>
      <c r="AD82" s="173">
        <f t="shared" si="192"/>
        <v>0.71682362237772956</v>
      </c>
      <c r="AE82" s="545">
        <f t="shared" si="193"/>
        <v>2148.3666998748799</v>
      </c>
      <c r="AF82" s="528">
        <f t="shared" si="194"/>
        <v>0.12544413391610268</v>
      </c>
      <c r="AH82" s="173">
        <f t="shared" si="195"/>
        <v>2.5690465157330258</v>
      </c>
      <c r="AI82" s="173">
        <f t="shared" si="196"/>
        <v>2.815299453703441</v>
      </c>
      <c r="AJ82" s="173">
        <f t="shared" si="197"/>
        <v>2.5446662620025489</v>
      </c>
      <c r="AL82" s="545">
        <f t="shared" si="198"/>
        <v>770</v>
      </c>
      <c r="AM82" s="460">
        <f t="shared" si="199"/>
        <v>275.39634077401945</v>
      </c>
      <c r="AO82">
        <f t="shared" si="274"/>
        <v>770</v>
      </c>
      <c r="AP82">
        <f t="shared" si="200"/>
        <v>275.39634077401945</v>
      </c>
      <c r="AR82" s="5">
        <f t="shared" si="275"/>
        <v>3.6311303091008198</v>
      </c>
      <c r="AS82" s="5">
        <f t="shared" si="201"/>
        <v>1.4130571566190757</v>
      </c>
      <c r="AT82" s="5">
        <f t="shared" si="276"/>
        <v>2.2180731524817441</v>
      </c>
      <c r="AU82" s="173">
        <f t="shared" si="277"/>
        <v>0.389150770237434</v>
      </c>
      <c r="AW82" s="5">
        <f t="shared" si="202"/>
        <v>6.8003375662293015</v>
      </c>
      <c r="AX82" s="5">
        <f t="shared" si="203"/>
        <v>3.4001687831146508</v>
      </c>
      <c r="AY82" s="5">
        <f t="shared" si="204"/>
        <v>0.95248734402140034</v>
      </c>
      <c r="AZ82" s="5"/>
      <c r="BA82" s="173">
        <f t="shared" si="278"/>
        <v>1.0139648869562119</v>
      </c>
      <c r="BB82" s="173">
        <f t="shared" si="205"/>
        <v>1.2703722076728172</v>
      </c>
      <c r="BC82" s="173">
        <f t="shared" si="206"/>
        <v>0.31198846864905955</v>
      </c>
      <c r="BD82" s="173"/>
      <c r="BE82" s="528">
        <f t="shared" si="207"/>
        <v>2.0562495839602471E-2</v>
      </c>
      <c r="BF82" s="528">
        <f t="shared" si="208"/>
        <v>0.57516447080421518</v>
      </c>
      <c r="BG82" s="528">
        <f t="shared" si="209"/>
        <v>0.15143704081037437</v>
      </c>
      <c r="BH82" s="528">
        <f t="shared" si="210"/>
        <v>0.22410793889218478</v>
      </c>
      <c r="BI82">
        <f t="shared" si="211"/>
        <v>1.075867099839955E-2</v>
      </c>
      <c r="BJ82" s="460">
        <f t="shared" si="279"/>
        <v>162.19571180877392</v>
      </c>
      <c r="BK82">
        <f t="shared" si="212"/>
        <v>0.82943912786785334</v>
      </c>
      <c r="BL82" s="460">
        <f t="shared" si="280"/>
        <v>829.43912786785336</v>
      </c>
      <c r="BM82" s="173">
        <f t="shared" si="213"/>
        <v>0.47836249999999991</v>
      </c>
      <c r="BN82" s="173">
        <f t="shared" si="214"/>
        <v>8.5421874999999994E-2</v>
      </c>
      <c r="BO82" s="528"/>
      <c r="BQ82" s="460">
        <f t="shared" si="281"/>
        <v>563.78437499999984</v>
      </c>
      <c r="BR82" s="528">
        <f t="shared" si="215"/>
        <v>3.0843743759403703E-2</v>
      </c>
      <c r="BS82" s="528">
        <f t="shared" si="216"/>
        <v>4.841536638082522E-2</v>
      </c>
      <c r="BT82" s="528">
        <f t="shared" si="217"/>
        <v>4.8668402284992608E-4</v>
      </c>
      <c r="BU82" s="528">
        <f t="shared" si="218"/>
        <v>0.83690643668582199</v>
      </c>
      <c r="BV82" s="528">
        <f t="shared" si="219"/>
        <v>0.94179958592178303</v>
      </c>
      <c r="BW82" s="625">
        <f t="shared" si="220"/>
        <v>1.0913834452812014E-2</v>
      </c>
      <c r="BX82" s="460">
        <f t="shared" si="282"/>
        <v>952.7134203745951</v>
      </c>
      <c r="BY82" s="173">
        <f t="shared" si="283"/>
        <v>2.3459369232424483</v>
      </c>
      <c r="BZ82" s="5">
        <f t="shared" si="284"/>
        <v>13.86</v>
      </c>
      <c r="CA82" s="173">
        <f t="shared" si="285"/>
        <v>0.85524212920525933</v>
      </c>
      <c r="CB82" s="5">
        <f t="shared" si="286"/>
        <v>85.524212920525926</v>
      </c>
      <c r="CC82">
        <f t="shared" si="287"/>
        <v>77</v>
      </c>
      <c r="CE82" s="562">
        <f t="shared" si="221"/>
        <v>-50</v>
      </c>
      <c r="CF82">
        <f t="shared" si="222"/>
        <v>-50</v>
      </c>
      <c r="CG82" s="173">
        <f t="shared" si="223"/>
        <v>0.57009251312425169</v>
      </c>
      <c r="CH82" s="173">
        <f t="shared" si="224"/>
        <v>0.20152561614275555</v>
      </c>
      <c r="CI82" s="170">
        <v>77</v>
      </c>
      <c r="CJ82" s="217">
        <f t="shared" si="309"/>
        <v>0.77</v>
      </c>
      <c r="CK82" s="217">
        <f t="shared" si="288"/>
        <v>0.1925</v>
      </c>
      <c r="CL82" s="217">
        <f t="shared" si="225"/>
        <v>12.32</v>
      </c>
      <c r="CM82" s="217">
        <f t="shared" si="310"/>
        <v>1.54</v>
      </c>
      <c r="CN82" s="541">
        <f t="shared" si="289"/>
        <v>24</v>
      </c>
      <c r="CO82" s="443">
        <f t="shared" si="226"/>
        <v>16.7</v>
      </c>
      <c r="CP82" s="443">
        <f t="shared" si="227"/>
        <v>40.700000000000003</v>
      </c>
      <c r="CQ82" s="443"/>
      <c r="CR82" s="217">
        <f t="shared" si="228"/>
        <v>0.40594059405940591</v>
      </c>
      <c r="CS82" s="172">
        <f t="shared" si="290"/>
        <v>21.650165016501649</v>
      </c>
      <c r="CT82" s="172">
        <f t="shared" si="229"/>
        <v>3.0445544554455446</v>
      </c>
      <c r="CU82" s="217">
        <f t="shared" si="230"/>
        <v>1.3531353135313531</v>
      </c>
      <c r="CV82" s="217">
        <f t="shared" si="231"/>
        <v>2.7062706270627062</v>
      </c>
      <c r="CW82" s="443">
        <f t="shared" si="232"/>
        <v>16</v>
      </c>
      <c r="CX82" s="217">
        <f t="shared" si="233"/>
        <v>2.8452439024390244</v>
      </c>
      <c r="CY82" s="217">
        <f t="shared" si="234"/>
        <v>1.4226219512195122</v>
      </c>
      <c r="CZ82" s="217">
        <f t="shared" si="235"/>
        <v>2.0444866364831316</v>
      </c>
      <c r="DA82" s="197">
        <f t="shared" si="236"/>
        <v>350</v>
      </c>
      <c r="DB82" s="443">
        <f t="shared" si="291"/>
        <v>288.42477087301569</v>
      </c>
      <c r="DD82" s="217">
        <f t="shared" si="237"/>
        <v>2.344682344682345</v>
      </c>
      <c r="DE82" s="173">
        <f t="shared" si="238"/>
        <v>1.6848016848016851</v>
      </c>
      <c r="DF82" s="173">
        <f t="shared" si="239"/>
        <v>0.69130683381297664</v>
      </c>
      <c r="DG82" s="173"/>
      <c r="DH82" s="173">
        <f t="shared" si="240"/>
        <v>0.71856287425149712</v>
      </c>
      <c r="DI82" s="545">
        <f t="shared" si="241"/>
        <v>2143.1666666666665</v>
      </c>
      <c r="DJ82" s="528">
        <f t="shared" si="242"/>
        <v>0.125748502994012</v>
      </c>
      <c r="DL82" s="173">
        <f t="shared" si="243"/>
        <v>2.5690465157330258</v>
      </c>
      <c r="DM82" s="173">
        <f t="shared" si="244"/>
        <v>2.8452439024390244</v>
      </c>
      <c r="DN82" s="173">
        <f t="shared" si="245"/>
        <v>2.5668473351400181</v>
      </c>
      <c r="DP82" s="545">
        <f t="shared" si="246"/>
        <v>770</v>
      </c>
      <c r="DQ82" s="460">
        <f t="shared" si="247"/>
        <v>288.42477087301569</v>
      </c>
      <c r="DS82">
        <f t="shared" si="292"/>
        <v>770</v>
      </c>
      <c r="DT82">
        <f t="shared" si="248"/>
        <v>288.42477087301569</v>
      </c>
      <c r="DV82" s="5">
        <f t="shared" si="293"/>
        <v>3.4671085877026435</v>
      </c>
      <c r="DW82" s="5">
        <f t="shared" si="249"/>
        <v>1.4226219512195122</v>
      </c>
      <c r="DX82" s="5">
        <f t="shared" si="294"/>
        <v>2.0444866364831311</v>
      </c>
      <c r="DY82" s="173">
        <f t="shared" si="295"/>
        <v>0.41031941031941033</v>
      </c>
      <c r="EA82" s="5">
        <f t="shared" si="250"/>
        <v>6.8463681402439027</v>
      </c>
      <c r="EB82" s="5">
        <f t="shared" si="251"/>
        <v>3.4231840701219514</v>
      </c>
      <c r="EC82" s="5">
        <f t="shared" si="252"/>
        <v>0.87458595005111706</v>
      </c>
      <c r="ED82" s="5"/>
      <c r="EE82" s="173">
        <f t="shared" si="296"/>
        <v>1.0522523513554167</v>
      </c>
      <c r="EF82" s="173">
        <f t="shared" si="253"/>
        <v>1.2614420097078631</v>
      </c>
      <c r="EG82" s="173">
        <f t="shared" si="254"/>
        <v>0.30979531709001928</v>
      </c>
      <c r="EH82" s="173"/>
      <c r="EI82" s="528">
        <f t="shared" si="255"/>
        <v>2.2144700218660069E-2</v>
      </c>
      <c r="EJ82" s="528">
        <f t="shared" si="256"/>
        <v>0.63460000000000005</v>
      </c>
      <c r="EK82" s="528">
        <f t="shared" si="257"/>
        <v>3.3168848650396807E-2</v>
      </c>
      <c r="EL82" s="528">
        <f t="shared" si="258"/>
        <v>0.23530307873644513</v>
      </c>
      <c r="EM82">
        <f t="shared" si="259"/>
        <v>1.0800000000000001E-2</v>
      </c>
      <c r="EN82" s="460">
        <f t="shared" si="297"/>
        <v>43.968848650396808</v>
      </c>
      <c r="EO82">
        <f t="shared" si="260"/>
        <v>0.94697829947652334</v>
      </c>
      <c r="EP82" s="460">
        <f t="shared" si="298"/>
        <v>946.97829947652338</v>
      </c>
      <c r="EQ82" s="173">
        <f t="shared" si="261"/>
        <v>0.47836249999999991</v>
      </c>
      <c r="ER82" s="173">
        <f t="shared" si="262"/>
        <v>8.5421874999999994E-2</v>
      </c>
      <c r="ES82" s="528"/>
      <c r="EU82" s="460">
        <f t="shared" si="299"/>
        <v>563.78437499999984</v>
      </c>
      <c r="EV82" s="528">
        <f t="shared" si="263"/>
        <v>3.3217050327990098E-2</v>
      </c>
      <c r="EW82" s="528">
        <f t="shared" si="300"/>
        <v>4.7737078315674378E-2</v>
      </c>
      <c r="EX82" s="528">
        <f t="shared" si="264"/>
        <v>4.7986569245452796E-4</v>
      </c>
      <c r="EY82" s="528">
        <f t="shared" si="265"/>
        <v>0.96460642051433976</v>
      </c>
      <c r="EZ82" s="528">
        <f t="shared" si="266"/>
        <v>1.0725720797847491</v>
      </c>
      <c r="FA82" s="625">
        <f t="shared" si="267"/>
        <v>1.1674588002636781E-2</v>
      </c>
      <c r="FB82" s="460">
        <f t="shared" si="301"/>
        <v>1084.2466677873858</v>
      </c>
      <c r="FC82" s="173">
        <f t="shared" si="302"/>
        <v>2.5950093422639093</v>
      </c>
      <c r="FD82" s="5">
        <f t="shared" si="303"/>
        <v>13.86</v>
      </c>
      <c r="FE82" s="173">
        <f t="shared" si="304"/>
        <v>0.84229669590045431</v>
      </c>
      <c r="FF82" s="5">
        <f t="shared" si="305"/>
        <v>84.229669590045432</v>
      </c>
      <c r="FG82">
        <f t="shared" si="306"/>
        <v>77</v>
      </c>
      <c r="FI82" s="562">
        <f t="shared" si="268"/>
        <v>-50</v>
      </c>
      <c r="FJ82">
        <f t="shared" si="269"/>
        <v>-50</v>
      </c>
      <c r="FL82">
        <f t="shared" si="270"/>
        <v>0.57009251312425169</v>
      </c>
    </row>
    <row r="83" spans="5:168">
      <c r="E83" s="170">
        <v>78</v>
      </c>
      <c r="F83" s="217">
        <f t="shared" si="307"/>
        <v>0.78</v>
      </c>
      <c r="G83" s="217">
        <f t="shared" si="271"/>
        <v>0.19500000000000001</v>
      </c>
      <c r="H83" s="217">
        <f t="shared" si="176"/>
        <v>12.48</v>
      </c>
      <c r="I83" s="217">
        <f t="shared" si="308"/>
        <v>1.56</v>
      </c>
      <c r="J83" s="541">
        <f t="shared" si="177"/>
        <v>23.906965018042275</v>
      </c>
      <c r="K83" s="443">
        <f t="shared" si="178"/>
        <v>16.741045969665102</v>
      </c>
      <c r="L83" s="172">
        <f t="shared" si="179"/>
        <v>40.64801098770738</v>
      </c>
      <c r="M83" s="443"/>
      <c r="N83" s="217">
        <f t="shared" si="180"/>
        <v>0.411854001287489</v>
      </c>
      <c r="O83" s="172">
        <f t="shared" si="272"/>
        <v>21.880398225157194</v>
      </c>
      <c r="P83" s="172">
        <f t="shared" si="181"/>
        <v>3.0769310004127304</v>
      </c>
      <c r="Q83" s="217">
        <f t="shared" si="182"/>
        <v>1.3675248890723246</v>
      </c>
      <c r="R83" s="217">
        <f t="shared" si="183"/>
        <v>2.7350497781446492</v>
      </c>
      <c r="S83" s="443">
        <f t="shared" si="184"/>
        <v>16</v>
      </c>
      <c r="T83" s="217">
        <f t="shared" si="185"/>
        <v>2.8518676560582437</v>
      </c>
      <c r="U83" s="217">
        <f t="shared" si="186"/>
        <v>1.431482910811628</v>
      </c>
      <c r="V83" s="217">
        <f t="shared" si="187"/>
        <v>2.0442218446033888</v>
      </c>
      <c r="W83" s="197">
        <f t="shared" si="188"/>
        <v>350</v>
      </c>
      <c r="X83" s="443">
        <f t="shared" si="273"/>
        <v>272.05667118035217</v>
      </c>
      <c r="Z83" s="217">
        <f t="shared" si="189"/>
        <v>2.3443283812668421</v>
      </c>
      <c r="AA83" s="173">
        <f t="shared" si="190"/>
        <v>1.6804171391786025</v>
      </c>
      <c r="AB83" s="173">
        <f t="shared" si="191"/>
        <v>0.68940367855513529</v>
      </c>
      <c r="AC83" s="173"/>
      <c r="AD83" s="173">
        <f t="shared" si="192"/>
        <v>0.71680109007191595</v>
      </c>
      <c r="AE83" s="545">
        <f t="shared" si="193"/>
        <v>2176.3359760564631</v>
      </c>
      <c r="AF83" s="528">
        <f t="shared" si="194"/>
        <v>0.12544019076258531</v>
      </c>
      <c r="AH83" s="173">
        <f t="shared" si="195"/>
        <v>2.585674822114004</v>
      </c>
      <c r="AI83" s="173">
        <f t="shared" si="196"/>
        <v>2.8518676560582437</v>
      </c>
      <c r="AJ83" s="173">
        <f t="shared" si="197"/>
        <v>2.571753819302403</v>
      </c>
      <c r="AL83" s="545">
        <f t="shared" si="198"/>
        <v>780</v>
      </c>
      <c r="AM83" s="460">
        <f t="shared" si="199"/>
        <v>272.05667118035217</v>
      </c>
      <c r="AO83">
        <f t="shared" si="274"/>
        <v>780</v>
      </c>
      <c r="AP83">
        <f t="shared" si="200"/>
        <v>272.05667118035217</v>
      </c>
      <c r="AR83" s="5">
        <f t="shared" si="275"/>
        <v>3.6757047554150168</v>
      </c>
      <c r="AS83" s="5">
        <f t="shared" si="201"/>
        <v>1.431482910811628</v>
      </c>
      <c r="AT83" s="5">
        <f t="shared" si="276"/>
        <v>2.2442218446033886</v>
      </c>
      <c r="AU83" s="173">
        <f t="shared" si="277"/>
        <v>0.38944447556697248</v>
      </c>
      <c r="AW83" s="5">
        <f t="shared" si="202"/>
        <v>6.9784791902066861</v>
      </c>
      <c r="AX83" s="5">
        <f t="shared" si="203"/>
        <v>3.489239595103343</v>
      </c>
      <c r="AY83" s="5">
        <f t="shared" si="204"/>
        <v>0.97628064316239704</v>
      </c>
      <c r="AZ83" s="5"/>
      <c r="BA83" s="173">
        <f t="shared" si="278"/>
        <v>1.0275229108125143</v>
      </c>
      <c r="BB83" s="173">
        <f t="shared" si="205"/>
        <v>1.2865637865955544</v>
      </c>
      <c r="BC83" s="173">
        <f t="shared" si="206"/>
        <v>0.31596492994331998</v>
      </c>
      <c r="BD83" s="173"/>
      <c r="BE83" s="528">
        <f t="shared" si="207"/>
        <v>2.1116066644892448E-2</v>
      </c>
      <c r="BF83" s="528">
        <f t="shared" si="208"/>
        <v>0.57556041316404338</v>
      </c>
      <c r="BG83" s="528">
        <f t="shared" si="209"/>
        <v>0.14959313437917529</v>
      </c>
      <c r="BH83" s="528">
        <f t="shared" si="210"/>
        <v>0.22138297191856107</v>
      </c>
      <c r="BI83">
        <f t="shared" si="211"/>
        <v>1.0758134258119023E-2</v>
      </c>
      <c r="BJ83" s="460">
        <f t="shared" si="279"/>
        <v>160.35126863729431</v>
      </c>
      <c r="BK83">
        <f t="shared" si="212"/>
        <v>0.82791458409088226</v>
      </c>
      <c r="BL83" s="460">
        <f t="shared" si="280"/>
        <v>827.91458409088227</v>
      </c>
      <c r="BM83" s="173">
        <f t="shared" si="213"/>
        <v>0.48457499999999992</v>
      </c>
      <c r="BN83" s="173">
        <f t="shared" si="214"/>
        <v>8.6531250000000004E-2</v>
      </c>
      <c r="BO83" s="528"/>
      <c r="BQ83" s="460">
        <f t="shared" si="281"/>
        <v>571.10624999999993</v>
      </c>
      <c r="BR83" s="528">
        <f t="shared" si="215"/>
        <v>3.1674099967338665E-2</v>
      </c>
      <c r="BS83" s="528">
        <f t="shared" si="216"/>
        <v>4.9657391309372738E-2</v>
      </c>
      <c r="BT83" s="528">
        <f t="shared" si="217"/>
        <v>4.9916918477043554E-4</v>
      </c>
      <c r="BU83" s="528">
        <f t="shared" si="218"/>
        <v>0.83838186067753462</v>
      </c>
      <c r="BV83" s="528">
        <f t="shared" si="219"/>
        <v>0.94604511940555758</v>
      </c>
      <c r="BW83" s="625">
        <f t="shared" si="220"/>
        <v>1.1063387389437978E-2</v>
      </c>
      <c r="BX83" s="460">
        <f t="shared" si="282"/>
        <v>957.10850679499561</v>
      </c>
      <c r="BY83" s="173">
        <f t="shared" si="283"/>
        <v>2.3561293408858774</v>
      </c>
      <c r="BZ83" s="5">
        <f t="shared" si="284"/>
        <v>14.040000000000001</v>
      </c>
      <c r="CA83" s="173">
        <f t="shared" si="285"/>
        <v>0.85629966122488665</v>
      </c>
      <c r="CB83" s="5">
        <f t="shared" si="286"/>
        <v>85.629966122488668</v>
      </c>
      <c r="CC83">
        <f t="shared" si="287"/>
        <v>78</v>
      </c>
      <c r="CE83" s="562">
        <f t="shared" si="221"/>
        <v>-50</v>
      </c>
      <c r="CF83">
        <f t="shared" si="222"/>
        <v>-50</v>
      </c>
      <c r="CG83" s="173">
        <f t="shared" si="223"/>
        <v>0.57009251312425169</v>
      </c>
      <c r="CH83" s="173">
        <f t="shared" si="224"/>
        <v>0.20152561614275555</v>
      </c>
      <c r="CI83" s="170">
        <v>78</v>
      </c>
      <c r="CJ83" s="217">
        <f t="shared" si="309"/>
        <v>0.78</v>
      </c>
      <c r="CK83" s="217">
        <f t="shared" si="288"/>
        <v>0.19500000000000001</v>
      </c>
      <c r="CL83" s="217">
        <f t="shared" si="225"/>
        <v>12.48</v>
      </c>
      <c r="CM83" s="217">
        <f t="shared" si="310"/>
        <v>1.56</v>
      </c>
      <c r="CN83" s="541">
        <f t="shared" si="289"/>
        <v>24</v>
      </c>
      <c r="CO83" s="443">
        <f t="shared" si="226"/>
        <v>16.7</v>
      </c>
      <c r="CP83" s="443">
        <f t="shared" si="227"/>
        <v>40.700000000000003</v>
      </c>
      <c r="CQ83" s="443"/>
      <c r="CR83" s="217">
        <f t="shared" si="228"/>
        <v>0.40594059405940591</v>
      </c>
      <c r="CS83" s="172">
        <f t="shared" si="290"/>
        <v>21.650165016501649</v>
      </c>
      <c r="CT83" s="172">
        <f t="shared" si="229"/>
        <v>3.0445544554455446</v>
      </c>
      <c r="CU83" s="217">
        <f t="shared" si="230"/>
        <v>1.3531353135313531</v>
      </c>
      <c r="CV83" s="217">
        <f t="shared" si="231"/>
        <v>2.7062706270627062</v>
      </c>
      <c r="CW83" s="443">
        <f t="shared" si="232"/>
        <v>16</v>
      </c>
      <c r="CX83" s="217">
        <f t="shared" si="233"/>
        <v>2.8821951219512196</v>
      </c>
      <c r="CY83" s="217">
        <f t="shared" si="234"/>
        <v>1.4410975609756098</v>
      </c>
      <c r="CZ83" s="217">
        <f t="shared" si="235"/>
        <v>2.0710384109829123</v>
      </c>
      <c r="DA83" s="197">
        <f t="shared" si="236"/>
        <v>350</v>
      </c>
      <c r="DB83" s="443">
        <f t="shared" si="291"/>
        <v>284.72701740028469</v>
      </c>
      <c r="DD83" s="217">
        <f t="shared" si="237"/>
        <v>2.344682344682345</v>
      </c>
      <c r="DE83" s="173">
        <f t="shared" si="238"/>
        <v>1.6848016848016851</v>
      </c>
      <c r="DF83" s="173">
        <f t="shared" si="239"/>
        <v>0.69130683381297664</v>
      </c>
      <c r="DG83" s="173"/>
      <c r="DH83" s="173">
        <f t="shared" si="240"/>
        <v>0.71856287425149712</v>
      </c>
      <c r="DI83" s="545">
        <f t="shared" si="241"/>
        <v>2171</v>
      </c>
      <c r="DJ83" s="528">
        <f t="shared" si="242"/>
        <v>0.125748502994012</v>
      </c>
      <c r="DL83" s="173">
        <f t="shared" si="243"/>
        <v>2.585674822114004</v>
      </c>
      <c r="DM83" s="173">
        <f t="shared" si="244"/>
        <v>2.8821951219512196</v>
      </c>
      <c r="DN83" s="173">
        <f t="shared" si="245"/>
        <v>2.5942186088527555</v>
      </c>
      <c r="DP83" s="545">
        <f t="shared" si="246"/>
        <v>780</v>
      </c>
      <c r="DQ83" s="460">
        <f t="shared" si="247"/>
        <v>284.72701740028469</v>
      </c>
      <c r="DS83">
        <f t="shared" si="292"/>
        <v>780</v>
      </c>
      <c r="DT83">
        <f t="shared" si="248"/>
        <v>284.72701740028469</v>
      </c>
      <c r="DV83" s="5">
        <f t="shared" si="293"/>
        <v>3.5121359719585223</v>
      </c>
      <c r="DW83" s="5">
        <f t="shared" si="249"/>
        <v>1.4410975609756098</v>
      </c>
      <c r="DX83" s="5">
        <f t="shared" si="294"/>
        <v>2.0710384109829123</v>
      </c>
      <c r="DY83" s="173">
        <f t="shared" si="295"/>
        <v>0.41031941031941027</v>
      </c>
      <c r="EA83" s="5">
        <f t="shared" si="250"/>
        <v>7.0253506097560976</v>
      </c>
      <c r="EB83" s="5">
        <f t="shared" si="251"/>
        <v>3.5126753048780488</v>
      </c>
      <c r="EC83" s="5">
        <f t="shared" si="252"/>
        <v>0.8974499780925953</v>
      </c>
      <c r="ED83" s="5"/>
      <c r="EE83" s="173">
        <f t="shared" si="296"/>
        <v>1.0659179663080844</v>
      </c>
      <c r="EF83" s="173">
        <f t="shared" si="253"/>
        <v>1.277824373470303</v>
      </c>
      <c r="EG83" s="173">
        <f t="shared" si="254"/>
        <v>0.31381863289638323</v>
      </c>
      <c r="EH83" s="173"/>
      <c r="EI83" s="528">
        <f t="shared" si="255"/>
        <v>2.2723622217967251E-2</v>
      </c>
      <c r="EJ83" s="528">
        <f t="shared" si="256"/>
        <v>0.63460000000000005</v>
      </c>
      <c r="EK83" s="528">
        <f t="shared" si="257"/>
        <v>3.2743607001032744E-2</v>
      </c>
      <c r="EL83" s="528">
        <f t="shared" si="258"/>
        <v>0.23228637259879836</v>
      </c>
      <c r="EM83">
        <f t="shared" si="259"/>
        <v>1.0800000000000001E-2</v>
      </c>
      <c r="EN83" s="460">
        <f t="shared" si="297"/>
        <v>43.54360700103274</v>
      </c>
      <c r="EO83">
        <f t="shared" si="260"/>
        <v>0.94438785510903367</v>
      </c>
      <c r="EP83" s="460">
        <f t="shared" si="298"/>
        <v>944.38785510903369</v>
      </c>
      <c r="EQ83" s="173">
        <f t="shared" si="261"/>
        <v>0.48457499999999992</v>
      </c>
      <c r="ER83" s="173">
        <f t="shared" si="262"/>
        <v>8.6531250000000004E-2</v>
      </c>
      <c r="ES83" s="528"/>
      <c r="EU83" s="460">
        <f t="shared" si="299"/>
        <v>571.10624999999993</v>
      </c>
      <c r="EV83" s="528">
        <f t="shared" si="263"/>
        <v>3.4085433326950874E-2</v>
      </c>
      <c r="EW83" s="528">
        <f t="shared" si="300"/>
        <v>4.8985053883043167E-2</v>
      </c>
      <c r="EX83" s="528">
        <f t="shared" si="264"/>
        <v>4.9241067176477476E-4</v>
      </c>
      <c r="EY83" s="528">
        <f t="shared" si="265"/>
        <v>0.96460642051434087</v>
      </c>
      <c r="EZ83" s="528">
        <f t="shared" si="266"/>
        <v>1.0754135879541915</v>
      </c>
      <c r="FA83" s="625">
        <f t="shared" si="267"/>
        <v>1.1826206028645054E-2</v>
      </c>
      <c r="FB83" s="460">
        <f t="shared" si="301"/>
        <v>1087.2397939828365</v>
      </c>
      <c r="FC83" s="173">
        <f t="shared" si="302"/>
        <v>2.60273389909187</v>
      </c>
      <c r="FD83" s="5">
        <f t="shared" si="303"/>
        <v>14.040000000000001</v>
      </c>
      <c r="FE83" s="173">
        <f t="shared" si="304"/>
        <v>0.84361139732974444</v>
      </c>
      <c r="FF83" s="5">
        <f t="shared" si="305"/>
        <v>84.361139732974451</v>
      </c>
      <c r="FG83">
        <f t="shared" si="306"/>
        <v>78</v>
      </c>
      <c r="FI83" s="562">
        <f t="shared" si="268"/>
        <v>-50</v>
      </c>
      <c r="FJ83">
        <f t="shared" si="269"/>
        <v>-50</v>
      </c>
      <c r="FL83">
        <f t="shared" si="270"/>
        <v>0.57009251312425169</v>
      </c>
    </row>
    <row r="84" spans="5:168">
      <c r="E84" s="170">
        <v>79</v>
      </c>
      <c r="F84" s="217">
        <f t="shared" si="307"/>
        <v>0.79</v>
      </c>
      <c r="G84" s="217">
        <f t="shared" si="271"/>
        <v>0.19750000000000001</v>
      </c>
      <c r="H84" s="217">
        <f t="shared" si="176"/>
        <v>12.64</v>
      </c>
      <c r="I84" s="217">
        <f t="shared" si="308"/>
        <v>1.58</v>
      </c>
      <c r="J84" s="541">
        <f t="shared" si="177"/>
        <v>23.90577226186333</v>
      </c>
      <c r="K84" s="443">
        <f t="shared" si="178"/>
        <v>16.741572200045425</v>
      </c>
      <c r="L84" s="172">
        <f t="shared" si="179"/>
        <v>40.647344461908759</v>
      </c>
      <c r="M84" s="443"/>
      <c r="N84" s="217">
        <f t="shared" si="180"/>
        <v>0.4118737010171527</v>
      </c>
      <c r="O84" s="172">
        <f t="shared" si="272"/>
        <v>21.8803531048152</v>
      </c>
      <c r="P84" s="172">
        <f t="shared" si="181"/>
        <v>3.0769246553646372</v>
      </c>
      <c r="Q84" s="217">
        <f t="shared" si="182"/>
        <v>1.36752206905095</v>
      </c>
      <c r="R84" s="217">
        <f t="shared" si="183"/>
        <v>2.7350441381018999</v>
      </c>
      <c r="S84" s="443">
        <f t="shared" si="184"/>
        <v>16</v>
      </c>
      <c r="T84" s="217">
        <f t="shared" si="185"/>
        <v>2.8884360182510771</v>
      </c>
      <c r="U84" s="217">
        <f t="shared" si="186"/>
        <v>1.4499105839097985</v>
      </c>
      <c r="V84" s="217">
        <f t="shared" si="187"/>
        <v>2.0703690074531278</v>
      </c>
      <c r="W84" s="197">
        <f t="shared" si="188"/>
        <v>350</v>
      </c>
      <c r="X84" s="443">
        <f t="shared" si="273"/>
        <v>268.79700179567675</v>
      </c>
      <c r="Z84" s="217">
        <f t="shared" si="189"/>
        <v>2.3443235469444859</v>
      </c>
      <c r="AA84" s="173">
        <f t="shared" si="190"/>
        <v>1.6803608542367066</v>
      </c>
      <c r="AB84" s="173">
        <f t="shared" si="191"/>
        <v>0.68937916564140089</v>
      </c>
      <c r="AC84" s="173"/>
      <c r="AD84" s="173">
        <f t="shared" si="192"/>
        <v>0.71677855918259814</v>
      </c>
      <c r="AE84" s="545">
        <f t="shared" si="193"/>
        <v>2204.3070063393143</v>
      </c>
      <c r="AF84" s="528">
        <f t="shared" si="194"/>
        <v>0.12543624785695467</v>
      </c>
      <c r="AH84" s="173">
        <f t="shared" si="195"/>
        <v>2.6021968740717085</v>
      </c>
      <c r="AI84" s="173">
        <f t="shared" si="196"/>
        <v>2.8884360182510771</v>
      </c>
      <c r="AJ84" s="173">
        <f t="shared" si="197"/>
        <v>2.5988414950007979</v>
      </c>
      <c r="AL84" s="545">
        <f t="shared" si="198"/>
        <v>790</v>
      </c>
      <c r="AM84" s="460">
        <f t="shared" si="199"/>
        <v>268.79700179567675</v>
      </c>
      <c r="AO84">
        <f t="shared" si="274"/>
        <v>790</v>
      </c>
      <c r="AP84">
        <f t="shared" si="200"/>
        <v>268.79700179567675</v>
      </c>
      <c r="AR84" s="5">
        <f t="shared" si="275"/>
        <v>3.7202795913629259</v>
      </c>
      <c r="AS84" s="5">
        <f t="shared" si="201"/>
        <v>1.4499105839097985</v>
      </c>
      <c r="AT84" s="5">
        <f t="shared" si="276"/>
        <v>2.2703690074531275</v>
      </c>
      <c r="AU84" s="173">
        <f t="shared" si="277"/>
        <v>0.38973161782677285</v>
      </c>
      <c r="AW84" s="5">
        <f t="shared" si="202"/>
        <v>7.1589335080546306</v>
      </c>
      <c r="AX84" s="5">
        <f t="shared" si="203"/>
        <v>3.5794667540273153</v>
      </c>
      <c r="AY84" s="5">
        <f t="shared" si="204"/>
        <v>1.0003673289954167</v>
      </c>
      <c r="AZ84" s="5"/>
      <c r="BA84" s="173">
        <f t="shared" si="278"/>
        <v>1.0410820167845141</v>
      </c>
      <c r="BB84" s="173">
        <f t="shared" si="205"/>
        <v>1.3027544325407612</v>
      </c>
      <c r="BC84" s="173">
        <f t="shared" si="206"/>
        <v>0.3199411621092752</v>
      </c>
      <c r="BD84" s="173"/>
      <c r="BE84" s="528">
        <f t="shared" si="207"/>
        <v>2.1677035313442224E-2</v>
      </c>
      <c r="BF84" s="528">
        <f t="shared" si="208"/>
        <v>0.57594659999281916</v>
      </c>
      <c r="BG84" s="528">
        <f t="shared" si="209"/>
        <v>0.1477933979207797</v>
      </c>
      <c r="BH84" s="528">
        <f t="shared" si="210"/>
        <v>0.21872328042309599</v>
      </c>
      <c r="BI84">
        <f t="shared" si="211"/>
        <v>1.0757597517838498E-2</v>
      </c>
      <c r="BJ84" s="460">
        <f t="shared" si="279"/>
        <v>158.5509954386182</v>
      </c>
      <c r="BK84">
        <f t="shared" si="212"/>
        <v>0.82645634859654926</v>
      </c>
      <c r="BL84" s="460">
        <f t="shared" si="280"/>
        <v>826.45634859654922</v>
      </c>
      <c r="BM84" s="173">
        <f t="shared" si="213"/>
        <v>0.49078749999999993</v>
      </c>
      <c r="BN84" s="173">
        <f t="shared" si="214"/>
        <v>8.7640625E-2</v>
      </c>
      <c r="BO84" s="528"/>
      <c r="BQ84" s="460">
        <f t="shared" si="281"/>
        <v>578.42812499999991</v>
      </c>
      <c r="BR84" s="528">
        <f t="shared" si="215"/>
        <v>3.2515552970163335E-2</v>
      </c>
      <c r="BS84" s="528">
        <f t="shared" si="216"/>
        <v>5.0915073345138014E-2</v>
      </c>
      <c r="BT84" s="528">
        <f t="shared" si="217"/>
        <v>5.1181173605916754E-4</v>
      </c>
      <c r="BU84" s="528">
        <f t="shared" si="218"/>
        <v>0.83982332938425408</v>
      </c>
      <c r="BV84" s="528">
        <f t="shared" si="219"/>
        <v>0.95029354915840814</v>
      </c>
      <c r="BW84" s="625">
        <f t="shared" si="220"/>
        <v>1.1212951105744249E-2</v>
      </c>
      <c r="BX84" s="460">
        <f t="shared" si="282"/>
        <v>961.50650026415246</v>
      </c>
      <c r="BY84" s="173">
        <f t="shared" si="283"/>
        <v>2.3663909738607019</v>
      </c>
      <c r="BZ84" s="5">
        <f t="shared" si="284"/>
        <v>14.22</v>
      </c>
      <c r="CA84" s="173">
        <f t="shared" si="285"/>
        <v>0.8573293625123144</v>
      </c>
      <c r="CB84" s="5">
        <f t="shared" si="286"/>
        <v>85.732936251231436</v>
      </c>
      <c r="CC84">
        <f t="shared" si="287"/>
        <v>79</v>
      </c>
      <c r="CE84" s="562">
        <f t="shared" si="221"/>
        <v>-50</v>
      </c>
      <c r="CF84">
        <f t="shared" si="222"/>
        <v>-50</v>
      </c>
      <c r="CG84" s="173">
        <f t="shared" si="223"/>
        <v>0.57009251312425169</v>
      </c>
      <c r="CH84" s="173">
        <f t="shared" si="224"/>
        <v>0.20152561614275555</v>
      </c>
      <c r="CI84" s="170">
        <v>79</v>
      </c>
      <c r="CJ84" s="217">
        <f t="shared" si="309"/>
        <v>0.79</v>
      </c>
      <c r="CK84" s="217">
        <f t="shared" si="288"/>
        <v>0.19750000000000001</v>
      </c>
      <c r="CL84" s="217">
        <f t="shared" si="225"/>
        <v>12.64</v>
      </c>
      <c r="CM84" s="217">
        <f t="shared" si="310"/>
        <v>1.58</v>
      </c>
      <c r="CN84" s="541">
        <f t="shared" si="289"/>
        <v>24</v>
      </c>
      <c r="CO84" s="443">
        <f t="shared" si="226"/>
        <v>16.7</v>
      </c>
      <c r="CP84" s="443">
        <f t="shared" si="227"/>
        <v>40.700000000000003</v>
      </c>
      <c r="CQ84" s="443"/>
      <c r="CR84" s="217">
        <f t="shared" si="228"/>
        <v>0.40594059405940591</v>
      </c>
      <c r="CS84" s="172">
        <f t="shared" si="290"/>
        <v>21.650165016501649</v>
      </c>
      <c r="CT84" s="172">
        <f t="shared" si="229"/>
        <v>3.0445544554455446</v>
      </c>
      <c r="CU84" s="217">
        <f t="shared" si="230"/>
        <v>1.3531353135313531</v>
      </c>
      <c r="CV84" s="217">
        <f t="shared" si="231"/>
        <v>2.7062706270627062</v>
      </c>
      <c r="CW84" s="443">
        <f t="shared" si="232"/>
        <v>16</v>
      </c>
      <c r="CX84" s="217">
        <f t="shared" si="233"/>
        <v>2.9191463414634149</v>
      </c>
      <c r="CY84" s="217">
        <f t="shared" si="234"/>
        <v>1.4595731707317074</v>
      </c>
      <c r="CZ84" s="217">
        <f t="shared" si="235"/>
        <v>2.0975901854826935</v>
      </c>
      <c r="DA84" s="197">
        <f t="shared" si="236"/>
        <v>350</v>
      </c>
      <c r="DB84" s="443">
        <f t="shared" si="291"/>
        <v>281.12287793952157</v>
      </c>
      <c r="DD84" s="217">
        <f t="shared" si="237"/>
        <v>2.344682344682345</v>
      </c>
      <c r="DE84" s="173">
        <f t="shared" si="238"/>
        <v>1.6848016848016851</v>
      </c>
      <c r="DF84" s="173">
        <f t="shared" si="239"/>
        <v>0.69130683381297664</v>
      </c>
      <c r="DG84" s="173"/>
      <c r="DH84" s="173">
        <f t="shared" si="240"/>
        <v>0.71856287425149712</v>
      </c>
      <c r="DI84" s="545">
        <f t="shared" si="241"/>
        <v>2198.833333333333</v>
      </c>
      <c r="DJ84" s="528">
        <f t="shared" si="242"/>
        <v>0.125748502994012</v>
      </c>
      <c r="DL84" s="173">
        <f t="shared" si="243"/>
        <v>2.6021968740717085</v>
      </c>
      <c r="DM84" s="173">
        <f t="shared" si="244"/>
        <v>2.9191463414634149</v>
      </c>
      <c r="DN84" s="173">
        <f t="shared" si="245"/>
        <v>2.6215898825654929</v>
      </c>
      <c r="DP84" s="545">
        <f t="shared" si="246"/>
        <v>790</v>
      </c>
      <c r="DQ84" s="460">
        <f t="shared" si="247"/>
        <v>281.12287793952157</v>
      </c>
      <c r="DS84">
        <f t="shared" si="292"/>
        <v>790</v>
      </c>
      <c r="DT84">
        <f t="shared" si="248"/>
        <v>281.12287793952157</v>
      </c>
      <c r="DV84" s="5">
        <f t="shared" si="293"/>
        <v>3.5571633562144012</v>
      </c>
      <c r="DW84" s="5">
        <f t="shared" si="249"/>
        <v>1.4595731707317074</v>
      </c>
      <c r="DX84" s="5">
        <f t="shared" si="294"/>
        <v>2.0975901854826935</v>
      </c>
      <c r="DY84" s="173">
        <f t="shared" si="295"/>
        <v>0.41031941031941027</v>
      </c>
      <c r="EA84" s="5">
        <f t="shared" si="250"/>
        <v>7.2066425304878052</v>
      </c>
      <c r="EB84" s="5">
        <f t="shared" si="251"/>
        <v>3.6033212652439026</v>
      </c>
      <c r="EC84" s="5">
        <f t="shared" si="252"/>
        <v>0.92060902585073767</v>
      </c>
      <c r="ED84" s="5"/>
      <c r="EE84" s="173">
        <f t="shared" si="296"/>
        <v>1.0795835812607522</v>
      </c>
      <c r="EF84" s="173">
        <f t="shared" si="253"/>
        <v>1.2942067372327428</v>
      </c>
      <c r="EG84" s="173">
        <f t="shared" si="254"/>
        <v>0.31784194870274712</v>
      </c>
      <c r="EH84" s="173"/>
      <c r="EI84" s="528">
        <f t="shared" si="255"/>
        <v>2.3310014178555823E-2</v>
      </c>
      <c r="EJ84" s="528">
        <f t="shared" si="256"/>
        <v>0.63460000000000005</v>
      </c>
      <c r="EK84" s="528">
        <f t="shared" si="257"/>
        <v>3.2329130963044982E-2</v>
      </c>
      <c r="EL84" s="528">
        <f t="shared" si="258"/>
        <v>0.22934603876843382</v>
      </c>
      <c r="EM84">
        <f t="shared" si="259"/>
        <v>1.0800000000000001E-2</v>
      </c>
      <c r="EN84" s="460">
        <f t="shared" si="297"/>
        <v>43.129130963044979</v>
      </c>
      <c r="EO84">
        <f t="shared" si="260"/>
        <v>0.94189553790460701</v>
      </c>
      <c r="EP84" s="460">
        <f t="shared" si="298"/>
        <v>941.89553790460695</v>
      </c>
      <c r="EQ84" s="173">
        <f t="shared" si="261"/>
        <v>0.49078749999999993</v>
      </c>
      <c r="ER84" s="173">
        <f t="shared" si="262"/>
        <v>8.7640625E-2</v>
      </c>
      <c r="ES84" s="528"/>
      <c r="EU84" s="460">
        <f t="shared" si="299"/>
        <v>578.42812499999991</v>
      </c>
      <c r="EV84" s="528">
        <f t="shared" si="263"/>
        <v>3.4965021267833733E-2</v>
      </c>
      <c r="EW84" s="528">
        <f t="shared" si="300"/>
        <v>5.0249132360958654E-2</v>
      </c>
      <c r="EX84" s="528">
        <f t="shared" si="264"/>
        <v>5.051175217757987E-4</v>
      </c>
      <c r="EY84" s="528">
        <f t="shared" si="265"/>
        <v>0.96460642051434009</v>
      </c>
      <c r="EZ84" s="528">
        <f t="shared" si="266"/>
        <v>1.0782927542596104</v>
      </c>
      <c r="FA84" s="625">
        <f t="shared" si="267"/>
        <v>1.1977824054653323E-2</v>
      </c>
      <c r="FB84" s="460">
        <f t="shared" si="301"/>
        <v>1090.2705783142637</v>
      </c>
      <c r="FC84" s="173">
        <f t="shared" si="302"/>
        <v>2.6105942412188705</v>
      </c>
      <c r="FD84" s="5">
        <f t="shared" si="303"/>
        <v>14.22</v>
      </c>
      <c r="FE84" s="173">
        <f t="shared" si="304"/>
        <v>0.84488995434127867</v>
      </c>
      <c r="FF84" s="5">
        <f t="shared" si="305"/>
        <v>84.488995434127872</v>
      </c>
      <c r="FG84">
        <f t="shared" si="306"/>
        <v>79</v>
      </c>
      <c r="FI84" s="562">
        <f t="shared" si="268"/>
        <v>-50</v>
      </c>
      <c r="FJ84">
        <f t="shared" si="269"/>
        <v>-50</v>
      </c>
      <c r="FL84">
        <f t="shared" si="270"/>
        <v>0.57009251312425158</v>
      </c>
    </row>
    <row r="85" spans="5:168">
      <c r="E85" s="170">
        <v>80</v>
      </c>
      <c r="F85" s="217">
        <f t="shared" si="307"/>
        <v>0.8</v>
      </c>
      <c r="G85" s="217">
        <f t="shared" si="271"/>
        <v>0.2</v>
      </c>
      <c r="H85" s="217">
        <f t="shared" si="176"/>
        <v>12.8</v>
      </c>
      <c r="I85" s="217">
        <f t="shared" si="308"/>
        <v>1.6</v>
      </c>
      <c r="J85" s="541">
        <f t="shared" si="177"/>
        <v>23.904579505684385</v>
      </c>
      <c r="K85" s="443">
        <f t="shared" si="178"/>
        <v>16.742098430425745</v>
      </c>
      <c r="L85" s="172">
        <f t="shared" si="179"/>
        <v>40.64667793611013</v>
      </c>
      <c r="M85" s="443"/>
      <c r="N85" s="217">
        <f t="shared" si="180"/>
        <v>0.41189340139289021</v>
      </c>
      <c r="O85" s="172">
        <f t="shared" si="272"/>
        <v>21.880307914362479</v>
      </c>
      <c r="P85" s="172">
        <f t="shared" si="181"/>
        <v>3.0769183004572236</v>
      </c>
      <c r="Q85" s="217">
        <f t="shared" si="182"/>
        <v>1.367519244647655</v>
      </c>
      <c r="R85" s="217">
        <f t="shared" si="183"/>
        <v>2.7350384892953099</v>
      </c>
      <c r="S85" s="443">
        <f t="shared" si="184"/>
        <v>16</v>
      </c>
      <c r="T85" s="217">
        <f t="shared" si="185"/>
        <v>2.9250045406349003</v>
      </c>
      <c r="U85" s="217">
        <f t="shared" si="186"/>
        <v>1.4683401763780111</v>
      </c>
      <c r="V85" s="217">
        <f t="shared" si="187"/>
        <v>2.0965146414281488</v>
      </c>
      <c r="W85" s="197">
        <f t="shared" si="188"/>
        <v>350</v>
      </c>
      <c r="X85" s="443">
        <f t="shared" si="273"/>
        <v>265.61449203045646</v>
      </c>
      <c r="Z85" s="217">
        <f t="shared" si="189"/>
        <v>2.3443187051102661</v>
      </c>
      <c r="AA85" s="173">
        <f t="shared" si="190"/>
        <v>1.6803045674488852</v>
      </c>
      <c r="AB85" s="173">
        <f t="shared" si="191"/>
        <v>0.68935464985671135</v>
      </c>
      <c r="AC85" s="173"/>
      <c r="AD85" s="173">
        <f t="shared" si="192"/>
        <v>0.71675602970964281</v>
      </c>
      <c r="AE85" s="545">
        <f t="shared" si="193"/>
        <v>2232.2797907234326</v>
      </c>
      <c r="AF85" s="528">
        <f t="shared" si="194"/>
        <v>0.12543230519918749</v>
      </c>
      <c r="AH85" s="173">
        <f t="shared" si="195"/>
        <v>2.6186146828319083</v>
      </c>
      <c r="AI85" s="173">
        <f t="shared" si="196"/>
        <v>2.9250045406349003</v>
      </c>
      <c r="AJ85" s="173">
        <f t="shared" si="197"/>
        <v>2.6259292893591857</v>
      </c>
      <c r="AL85" s="545">
        <f t="shared" si="198"/>
        <v>800</v>
      </c>
      <c r="AM85" s="460">
        <f t="shared" si="199"/>
        <v>265.61449203045646</v>
      </c>
      <c r="AO85">
        <f t="shared" si="274"/>
        <v>800</v>
      </c>
      <c r="AP85">
        <f t="shared" si="200"/>
        <v>265.61449203045646</v>
      </c>
      <c r="AR85" s="5">
        <f t="shared" si="275"/>
        <v>3.7648548178061603</v>
      </c>
      <c r="AS85" s="5">
        <f t="shared" si="201"/>
        <v>1.4683401763780111</v>
      </c>
      <c r="AT85" s="5">
        <f t="shared" si="276"/>
        <v>2.296514641428149</v>
      </c>
      <c r="AU85" s="173">
        <f t="shared" si="277"/>
        <v>0.39001243007655628</v>
      </c>
      <c r="AW85" s="5">
        <f t="shared" si="202"/>
        <v>7.3417008818900555</v>
      </c>
      <c r="AX85" s="5">
        <f t="shared" si="203"/>
        <v>3.6708504409450278</v>
      </c>
      <c r="AY85" s="5">
        <f t="shared" si="204"/>
        <v>1.0247474200250426</v>
      </c>
      <c r="AZ85" s="5"/>
      <c r="BA85" s="173">
        <f t="shared" si="278"/>
        <v>1.0546421915939832</v>
      </c>
      <c r="BB85" s="173">
        <f t="shared" si="205"/>
        <v>1.3189441618032085</v>
      </c>
      <c r="BC85" s="173">
        <f t="shared" si="206"/>
        <v>0.32391716914872914</v>
      </c>
      <c r="BD85" s="173"/>
      <c r="BE85" s="528">
        <f t="shared" si="207"/>
        <v>2.2245403045803198E-2</v>
      </c>
      <c r="BF85" s="528">
        <f t="shared" si="208"/>
        <v>0.57632337761507912</v>
      </c>
      <c r="BG85" s="528">
        <f t="shared" si="209"/>
        <v>0.1460362630798924</v>
      </c>
      <c r="BH85" s="528">
        <f t="shared" si="210"/>
        <v>0.21612654665147596</v>
      </c>
      <c r="BI85">
        <f t="shared" si="211"/>
        <v>1.0757060777557973E-2</v>
      </c>
      <c r="BJ85" s="460">
        <f t="shared" si="279"/>
        <v>156.79332385745036</v>
      </c>
      <c r="BK85">
        <f t="shared" si="212"/>
        <v>0.82506246017349538</v>
      </c>
      <c r="BL85" s="460">
        <f t="shared" si="280"/>
        <v>825.06246017349542</v>
      </c>
      <c r="BM85" s="173">
        <f t="shared" si="213"/>
        <v>0.49699999999999994</v>
      </c>
      <c r="BN85" s="173">
        <f t="shared" si="214"/>
        <v>8.8749999999999996E-2</v>
      </c>
      <c r="BO85" s="528"/>
      <c r="BQ85" s="460">
        <f t="shared" si="281"/>
        <v>585.75</v>
      </c>
      <c r="BR85" s="528">
        <f t="shared" si="215"/>
        <v>3.3368104568704794E-2</v>
      </c>
      <c r="BS85" s="528">
        <f t="shared" si="216"/>
        <v>5.2188411058643046E-2</v>
      </c>
      <c r="BT85" s="528">
        <f t="shared" si="217"/>
        <v>5.2461166234663199E-4</v>
      </c>
      <c r="BU85" s="528">
        <f t="shared" si="218"/>
        <v>0.84123199559157169</v>
      </c>
      <c r="BV85" s="528">
        <f t="shared" si="219"/>
        <v>0.95454606554052657</v>
      </c>
      <c r="BW85" s="625">
        <f t="shared" si="220"/>
        <v>1.1362525219126906E-2</v>
      </c>
      <c r="BX85" s="460">
        <f t="shared" si="282"/>
        <v>965.90859075965352</v>
      </c>
      <c r="BY85" s="173">
        <f t="shared" si="283"/>
        <v>2.3767210509331487</v>
      </c>
      <c r="BZ85" s="5">
        <f t="shared" si="284"/>
        <v>14.4</v>
      </c>
      <c r="CA85" s="173">
        <f t="shared" si="285"/>
        <v>0.85833220665006227</v>
      </c>
      <c r="CB85" s="5">
        <f t="shared" si="286"/>
        <v>85.833220665006223</v>
      </c>
      <c r="CC85">
        <f t="shared" si="287"/>
        <v>80</v>
      </c>
      <c r="CE85" s="562">
        <f t="shared" si="221"/>
        <v>-50</v>
      </c>
      <c r="CF85">
        <f t="shared" si="222"/>
        <v>-50</v>
      </c>
      <c r="CG85" s="173">
        <f t="shared" si="223"/>
        <v>0.57009251312425169</v>
      </c>
      <c r="CH85" s="173">
        <f t="shared" si="224"/>
        <v>0.20152561614275555</v>
      </c>
      <c r="CI85" s="170">
        <v>80</v>
      </c>
      <c r="CJ85" s="217">
        <f t="shared" si="309"/>
        <v>0.8</v>
      </c>
      <c r="CK85" s="217">
        <f t="shared" si="288"/>
        <v>0.2</v>
      </c>
      <c r="CL85" s="217">
        <f t="shared" si="225"/>
        <v>12.8</v>
      </c>
      <c r="CM85" s="217">
        <f t="shared" si="310"/>
        <v>1.6</v>
      </c>
      <c r="CN85" s="541">
        <f t="shared" si="289"/>
        <v>24</v>
      </c>
      <c r="CO85" s="443">
        <f t="shared" si="226"/>
        <v>16.7</v>
      </c>
      <c r="CP85" s="443">
        <f t="shared" si="227"/>
        <v>40.700000000000003</v>
      </c>
      <c r="CQ85" s="443"/>
      <c r="CR85" s="217">
        <f t="shared" si="228"/>
        <v>0.40594059405940591</v>
      </c>
      <c r="CS85" s="172">
        <f t="shared" si="290"/>
        <v>21.650165016501649</v>
      </c>
      <c r="CT85" s="172">
        <f t="shared" si="229"/>
        <v>3.0445544554455446</v>
      </c>
      <c r="CU85" s="217">
        <f t="shared" si="230"/>
        <v>1.3531353135313531</v>
      </c>
      <c r="CV85" s="217">
        <f t="shared" si="231"/>
        <v>2.7062706270627062</v>
      </c>
      <c r="CW85" s="443">
        <f t="shared" si="232"/>
        <v>16</v>
      </c>
      <c r="CX85" s="217">
        <f t="shared" si="233"/>
        <v>2.9560975609756097</v>
      </c>
      <c r="CY85" s="217">
        <f t="shared" si="234"/>
        <v>1.4780487804878051</v>
      </c>
      <c r="CZ85" s="217">
        <f t="shared" si="235"/>
        <v>2.1241419599824742</v>
      </c>
      <c r="DA85" s="197">
        <f t="shared" si="236"/>
        <v>350</v>
      </c>
      <c r="DB85" s="443">
        <f t="shared" si="291"/>
        <v>277.60884196527758</v>
      </c>
      <c r="DD85" s="217">
        <f t="shared" si="237"/>
        <v>2.344682344682345</v>
      </c>
      <c r="DE85" s="173">
        <f t="shared" si="238"/>
        <v>1.6848016848016851</v>
      </c>
      <c r="DF85" s="173">
        <f t="shared" si="239"/>
        <v>0.69130683381297664</v>
      </c>
      <c r="DG85" s="173"/>
      <c r="DH85" s="173">
        <f t="shared" si="240"/>
        <v>0.71856287425149712</v>
      </c>
      <c r="DI85" s="545">
        <f t="shared" si="241"/>
        <v>2226.6666666666665</v>
      </c>
      <c r="DJ85" s="528">
        <f t="shared" si="242"/>
        <v>0.125748502994012</v>
      </c>
      <c r="DL85" s="173">
        <f t="shared" si="243"/>
        <v>2.6186146828319083</v>
      </c>
      <c r="DM85" s="173">
        <f t="shared" si="244"/>
        <v>2.9560975609756097</v>
      </c>
      <c r="DN85" s="173">
        <f t="shared" si="245"/>
        <v>2.6489611562782294</v>
      </c>
      <c r="DP85" s="545">
        <f t="shared" si="246"/>
        <v>800</v>
      </c>
      <c r="DQ85" s="460">
        <f t="shared" si="247"/>
        <v>277.60884196527758</v>
      </c>
      <c r="DS85">
        <f t="shared" si="292"/>
        <v>800</v>
      </c>
      <c r="DT85">
        <f t="shared" si="248"/>
        <v>277.60884196527758</v>
      </c>
      <c r="DV85" s="5">
        <f t="shared" si="293"/>
        <v>3.6021907404702791</v>
      </c>
      <c r="DW85" s="5">
        <f t="shared" si="249"/>
        <v>1.4780487804878051</v>
      </c>
      <c r="DX85" s="5">
        <f t="shared" si="294"/>
        <v>2.1241419599824738</v>
      </c>
      <c r="DY85" s="173">
        <f t="shared" si="295"/>
        <v>0.41031941031941038</v>
      </c>
      <c r="EA85" s="5">
        <f t="shared" si="250"/>
        <v>7.3902439024390256</v>
      </c>
      <c r="EB85" s="5">
        <f t="shared" si="251"/>
        <v>3.6951219512195128</v>
      </c>
      <c r="EC85" s="5">
        <f t="shared" si="252"/>
        <v>0.94406309332554383</v>
      </c>
      <c r="ED85" s="5"/>
      <c r="EE85" s="173">
        <f t="shared" si="296"/>
        <v>1.0932491962134199</v>
      </c>
      <c r="EF85" s="173">
        <f t="shared" si="253"/>
        <v>1.3105891009951824</v>
      </c>
      <c r="EG85" s="173">
        <f t="shared" si="254"/>
        <v>0.32186526450911102</v>
      </c>
      <c r="EH85" s="173"/>
      <c r="EI85" s="528">
        <f t="shared" si="255"/>
        <v>2.3903876100425773E-2</v>
      </c>
      <c r="EJ85" s="528">
        <f t="shared" si="256"/>
        <v>0.63460000000000005</v>
      </c>
      <c r="EK85" s="528">
        <f t="shared" si="257"/>
        <v>3.192501682600693E-2</v>
      </c>
      <c r="EL85" s="528">
        <f t="shared" si="258"/>
        <v>0.22647921328382839</v>
      </c>
      <c r="EM85">
        <f t="shared" si="259"/>
        <v>1.0800000000000001E-2</v>
      </c>
      <c r="EN85" s="460">
        <f t="shared" si="297"/>
        <v>42.725016826006936</v>
      </c>
      <c r="EO85">
        <f t="shared" si="260"/>
        <v>0.93949808942946711</v>
      </c>
      <c r="EP85" s="460">
        <f t="shared" si="298"/>
        <v>939.49808942946709</v>
      </c>
      <c r="EQ85" s="173">
        <f t="shared" si="261"/>
        <v>0.49699999999999994</v>
      </c>
      <c r="ER85" s="173">
        <f t="shared" si="262"/>
        <v>8.8749999999999996E-2</v>
      </c>
      <c r="ES85" s="528"/>
      <c r="EU85" s="460">
        <f t="shared" si="299"/>
        <v>585.75</v>
      </c>
      <c r="EV85" s="528">
        <f t="shared" si="263"/>
        <v>3.5855814150638661E-2</v>
      </c>
      <c r="EW85" s="528">
        <f t="shared" si="300"/>
        <v>5.1529313749420817E-2</v>
      </c>
      <c r="EX85" s="528">
        <f t="shared" si="264"/>
        <v>5.179862424876E-4</v>
      </c>
      <c r="EY85" s="528">
        <f t="shared" si="265"/>
        <v>0.96460642051434142</v>
      </c>
      <c r="EZ85" s="528">
        <f t="shared" si="266"/>
        <v>1.0812096174442376</v>
      </c>
      <c r="FA85" s="625">
        <f t="shared" si="267"/>
        <v>1.2129442080661591E-2</v>
      </c>
      <c r="FB85" s="460">
        <f t="shared" si="301"/>
        <v>1093.3390595248993</v>
      </c>
      <c r="FC85" s="173">
        <f t="shared" si="302"/>
        <v>2.618587148954366</v>
      </c>
      <c r="FD85" s="5">
        <f t="shared" si="303"/>
        <v>14.4</v>
      </c>
      <c r="FE85" s="173">
        <f t="shared" si="304"/>
        <v>0.84613369335331379</v>
      </c>
      <c r="FF85" s="5">
        <f t="shared" si="305"/>
        <v>84.613369335331384</v>
      </c>
      <c r="FG85">
        <f t="shared" si="306"/>
        <v>80</v>
      </c>
      <c r="FI85" s="562">
        <f t="shared" si="268"/>
        <v>-50</v>
      </c>
      <c r="FJ85">
        <f t="shared" si="269"/>
        <v>-50</v>
      </c>
      <c r="FL85">
        <f t="shared" si="270"/>
        <v>0.57009251312425169</v>
      </c>
    </row>
    <row r="86" spans="5:168">
      <c r="E86" s="170">
        <v>81</v>
      </c>
      <c r="F86" s="217">
        <f t="shared" si="307"/>
        <v>0.81</v>
      </c>
      <c r="G86" s="217">
        <f t="shared" si="271"/>
        <v>0.20250000000000001</v>
      </c>
      <c r="H86" s="217">
        <f t="shared" si="176"/>
        <v>12.96</v>
      </c>
      <c r="I86" s="217">
        <f t="shared" si="308"/>
        <v>1.62</v>
      </c>
      <c r="J86" s="541">
        <f t="shared" si="177"/>
        <v>23.90338674950544</v>
      </c>
      <c r="K86" s="443">
        <f t="shared" si="178"/>
        <v>16.742624660806069</v>
      </c>
      <c r="L86" s="172">
        <f t="shared" si="179"/>
        <v>40.646011410311509</v>
      </c>
      <c r="M86" s="443"/>
      <c r="N86" s="217">
        <f t="shared" si="180"/>
        <v>0.41191310241473345</v>
      </c>
      <c r="O86" s="172">
        <f t="shared" si="272"/>
        <v>21.880262653795594</v>
      </c>
      <c r="P86" s="172">
        <f t="shared" si="181"/>
        <v>3.0769119356900054</v>
      </c>
      <c r="Q86" s="217">
        <f t="shared" si="182"/>
        <v>1.3675164158622246</v>
      </c>
      <c r="R86" s="217">
        <f t="shared" si="183"/>
        <v>2.7350328317244492</v>
      </c>
      <c r="S86" s="443">
        <f t="shared" si="184"/>
        <v>16</v>
      </c>
      <c r="T86" s="217">
        <f t="shared" si="185"/>
        <v>2.9615732235627017</v>
      </c>
      <c r="U86" s="217">
        <f t="shared" si="186"/>
        <v>1.4867716886807985</v>
      </c>
      <c r="V86" s="217">
        <f t="shared" si="187"/>
        <v>2.1226587469256097</v>
      </c>
      <c r="W86" s="197">
        <f t="shared" si="188"/>
        <v>350</v>
      </c>
      <c r="X86" s="443">
        <f t="shared" si="273"/>
        <v>262.50643420420244</v>
      </c>
      <c r="Z86" s="217">
        <f t="shared" si="189"/>
        <v>2.3443138557638132</v>
      </c>
      <c r="AA86" s="173">
        <f t="shared" si="190"/>
        <v>1.680248278815047</v>
      </c>
      <c r="AB86" s="173">
        <f t="shared" si="191"/>
        <v>0.68933013120114728</v>
      </c>
      <c r="AC86" s="173"/>
      <c r="AD86" s="173">
        <f t="shared" si="192"/>
        <v>0.71673350165291616</v>
      </c>
      <c r="AE86" s="545">
        <f t="shared" si="193"/>
        <v>2260.2543292088194</v>
      </c>
      <c r="AF86" s="528">
        <f t="shared" si="194"/>
        <v>0.12542836278926031</v>
      </c>
      <c r="AH86" s="173">
        <f t="shared" si="195"/>
        <v>2.6349301969610397</v>
      </c>
      <c r="AI86" s="173">
        <f t="shared" si="196"/>
        <v>2.9615732235627017</v>
      </c>
      <c r="AJ86" s="173">
        <f t="shared" si="197"/>
        <v>2.6530172026390382</v>
      </c>
      <c r="AL86" s="545">
        <f t="shared" si="198"/>
        <v>810</v>
      </c>
      <c r="AM86" s="460">
        <f t="shared" si="199"/>
        <v>262.50643420420244</v>
      </c>
      <c r="AO86">
        <f t="shared" si="274"/>
        <v>810</v>
      </c>
      <c r="AP86">
        <f t="shared" si="200"/>
        <v>262.50643420420244</v>
      </c>
      <c r="AR86" s="5">
        <f t="shared" si="275"/>
        <v>3.809430435606409</v>
      </c>
      <c r="AS86" s="5">
        <f t="shared" si="201"/>
        <v>1.4867716886807985</v>
      </c>
      <c r="AT86" s="5">
        <f t="shared" si="276"/>
        <v>2.3226587469256108</v>
      </c>
      <c r="AU86" s="173">
        <f t="shared" si="277"/>
        <v>0.39028713447135693</v>
      </c>
      <c r="AW86" s="5">
        <f t="shared" si="202"/>
        <v>7.5267816739465427</v>
      </c>
      <c r="AX86" s="5">
        <f t="shared" si="203"/>
        <v>3.7633908369732714</v>
      </c>
      <c r="AY86" s="5">
        <f t="shared" si="204"/>
        <v>1.0494209347684003</v>
      </c>
      <c r="AZ86" s="5"/>
      <c r="BA86" s="173">
        <f t="shared" si="278"/>
        <v>1.0682034225965982</v>
      </c>
      <c r="BB86" s="173">
        <f t="shared" si="205"/>
        <v>1.3351329899280084</v>
      </c>
      <c r="BC86" s="173">
        <f t="shared" si="206"/>
        <v>0.32789295487937853</v>
      </c>
      <c r="BD86" s="173"/>
      <c r="BE86" s="528">
        <f t="shared" si="207"/>
        <v>2.2821171040941727E-2</v>
      </c>
      <c r="BF86" s="528">
        <f t="shared" si="208"/>
        <v>0.57669107615109583</v>
      </c>
      <c r="BG86" s="528">
        <f t="shared" si="209"/>
        <v>0.14432023488338305</v>
      </c>
      <c r="BH86" s="528">
        <f t="shared" si="210"/>
        <v>0.21359056129536846</v>
      </c>
      <c r="BI86">
        <f t="shared" si="211"/>
        <v>1.0756524037277448E-2</v>
      </c>
      <c r="BJ86" s="460">
        <f t="shared" si="279"/>
        <v>155.0767589206605</v>
      </c>
      <c r="BK86">
        <f t="shared" si="212"/>
        <v>0.82373104997519297</v>
      </c>
      <c r="BL86" s="460">
        <f t="shared" si="280"/>
        <v>823.73104997519295</v>
      </c>
      <c r="BM86" s="173">
        <f t="shared" si="213"/>
        <v>0.50321249999999995</v>
      </c>
      <c r="BN86" s="173">
        <f t="shared" si="214"/>
        <v>8.9859375000000005E-2</v>
      </c>
      <c r="BO86" s="528"/>
      <c r="BQ86" s="460">
        <f t="shared" si="281"/>
        <v>593.07187499999986</v>
      </c>
      <c r="BR86" s="528">
        <f t="shared" si="215"/>
        <v>3.4231756561412592E-2</v>
      </c>
      <c r="BS86" s="528">
        <f t="shared" si="216"/>
        <v>5.3477403023823103E-2</v>
      </c>
      <c r="BT86" s="528">
        <f t="shared" si="217"/>
        <v>5.3756894929765089E-4</v>
      </c>
      <c r="BU86" s="528">
        <f t="shared" si="218"/>
        <v>0.84260896055653633</v>
      </c>
      <c r="BV86" s="528">
        <f t="shared" si="219"/>
        <v>0.95880380788756014</v>
      </c>
      <c r="BW86" s="625">
        <f t="shared" si="220"/>
        <v>1.1512109364883786E-2</v>
      </c>
      <c r="BX86" s="460">
        <f t="shared" si="282"/>
        <v>970.31591725244391</v>
      </c>
      <c r="BY86" s="173">
        <f t="shared" si="283"/>
        <v>2.387118842227637</v>
      </c>
      <c r="BZ86" s="5">
        <f t="shared" si="284"/>
        <v>14.580000000000002</v>
      </c>
      <c r="CA86" s="173">
        <f t="shared" si="285"/>
        <v>0.85930912228382628</v>
      </c>
      <c r="CB86" s="5">
        <f t="shared" si="286"/>
        <v>85.930912228382624</v>
      </c>
      <c r="CC86">
        <f t="shared" si="287"/>
        <v>81</v>
      </c>
      <c r="CE86" s="562">
        <f t="shared" si="221"/>
        <v>-50</v>
      </c>
      <c r="CF86">
        <f t="shared" si="222"/>
        <v>-50</v>
      </c>
      <c r="CG86" s="173">
        <f t="shared" si="223"/>
        <v>0.57009251312425169</v>
      </c>
      <c r="CH86" s="173">
        <f t="shared" si="224"/>
        <v>0.20152561614275555</v>
      </c>
      <c r="CI86" s="170">
        <v>81</v>
      </c>
      <c r="CJ86" s="217">
        <f t="shared" si="309"/>
        <v>0.81</v>
      </c>
      <c r="CK86" s="217">
        <f t="shared" si="288"/>
        <v>0.20250000000000001</v>
      </c>
      <c r="CL86" s="217">
        <f t="shared" si="225"/>
        <v>12.96</v>
      </c>
      <c r="CM86" s="217">
        <f t="shared" si="310"/>
        <v>1.62</v>
      </c>
      <c r="CN86" s="541">
        <f t="shared" si="289"/>
        <v>24</v>
      </c>
      <c r="CO86" s="443">
        <f t="shared" si="226"/>
        <v>16.7</v>
      </c>
      <c r="CP86" s="443">
        <f t="shared" si="227"/>
        <v>40.700000000000003</v>
      </c>
      <c r="CQ86" s="443"/>
      <c r="CR86" s="217">
        <f t="shared" si="228"/>
        <v>0.40594059405940591</v>
      </c>
      <c r="CS86" s="172">
        <f t="shared" si="290"/>
        <v>21.650165016501649</v>
      </c>
      <c r="CT86" s="172">
        <f t="shared" si="229"/>
        <v>3.0445544554455446</v>
      </c>
      <c r="CU86" s="217">
        <f t="shared" si="230"/>
        <v>1.3531353135313531</v>
      </c>
      <c r="CV86" s="217">
        <f t="shared" si="231"/>
        <v>2.7062706270627062</v>
      </c>
      <c r="CW86" s="443">
        <f t="shared" si="232"/>
        <v>16</v>
      </c>
      <c r="CX86" s="217">
        <f t="shared" si="233"/>
        <v>2.9930487804878054</v>
      </c>
      <c r="CY86" s="217">
        <f t="shared" si="234"/>
        <v>1.4965243902439029</v>
      </c>
      <c r="CZ86" s="217">
        <f t="shared" si="235"/>
        <v>2.1506937344822554</v>
      </c>
      <c r="DA86" s="197">
        <f t="shared" si="236"/>
        <v>350</v>
      </c>
      <c r="DB86" s="443">
        <f t="shared" si="291"/>
        <v>274.18157231138525</v>
      </c>
      <c r="DD86" s="217">
        <f t="shared" si="237"/>
        <v>2.344682344682345</v>
      </c>
      <c r="DE86" s="173">
        <f t="shared" si="238"/>
        <v>1.6848016848016851</v>
      </c>
      <c r="DF86" s="173">
        <f t="shared" si="239"/>
        <v>0.69130683381297664</v>
      </c>
      <c r="DG86" s="173"/>
      <c r="DH86" s="173">
        <f t="shared" si="240"/>
        <v>0.71856287425149712</v>
      </c>
      <c r="DI86" s="545">
        <f t="shared" si="241"/>
        <v>2254.5</v>
      </c>
      <c r="DJ86" s="528">
        <f t="shared" si="242"/>
        <v>0.125748502994012</v>
      </c>
      <c r="DL86" s="173">
        <f t="shared" si="243"/>
        <v>2.6349301969610397</v>
      </c>
      <c r="DM86" s="173">
        <f t="shared" si="244"/>
        <v>2.9930487804878054</v>
      </c>
      <c r="DN86" s="173">
        <f t="shared" si="245"/>
        <v>2.6763324299909668</v>
      </c>
      <c r="DP86" s="545">
        <f t="shared" si="246"/>
        <v>810</v>
      </c>
      <c r="DQ86" s="460">
        <f t="shared" si="247"/>
        <v>274.18157231138525</v>
      </c>
      <c r="DS86">
        <f t="shared" si="292"/>
        <v>810</v>
      </c>
      <c r="DT86">
        <f t="shared" si="248"/>
        <v>274.18157231138525</v>
      </c>
      <c r="DV86" s="5">
        <f t="shared" si="293"/>
        <v>3.6472181247261579</v>
      </c>
      <c r="DW86" s="5">
        <f t="shared" si="249"/>
        <v>1.4965243902439029</v>
      </c>
      <c r="DX86" s="5">
        <f t="shared" si="294"/>
        <v>2.150693734482255</v>
      </c>
      <c r="DY86" s="173">
        <f t="shared" si="295"/>
        <v>0.41031941031941038</v>
      </c>
      <c r="EA86" s="5">
        <f t="shared" si="250"/>
        <v>7.5761547256097588</v>
      </c>
      <c r="EB86" s="5">
        <f t="shared" si="251"/>
        <v>3.7880773628048794</v>
      </c>
      <c r="EC86" s="5">
        <f t="shared" si="252"/>
        <v>0.96781218051701468</v>
      </c>
      <c r="ED86" s="5"/>
      <c r="EE86" s="173">
        <f t="shared" si="296"/>
        <v>1.1069148111660878</v>
      </c>
      <c r="EF86" s="173">
        <f t="shared" si="253"/>
        <v>1.3269714647576225</v>
      </c>
      <c r="EG86" s="173">
        <f t="shared" si="254"/>
        <v>0.32588858031547491</v>
      </c>
      <c r="EH86" s="173"/>
      <c r="EI86" s="528">
        <f t="shared" si="255"/>
        <v>2.4505207983577117E-2</v>
      </c>
      <c r="EJ86" s="528">
        <f t="shared" si="256"/>
        <v>0.63460000000000005</v>
      </c>
      <c r="EK86" s="528">
        <f t="shared" si="257"/>
        <v>3.1530880815809306E-2</v>
      </c>
      <c r="EL86" s="528">
        <f t="shared" si="258"/>
        <v>0.22368317361365767</v>
      </c>
      <c r="EM86">
        <f t="shared" si="259"/>
        <v>1.0800000000000001E-2</v>
      </c>
      <c r="EN86" s="460">
        <f t="shared" si="297"/>
        <v>42.330880815809309</v>
      </c>
      <c r="EO86">
        <f t="shared" si="260"/>
        <v>0.93719241273937659</v>
      </c>
      <c r="EP86" s="460">
        <f t="shared" si="298"/>
        <v>937.19241273937655</v>
      </c>
      <c r="EQ86" s="173">
        <f t="shared" si="261"/>
        <v>0.50321249999999995</v>
      </c>
      <c r="ER86" s="173">
        <f t="shared" si="262"/>
        <v>8.9859375000000005E-2</v>
      </c>
      <c r="ES86" s="528"/>
      <c r="EU86" s="460">
        <f t="shared" si="299"/>
        <v>593.07187499999986</v>
      </c>
      <c r="EV86" s="528">
        <f t="shared" si="263"/>
        <v>3.6757811975365672E-2</v>
      </c>
      <c r="EW86" s="528">
        <f t="shared" si="300"/>
        <v>5.2825598048429699E-2</v>
      </c>
      <c r="EX86" s="528">
        <f t="shared" si="264"/>
        <v>5.3101683390017866E-4</v>
      </c>
      <c r="EY86" s="528">
        <f t="shared" si="265"/>
        <v>0.96460642051433976</v>
      </c>
      <c r="EZ86" s="528">
        <f t="shared" si="266"/>
        <v>1.0841642167790557</v>
      </c>
      <c r="FA86" s="625">
        <f t="shared" si="267"/>
        <v>1.2281060106669867E-2</v>
      </c>
      <c r="FB86" s="460">
        <f t="shared" si="301"/>
        <v>1096.4452768857257</v>
      </c>
      <c r="FC86" s="173">
        <f t="shared" si="302"/>
        <v>2.6267095646251026</v>
      </c>
      <c r="FD86" s="5">
        <f t="shared" si="303"/>
        <v>14.580000000000002</v>
      </c>
      <c r="FE86" s="173">
        <f t="shared" si="304"/>
        <v>0.84734387741248929</v>
      </c>
      <c r="FF86" s="5">
        <f t="shared" si="305"/>
        <v>84.734387741248923</v>
      </c>
      <c r="FG86">
        <f t="shared" si="306"/>
        <v>81</v>
      </c>
      <c r="FI86" s="562">
        <f t="shared" si="268"/>
        <v>-50</v>
      </c>
      <c r="FJ86">
        <f t="shared" si="269"/>
        <v>-50</v>
      </c>
      <c r="FL86">
        <f t="shared" si="270"/>
        <v>0.57009251312425158</v>
      </c>
    </row>
    <row r="87" spans="5:168">
      <c r="E87" s="170">
        <v>82</v>
      </c>
      <c r="F87" s="217">
        <f t="shared" si="307"/>
        <v>0.82</v>
      </c>
      <c r="G87" s="217">
        <f t="shared" si="271"/>
        <v>0.20499999999999999</v>
      </c>
      <c r="H87" s="217">
        <f t="shared" si="176"/>
        <v>13.12</v>
      </c>
      <c r="I87" s="217">
        <f t="shared" si="308"/>
        <v>1.64</v>
      </c>
      <c r="J87" s="541">
        <f t="shared" si="177"/>
        <v>23.902193993326495</v>
      </c>
      <c r="K87" s="443">
        <f t="shared" si="178"/>
        <v>16.743150891186389</v>
      </c>
      <c r="L87" s="172">
        <f t="shared" si="179"/>
        <v>40.64534488451288</v>
      </c>
      <c r="M87" s="443"/>
      <c r="N87" s="217">
        <f t="shared" si="180"/>
        <v>0.41193280408271404</v>
      </c>
      <c r="O87" s="172">
        <f t="shared" si="272"/>
        <v>21.880217323111083</v>
      </c>
      <c r="P87" s="172">
        <f t="shared" si="181"/>
        <v>3.076905561062496</v>
      </c>
      <c r="Q87" s="217">
        <f t="shared" si="182"/>
        <v>1.3675135826944427</v>
      </c>
      <c r="R87" s="217">
        <f t="shared" si="183"/>
        <v>2.7350271653888854</v>
      </c>
      <c r="S87" s="443">
        <f t="shared" si="184"/>
        <v>16</v>
      </c>
      <c r="T87" s="217">
        <f t="shared" si="185"/>
        <v>2.9981420673874974</v>
      </c>
      <c r="U87" s="217">
        <f t="shared" si="186"/>
        <v>1.5052051212827979</v>
      </c>
      <c r="V87" s="217">
        <f t="shared" si="187"/>
        <v>2.1488013243426405</v>
      </c>
      <c r="W87" s="197">
        <f t="shared" si="188"/>
        <v>350</v>
      </c>
      <c r="X87" s="443">
        <f t="shared" si="273"/>
        <v>259.4702458619571</v>
      </c>
      <c r="Z87" s="217">
        <f t="shared" si="189"/>
        <v>2.3443089989047587</v>
      </c>
      <c r="AA87" s="173">
        <f t="shared" si="190"/>
        <v>1.6801919883351026</v>
      </c>
      <c r="AB87" s="173">
        <f t="shared" si="191"/>
        <v>0.6893056096747906</v>
      </c>
      <c r="AC87" s="173"/>
      <c r="AD87" s="173">
        <f t="shared" si="192"/>
        <v>0.71671097501228465</v>
      </c>
      <c r="AE87" s="545">
        <f t="shared" si="193"/>
        <v>2288.2306217954733</v>
      </c>
      <c r="AF87" s="528">
        <f t="shared" si="194"/>
        <v>0.12542442062714981</v>
      </c>
      <c r="AH87" s="173">
        <f t="shared" si="195"/>
        <v>2.6511453050656102</v>
      </c>
      <c r="AI87" s="173">
        <f t="shared" si="196"/>
        <v>2.9981420673874974</v>
      </c>
      <c r="AJ87" s="173">
        <f t="shared" si="197"/>
        <v>2.6801052351018502</v>
      </c>
      <c r="AL87" s="545">
        <f t="shared" si="198"/>
        <v>820</v>
      </c>
      <c r="AM87" s="460">
        <f t="shared" si="199"/>
        <v>259.4702458619571</v>
      </c>
      <c r="AO87">
        <f t="shared" si="274"/>
        <v>820</v>
      </c>
      <c r="AP87">
        <f t="shared" si="200"/>
        <v>259.4702458619571</v>
      </c>
      <c r="AR87" s="5">
        <f t="shared" si="275"/>
        <v>3.8540064456254388</v>
      </c>
      <c r="AS87" s="5">
        <f t="shared" si="201"/>
        <v>1.5052051212827979</v>
      </c>
      <c r="AT87" s="5">
        <f t="shared" si="276"/>
        <v>2.3488013243426407</v>
      </c>
      <c r="AU87" s="173">
        <f t="shared" si="277"/>
        <v>0.39055594289192452</v>
      </c>
      <c r="AW87" s="5">
        <f t="shared" si="202"/>
        <v>7.7141762465743389</v>
      </c>
      <c r="AX87" s="5">
        <f t="shared" si="203"/>
        <v>3.8570881232871694</v>
      </c>
      <c r="AY87" s="5">
        <f t="shared" si="204"/>
        <v>1.0743878917551584</v>
      </c>
      <c r="AZ87" s="5"/>
      <c r="BA87" s="173">
        <f t="shared" si="278"/>
        <v>1.0817656977449499</v>
      </c>
      <c r="BB87" s="173">
        <f t="shared" si="205"/>
        <v>1.3513209317535346</v>
      </c>
      <c r="BC87" s="173">
        <f t="shared" si="206"/>
        <v>0.33186852294535335</v>
      </c>
      <c r="BD87" s="173"/>
      <c r="BE87" s="528">
        <f t="shared" si="207"/>
        <v>2.3404340496352365E-2</v>
      </c>
      <c r="BF87" s="528">
        <f t="shared" si="208"/>
        <v>0.57705001045365056</v>
      </c>
      <c r="BG87" s="528">
        <f t="shared" si="209"/>
        <v>0.14264388749803825</v>
      </c>
      <c r="BH87" s="528">
        <f t="shared" si="210"/>
        <v>0.21111321722312343</v>
      </c>
      <c r="BI87">
        <f t="shared" si="211"/>
        <v>1.0755987296996923E-2</v>
      </c>
      <c r="BJ87" s="460">
        <f t="shared" si="279"/>
        <v>153.39987479503517</v>
      </c>
      <c r="BK87">
        <f t="shared" si="212"/>
        <v>0.82246033618762571</v>
      </c>
      <c r="BL87" s="460">
        <f t="shared" si="280"/>
        <v>822.46033618762567</v>
      </c>
      <c r="BM87" s="173">
        <f t="shared" si="213"/>
        <v>0.50942499999999991</v>
      </c>
      <c r="BN87" s="173">
        <f t="shared" si="214"/>
        <v>9.0968749999999987E-2</v>
      </c>
      <c r="BO87" s="528"/>
      <c r="BQ87" s="460">
        <f t="shared" si="281"/>
        <v>600.39374999999984</v>
      </c>
      <c r="BR87" s="528">
        <f t="shared" si="215"/>
        <v>3.5106510744528543E-2</v>
      </c>
      <c r="BS87" s="528">
        <f t="shared" si="216"/>
        <v>5.4782047817857227E-2</v>
      </c>
      <c r="BT87" s="528">
        <f t="shared" si="217"/>
        <v>5.5068358260965263E-4</v>
      </c>
      <c r="BU87" s="528">
        <f t="shared" si="218"/>
        <v>0.84395527685016991</v>
      </c>
      <c r="BV87" s="528">
        <f t="shared" si="219"/>
        <v>0.96306786735458383</v>
      </c>
      <c r="BW87" s="625">
        <f t="shared" si="220"/>
        <v>1.1661703195179583E-2</v>
      </c>
      <c r="BX87" s="460">
        <f t="shared" si="282"/>
        <v>974.72957054976337</v>
      </c>
      <c r="BY87" s="173">
        <f t="shared" si="283"/>
        <v>2.3975836567373889</v>
      </c>
      <c r="BZ87" s="5">
        <f t="shared" si="284"/>
        <v>14.76</v>
      </c>
      <c r="CA87" s="173">
        <f t="shared" si="285"/>
        <v>0.86026099567954539</v>
      </c>
      <c r="CB87" s="5">
        <f t="shared" si="286"/>
        <v>86.026099567954546</v>
      </c>
      <c r="CC87">
        <f t="shared" si="287"/>
        <v>82</v>
      </c>
      <c r="CE87" s="562">
        <f t="shared" si="221"/>
        <v>-50</v>
      </c>
      <c r="CF87">
        <f t="shared" si="222"/>
        <v>-50</v>
      </c>
      <c r="CG87" s="173">
        <f t="shared" si="223"/>
        <v>0.57009251312425169</v>
      </c>
      <c r="CH87" s="173">
        <f t="shared" si="224"/>
        <v>0.20152561614275555</v>
      </c>
      <c r="CI87" s="170">
        <v>82</v>
      </c>
      <c r="CJ87" s="217">
        <f t="shared" si="309"/>
        <v>0.82</v>
      </c>
      <c r="CK87" s="217">
        <f t="shared" si="288"/>
        <v>0.20499999999999999</v>
      </c>
      <c r="CL87" s="217">
        <f t="shared" si="225"/>
        <v>13.12</v>
      </c>
      <c r="CM87" s="217">
        <f t="shared" si="310"/>
        <v>1.64</v>
      </c>
      <c r="CN87" s="541">
        <f t="shared" si="289"/>
        <v>24</v>
      </c>
      <c r="CO87" s="443">
        <f t="shared" si="226"/>
        <v>16.7</v>
      </c>
      <c r="CP87" s="443">
        <f t="shared" si="227"/>
        <v>40.700000000000003</v>
      </c>
      <c r="CQ87" s="443"/>
      <c r="CR87" s="217">
        <f t="shared" si="228"/>
        <v>0.40594059405940591</v>
      </c>
      <c r="CS87" s="172">
        <f t="shared" si="290"/>
        <v>21.650165016501649</v>
      </c>
      <c r="CT87" s="172">
        <f t="shared" si="229"/>
        <v>3.0445544554455446</v>
      </c>
      <c r="CU87" s="217">
        <f t="shared" si="230"/>
        <v>1.3531353135313531</v>
      </c>
      <c r="CV87" s="217">
        <f t="shared" si="231"/>
        <v>2.7062706270627062</v>
      </c>
      <c r="CW87" s="443">
        <f t="shared" si="232"/>
        <v>16</v>
      </c>
      <c r="CX87" s="217">
        <f t="shared" si="233"/>
        <v>3.0300000000000002</v>
      </c>
      <c r="CY87" s="217">
        <f t="shared" si="234"/>
        <v>1.5150000000000001</v>
      </c>
      <c r="CZ87" s="217">
        <f t="shared" si="235"/>
        <v>2.1772455089820366</v>
      </c>
      <c r="DA87" s="197">
        <f t="shared" si="236"/>
        <v>350</v>
      </c>
      <c r="DB87" s="443">
        <f t="shared" si="291"/>
        <v>270.83789460027083</v>
      </c>
      <c r="DD87" s="217">
        <f t="shared" si="237"/>
        <v>2.344682344682345</v>
      </c>
      <c r="DE87" s="173">
        <f t="shared" si="238"/>
        <v>1.6848016848016851</v>
      </c>
      <c r="DF87" s="173">
        <f t="shared" si="239"/>
        <v>0.69130683381297664</v>
      </c>
      <c r="DG87" s="173"/>
      <c r="DH87" s="173">
        <f t="shared" si="240"/>
        <v>0.71856287425149712</v>
      </c>
      <c r="DI87" s="545">
        <f t="shared" si="241"/>
        <v>2282.333333333333</v>
      </c>
      <c r="DJ87" s="528">
        <f t="shared" si="242"/>
        <v>0.125748502994012</v>
      </c>
      <c r="DL87" s="173">
        <f t="shared" si="243"/>
        <v>2.6511453050656102</v>
      </c>
      <c r="DM87" s="173">
        <f t="shared" si="244"/>
        <v>3.0300000000000002</v>
      </c>
      <c r="DN87" s="173">
        <f t="shared" si="245"/>
        <v>2.7037037037037042</v>
      </c>
      <c r="DP87" s="545">
        <f t="shared" si="246"/>
        <v>820</v>
      </c>
      <c r="DQ87" s="460">
        <f t="shared" si="247"/>
        <v>270.83789460027083</v>
      </c>
      <c r="DS87">
        <f t="shared" si="292"/>
        <v>820</v>
      </c>
      <c r="DT87">
        <f t="shared" si="248"/>
        <v>270.83789460027083</v>
      </c>
      <c r="DV87" s="5">
        <f t="shared" si="293"/>
        <v>3.6922455089820359</v>
      </c>
      <c r="DW87" s="5">
        <f t="shared" si="249"/>
        <v>1.5150000000000001</v>
      </c>
      <c r="DX87" s="5">
        <f t="shared" si="294"/>
        <v>2.1772455089820357</v>
      </c>
      <c r="DY87" s="173">
        <f t="shared" si="295"/>
        <v>0.41031941031941038</v>
      </c>
      <c r="EA87" s="5">
        <f t="shared" si="250"/>
        <v>7.7643749999999994</v>
      </c>
      <c r="EB87" s="5">
        <f t="shared" si="251"/>
        <v>3.8821874999999997</v>
      </c>
      <c r="EC87" s="5">
        <f t="shared" si="252"/>
        <v>0.99185628742514953</v>
      </c>
      <c r="ED87" s="5"/>
      <c r="EE87" s="173">
        <f t="shared" si="296"/>
        <v>1.1205804261187555</v>
      </c>
      <c r="EF87" s="173">
        <f t="shared" si="253"/>
        <v>1.3433538285200621</v>
      </c>
      <c r="EG87" s="173">
        <f t="shared" si="254"/>
        <v>0.3299118961218388</v>
      </c>
      <c r="EH87" s="173"/>
      <c r="EI87" s="528">
        <f t="shared" si="255"/>
        <v>2.5114009828009834E-2</v>
      </c>
      <c r="EJ87" s="528">
        <f t="shared" si="256"/>
        <v>0.63460000000000005</v>
      </c>
      <c r="EK87" s="528">
        <f t="shared" si="257"/>
        <v>3.1146357879031149E-2</v>
      </c>
      <c r="EL87" s="528">
        <f t="shared" si="258"/>
        <v>0.22095533003300336</v>
      </c>
      <c r="EM87">
        <f t="shared" si="259"/>
        <v>1.0800000000000001E-2</v>
      </c>
      <c r="EN87" s="460">
        <f t="shared" si="297"/>
        <v>41.946357879031147</v>
      </c>
      <c r="EO87">
        <f t="shared" si="260"/>
        <v>0.93497556254046899</v>
      </c>
      <c r="EP87" s="460">
        <f t="shared" si="298"/>
        <v>934.97556254046901</v>
      </c>
      <c r="EQ87" s="173">
        <f t="shared" si="261"/>
        <v>0.50942499999999991</v>
      </c>
      <c r="ER87" s="173">
        <f t="shared" si="262"/>
        <v>9.0968749999999987E-2</v>
      </c>
      <c r="ES87" s="528"/>
      <c r="EU87" s="460">
        <f t="shared" si="299"/>
        <v>600.39374999999984</v>
      </c>
      <c r="EV87" s="528">
        <f t="shared" si="263"/>
        <v>3.7671014742014751E-2</v>
      </c>
      <c r="EW87" s="528">
        <f t="shared" si="300"/>
        <v>5.4137985257985258E-2</v>
      </c>
      <c r="EX87" s="528">
        <f t="shared" si="264"/>
        <v>5.4420929601353479E-4</v>
      </c>
      <c r="EY87" s="528">
        <f t="shared" si="265"/>
        <v>0.96460642051433876</v>
      </c>
      <c r="EZ87" s="528">
        <f t="shared" si="266"/>
        <v>1.0871565920641508</v>
      </c>
      <c r="FA87" s="625">
        <f t="shared" si="267"/>
        <v>1.2432678132678133E-2</v>
      </c>
      <c r="FB87" s="460">
        <f t="shared" si="301"/>
        <v>1099.5892701968291</v>
      </c>
      <c r="FC87" s="173">
        <f t="shared" si="302"/>
        <v>2.6349585827372977</v>
      </c>
      <c r="FD87" s="5">
        <f t="shared" si="303"/>
        <v>14.76</v>
      </c>
      <c r="FE87" s="173">
        <f t="shared" si="304"/>
        <v>0.84852170988482711</v>
      </c>
      <c r="FF87" s="5">
        <f t="shared" si="305"/>
        <v>84.852170988482712</v>
      </c>
      <c r="FG87">
        <f t="shared" si="306"/>
        <v>82</v>
      </c>
      <c r="FI87" s="562">
        <f t="shared" si="268"/>
        <v>-50</v>
      </c>
      <c r="FJ87">
        <f t="shared" si="269"/>
        <v>-50</v>
      </c>
      <c r="FL87">
        <f t="shared" si="270"/>
        <v>0.57009251312425169</v>
      </c>
    </row>
    <row r="88" spans="5:168">
      <c r="E88" s="170">
        <v>83</v>
      </c>
      <c r="F88" s="217">
        <f t="shared" si="307"/>
        <v>0.83</v>
      </c>
      <c r="G88" s="217">
        <f t="shared" si="271"/>
        <v>0.20749999999999999</v>
      </c>
      <c r="H88" s="217">
        <f t="shared" si="176"/>
        <v>13.28</v>
      </c>
      <c r="I88" s="217">
        <f t="shared" si="308"/>
        <v>1.66</v>
      </c>
      <c r="J88" s="541">
        <f t="shared" si="177"/>
        <v>23.90100123714755</v>
      </c>
      <c r="K88" s="443">
        <f t="shared" si="178"/>
        <v>16.743677121566712</v>
      </c>
      <c r="L88" s="172">
        <f t="shared" si="179"/>
        <v>40.644678358714259</v>
      </c>
      <c r="M88" s="443"/>
      <c r="N88" s="217">
        <f t="shared" si="180"/>
        <v>0.41195250639686393</v>
      </c>
      <c r="O88" s="172">
        <f t="shared" si="272"/>
        <v>21.880171922305507</v>
      </c>
      <c r="P88" s="172">
        <f t="shared" si="181"/>
        <v>3.0768991765742122</v>
      </c>
      <c r="Q88" s="217">
        <f t="shared" si="182"/>
        <v>1.3675107451440942</v>
      </c>
      <c r="R88" s="217">
        <f t="shared" si="183"/>
        <v>2.7350214902881884</v>
      </c>
      <c r="S88" s="443">
        <f t="shared" si="184"/>
        <v>16</v>
      </c>
      <c r="T88" s="217">
        <f t="shared" si="185"/>
        <v>3.0347110724623341</v>
      </c>
      <c r="U88" s="217">
        <f t="shared" si="186"/>
        <v>1.5236404746487564</v>
      </c>
      <c r="V88" s="217">
        <f t="shared" si="187"/>
        <v>2.1749423740763403</v>
      </c>
      <c r="W88" s="197">
        <f t="shared" si="188"/>
        <v>350</v>
      </c>
      <c r="X88" s="443">
        <f t="shared" si="273"/>
        <v>256.5034626177092</v>
      </c>
      <c r="Z88" s="217">
        <f t="shared" si="189"/>
        <v>2.3443041345327331</v>
      </c>
      <c r="AA88" s="173">
        <f t="shared" si="190"/>
        <v>1.6801356960089606</v>
      </c>
      <c r="AB88" s="173">
        <f t="shared" si="191"/>
        <v>0.68928108527772158</v>
      </c>
      <c r="AC88" s="173"/>
      <c r="AD88" s="173">
        <f t="shared" si="192"/>
        <v>0.71668844978761481</v>
      </c>
      <c r="AE88" s="545">
        <f t="shared" si="193"/>
        <v>2316.2086684833953</v>
      </c>
      <c r="AF88" s="528">
        <f t="shared" si="194"/>
        <v>0.1254204787128326</v>
      </c>
      <c r="AH88" s="173">
        <f t="shared" si="195"/>
        <v>2.6672618383439062</v>
      </c>
      <c r="AI88" s="173">
        <f t="shared" si="196"/>
        <v>3.0347110724623341</v>
      </c>
      <c r="AJ88" s="173">
        <f t="shared" si="197"/>
        <v>2.707193387009136</v>
      </c>
      <c r="AL88" s="545">
        <f t="shared" si="198"/>
        <v>830</v>
      </c>
      <c r="AM88" s="460">
        <f t="shared" si="199"/>
        <v>256.5034626177092</v>
      </c>
      <c r="AO88">
        <f t="shared" si="274"/>
        <v>830</v>
      </c>
      <c r="AP88">
        <f t="shared" si="200"/>
        <v>256.5034626177092</v>
      </c>
      <c r="AR88" s="5">
        <f t="shared" si="275"/>
        <v>3.8985828487250962</v>
      </c>
      <c r="AS88" s="5">
        <f t="shared" si="201"/>
        <v>1.5236404746487564</v>
      </c>
      <c r="AT88" s="5">
        <f t="shared" si="276"/>
        <v>2.3749423740763396</v>
      </c>
      <c r="AU88" s="173">
        <f t="shared" si="277"/>
        <v>0.390819057531896</v>
      </c>
      <c r="AW88" s="5">
        <f t="shared" si="202"/>
        <v>7.903884962240423</v>
      </c>
      <c r="AX88" s="5">
        <f t="shared" si="203"/>
        <v>3.9519424811202115</v>
      </c>
      <c r="AY88" s="5">
        <f t="shared" si="204"/>
        <v>1.0996483095275347</v>
      </c>
      <c r="AZ88" s="5"/>
      <c r="BA88" s="173">
        <f t="shared" si="278"/>
        <v>1.0953290055541181</v>
      </c>
      <c r="BB88" s="173">
        <f t="shared" si="205"/>
        <v>1.36750800145142</v>
      </c>
      <c r="BC88" s="173">
        <f t="shared" si="206"/>
        <v>0.33584387682703992</v>
      </c>
      <c r="BD88" s="173"/>
      <c r="BE88" s="528">
        <f t="shared" si="207"/>
        <v>2.3994912608163468E-2</v>
      </c>
      <c r="BF88" s="528">
        <f t="shared" si="208"/>
        <v>0.57740048098056496</v>
      </c>
      <c r="BG88" s="528">
        <f t="shared" si="209"/>
        <v>0.14100586027924547</v>
      </c>
      <c r="BH88" s="528">
        <f t="shared" si="210"/>
        <v>0.20869250364042036</v>
      </c>
      <c r="BI88">
        <f t="shared" si="211"/>
        <v>1.0755450556716397E-2</v>
      </c>
      <c r="BJ88" s="460">
        <f t="shared" si="279"/>
        <v>151.76131083596186</v>
      </c>
      <c r="BK88">
        <f t="shared" si="212"/>
        <v>0.82124861906268354</v>
      </c>
      <c r="BL88" s="460">
        <f t="shared" si="280"/>
        <v>821.24861906268359</v>
      </c>
      <c r="BM88" s="173">
        <f t="shared" si="213"/>
        <v>0.51563749999999997</v>
      </c>
      <c r="BN88" s="173">
        <f t="shared" si="214"/>
        <v>9.2078124999999997E-2</v>
      </c>
      <c r="BO88" s="528"/>
      <c r="BQ88" s="460">
        <f t="shared" si="281"/>
        <v>607.71562499999993</v>
      </c>
      <c r="BR88" s="528">
        <f t="shared" si="215"/>
        <v>3.59923689122452E-2</v>
      </c>
      <c r="BS88" s="528">
        <f t="shared" si="216"/>
        <v>5.6102344021009706E-2</v>
      </c>
      <c r="BT88" s="528">
        <f t="shared" si="217"/>
        <v>5.6395554801107976E-4</v>
      </c>
      <c r="BU88" s="528">
        <f t="shared" si="218"/>
        <v>0.84527195101417818</v>
      </c>
      <c r="BV88" s="528">
        <f t="shared" si="219"/>
        <v>0.96733928957427329</v>
      </c>
      <c r="BW88" s="625">
        <f t="shared" si="220"/>
        <v>1.1811306378081901E-2</v>
      </c>
      <c r="BX88" s="460">
        <f t="shared" si="282"/>
        <v>979.15059595235516</v>
      </c>
      <c r="BY88" s="173">
        <f t="shared" si="283"/>
        <v>2.4081148400150387</v>
      </c>
      <c r="BZ88" s="5">
        <f t="shared" si="284"/>
        <v>14.94</v>
      </c>
      <c r="CA88" s="173">
        <f t="shared" si="285"/>
        <v>0.8611886731081293</v>
      </c>
      <c r="CB88" s="5">
        <f t="shared" si="286"/>
        <v>86.118867310812931</v>
      </c>
      <c r="CC88">
        <f t="shared" si="287"/>
        <v>83</v>
      </c>
      <c r="CE88" s="562">
        <f t="shared" si="221"/>
        <v>-50</v>
      </c>
      <c r="CF88">
        <f t="shared" si="222"/>
        <v>-50</v>
      </c>
      <c r="CG88" s="173">
        <f t="shared" si="223"/>
        <v>0.57009251312425169</v>
      </c>
      <c r="CH88" s="173">
        <f t="shared" si="224"/>
        <v>0.20152561614275555</v>
      </c>
      <c r="CI88" s="170">
        <v>83</v>
      </c>
      <c r="CJ88" s="217">
        <f t="shared" si="309"/>
        <v>0.83</v>
      </c>
      <c r="CK88" s="217">
        <f t="shared" si="288"/>
        <v>0.20749999999999999</v>
      </c>
      <c r="CL88" s="217">
        <f t="shared" si="225"/>
        <v>13.28</v>
      </c>
      <c r="CM88" s="217">
        <f t="shared" si="310"/>
        <v>1.66</v>
      </c>
      <c r="CN88" s="541">
        <f t="shared" si="289"/>
        <v>24</v>
      </c>
      <c r="CO88" s="443">
        <f t="shared" si="226"/>
        <v>16.7</v>
      </c>
      <c r="CP88" s="443">
        <f t="shared" si="227"/>
        <v>40.700000000000003</v>
      </c>
      <c r="CQ88" s="443"/>
      <c r="CR88" s="217">
        <f t="shared" si="228"/>
        <v>0.40594059405940591</v>
      </c>
      <c r="CS88" s="172">
        <f t="shared" si="290"/>
        <v>21.650165016501649</v>
      </c>
      <c r="CT88" s="172">
        <f t="shared" si="229"/>
        <v>3.0445544554455446</v>
      </c>
      <c r="CU88" s="217">
        <f t="shared" si="230"/>
        <v>1.3531353135313531</v>
      </c>
      <c r="CV88" s="217">
        <f t="shared" si="231"/>
        <v>2.7062706270627062</v>
      </c>
      <c r="CW88" s="443">
        <f t="shared" si="232"/>
        <v>16</v>
      </c>
      <c r="CX88" s="217">
        <f t="shared" si="233"/>
        <v>3.0669512195121951</v>
      </c>
      <c r="CY88" s="217">
        <f t="shared" si="234"/>
        <v>1.5334756097560975</v>
      </c>
      <c r="CZ88" s="217">
        <f t="shared" si="235"/>
        <v>2.2037972834818169</v>
      </c>
      <c r="DA88" s="197">
        <f t="shared" si="236"/>
        <v>350</v>
      </c>
      <c r="DB88" s="443">
        <f t="shared" si="291"/>
        <v>267.57478743641212</v>
      </c>
      <c r="DD88" s="217">
        <f t="shared" si="237"/>
        <v>2.344682344682345</v>
      </c>
      <c r="DE88" s="173">
        <f t="shared" si="238"/>
        <v>1.6848016848016851</v>
      </c>
      <c r="DF88" s="173">
        <f t="shared" si="239"/>
        <v>0.69130683381297664</v>
      </c>
      <c r="DG88" s="173"/>
      <c r="DH88" s="173">
        <f t="shared" si="240"/>
        <v>0.71856287425149712</v>
      </c>
      <c r="DI88" s="545">
        <f t="shared" si="241"/>
        <v>2310.1666666666661</v>
      </c>
      <c r="DJ88" s="528">
        <f t="shared" si="242"/>
        <v>0.125748502994012</v>
      </c>
      <c r="DL88" s="173">
        <f t="shared" si="243"/>
        <v>2.6672618383439062</v>
      </c>
      <c r="DM88" s="173">
        <f t="shared" si="244"/>
        <v>3.0669512195121951</v>
      </c>
      <c r="DN88" s="173">
        <f t="shared" si="245"/>
        <v>2.7310749774164407</v>
      </c>
      <c r="DP88" s="545">
        <f t="shared" si="246"/>
        <v>830</v>
      </c>
      <c r="DQ88" s="460">
        <f t="shared" si="247"/>
        <v>267.57478743641212</v>
      </c>
      <c r="DS88">
        <f t="shared" si="292"/>
        <v>830</v>
      </c>
      <c r="DT88">
        <f t="shared" si="248"/>
        <v>267.57478743641212</v>
      </c>
      <c r="DV88" s="5">
        <f t="shared" si="293"/>
        <v>3.7372728932379147</v>
      </c>
      <c r="DW88" s="5">
        <f t="shared" si="249"/>
        <v>1.5334756097560975</v>
      </c>
      <c r="DX88" s="5">
        <f t="shared" si="294"/>
        <v>2.2037972834818174</v>
      </c>
      <c r="DY88" s="173">
        <f t="shared" si="295"/>
        <v>0.41031941031941027</v>
      </c>
      <c r="EA88" s="5">
        <f t="shared" si="250"/>
        <v>7.9549047256097554</v>
      </c>
      <c r="EB88" s="5">
        <f t="shared" si="251"/>
        <v>3.9774523628048777</v>
      </c>
      <c r="EC88" s="5">
        <f t="shared" si="252"/>
        <v>1.016195414049949</v>
      </c>
      <c r="ED88" s="5"/>
      <c r="EE88" s="173">
        <f t="shared" si="296"/>
        <v>1.1342460410714232</v>
      </c>
      <c r="EF88" s="173">
        <f t="shared" si="253"/>
        <v>1.3597361922825018</v>
      </c>
      <c r="EG88" s="173">
        <f t="shared" si="254"/>
        <v>0.33393521192820264</v>
      </c>
      <c r="EH88" s="173"/>
      <c r="EI88" s="528">
        <f t="shared" si="255"/>
        <v>2.5730281633723932E-2</v>
      </c>
      <c r="EJ88" s="528">
        <f t="shared" si="256"/>
        <v>0.63460000000000005</v>
      </c>
      <c r="EK88" s="528">
        <f t="shared" si="257"/>
        <v>3.0771100555187395E-2</v>
      </c>
      <c r="EL88" s="528">
        <f t="shared" si="258"/>
        <v>0.21829321762296713</v>
      </c>
      <c r="EM88">
        <f t="shared" si="259"/>
        <v>1.0800000000000001E-2</v>
      </c>
      <c r="EN88" s="460">
        <f t="shared" si="297"/>
        <v>41.571100555187392</v>
      </c>
      <c r="EO88">
        <f t="shared" si="260"/>
        <v>0.93284473606136853</v>
      </c>
      <c r="EP88" s="460">
        <f t="shared" si="298"/>
        <v>932.84473606136851</v>
      </c>
      <c r="EQ88" s="173">
        <f t="shared" si="261"/>
        <v>0.51563749999999997</v>
      </c>
      <c r="ER88" s="173">
        <f t="shared" si="262"/>
        <v>9.2078124999999997E-2</v>
      </c>
      <c r="ES88" s="528"/>
      <c r="EU88" s="460">
        <f t="shared" si="299"/>
        <v>607.71562499999993</v>
      </c>
      <c r="EV88" s="528">
        <f t="shared" si="263"/>
        <v>3.8595422450585899E-2</v>
      </c>
      <c r="EW88" s="528">
        <f t="shared" si="300"/>
        <v>5.54664753780875E-2</v>
      </c>
      <c r="EX88" s="528">
        <f t="shared" si="264"/>
        <v>5.5756362882766807E-4</v>
      </c>
      <c r="EY88" s="528">
        <f t="shared" si="265"/>
        <v>0.96460642051433876</v>
      </c>
      <c r="EZ88" s="528">
        <f t="shared" si="266"/>
        <v>1.0901867836300529</v>
      </c>
      <c r="FA88" s="625">
        <f t="shared" si="267"/>
        <v>1.2584296158686399E-2</v>
      </c>
      <c r="FB88" s="460">
        <f t="shared" si="301"/>
        <v>1102.7710797887394</v>
      </c>
      <c r="FC88" s="173">
        <f t="shared" si="302"/>
        <v>2.6433314408501078</v>
      </c>
      <c r="FD88" s="5">
        <f t="shared" si="303"/>
        <v>14.94</v>
      </c>
      <c r="FE88" s="173">
        <f t="shared" si="304"/>
        <v>0.84966833789477214</v>
      </c>
      <c r="FF88" s="5">
        <f t="shared" si="305"/>
        <v>84.966833789477221</v>
      </c>
      <c r="FG88">
        <f t="shared" si="306"/>
        <v>83</v>
      </c>
      <c r="FI88" s="562">
        <f t="shared" si="268"/>
        <v>-50</v>
      </c>
      <c r="FJ88">
        <f t="shared" si="269"/>
        <v>-50</v>
      </c>
      <c r="FL88">
        <f t="shared" si="270"/>
        <v>0.57009251312425158</v>
      </c>
    </row>
    <row r="89" spans="5:168">
      <c r="E89" s="170">
        <v>84</v>
      </c>
      <c r="F89" s="217">
        <f t="shared" si="307"/>
        <v>0.84</v>
      </c>
      <c r="G89" s="217">
        <f t="shared" si="271"/>
        <v>0.21</v>
      </c>
      <c r="H89" s="217">
        <f t="shared" si="176"/>
        <v>13.44</v>
      </c>
      <c r="I89" s="217">
        <f t="shared" si="308"/>
        <v>1.68</v>
      </c>
      <c r="J89" s="541">
        <f t="shared" si="177"/>
        <v>23.899808480968606</v>
      </c>
      <c r="K89" s="443">
        <f t="shared" si="178"/>
        <v>16.744203351947032</v>
      </c>
      <c r="L89" s="172">
        <f t="shared" si="179"/>
        <v>40.644011832915638</v>
      </c>
      <c r="M89" s="443"/>
      <c r="N89" s="217">
        <f t="shared" si="180"/>
        <v>0.41197220935721468</v>
      </c>
      <c r="O89" s="172">
        <f t="shared" si="272"/>
        <v>21.880126451375407</v>
      </c>
      <c r="P89" s="172">
        <f t="shared" si="181"/>
        <v>3.0768927822246668</v>
      </c>
      <c r="Q89" s="217">
        <f t="shared" si="182"/>
        <v>1.3675079032109629</v>
      </c>
      <c r="R89" s="217">
        <f t="shared" si="183"/>
        <v>2.7350158064219259</v>
      </c>
      <c r="S89" s="443">
        <f t="shared" si="184"/>
        <v>16</v>
      </c>
      <c r="T89" s="217">
        <f t="shared" si="185"/>
        <v>3.0712802391402878</v>
      </c>
      <c r="U89" s="217">
        <f t="shared" si="186"/>
        <v>1.5420777492435285</v>
      </c>
      <c r="V89" s="217">
        <f t="shared" si="187"/>
        <v>2.2010818965237831</v>
      </c>
      <c r="W89" s="197">
        <f t="shared" si="188"/>
        <v>350</v>
      </c>
      <c r="X89" s="443">
        <f t="shared" si="273"/>
        <v>253.60373148305715</v>
      </c>
      <c r="Z89" s="217">
        <f t="shared" si="189"/>
        <v>2.3442992626473651</v>
      </c>
      <c r="AA89" s="173">
        <f t="shared" si="190"/>
        <v>1.6800794018365295</v>
      </c>
      <c r="AB89" s="173">
        <f t="shared" si="191"/>
        <v>0.68925655801002039</v>
      </c>
      <c r="AC89" s="173"/>
      <c r="AD89" s="173">
        <f t="shared" si="192"/>
        <v>0.71666592597877332</v>
      </c>
      <c r="AE89" s="545">
        <f t="shared" si="193"/>
        <v>2344.1884692725844</v>
      </c>
      <c r="AF89" s="528">
        <f t="shared" si="194"/>
        <v>0.12541653704628533</v>
      </c>
      <c r="AH89" s="173">
        <f t="shared" si="195"/>
        <v>2.6832815729997477</v>
      </c>
      <c r="AI89" s="173">
        <f t="shared" si="196"/>
        <v>3.0712802391402878</v>
      </c>
      <c r="AJ89" s="173">
        <f t="shared" si="197"/>
        <v>2.7342816586224354</v>
      </c>
      <c r="AL89" s="545">
        <f t="shared" si="198"/>
        <v>840</v>
      </c>
      <c r="AM89" s="460">
        <f t="shared" si="199"/>
        <v>253.60373148305715</v>
      </c>
      <c r="AO89">
        <f t="shared" si="274"/>
        <v>840</v>
      </c>
      <c r="AP89">
        <f t="shared" si="200"/>
        <v>253.60373148305715</v>
      </c>
      <c r="AR89" s="5">
        <f t="shared" si="275"/>
        <v>3.9431596457673117</v>
      </c>
      <c r="AS89" s="5">
        <f t="shared" si="201"/>
        <v>1.5420777492435285</v>
      </c>
      <c r="AT89" s="5">
        <f t="shared" si="276"/>
        <v>2.4010818965237832</v>
      </c>
      <c r="AU89" s="173">
        <f t="shared" si="277"/>
        <v>0.3910766714451529</v>
      </c>
      <c r="AW89" s="5">
        <f t="shared" si="202"/>
        <v>8.0959081835285254</v>
      </c>
      <c r="AX89" s="5">
        <f t="shared" si="203"/>
        <v>4.0479540917642627</v>
      </c>
      <c r="AY89" s="5">
        <f t="shared" si="204"/>
        <v>1.1252022066402974</v>
      </c>
      <c r="AZ89" s="5"/>
      <c r="BA89" s="173">
        <f t="shared" si="278"/>
        <v>1.1088933350695991</v>
      </c>
      <c r="BB89" s="173">
        <f t="shared" si="205"/>
        <v>1.3836942125638754</v>
      </c>
      <c r="BC89" s="173">
        <f t="shared" si="206"/>
        <v>0.33981901985024587</v>
      </c>
      <c r="BD89" s="173"/>
      <c r="BE89" s="528">
        <f t="shared" si="207"/>
        <v>2.4592888571235566E-2</v>
      </c>
      <c r="BF89" s="528">
        <f t="shared" si="208"/>
        <v>0.57774277460806855</v>
      </c>
      <c r="BG89" s="528">
        <f t="shared" si="209"/>
        <v>0.13940485408759326</v>
      </c>
      <c r="BH89" s="528">
        <f t="shared" si="210"/>
        <v>0.20632650064684868</v>
      </c>
      <c r="BI89">
        <f t="shared" si="211"/>
        <v>1.0754913816435872E-2</v>
      </c>
      <c r="BJ89" s="460">
        <f t="shared" si="279"/>
        <v>150.15976790402914</v>
      </c>
      <c r="BK89">
        <f t="shared" si="212"/>
        <v>0.82009427628833531</v>
      </c>
      <c r="BL89" s="460">
        <f t="shared" si="280"/>
        <v>820.09427628833532</v>
      </c>
      <c r="BM89" s="173">
        <f t="shared" si="213"/>
        <v>0.52184999999999993</v>
      </c>
      <c r="BN89" s="173">
        <f t="shared" si="214"/>
        <v>9.3187499999999993E-2</v>
      </c>
      <c r="BO89" s="528"/>
      <c r="BQ89" s="460">
        <f t="shared" si="281"/>
        <v>615.03749999999991</v>
      </c>
      <c r="BR89" s="528">
        <f t="shared" si="215"/>
        <v>3.6889332856853349E-2</v>
      </c>
      <c r="BS89" s="528">
        <f t="shared" si="216"/>
        <v>5.743829021648289E-2</v>
      </c>
      <c r="BT89" s="528">
        <f t="shared" si="217"/>
        <v>5.7738483125990901E-4</v>
      </c>
      <c r="BU89" s="528">
        <f t="shared" si="218"/>
        <v>0.84655994604588813</v>
      </c>
      <c r="BV89" s="528">
        <f t="shared" si="219"/>
        <v>0.97161907714331064</v>
      </c>
      <c r="BW89" s="625">
        <f t="shared" si="220"/>
        <v>1.1960918596662696E-2</v>
      </c>
      <c r="BX89" s="460">
        <f t="shared" si="282"/>
        <v>983.57999573997336</v>
      </c>
      <c r="BY89" s="173">
        <f t="shared" si="283"/>
        <v>2.4187117720283084</v>
      </c>
      <c r="BZ89" s="5">
        <f t="shared" si="284"/>
        <v>15.12</v>
      </c>
      <c r="CA89" s="173">
        <f t="shared" si="285"/>
        <v>0.86209296307122163</v>
      </c>
      <c r="CB89" s="5">
        <f t="shared" si="286"/>
        <v>86.209296307122159</v>
      </c>
      <c r="CC89">
        <f t="shared" si="287"/>
        <v>84</v>
      </c>
      <c r="CE89" s="562">
        <f t="shared" si="221"/>
        <v>-50</v>
      </c>
      <c r="CF89">
        <f t="shared" si="222"/>
        <v>-50</v>
      </c>
      <c r="CG89" s="173">
        <f t="shared" si="223"/>
        <v>0.57009251312425169</v>
      </c>
      <c r="CH89" s="173">
        <f t="shared" si="224"/>
        <v>0.20152561614275555</v>
      </c>
      <c r="CI89" s="170">
        <v>84</v>
      </c>
      <c r="CJ89" s="217">
        <f t="shared" si="309"/>
        <v>0.84</v>
      </c>
      <c r="CK89" s="217">
        <f t="shared" si="288"/>
        <v>0.21</v>
      </c>
      <c r="CL89" s="217">
        <f t="shared" si="225"/>
        <v>13.44</v>
      </c>
      <c r="CM89" s="217">
        <f t="shared" si="310"/>
        <v>1.68</v>
      </c>
      <c r="CN89" s="541">
        <f t="shared" si="289"/>
        <v>24</v>
      </c>
      <c r="CO89" s="443">
        <f t="shared" si="226"/>
        <v>16.7</v>
      </c>
      <c r="CP89" s="443">
        <f t="shared" si="227"/>
        <v>40.700000000000003</v>
      </c>
      <c r="CQ89" s="443"/>
      <c r="CR89" s="217">
        <f t="shared" si="228"/>
        <v>0.40594059405940591</v>
      </c>
      <c r="CS89" s="172">
        <f t="shared" si="290"/>
        <v>21.650165016501649</v>
      </c>
      <c r="CT89" s="172">
        <f t="shared" si="229"/>
        <v>3.0445544554455446</v>
      </c>
      <c r="CU89" s="217">
        <f t="shared" si="230"/>
        <v>1.3531353135313531</v>
      </c>
      <c r="CV89" s="217">
        <f t="shared" si="231"/>
        <v>2.7062706270627062</v>
      </c>
      <c r="CW89" s="443">
        <f t="shared" si="232"/>
        <v>16</v>
      </c>
      <c r="CX89" s="217">
        <f t="shared" si="233"/>
        <v>3.1039024390243903</v>
      </c>
      <c r="CY89" s="217">
        <f t="shared" si="234"/>
        <v>1.5519512195121949</v>
      </c>
      <c r="CZ89" s="217">
        <f t="shared" si="235"/>
        <v>2.2303490579815977</v>
      </c>
      <c r="DA89" s="197">
        <f t="shared" si="236"/>
        <v>350</v>
      </c>
      <c r="DB89" s="443">
        <f t="shared" si="291"/>
        <v>264.38937330026442</v>
      </c>
      <c r="DD89" s="217">
        <f t="shared" si="237"/>
        <v>2.344682344682345</v>
      </c>
      <c r="DE89" s="173">
        <f t="shared" si="238"/>
        <v>1.6848016848016851</v>
      </c>
      <c r="DF89" s="173">
        <f t="shared" si="239"/>
        <v>0.69130683381297664</v>
      </c>
      <c r="DG89" s="173"/>
      <c r="DH89" s="173">
        <f t="shared" si="240"/>
        <v>0.71856287425149712</v>
      </c>
      <c r="DI89" s="545">
        <f t="shared" si="241"/>
        <v>2337.9999999999995</v>
      </c>
      <c r="DJ89" s="528">
        <f t="shared" si="242"/>
        <v>0.125748502994012</v>
      </c>
      <c r="DL89" s="173">
        <f t="shared" si="243"/>
        <v>2.6832815729997477</v>
      </c>
      <c r="DM89" s="173">
        <f t="shared" si="244"/>
        <v>3.1039024390243903</v>
      </c>
      <c r="DN89" s="173">
        <f t="shared" si="245"/>
        <v>2.7584462511291781</v>
      </c>
      <c r="DP89" s="545">
        <f t="shared" si="246"/>
        <v>840</v>
      </c>
      <c r="DQ89" s="460">
        <f t="shared" si="247"/>
        <v>264.38937330026442</v>
      </c>
      <c r="DS89">
        <f t="shared" si="292"/>
        <v>840</v>
      </c>
      <c r="DT89">
        <f t="shared" si="248"/>
        <v>264.38937330026442</v>
      </c>
      <c r="DV89" s="5">
        <f t="shared" si="293"/>
        <v>3.7823002774937926</v>
      </c>
      <c r="DW89" s="5">
        <f t="shared" si="249"/>
        <v>1.5519512195121949</v>
      </c>
      <c r="DX89" s="5">
        <f t="shared" si="294"/>
        <v>2.2303490579815977</v>
      </c>
      <c r="DY89" s="173">
        <f t="shared" si="295"/>
        <v>0.41031941031941033</v>
      </c>
      <c r="EA89" s="5">
        <f t="shared" si="250"/>
        <v>8.1477439024390232</v>
      </c>
      <c r="EB89" s="5">
        <f t="shared" si="251"/>
        <v>4.0738719512195116</v>
      </c>
      <c r="EC89" s="5">
        <f t="shared" si="252"/>
        <v>1.0408295603914119</v>
      </c>
      <c r="ED89" s="5"/>
      <c r="EE89" s="173">
        <f t="shared" si="296"/>
        <v>1.147911656024091</v>
      </c>
      <c r="EF89" s="173">
        <f t="shared" si="253"/>
        <v>1.3761185560449416</v>
      </c>
      <c r="EG89" s="173">
        <f t="shared" si="254"/>
        <v>0.33795852773456658</v>
      </c>
      <c r="EH89" s="173"/>
      <c r="EI89" s="528">
        <f t="shared" si="255"/>
        <v>2.6354023400719417E-2</v>
      </c>
      <c r="EJ89" s="528">
        <f t="shared" si="256"/>
        <v>0.63460000000000016</v>
      </c>
      <c r="EK89" s="528">
        <f t="shared" si="257"/>
        <v>3.0404777929530408E-2</v>
      </c>
      <c r="EL89" s="528">
        <f t="shared" si="258"/>
        <v>0.21569448884174139</v>
      </c>
      <c r="EM89">
        <f t="shared" si="259"/>
        <v>1.0800000000000001E-2</v>
      </c>
      <c r="EN89" s="460">
        <f t="shared" si="297"/>
        <v>41.204777929530408</v>
      </c>
      <c r="EO89">
        <f t="shared" si="260"/>
        <v>0.93079726457732403</v>
      </c>
      <c r="EP89" s="460">
        <f t="shared" si="298"/>
        <v>930.79726457732409</v>
      </c>
      <c r="EQ89" s="173">
        <f t="shared" si="261"/>
        <v>0.52184999999999993</v>
      </c>
      <c r="ER89" s="173">
        <f t="shared" si="262"/>
        <v>9.3187499999999993E-2</v>
      </c>
      <c r="ES89" s="528"/>
      <c r="EU89" s="460">
        <f t="shared" si="299"/>
        <v>615.03749999999991</v>
      </c>
      <c r="EV89" s="528">
        <f t="shared" si="263"/>
        <v>3.9531035101079123E-2</v>
      </c>
      <c r="EW89" s="528">
        <f t="shared" si="300"/>
        <v>5.6811068408736454E-2</v>
      </c>
      <c r="EX89" s="528">
        <f t="shared" si="264"/>
        <v>5.7107983234257903E-4</v>
      </c>
      <c r="EY89" s="528">
        <f t="shared" si="265"/>
        <v>0.96460642051434142</v>
      </c>
      <c r="EZ89" s="528">
        <f t="shared" si="266"/>
        <v>1.093254832339112</v>
      </c>
      <c r="FA89" s="625">
        <f t="shared" si="267"/>
        <v>1.2735914184694677E-2</v>
      </c>
      <c r="FB89" s="460">
        <f t="shared" si="301"/>
        <v>1105.9907465238068</v>
      </c>
      <c r="FC89" s="173">
        <f t="shared" si="302"/>
        <v>2.6518255111011304</v>
      </c>
      <c r="FD89" s="5">
        <f t="shared" si="303"/>
        <v>15.12</v>
      </c>
      <c r="FE89" s="173">
        <f t="shared" si="304"/>
        <v>0.85078485553188243</v>
      </c>
      <c r="FF89" s="5">
        <f t="shared" si="305"/>
        <v>85.078485553188244</v>
      </c>
      <c r="FG89">
        <f t="shared" si="306"/>
        <v>84</v>
      </c>
      <c r="FI89" s="562">
        <f t="shared" si="268"/>
        <v>-50</v>
      </c>
      <c r="FJ89">
        <f t="shared" si="269"/>
        <v>-50</v>
      </c>
      <c r="FL89">
        <f t="shared" si="270"/>
        <v>0.57009251312425169</v>
      </c>
    </row>
    <row r="90" spans="5:168">
      <c r="E90" s="170">
        <v>85</v>
      </c>
      <c r="F90" s="217">
        <f t="shared" si="307"/>
        <v>0.85</v>
      </c>
      <c r="G90" s="217">
        <f t="shared" si="271"/>
        <v>0.21249999999999999</v>
      </c>
      <c r="H90" s="217">
        <f t="shared" si="176"/>
        <v>13.6</v>
      </c>
      <c r="I90" s="217">
        <f t="shared" si="308"/>
        <v>1.7</v>
      </c>
      <c r="J90" s="541">
        <f t="shared" si="177"/>
        <v>23.898615724789661</v>
      </c>
      <c r="K90" s="443">
        <f t="shared" si="178"/>
        <v>16.744729582327356</v>
      </c>
      <c r="L90" s="172">
        <f t="shared" si="179"/>
        <v>40.643345307117016</v>
      </c>
      <c r="M90" s="443"/>
      <c r="N90" s="217">
        <f t="shared" si="180"/>
        <v>0.41199191296379833</v>
      </c>
      <c r="O90" s="172">
        <f t="shared" si="272"/>
        <v>21.880080910317346</v>
      </c>
      <c r="P90" s="172">
        <f t="shared" si="181"/>
        <v>3.0768863780133766</v>
      </c>
      <c r="Q90" s="217">
        <f t="shared" si="182"/>
        <v>1.3675050568948341</v>
      </c>
      <c r="R90" s="217">
        <f t="shared" si="183"/>
        <v>2.7350101137896683</v>
      </c>
      <c r="S90" s="443">
        <f t="shared" si="184"/>
        <v>16</v>
      </c>
      <c r="T90" s="217">
        <f t="shared" si="185"/>
        <v>3.1078495677744611</v>
      </c>
      <c r="U90" s="217">
        <f t="shared" si="186"/>
        <v>1.5605169455320731</v>
      </c>
      <c r="V90" s="217">
        <f t="shared" si="187"/>
        <v>2.2272198920820077</v>
      </c>
      <c r="W90" s="197">
        <f t="shared" si="188"/>
        <v>350</v>
      </c>
      <c r="X90" s="443">
        <f t="shared" si="273"/>
        <v>250.76880464316548</v>
      </c>
      <c r="Z90" s="217">
        <f t="shared" si="189"/>
        <v>2.344294383248287</v>
      </c>
      <c r="AA90" s="173">
        <f t="shared" si="190"/>
        <v>1.6800231058177191</v>
      </c>
      <c r="AB90" s="173">
        <f t="shared" si="191"/>
        <v>0.68923202787176874</v>
      </c>
      <c r="AC90" s="173"/>
      <c r="AD90" s="173">
        <f t="shared" si="192"/>
        <v>0.71664340358562639</v>
      </c>
      <c r="AE90" s="545">
        <f t="shared" si="193"/>
        <v>2372.1700241630424</v>
      </c>
      <c r="AF90" s="528">
        <f t="shared" si="194"/>
        <v>0.12541259562748461</v>
      </c>
      <c r="AH90" s="173">
        <f t="shared" si="195"/>
        <v>2.6992062325273118</v>
      </c>
      <c r="AI90" s="173">
        <f t="shared" si="196"/>
        <v>3.1078495677744611</v>
      </c>
      <c r="AJ90" s="173">
        <f t="shared" si="197"/>
        <v>2.7613700502033045</v>
      </c>
      <c r="AL90" s="545">
        <f t="shared" si="198"/>
        <v>850</v>
      </c>
      <c r="AM90" s="460">
        <f t="shared" si="199"/>
        <v>250.76880464316548</v>
      </c>
      <c r="AO90">
        <f t="shared" si="274"/>
        <v>850</v>
      </c>
      <c r="AP90">
        <f t="shared" si="200"/>
        <v>250.76880464316548</v>
      </c>
      <c r="AR90" s="5">
        <f t="shared" si="275"/>
        <v>3.9877368376140812</v>
      </c>
      <c r="AS90" s="5">
        <f t="shared" si="201"/>
        <v>1.5605169455320731</v>
      </c>
      <c r="AT90" s="5">
        <f t="shared" si="276"/>
        <v>2.4272198920820083</v>
      </c>
      <c r="AU90" s="173">
        <f t="shared" si="277"/>
        <v>0.39132896905648173</v>
      </c>
      <c r="AW90" s="5">
        <f t="shared" si="202"/>
        <v>8.2902462731391378</v>
      </c>
      <c r="AX90" s="5">
        <f t="shared" si="203"/>
        <v>4.1451231365695689</v>
      </c>
      <c r="AY90" s="5">
        <f t="shared" si="204"/>
        <v>1.1510496016607619</v>
      </c>
      <c r="AZ90" s="5"/>
      <c r="BA90" s="173">
        <f t="shared" si="278"/>
        <v>1.1224586758374047</v>
      </c>
      <c r="BB90" s="173">
        <f t="shared" si="205"/>
        <v>1.3998795780385214</v>
      </c>
      <c r="BC90" s="173">
        <f t="shared" si="206"/>
        <v>0.34379395519475447</v>
      </c>
      <c r="BD90" s="173"/>
      <c r="BE90" s="528">
        <f t="shared" si="207"/>
        <v>2.5198269579253196E-2</v>
      </c>
      <c r="BF90" s="528">
        <f t="shared" si="208"/>
        <v>0.57807716538963638</v>
      </c>
      <c r="BG90" s="528">
        <f t="shared" si="209"/>
        <v>0.13783962785243281</v>
      </c>
      <c r="BH90" s="528">
        <f t="shared" si="210"/>
        <v>0.20401337415745396</v>
      </c>
      <c r="BI90">
        <f t="shared" si="211"/>
        <v>1.0754377076155347E-2</v>
      </c>
      <c r="BJ90" s="460">
        <f t="shared" si="279"/>
        <v>148.59400492858816</v>
      </c>
      <c r="BK90">
        <f t="shared" si="212"/>
        <v>0.81899575866924601</v>
      </c>
      <c r="BL90" s="460">
        <f t="shared" si="280"/>
        <v>818.99575866924602</v>
      </c>
      <c r="BM90" s="173">
        <f t="shared" si="213"/>
        <v>0.52806249999999999</v>
      </c>
      <c r="BN90" s="173">
        <f t="shared" si="214"/>
        <v>9.4296874999999988E-2</v>
      </c>
      <c r="BO90" s="528"/>
      <c r="BQ90" s="460">
        <f t="shared" si="281"/>
        <v>622.35937499999989</v>
      </c>
      <c r="BR90" s="528">
        <f t="shared" si="215"/>
        <v>3.7797404368879794E-2</v>
      </c>
      <c r="BS90" s="528">
        <f t="shared" si="216"/>
        <v>5.8789884990279255E-2</v>
      </c>
      <c r="BT90" s="528">
        <f t="shared" si="217"/>
        <v>5.9097141814226423E-4</v>
      </c>
      <c r="BU90" s="528">
        <f t="shared" si="218"/>
        <v>0.8478201837241871</v>
      </c>
      <c r="BV90" s="528">
        <f t="shared" si="219"/>
        <v>0.97590819194980105</v>
      </c>
      <c r="BW90" s="625">
        <f t="shared" si="220"/>
        <v>1.2110539548159925E-2</v>
      </c>
      <c r="BX90" s="460">
        <f t="shared" si="282"/>
        <v>988.01873149796097</v>
      </c>
      <c r="BY90" s="173">
        <f t="shared" si="283"/>
        <v>2.4293738651672068</v>
      </c>
      <c r="BZ90" s="5">
        <f t="shared" si="284"/>
        <v>15.299999999999999</v>
      </c>
      <c r="CA90" s="173">
        <f t="shared" si="285"/>
        <v>0.86297463838019783</v>
      </c>
      <c r="CB90" s="5">
        <f t="shared" si="286"/>
        <v>86.29746383801978</v>
      </c>
      <c r="CC90">
        <f t="shared" si="287"/>
        <v>85</v>
      </c>
      <c r="CE90" s="562">
        <f t="shared" si="221"/>
        <v>-50</v>
      </c>
      <c r="CF90">
        <f t="shared" si="222"/>
        <v>-50</v>
      </c>
      <c r="CG90" s="173">
        <f t="shared" si="223"/>
        <v>0.57009251312425169</v>
      </c>
      <c r="CH90" s="173">
        <f t="shared" si="224"/>
        <v>0.20152561614275555</v>
      </c>
      <c r="CI90" s="170">
        <v>85</v>
      </c>
      <c r="CJ90" s="217">
        <f t="shared" si="309"/>
        <v>0.85</v>
      </c>
      <c r="CK90" s="217">
        <f t="shared" si="288"/>
        <v>0.21249999999999999</v>
      </c>
      <c r="CL90" s="217">
        <f t="shared" si="225"/>
        <v>13.6</v>
      </c>
      <c r="CM90" s="217">
        <f t="shared" si="310"/>
        <v>1.7</v>
      </c>
      <c r="CN90" s="541">
        <f t="shared" si="289"/>
        <v>24</v>
      </c>
      <c r="CO90" s="443">
        <f t="shared" si="226"/>
        <v>16.7</v>
      </c>
      <c r="CP90" s="443">
        <f t="shared" si="227"/>
        <v>40.700000000000003</v>
      </c>
      <c r="CQ90" s="443"/>
      <c r="CR90" s="217">
        <f t="shared" si="228"/>
        <v>0.40594059405940591</v>
      </c>
      <c r="CS90" s="172">
        <f t="shared" si="290"/>
        <v>21.650165016501649</v>
      </c>
      <c r="CT90" s="172">
        <f t="shared" si="229"/>
        <v>3.0445544554455446</v>
      </c>
      <c r="CU90" s="217">
        <f t="shared" si="230"/>
        <v>1.3531353135313531</v>
      </c>
      <c r="CV90" s="217">
        <f t="shared" si="231"/>
        <v>2.7062706270627062</v>
      </c>
      <c r="CW90" s="443">
        <f t="shared" si="232"/>
        <v>16</v>
      </c>
      <c r="CX90" s="217">
        <f t="shared" si="233"/>
        <v>3.1408536585365852</v>
      </c>
      <c r="CY90" s="217">
        <f t="shared" si="234"/>
        <v>1.5704268292682926</v>
      </c>
      <c r="CZ90" s="217">
        <f t="shared" si="235"/>
        <v>2.2569008324813784</v>
      </c>
      <c r="DA90" s="197">
        <f t="shared" si="236"/>
        <v>350</v>
      </c>
      <c r="DB90" s="443">
        <f t="shared" si="291"/>
        <v>261.27891008496715</v>
      </c>
      <c r="DD90" s="217">
        <f t="shared" si="237"/>
        <v>2.344682344682345</v>
      </c>
      <c r="DE90" s="173">
        <f t="shared" si="238"/>
        <v>1.6848016848016851</v>
      </c>
      <c r="DF90" s="173">
        <f t="shared" si="239"/>
        <v>0.69130683381297664</v>
      </c>
      <c r="DG90" s="173"/>
      <c r="DH90" s="173">
        <f t="shared" si="240"/>
        <v>0.71856287425149712</v>
      </c>
      <c r="DI90" s="545">
        <f t="shared" si="241"/>
        <v>2365.833333333333</v>
      </c>
      <c r="DJ90" s="528">
        <f t="shared" si="242"/>
        <v>0.125748502994012</v>
      </c>
      <c r="DL90" s="173">
        <f t="shared" si="243"/>
        <v>2.6992062325273118</v>
      </c>
      <c r="DM90" s="173">
        <f t="shared" si="244"/>
        <v>3.1408536585365852</v>
      </c>
      <c r="DN90" s="173">
        <f t="shared" si="245"/>
        <v>2.7858175248419146</v>
      </c>
      <c r="DP90" s="545">
        <f t="shared" si="246"/>
        <v>850</v>
      </c>
      <c r="DQ90" s="460">
        <f t="shared" si="247"/>
        <v>261.27891008496715</v>
      </c>
      <c r="DS90">
        <f t="shared" si="292"/>
        <v>850</v>
      </c>
      <c r="DT90">
        <f t="shared" si="248"/>
        <v>261.27891008496715</v>
      </c>
      <c r="DV90" s="5">
        <f t="shared" si="293"/>
        <v>3.8273276617496719</v>
      </c>
      <c r="DW90" s="5">
        <f t="shared" si="249"/>
        <v>1.5704268292682926</v>
      </c>
      <c r="DX90" s="5">
        <f t="shared" si="294"/>
        <v>2.2569008324813793</v>
      </c>
      <c r="DY90" s="173">
        <f t="shared" si="295"/>
        <v>0.41031941031941022</v>
      </c>
      <c r="EA90" s="5">
        <f t="shared" si="250"/>
        <v>8.3428925304878039</v>
      </c>
      <c r="EB90" s="5">
        <f t="shared" si="251"/>
        <v>4.1714462652439019</v>
      </c>
      <c r="EC90" s="5">
        <f t="shared" si="252"/>
        <v>1.0657587264495401</v>
      </c>
      <c r="ED90" s="5"/>
      <c r="EE90" s="173">
        <f t="shared" si="296"/>
        <v>1.1615772709767584</v>
      </c>
      <c r="EF90" s="173">
        <f t="shared" si="253"/>
        <v>1.3925009198073814</v>
      </c>
      <c r="EG90" s="173">
        <f t="shared" si="254"/>
        <v>0.34198184354093042</v>
      </c>
      <c r="EH90" s="173"/>
      <c r="EI90" s="528">
        <f t="shared" si="255"/>
        <v>2.6985235128996275E-2</v>
      </c>
      <c r="EJ90" s="528">
        <f t="shared" si="256"/>
        <v>0.63460000000000005</v>
      </c>
      <c r="EK90" s="528">
        <f t="shared" si="257"/>
        <v>3.0047074659771227E-2</v>
      </c>
      <c r="EL90" s="528">
        <f t="shared" si="258"/>
        <v>0.2131569066200738</v>
      </c>
      <c r="EM90">
        <f t="shared" si="259"/>
        <v>1.0800000000000001E-2</v>
      </c>
      <c r="EN90" s="460">
        <f t="shared" si="297"/>
        <v>40.847074659771231</v>
      </c>
      <c r="EO90">
        <f t="shared" si="260"/>
        <v>0.92883060553265917</v>
      </c>
      <c r="EP90" s="460">
        <f t="shared" si="298"/>
        <v>928.83060553265921</v>
      </c>
      <c r="EQ90" s="173">
        <f t="shared" si="261"/>
        <v>0.52806249999999999</v>
      </c>
      <c r="ER90" s="173">
        <f t="shared" si="262"/>
        <v>9.4296874999999988E-2</v>
      </c>
      <c r="ES90" s="528"/>
      <c r="EU90" s="460">
        <f t="shared" si="299"/>
        <v>622.35937499999989</v>
      </c>
      <c r="EV90" s="528">
        <f t="shared" si="263"/>
        <v>4.0477852693494409E-2</v>
      </c>
      <c r="EW90" s="528">
        <f t="shared" si="300"/>
        <v>5.8171764349932098E-2</v>
      </c>
      <c r="EX90" s="528">
        <f t="shared" si="264"/>
        <v>5.8475790655826703E-4</v>
      </c>
      <c r="EY90" s="528">
        <f t="shared" si="265"/>
        <v>0.96460642051433876</v>
      </c>
      <c r="EZ90" s="528">
        <f t="shared" si="266"/>
        <v>1.0963607795868784</v>
      </c>
      <c r="FA90" s="625">
        <f t="shared" si="267"/>
        <v>1.2887532210702941E-2</v>
      </c>
      <c r="FB90" s="460">
        <f t="shared" si="301"/>
        <v>1109.2483117975812</v>
      </c>
      <c r="FC90" s="173">
        <f t="shared" si="302"/>
        <v>2.6604382923302405</v>
      </c>
      <c r="FD90" s="5">
        <f t="shared" si="303"/>
        <v>15.299999999999999</v>
      </c>
      <c r="FE90" s="173">
        <f t="shared" si="304"/>
        <v>0.85187230684307169</v>
      </c>
      <c r="FF90" s="5">
        <f t="shared" si="305"/>
        <v>85.187230684307167</v>
      </c>
      <c r="FG90">
        <f t="shared" si="306"/>
        <v>85</v>
      </c>
      <c r="FI90" s="562">
        <f t="shared" si="268"/>
        <v>-50</v>
      </c>
      <c r="FJ90">
        <f t="shared" si="269"/>
        <v>-50</v>
      </c>
      <c r="FL90">
        <f t="shared" si="270"/>
        <v>0.57009251312425169</v>
      </c>
    </row>
    <row r="91" spans="5:168">
      <c r="E91" s="170">
        <v>86</v>
      </c>
      <c r="F91" s="217">
        <f t="shared" si="307"/>
        <v>0.86</v>
      </c>
      <c r="G91" s="217">
        <f t="shared" si="271"/>
        <v>0.215</v>
      </c>
      <c r="H91" s="217">
        <f t="shared" si="176"/>
        <v>13.76</v>
      </c>
      <c r="I91" s="217">
        <f t="shared" si="308"/>
        <v>1.72</v>
      </c>
      <c r="J91" s="541">
        <f t="shared" si="177"/>
        <v>23.897422968610716</v>
      </c>
      <c r="K91" s="443">
        <f t="shared" si="178"/>
        <v>16.745255812707676</v>
      </c>
      <c r="L91" s="172">
        <f t="shared" si="179"/>
        <v>40.642678781318395</v>
      </c>
      <c r="M91" s="443"/>
      <c r="N91" s="217">
        <f t="shared" si="180"/>
        <v>0.41201161721664653</v>
      </c>
      <c r="O91" s="172">
        <f t="shared" si="272"/>
        <v>21.880035299127858</v>
      </c>
      <c r="P91" s="172">
        <f t="shared" si="181"/>
        <v>3.076879963939855</v>
      </c>
      <c r="Q91" s="217">
        <f t="shared" si="182"/>
        <v>1.3675022061954911</v>
      </c>
      <c r="R91" s="217">
        <f t="shared" si="183"/>
        <v>2.7350044123909822</v>
      </c>
      <c r="S91" s="443">
        <f t="shared" si="184"/>
        <v>16</v>
      </c>
      <c r="T91" s="217">
        <f t="shared" si="185"/>
        <v>3.1444190587179897</v>
      </c>
      <c r="U91" s="217">
        <f t="shared" si="186"/>
        <v>1.5789580639794611</v>
      </c>
      <c r="V91" s="217">
        <f t="shared" si="187"/>
        <v>2.2533563611480307</v>
      </c>
      <c r="W91" s="197">
        <f t="shared" si="188"/>
        <v>350</v>
      </c>
      <c r="X91" s="443">
        <f t="shared" si="273"/>
        <v>247.99653364540947</v>
      </c>
      <c r="Z91" s="217">
        <f t="shared" si="189"/>
        <v>2.3442894963351275</v>
      </c>
      <c r="AA91" s="173">
        <f t="shared" si="190"/>
        <v>1.6799668079524386</v>
      </c>
      <c r="AB91" s="173">
        <f t="shared" si="191"/>
        <v>0.68920749486304689</v>
      </c>
      <c r="AC91" s="173"/>
      <c r="AD91" s="173">
        <f t="shared" si="192"/>
        <v>0.7166208826080408</v>
      </c>
      <c r="AE91" s="545">
        <f t="shared" si="193"/>
        <v>2400.1533331547666</v>
      </c>
      <c r="AF91" s="528">
        <f t="shared" si="194"/>
        <v>0.12540865445640714</v>
      </c>
      <c r="AH91" s="173">
        <f t="shared" si="195"/>
        <v>2.7150374898753369</v>
      </c>
      <c r="AI91" s="173">
        <f t="shared" si="196"/>
        <v>3.1444190587179897</v>
      </c>
      <c r="AJ91" s="173">
        <f t="shared" si="197"/>
        <v>2.788458562013326</v>
      </c>
      <c r="AL91" s="545">
        <f t="shared" si="198"/>
        <v>860</v>
      </c>
      <c r="AM91" s="460">
        <f t="shared" si="199"/>
        <v>247.99653364540947</v>
      </c>
      <c r="AO91">
        <f t="shared" si="274"/>
        <v>860</v>
      </c>
      <c r="AP91">
        <f t="shared" si="200"/>
        <v>247.99653364540947</v>
      </c>
      <c r="AR91" s="5">
        <f t="shared" si="275"/>
        <v>4.0323144251274918</v>
      </c>
      <c r="AS91" s="5">
        <f t="shared" si="201"/>
        <v>1.5789580639794611</v>
      </c>
      <c r="AT91" s="5">
        <f t="shared" si="276"/>
        <v>2.4533563611480309</v>
      </c>
      <c r="AU91" s="173">
        <f t="shared" si="277"/>
        <v>0.39157612663837305</v>
      </c>
      <c r="AW91" s="5">
        <f t="shared" si="202"/>
        <v>8.4868995938896035</v>
      </c>
      <c r="AX91" s="5">
        <f t="shared" si="203"/>
        <v>4.2434497969448017</v>
      </c>
      <c r="AY91" s="5">
        <f t="shared" si="204"/>
        <v>1.1771905131688014</v>
      </c>
      <c r="AZ91" s="5"/>
      <c r="BA91" s="173">
        <f t="shared" si="278"/>
        <v>1.1360250178761628</v>
      </c>
      <c r="BB91" s="173">
        <f t="shared" si="205"/>
        <v>1.4160641102609395</v>
      </c>
      <c r="BC91" s="173">
        <f t="shared" si="206"/>
        <v>0.34776868590231896</v>
      </c>
      <c r="BD91" s="173"/>
      <c r="BE91" s="528">
        <f t="shared" si="207"/>
        <v>2.5811056824810722E-2</v>
      </c>
      <c r="BF91" s="528">
        <f t="shared" si="208"/>
        <v>0.57840391526450607</v>
      </c>
      <c r="BG91" s="528">
        <f t="shared" si="209"/>
        <v>0.13630899536329391</v>
      </c>
      <c r="BH91" s="528">
        <f t="shared" si="210"/>
        <v>0.20175137116101305</v>
      </c>
      <c r="BI91">
        <f t="shared" si="211"/>
        <v>1.0753840335874822E-2</v>
      </c>
      <c r="BJ91" s="460">
        <f t="shared" si="279"/>
        <v>147.06283569916872</v>
      </c>
      <c r="BK91">
        <f t="shared" si="212"/>
        <v>0.8179515860938108</v>
      </c>
      <c r="BL91" s="460">
        <f t="shared" si="280"/>
        <v>817.95158609381076</v>
      </c>
      <c r="BM91" s="173">
        <f t="shared" si="213"/>
        <v>0.53427499999999994</v>
      </c>
      <c r="BN91" s="173">
        <f t="shared" si="214"/>
        <v>9.5406249999999998E-2</v>
      </c>
      <c r="BO91" s="528"/>
      <c r="BQ91" s="460">
        <f t="shared" si="281"/>
        <v>629.68124999999998</v>
      </c>
      <c r="BR91" s="528">
        <f t="shared" si="215"/>
        <v>3.8716585237216078E-2</v>
      </c>
      <c r="BS91" s="528">
        <f t="shared" si="216"/>
        <v>6.0157126931073189E-2</v>
      </c>
      <c r="BT91" s="528">
        <f t="shared" si="217"/>
        <v>6.0471529447112893E-4</v>
      </c>
      <c r="BU91" s="528">
        <f t="shared" si="218"/>
        <v>0.84905354678818878</v>
      </c>
      <c r="BV91" s="528">
        <f t="shared" si="219"/>
        <v>0.98020755735342224</v>
      </c>
      <c r="BW91" s="625">
        <f t="shared" si="220"/>
        <v>1.2260168943194842E-2</v>
      </c>
      <c r="BX91" s="460">
        <f t="shared" si="282"/>
        <v>992.467726296617</v>
      </c>
      <c r="BY91" s="173">
        <f t="shared" si="283"/>
        <v>2.4401005623904277</v>
      </c>
      <c r="BZ91" s="5">
        <f t="shared" si="284"/>
        <v>15.48</v>
      </c>
      <c r="CA91" s="173">
        <f t="shared" si="285"/>
        <v>0.86383443809955196</v>
      </c>
      <c r="CB91" s="5">
        <f t="shared" si="286"/>
        <v>86.383443809955196</v>
      </c>
      <c r="CC91">
        <f t="shared" si="287"/>
        <v>86</v>
      </c>
      <c r="CE91" s="562">
        <f t="shared" si="221"/>
        <v>-50</v>
      </c>
      <c r="CF91">
        <f t="shared" si="222"/>
        <v>-50</v>
      </c>
      <c r="CG91" s="173">
        <f t="shared" si="223"/>
        <v>0.57009251312425169</v>
      </c>
      <c r="CH91" s="173">
        <f t="shared" si="224"/>
        <v>0.20152561614275555</v>
      </c>
      <c r="CI91" s="170">
        <v>86</v>
      </c>
      <c r="CJ91" s="217">
        <f t="shared" si="309"/>
        <v>0.86</v>
      </c>
      <c r="CK91" s="217">
        <f t="shared" si="288"/>
        <v>0.215</v>
      </c>
      <c r="CL91" s="217">
        <f t="shared" si="225"/>
        <v>13.76</v>
      </c>
      <c r="CM91" s="217">
        <f t="shared" si="310"/>
        <v>1.72</v>
      </c>
      <c r="CN91" s="541">
        <f t="shared" si="289"/>
        <v>24</v>
      </c>
      <c r="CO91" s="443">
        <f t="shared" si="226"/>
        <v>16.7</v>
      </c>
      <c r="CP91" s="443">
        <f t="shared" si="227"/>
        <v>40.700000000000003</v>
      </c>
      <c r="CQ91" s="443"/>
      <c r="CR91" s="217">
        <f t="shared" si="228"/>
        <v>0.40594059405940591</v>
      </c>
      <c r="CS91" s="172">
        <f t="shared" si="290"/>
        <v>21.650165016501649</v>
      </c>
      <c r="CT91" s="172">
        <f t="shared" si="229"/>
        <v>3.0445544554455446</v>
      </c>
      <c r="CU91" s="217">
        <f t="shared" si="230"/>
        <v>1.3531353135313531</v>
      </c>
      <c r="CV91" s="217">
        <f t="shared" si="231"/>
        <v>2.7062706270627062</v>
      </c>
      <c r="CW91" s="443">
        <f t="shared" si="232"/>
        <v>16</v>
      </c>
      <c r="CX91" s="217">
        <f t="shared" si="233"/>
        <v>3.1778048780487809</v>
      </c>
      <c r="CY91" s="217">
        <f t="shared" si="234"/>
        <v>1.5889024390243904</v>
      </c>
      <c r="CZ91" s="217">
        <f t="shared" si="235"/>
        <v>2.28345260698116</v>
      </c>
      <c r="DA91" s="197">
        <f t="shared" si="236"/>
        <v>350</v>
      </c>
      <c r="DB91" s="443">
        <f t="shared" si="291"/>
        <v>258.24078322351403</v>
      </c>
      <c r="DD91" s="217">
        <f t="shared" si="237"/>
        <v>2.344682344682345</v>
      </c>
      <c r="DE91" s="173">
        <f t="shared" si="238"/>
        <v>1.6848016848016851</v>
      </c>
      <c r="DF91" s="173">
        <f t="shared" si="239"/>
        <v>0.69130683381297664</v>
      </c>
      <c r="DG91" s="173"/>
      <c r="DH91" s="173">
        <f t="shared" si="240"/>
        <v>0.71856287425149712</v>
      </c>
      <c r="DI91" s="545">
        <f t="shared" si="241"/>
        <v>2393.6666666666665</v>
      </c>
      <c r="DJ91" s="528">
        <f t="shared" si="242"/>
        <v>0.125748502994012</v>
      </c>
      <c r="DL91" s="173">
        <f t="shared" si="243"/>
        <v>2.7150374898753369</v>
      </c>
      <c r="DM91" s="173">
        <f t="shared" si="244"/>
        <v>3.1778048780487809</v>
      </c>
      <c r="DN91" s="173">
        <f t="shared" si="245"/>
        <v>2.8131887985546524</v>
      </c>
      <c r="DP91" s="545">
        <f t="shared" si="246"/>
        <v>860</v>
      </c>
      <c r="DQ91" s="460">
        <f t="shared" si="247"/>
        <v>258.24078322351403</v>
      </c>
      <c r="DS91">
        <f>IF(CL91&gt;CS91, "",DP91)</f>
        <v>860</v>
      </c>
      <c r="DT91">
        <f>IF(CL91&gt;CS91, "",DQ91)</f>
        <v>258.24078322351403</v>
      </c>
      <c r="DV91" s="5">
        <f t="shared" si="293"/>
        <v>3.8723550460055502</v>
      </c>
      <c r="DW91" s="5">
        <f t="shared" si="249"/>
        <v>1.5889024390243904</v>
      </c>
      <c r="DX91" s="5">
        <f t="shared" si="294"/>
        <v>2.28345260698116</v>
      </c>
      <c r="DY91" s="173">
        <f t="shared" si="295"/>
        <v>0.41031941031941033</v>
      </c>
      <c r="EA91" s="5">
        <f t="shared" si="250"/>
        <v>8.5403506097560982</v>
      </c>
      <c r="EB91" s="5">
        <f t="shared" si="251"/>
        <v>4.2701753048780491</v>
      </c>
      <c r="EC91" s="5">
        <f t="shared" si="252"/>
        <v>1.090982912224332</v>
      </c>
      <c r="ED91" s="5"/>
      <c r="EE91" s="173">
        <f t="shared" si="296"/>
        <v>1.1752428859294266</v>
      </c>
      <c r="EF91" s="173">
        <f t="shared" si="253"/>
        <v>1.4088832835698215</v>
      </c>
      <c r="EG91" s="173">
        <f t="shared" si="254"/>
        <v>0.34600515934729437</v>
      </c>
      <c r="EH91" s="173"/>
      <c r="EI91" s="528">
        <f t="shared" si="255"/>
        <v>2.7623916818554545E-2</v>
      </c>
      <c r="EJ91" s="528">
        <f t="shared" si="256"/>
        <v>0.63460000000000005</v>
      </c>
      <c r="EK91" s="528">
        <f t="shared" si="257"/>
        <v>2.9697690070704115E-2</v>
      </c>
      <c r="EL91" s="528">
        <f t="shared" si="258"/>
        <v>0.21067833793844504</v>
      </c>
      <c r="EM91">
        <f t="shared" si="259"/>
        <v>1.0800000000000001E-2</v>
      </c>
      <c r="EN91" s="460">
        <f t="shared" si="297"/>
        <v>40.49769007070411</v>
      </c>
      <c r="EO91">
        <f t="shared" si="260"/>
        <v>0.92694233521284497</v>
      </c>
      <c r="EP91" s="460">
        <f t="shared" si="298"/>
        <v>926.94233521284502</v>
      </c>
      <c r="EQ91" s="173">
        <f t="shared" si="261"/>
        <v>0.53427499999999994</v>
      </c>
      <c r="ER91" s="173">
        <f t="shared" si="262"/>
        <v>9.5406249999999998E-2</v>
      </c>
      <c r="ES91" s="528"/>
      <c r="EU91" s="460">
        <f t="shared" si="299"/>
        <v>629.68124999999998</v>
      </c>
      <c r="EV91" s="528">
        <f t="shared" si="263"/>
        <v>4.1435875227831813E-2</v>
      </c>
      <c r="EW91" s="528">
        <f t="shared" si="300"/>
        <v>5.9548563201674461E-2</v>
      </c>
      <c r="EX91" s="528">
        <f t="shared" si="264"/>
        <v>5.9859785147473282E-4</v>
      </c>
      <c r="EY91" s="528">
        <f t="shared" si="265"/>
        <v>0.96460642051434087</v>
      </c>
      <c r="EZ91" s="528">
        <f t="shared" si="266"/>
        <v>1.0995046673035416</v>
      </c>
      <c r="FA91" s="625">
        <f t="shared" si="267"/>
        <v>1.3039150236711214E-2</v>
      </c>
      <c r="FB91" s="460">
        <f t="shared" si="301"/>
        <v>1112.5438175402528</v>
      </c>
      <c r="FC91" s="173">
        <f t="shared" si="302"/>
        <v>2.6691674027530974</v>
      </c>
      <c r="FD91" s="5">
        <f t="shared" si="303"/>
        <v>15.48</v>
      </c>
      <c r="FE91" s="173">
        <f t="shared" si="304"/>
        <v>0.85293168862676294</v>
      </c>
      <c r="FF91" s="5">
        <f t="shared" si="305"/>
        <v>85.293168862676296</v>
      </c>
      <c r="FG91">
        <f t="shared" si="306"/>
        <v>86</v>
      </c>
      <c r="FI91" s="562">
        <f t="shared" si="268"/>
        <v>-50</v>
      </c>
      <c r="FJ91">
        <f t="shared" si="269"/>
        <v>-50</v>
      </c>
      <c r="FL91">
        <f t="shared" si="270"/>
        <v>0.57009251312425158</v>
      </c>
    </row>
    <row r="92" spans="5:168">
      <c r="E92" s="170">
        <v>87</v>
      </c>
      <c r="F92" s="217">
        <f t="shared" si="307"/>
        <v>0.87</v>
      </c>
      <c r="G92" s="217">
        <f t="shared" si="271"/>
        <v>0.2175</v>
      </c>
      <c r="H92" s="217">
        <f t="shared" si="176"/>
        <v>13.92</v>
      </c>
      <c r="I92" s="217">
        <f t="shared" si="308"/>
        <v>1.74</v>
      </c>
      <c r="J92" s="541">
        <f t="shared" si="177"/>
        <v>23.896230212431771</v>
      </c>
      <c r="K92" s="443">
        <f t="shared" si="178"/>
        <v>16.745782043087999</v>
      </c>
      <c r="L92" s="172">
        <f t="shared" si="179"/>
        <v>40.642012255519774</v>
      </c>
      <c r="M92" s="443"/>
      <c r="N92" s="217">
        <f t="shared" si="180"/>
        <v>0.41203132211579113</v>
      </c>
      <c r="O92" s="172">
        <f t="shared" si="272"/>
        <v>21.879989617803503</v>
      </c>
      <c r="P92" s="172">
        <f t="shared" si="181"/>
        <v>3.0768735400036173</v>
      </c>
      <c r="Q92" s="217">
        <f t="shared" si="182"/>
        <v>1.3674993511127189</v>
      </c>
      <c r="R92" s="217">
        <f t="shared" si="183"/>
        <v>2.7349987022254378</v>
      </c>
      <c r="S92" s="443">
        <f t="shared" si="184"/>
        <v>16</v>
      </c>
      <c r="T92" s="217">
        <f t="shared" si="185"/>
        <v>3.1809887123240346</v>
      </c>
      <c r="U92" s="217">
        <f t="shared" si="186"/>
        <v>1.5974011050508667</v>
      </c>
      <c r="V92" s="217">
        <f t="shared" si="187"/>
        <v>2.2794913041188343</v>
      </c>
      <c r="W92" s="197">
        <f t="shared" si="188"/>
        <v>350</v>
      </c>
      <c r="X92" s="443">
        <f t="shared" si="273"/>
        <v>245.28486396913769</v>
      </c>
      <c r="Z92" s="217">
        <f t="shared" si="189"/>
        <v>2.3442846019075181</v>
      </c>
      <c r="AA92" s="173">
        <f t="shared" si="190"/>
        <v>1.6799105082405967</v>
      </c>
      <c r="AB92" s="173">
        <f t="shared" si="191"/>
        <v>0.68918295898393611</v>
      </c>
      <c r="AC92" s="173"/>
      <c r="AD92" s="173">
        <f t="shared" si="192"/>
        <v>0.71659836304588287</v>
      </c>
      <c r="AE92" s="545">
        <f t="shared" si="193"/>
        <v>2428.1383962477598</v>
      </c>
      <c r="AF92" s="528">
        <f t="shared" si="194"/>
        <v>0.12540471353302951</v>
      </c>
      <c r="AH92" s="173">
        <f t="shared" si="195"/>
        <v>2.7307769694983985</v>
      </c>
      <c r="AI92" s="173">
        <f t="shared" si="196"/>
        <v>3.1809887123240346</v>
      </c>
      <c r="AJ92" s="173">
        <f t="shared" si="197"/>
        <v>2.8155471943140995</v>
      </c>
      <c r="AL92" s="545">
        <f t="shared" si="198"/>
        <v>870</v>
      </c>
      <c r="AM92" s="460">
        <f t="shared" si="199"/>
        <v>245.28486396913769</v>
      </c>
      <c r="AO92">
        <f t="shared" si="274"/>
        <v>870</v>
      </c>
      <c r="AP92">
        <f t="shared" si="200"/>
        <v>245.28486396913769</v>
      </c>
      <c r="AR92" s="5">
        <f t="shared" si="275"/>
        <v>4.0768924091696999</v>
      </c>
      <c r="AS92" s="5">
        <f t="shared" si="201"/>
        <v>1.5974011050508667</v>
      </c>
      <c r="AT92" s="5">
        <f t="shared" si="276"/>
        <v>2.4794913041188331</v>
      </c>
      <c r="AU92" s="173">
        <f t="shared" si="277"/>
        <v>0.3918183127565521</v>
      </c>
      <c r="AW92" s="5">
        <f t="shared" si="202"/>
        <v>8.685868508714087</v>
      </c>
      <c r="AX92" s="5">
        <f t="shared" si="203"/>
        <v>4.3429342543570435</v>
      </c>
      <c r="AY92" s="5">
        <f t="shared" si="204"/>
        <v>1.2036249597568436</v>
      </c>
      <c r="AZ92" s="5"/>
      <c r="BA92" s="173">
        <f t="shared" si="278"/>
        <v>1.1495923516510598</v>
      </c>
      <c r="BB92" s="173">
        <f t="shared" si="205"/>
        <v>1.4322478210851031</v>
      </c>
      <c r="BC92" s="173">
        <f t="shared" si="206"/>
        <v>0.35174321488413557</v>
      </c>
      <c r="BD92" s="173"/>
      <c r="BE92" s="528">
        <f t="shared" si="207"/>
        <v>2.6431251499492277E-2</v>
      </c>
      <c r="BF92" s="528">
        <f t="shared" si="208"/>
        <v>0.57872327471973495</v>
      </c>
      <c r="BG92" s="528">
        <f t="shared" si="209"/>
        <v>0.13481182227172508</v>
      </c>
      <c r="BH92" s="528">
        <f t="shared" si="210"/>
        <v>0.19953881528927889</v>
      </c>
      <c r="BI92">
        <f t="shared" si="211"/>
        <v>1.0753303595594297E-2</v>
      </c>
      <c r="BJ92" s="460">
        <f t="shared" si="279"/>
        <v>145.56512586731938</v>
      </c>
      <c r="BK92">
        <f t="shared" si="212"/>
        <v>0.81696034376570603</v>
      </c>
      <c r="BL92" s="460">
        <f t="shared" si="280"/>
        <v>816.96034376570606</v>
      </c>
      <c r="BM92" s="173">
        <f t="shared" si="213"/>
        <v>0.54048750000000001</v>
      </c>
      <c r="BN92" s="173">
        <f t="shared" si="214"/>
        <v>9.6515624999999994E-2</v>
      </c>
      <c r="BO92" s="528"/>
      <c r="BQ92" s="460">
        <f t="shared" si="281"/>
        <v>637.00312499999995</v>
      </c>
      <c r="BR92" s="528">
        <f t="shared" si="215"/>
        <v>3.9646877249238412E-2</v>
      </c>
      <c r="BS92" s="528">
        <f t="shared" si="216"/>
        <v>6.1540014630090754E-2</v>
      </c>
      <c r="BT92" s="528">
        <f t="shared" si="217"/>
        <v>6.1861644608513584E-4</v>
      </c>
      <c r="BU92" s="528">
        <f t="shared" si="218"/>
        <v>0.8502608809793617</v>
      </c>
      <c r="BV92" s="528">
        <f t="shared" si="219"/>
        <v>0.98451806022904897</v>
      </c>
      <c r="BW92" s="625">
        <f t="shared" si="220"/>
        <v>1.2409806505040553E-2</v>
      </c>
      <c r="BX92" s="460">
        <f t="shared" si="282"/>
        <v>996.92786673408955</v>
      </c>
      <c r="BY92" s="173">
        <f t="shared" si="283"/>
        <v>2.4508913354997954</v>
      </c>
      <c r="BZ92" s="5">
        <f t="shared" si="284"/>
        <v>15.66</v>
      </c>
      <c r="CA92" s="173">
        <f t="shared" si="285"/>
        <v>0.86467306936485699</v>
      </c>
      <c r="CB92" s="5">
        <f t="shared" si="286"/>
        <v>86.467306936485699</v>
      </c>
      <c r="CC92">
        <f t="shared" si="287"/>
        <v>87</v>
      </c>
      <c r="CE92" s="562">
        <f t="shared" si="221"/>
        <v>-50</v>
      </c>
      <c r="CF92">
        <f t="shared" si="222"/>
        <v>-50</v>
      </c>
      <c r="CG92" s="173">
        <f t="shared" si="223"/>
        <v>0.57009251312425169</v>
      </c>
      <c r="CH92" s="173">
        <f t="shared" si="224"/>
        <v>0.20152561614275555</v>
      </c>
      <c r="CI92" s="170">
        <v>87</v>
      </c>
      <c r="CJ92" s="217">
        <f t="shared" si="309"/>
        <v>0.87</v>
      </c>
      <c r="CK92" s="217">
        <f t="shared" si="288"/>
        <v>0.2175</v>
      </c>
      <c r="CL92" s="217">
        <f t="shared" si="225"/>
        <v>13.92</v>
      </c>
      <c r="CM92" s="217">
        <f t="shared" si="310"/>
        <v>1.74</v>
      </c>
      <c r="CN92" s="541">
        <f t="shared" si="289"/>
        <v>24</v>
      </c>
      <c r="CO92" s="443">
        <f t="shared" si="226"/>
        <v>16.7</v>
      </c>
      <c r="CP92" s="443">
        <f t="shared" si="227"/>
        <v>40.700000000000003</v>
      </c>
      <c r="CQ92" s="443"/>
      <c r="CR92" s="217">
        <f t="shared" si="228"/>
        <v>0.40594059405940591</v>
      </c>
      <c r="CS92" s="172">
        <f t="shared" si="290"/>
        <v>21.650165016501649</v>
      </c>
      <c r="CT92" s="172">
        <f t="shared" si="229"/>
        <v>3.0445544554455446</v>
      </c>
      <c r="CU92" s="217">
        <f t="shared" si="230"/>
        <v>1.3531353135313531</v>
      </c>
      <c r="CV92" s="217">
        <f t="shared" si="231"/>
        <v>2.7062706270627062</v>
      </c>
      <c r="CW92" s="443">
        <f t="shared" si="232"/>
        <v>16</v>
      </c>
      <c r="CX92" s="217">
        <f t="shared" si="233"/>
        <v>3.2147560975609757</v>
      </c>
      <c r="CY92" s="217">
        <f t="shared" si="234"/>
        <v>1.6073780487804878</v>
      </c>
      <c r="CZ92" s="217">
        <f t="shared" si="235"/>
        <v>2.3100043814809408</v>
      </c>
      <c r="DA92" s="197">
        <f t="shared" si="236"/>
        <v>350</v>
      </c>
      <c r="DB92" s="443">
        <f t="shared" si="291"/>
        <v>255.27249835887594</v>
      </c>
      <c r="DD92" s="217">
        <f t="shared" si="237"/>
        <v>2.344682344682345</v>
      </c>
      <c r="DE92" s="173">
        <f t="shared" si="238"/>
        <v>1.6848016848016851</v>
      </c>
      <c r="DF92" s="173">
        <f t="shared" si="239"/>
        <v>0.69130683381297664</v>
      </c>
      <c r="DG92" s="173"/>
      <c r="DH92" s="173">
        <f t="shared" si="240"/>
        <v>0.71856287425149712</v>
      </c>
      <c r="DI92" s="545">
        <f t="shared" si="241"/>
        <v>2421.4999999999995</v>
      </c>
      <c r="DJ92" s="528">
        <f t="shared" si="242"/>
        <v>0.125748502994012</v>
      </c>
      <c r="DL92" s="173">
        <f t="shared" si="243"/>
        <v>2.7307769694983985</v>
      </c>
      <c r="DM92" s="173">
        <f t="shared" si="244"/>
        <v>3.2147560975609757</v>
      </c>
      <c r="DN92" s="173">
        <f t="shared" si="245"/>
        <v>2.8405600722673894</v>
      </c>
      <c r="DP92" s="545">
        <f t="shared" si="246"/>
        <v>870</v>
      </c>
      <c r="DQ92" s="460">
        <f t="shared" si="247"/>
        <v>255.27249835887594</v>
      </c>
      <c r="DS92">
        <f>IF(CL92&gt;CS92, "",DP92)</f>
        <v>870</v>
      </c>
      <c r="DT92">
        <f>IF(CL92&gt;CS92, "",DQ92)</f>
        <v>255.27249835887594</v>
      </c>
      <c r="DV92" s="5">
        <f t="shared" si="293"/>
        <v>3.9173824302614286</v>
      </c>
      <c r="DW92" s="5">
        <f t="shared" si="249"/>
        <v>1.6073780487804878</v>
      </c>
      <c r="DX92" s="5">
        <f t="shared" si="294"/>
        <v>2.3100043814809408</v>
      </c>
      <c r="DY92" s="173">
        <f t="shared" si="295"/>
        <v>0.41031941031941033</v>
      </c>
      <c r="EA92" s="5">
        <f t="shared" si="250"/>
        <v>8.7401181402439008</v>
      </c>
      <c r="EB92" s="5">
        <f t="shared" si="251"/>
        <v>4.3700590701219504</v>
      </c>
      <c r="EC92" s="5">
        <f t="shared" si="252"/>
        <v>1.1165021177157879</v>
      </c>
      <c r="ED92" s="5"/>
      <c r="EE92" s="173">
        <f t="shared" si="296"/>
        <v>1.1889085008820941</v>
      </c>
      <c r="EF92" s="173">
        <f t="shared" si="253"/>
        <v>1.4252656473322611</v>
      </c>
      <c r="EG92" s="173">
        <f t="shared" si="254"/>
        <v>0.3500284751536582</v>
      </c>
      <c r="EH92" s="173"/>
      <c r="EI92" s="528">
        <f t="shared" si="255"/>
        <v>2.8270068469394168E-2</v>
      </c>
      <c r="EJ92" s="528">
        <f t="shared" si="256"/>
        <v>0.63460000000000005</v>
      </c>
      <c r="EK92" s="528">
        <f t="shared" si="257"/>
        <v>2.9356337311270735E-2</v>
      </c>
      <c r="EL92" s="528">
        <f t="shared" si="258"/>
        <v>0.20825674784719853</v>
      </c>
      <c r="EM92">
        <f t="shared" si="259"/>
        <v>1.0800000000000001E-2</v>
      </c>
      <c r="EN92" s="460">
        <f t="shared" si="297"/>
        <v>40.156337311270732</v>
      </c>
      <c r="EO92">
        <f t="shared" si="260"/>
        <v>0.92513014192196352</v>
      </c>
      <c r="EP92" s="460">
        <f t="shared" si="298"/>
        <v>925.13014192196351</v>
      </c>
      <c r="EQ92" s="173">
        <f t="shared" si="261"/>
        <v>0.54048750000000001</v>
      </c>
      <c r="ER92" s="173">
        <f t="shared" si="262"/>
        <v>9.6515624999999994E-2</v>
      </c>
      <c r="ES92" s="528"/>
      <c r="EU92" s="460">
        <f t="shared" si="299"/>
        <v>637.00312499999995</v>
      </c>
      <c r="EV92" s="528">
        <f t="shared" si="263"/>
        <v>4.2405102704091251E-2</v>
      </c>
      <c r="EW92" s="528">
        <f t="shared" si="300"/>
        <v>6.0941464963963486E-2</v>
      </c>
      <c r="EX92" s="528">
        <f t="shared" si="264"/>
        <v>6.1259966709197565E-4</v>
      </c>
      <c r="EY92" s="528">
        <f t="shared" si="265"/>
        <v>0.96460642051433954</v>
      </c>
      <c r="EZ92" s="528">
        <f t="shared" si="266"/>
        <v>1.1026865379553221</v>
      </c>
      <c r="FA92" s="625">
        <f t="shared" si="267"/>
        <v>1.3190768262719482E-2</v>
      </c>
      <c r="FB92" s="460">
        <f t="shared" si="301"/>
        <v>1115.8773062180417</v>
      </c>
      <c r="FC92" s="173">
        <f t="shared" si="302"/>
        <v>2.6780105731400048</v>
      </c>
      <c r="FD92" s="5">
        <f t="shared" si="303"/>
        <v>15.66</v>
      </c>
      <c r="FE92" s="173">
        <f t="shared" si="304"/>
        <v>0.8539639530439288</v>
      </c>
      <c r="FF92" s="5">
        <f t="shared" si="305"/>
        <v>85.396395304392883</v>
      </c>
      <c r="FG92">
        <f t="shared" si="306"/>
        <v>87</v>
      </c>
      <c r="FI92" s="562">
        <f t="shared" si="268"/>
        <v>-50</v>
      </c>
      <c r="FJ92">
        <f t="shared" si="269"/>
        <v>-50</v>
      </c>
      <c r="FL92">
        <f t="shared" si="270"/>
        <v>0.57009251312425169</v>
      </c>
    </row>
    <row r="93" spans="5:168">
      <c r="E93" s="170">
        <v>88</v>
      </c>
      <c r="F93" s="217">
        <f t="shared" si="307"/>
        <v>0.88</v>
      </c>
      <c r="G93" s="217">
        <f t="shared" si="271"/>
        <v>0.22</v>
      </c>
      <c r="H93" s="217">
        <f t="shared" si="176"/>
        <v>14.08</v>
      </c>
      <c r="I93" s="217">
        <f t="shared" si="308"/>
        <v>1.76</v>
      </c>
      <c r="J93" s="541">
        <f t="shared" si="177"/>
        <v>23.895037456252826</v>
      </c>
      <c r="K93" s="443">
        <f t="shared" si="178"/>
        <v>16.746308273468319</v>
      </c>
      <c r="L93" s="172">
        <f t="shared" si="179"/>
        <v>40.641345729721145</v>
      </c>
      <c r="M93" s="443"/>
      <c r="N93" s="217">
        <f t="shared" si="180"/>
        <v>0.41205102766126395</v>
      </c>
      <c r="O93" s="172">
        <f t="shared" si="272"/>
        <v>21.879943866340827</v>
      </c>
      <c r="P93" s="172">
        <f t="shared" si="181"/>
        <v>3.0768671062041788</v>
      </c>
      <c r="Q93" s="217">
        <f t="shared" si="182"/>
        <v>1.3674964916463017</v>
      </c>
      <c r="R93" s="217">
        <f t="shared" si="183"/>
        <v>2.7349929832926034</v>
      </c>
      <c r="S93" s="443">
        <f t="shared" si="184"/>
        <v>16</v>
      </c>
      <c r="T93" s="217">
        <f t="shared" si="185"/>
        <v>3.217558528945788</v>
      </c>
      <c r="U93" s="217">
        <f t="shared" si="186"/>
        <v>1.6158460692115741</v>
      </c>
      <c r="V93" s="217">
        <f t="shared" si="187"/>
        <v>2.3056247213913745</v>
      </c>
      <c r="W93" s="197">
        <f t="shared" si="188"/>
        <v>350</v>
      </c>
      <c r="X93" s="443">
        <f t="shared" si="273"/>
        <v>242.63182994770307</v>
      </c>
      <c r="Z93" s="217">
        <f t="shared" si="189"/>
        <v>2.3442796999650883</v>
      </c>
      <c r="AA93" s="173">
        <f t="shared" si="190"/>
        <v>1.6798542066821027</v>
      </c>
      <c r="AB93" s="173">
        <f t="shared" si="191"/>
        <v>0.6891584202345169</v>
      </c>
      <c r="AC93" s="173"/>
      <c r="AD93" s="173">
        <f t="shared" si="192"/>
        <v>0.71657584489901949</v>
      </c>
      <c r="AE93" s="545">
        <f t="shared" si="193"/>
        <v>2456.1252134420201</v>
      </c>
      <c r="AF93" s="528">
        <f t="shared" si="194"/>
        <v>0.12540077285732842</v>
      </c>
      <c r="AH93" s="173">
        <f t="shared" si="195"/>
        <v>2.7464262493023806</v>
      </c>
      <c r="AI93" s="173">
        <f t="shared" si="196"/>
        <v>3.217558528945788</v>
      </c>
      <c r="AJ93" s="173">
        <f t="shared" si="197"/>
        <v>2.84263594736725</v>
      </c>
      <c r="AL93" s="545">
        <f t="shared" si="198"/>
        <v>880</v>
      </c>
      <c r="AM93" s="460">
        <f t="shared" si="199"/>
        <v>242.63182994770307</v>
      </c>
      <c r="AO93">
        <f t="shared" si="274"/>
        <v>880</v>
      </c>
      <c r="AP93">
        <f t="shared" si="200"/>
        <v>242.63182994770307</v>
      </c>
      <c r="AR93" s="5">
        <f t="shared" si="275"/>
        <v>4.1214707906029489</v>
      </c>
      <c r="AS93" s="5">
        <f t="shared" si="201"/>
        <v>1.6158460692115741</v>
      </c>
      <c r="AT93" s="5">
        <f t="shared" si="276"/>
        <v>2.5056247213913747</v>
      </c>
      <c r="AU93" s="173">
        <f t="shared" si="277"/>
        <v>0.39205568868660712</v>
      </c>
      <c r="AW93" s="5">
        <f t="shared" si="202"/>
        <v>8.8871533806636585</v>
      </c>
      <c r="AX93" s="5">
        <f t="shared" si="203"/>
        <v>4.4435766903318292</v>
      </c>
      <c r="AY93" s="5">
        <f t="shared" si="204"/>
        <v>1.2303529600298775</v>
      </c>
      <c r="AZ93" s="5"/>
      <c r="BA93" s="173">
        <f t="shared" si="278"/>
        <v>1.1631606680494928</v>
      </c>
      <c r="BB93" s="173">
        <f t="shared" si="205"/>
        <v>1.4484307218618542</v>
      </c>
      <c r="BC93" s="173">
        <f t="shared" si="206"/>
        <v>0.35571754492783769</v>
      </c>
      <c r="BD93" s="173"/>
      <c r="BE93" s="528">
        <f t="shared" si="207"/>
        <v>2.7058854793946846E-2</v>
      </c>
      <c r="BF93" s="528">
        <f t="shared" si="208"/>
        <v>0.57903548340930333</v>
      </c>
      <c r="BG93" s="528">
        <f t="shared" si="209"/>
        <v>0.13334702328762921</v>
      </c>
      <c r="BH93" s="528">
        <f t="shared" si="210"/>
        <v>0.19737410267365615</v>
      </c>
      <c r="BI93">
        <f t="shared" si="211"/>
        <v>1.0752766855313772E-2</v>
      </c>
      <c r="BJ93" s="460">
        <f t="shared" si="279"/>
        <v>144.09979014294296</v>
      </c>
      <c r="BK93">
        <f t="shared" si="212"/>
        <v>0.81602067867992611</v>
      </c>
      <c r="BL93" s="460">
        <f t="shared" si="280"/>
        <v>816.02067867992616</v>
      </c>
      <c r="BM93" s="173">
        <f t="shared" si="213"/>
        <v>0.54669999999999996</v>
      </c>
      <c r="BN93" s="173">
        <f t="shared" si="214"/>
        <v>9.762499999999999E-2</v>
      </c>
      <c r="BO93" s="528"/>
      <c r="BQ93" s="460">
        <f t="shared" si="281"/>
        <v>644.32499999999993</v>
      </c>
      <c r="BR93" s="528">
        <f t="shared" si="215"/>
        <v>4.0588282190920269E-2</v>
      </c>
      <c r="BS93" s="528">
        <f t="shared" si="216"/>
        <v>6.2938546680997562E-2</v>
      </c>
      <c r="BT93" s="528">
        <f t="shared" si="217"/>
        <v>6.3267485884744114E-4</v>
      </c>
      <c r="BU93" s="528">
        <f t="shared" si="218"/>
        <v>0.85144299695701209</v>
      </c>
      <c r="BV93" s="528">
        <f t="shared" si="219"/>
        <v>0.98884055288373907</v>
      </c>
      <c r="BW93" s="625">
        <f t="shared" si="220"/>
        <v>1.2559451968938061E-2</v>
      </c>
      <c r="BX93" s="460">
        <f t="shared" si="282"/>
        <v>1001.4000048526772</v>
      </c>
      <c r="BY93" s="173">
        <f t="shared" si="283"/>
        <v>2.4617456835326035</v>
      </c>
      <c r="BZ93" s="5">
        <f t="shared" si="284"/>
        <v>15.84</v>
      </c>
      <c r="CA93" s="173">
        <f t="shared" si="285"/>
        <v>0.86549120908462784</v>
      </c>
      <c r="CB93" s="5">
        <f t="shared" si="286"/>
        <v>86.549120908462783</v>
      </c>
      <c r="CC93">
        <f t="shared" si="287"/>
        <v>88</v>
      </c>
      <c r="CE93" s="562">
        <f t="shared" si="221"/>
        <v>-50</v>
      </c>
      <c r="CF93">
        <f t="shared" si="222"/>
        <v>-50</v>
      </c>
      <c r="CG93" s="173">
        <f t="shared" si="223"/>
        <v>0.57009251312425169</v>
      </c>
      <c r="CH93" s="173">
        <f t="shared" si="224"/>
        <v>0.20152561614275558</v>
      </c>
      <c r="CI93" s="170">
        <v>88</v>
      </c>
      <c r="CJ93" s="217">
        <f t="shared" si="309"/>
        <v>0.88</v>
      </c>
      <c r="CK93" s="217">
        <f t="shared" si="288"/>
        <v>0.22</v>
      </c>
      <c r="CL93" s="217">
        <f t="shared" si="225"/>
        <v>14.08</v>
      </c>
      <c r="CM93" s="217">
        <f t="shared" si="310"/>
        <v>1.76</v>
      </c>
      <c r="CN93" s="541">
        <f t="shared" si="289"/>
        <v>24</v>
      </c>
      <c r="CO93" s="443">
        <f t="shared" si="226"/>
        <v>16.7</v>
      </c>
      <c r="CP93" s="443">
        <f t="shared" si="227"/>
        <v>40.700000000000003</v>
      </c>
      <c r="CQ93" s="443"/>
      <c r="CR93" s="217">
        <f t="shared" si="228"/>
        <v>0.40594059405940591</v>
      </c>
      <c r="CS93" s="172">
        <f t="shared" si="290"/>
        <v>21.650165016501649</v>
      </c>
      <c r="CT93" s="172">
        <f t="shared" si="229"/>
        <v>3.0445544554455446</v>
      </c>
      <c r="CU93" s="217">
        <f t="shared" si="230"/>
        <v>1.3531353135313531</v>
      </c>
      <c r="CV93" s="217">
        <f t="shared" si="231"/>
        <v>2.7062706270627062</v>
      </c>
      <c r="CW93" s="443">
        <f t="shared" si="232"/>
        <v>16</v>
      </c>
      <c r="CX93" s="217">
        <f t="shared" si="233"/>
        <v>3.251707317073171</v>
      </c>
      <c r="CY93" s="217">
        <f t="shared" si="234"/>
        <v>1.6258536585365855</v>
      </c>
      <c r="CZ93" s="217">
        <f t="shared" si="235"/>
        <v>2.3365561559807215</v>
      </c>
      <c r="DA93" s="197">
        <f t="shared" si="236"/>
        <v>350</v>
      </c>
      <c r="DB93" s="443">
        <f t="shared" si="291"/>
        <v>252.37167451388871</v>
      </c>
      <c r="DD93" s="217">
        <f t="shared" si="237"/>
        <v>2.344682344682345</v>
      </c>
      <c r="DE93" s="173">
        <f t="shared" si="238"/>
        <v>1.6848016848016851</v>
      </c>
      <c r="DF93" s="173">
        <f t="shared" si="239"/>
        <v>0.69130683381297664</v>
      </c>
      <c r="DG93" s="173"/>
      <c r="DH93" s="173">
        <f t="shared" si="240"/>
        <v>0.71856287425149712</v>
      </c>
      <c r="DI93" s="545">
        <f t="shared" si="241"/>
        <v>2449.333333333333</v>
      </c>
      <c r="DJ93" s="528">
        <f t="shared" si="242"/>
        <v>0.125748502994012</v>
      </c>
      <c r="DL93" s="173">
        <f t="shared" si="243"/>
        <v>2.7464262493023806</v>
      </c>
      <c r="DM93" s="173">
        <f t="shared" si="244"/>
        <v>3.251707317073171</v>
      </c>
      <c r="DN93" s="173">
        <f t="shared" si="245"/>
        <v>2.8679313459801268</v>
      </c>
      <c r="DP93" s="545">
        <f t="shared" si="246"/>
        <v>880</v>
      </c>
      <c r="DQ93" s="460">
        <f t="shared" si="247"/>
        <v>252.37167451388871</v>
      </c>
      <c r="DS93">
        <f>IF(CL93&gt;CS93, "",DP93)</f>
        <v>880</v>
      </c>
      <c r="DT93">
        <f>IF(CL93&gt;CS93, "",DQ93)</f>
        <v>252.37167451388871</v>
      </c>
      <c r="DV93" s="5">
        <f t="shared" si="293"/>
        <v>3.962409814517307</v>
      </c>
      <c r="DW93" s="5">
        <f t="shared" si="249"/>
        <v>1.6258536585365855</v>
      </c>
      <c r="DX93" s="5">
        <f t="shared" si="294"/>
        <v>2.3365561559807215</v>
      </c>
      <c r="DY93" s="173">
        <f t="shared" si="295"/>
        <v>0.41031941031941033</v>
      </c>
      <c r="EA93" s="5">
        <f t="shared" si="250"/>
        <v>8.9421951219512206</v>
      </c>
      <c r="EB93" s="5">
        <f t="shared" si="251"/>
        <v>4.4710975609756103</v>
      </c>
      <c r="EC93" s="5">
        <f t="shared" si="252"/>
        <v>1.142316342923908</v>
      </c>
      <c r="ED93" s="5"/>
      <c r="EE93" s="173">
        <f t="shared" si="296"/>
        <v>1.202574115834762</v>
      </c>
      <c r="EF93" s="173">
        <f t="shared" si="253"/>
        <v>1.441648011094701</v>
      </c>
      <c r="EG93" s="173">
        <f t="shared" si="254"/>
        <v>0.35405179096002215</v>
      </c>
      <c r="EH93" s="173"/>
      <c r="EI93" s="528">
        <f t="shared" si="255"/>
        <v>2.8923690081515196E-2</v>
      </c>
      <c r="EJ93" s="528">
        <f t="shared" si="256"/>
        <v>0.63460000000000005</v>
      </c>
      <c r="EK93" s="528">
        <f t="shared" si="257"/>
        <v>2.9022742569097204E-2</v>
      </c>
      <c r="EL93" s="528">
        <f t="shared" si="258"/>
        <v>0.20589019389438945</v>
      </c>
      <c r="EM93">
        <f t="shared" si="259"/>
        <v>1.0800000000000001E-2</v>
      </c>
      <c r="EN93" s="460">
        <f t="shared" si="297"/>
        <v>39.822742569097208</v>
      </c>
      <c r="EO93">
        <f t="shared" si="260"/>
        <v>0.92339181962537209</v>
      </c>
      <c r="EP93" s="460">
        <f t="shared" si="298"/>
        <v>923.39181962537214</v>
      </c>
      <c r="EQ93" s="173">
        <f t="shared" si="261"/>
        <v>0.54669999999999996</v>
      </c>
      <c r="ER93" s="173">
        <f t="shared" si="262"/>
        <v>9.762499999999999E-2</v>
      </c>
      <c r="ES93" s="528"/>
      <c r="EU93" s="460">
        <f t="shared" si="299"/>
        <v>644.32499999999993</v>
      </c>
      <c r="EV93" s="528">
        <f t="shared" si="263"/>
        <v>4.3385535122272792E-2</v>
      </c>
      <c r="EW93" s="528">
        <f t="shared" si="300"/>
        <v>6.2350469636799216E-2</v>
      </c>
      <c r="EX93" s="528">
        <f t="shared" si="264"/>
        <v>6.2676335340999616E-4</v>
      </c>
      <c r="EY93" s="528">
        <f t="shared" si="265"/>
        <v>0.96460642051433976</v>
      </c>
      <c r="EZ93" s="528">
        <f t="shared" si="266"/>
        <v>1.1059064345459544</v>
      </c>
      <c r="FA93" s="625">
        <f t="shared" si="267"/>
        <v>1.3342386288727753E-2</v>
      </c>
      <c r="FB93" s="460">
        <f t="shared" si="301"/>
        <v>1119.2488208346822</v>
      </c>
      <c r="FC93" s="173">
        <f t="shared" si="302"/>
        <v>2.6869656404600546</v>
      </c>
      <c r="FD93" s="5">
        <f t="shared" si="303"/>
        <v>15.84</v>
      </c>
      <c r="FE93" s="173">
        <f t="shared" si="304"/>
        <v>0.85497001005970807</v>
      </c>
      <c r="FF93" s="5">
        <f t="shared" si="305"/>
        <v>85.497001005970802</v>
      </c>
      <c r="FG93">
        <f t="shared" si="306"/>
        <v>88</v>
      </c>
      <c r="FI93" s="562">
        <f t="shared" si="268"/>
        <v>-50</v>
      </c>
      <c r="FJ93">
        <f t="shared" si="269"/>
        <v>-50</v>
      </c>
      <c r="FL93">
        <f t="shared" si="270"/>
        <v>0.57009251312425169</v>
      </c>
    </row>
    <row r="94" spans="5:168">
      <c r="E94" s="170">
        <v>89</v>
      </c>
      <c r="F94" s="217">
        <f t="shared" si="307"/>
        <v>0.89</v>
      </c>
      <c r="G94" s="217">
        <f t="shared" si="271"/>
        <v>0.2225</v>
      </c>
      <c r="H94" s="217">
        <f t="shared" si="176"/>
        <v>14.24</v>
      </c>
      <c r="I94" s="217">
        <f t="shared" si="308"/>
        <v>1.78</v>
      </c>
      <c r="J94" s="541">
        <f t="shared" si="177"/>
        <v>23.893844700073878</v>
      </c>
      <c r="K94" s="443">
        <f t="shared" si="178"/>
        <v>16.746834503848643</v>
      </c>
      <c r="L94" s="172">
        <f t="shared" si="179"/>
        <v>40.640679203922517</v>
      </c>
      <c r="M94" s="443"/>
      <c r="N94" s="217">
        <f t="shared" si="180"/>
        <v>0.41207073385309684</v>
      </c>
      <c r="O94" s="172">
        <f t="shared" si="272"/>
        <v>21.879898044736379</v>
      </c>
      <c r="P94" s="172">
        <f t="shared" si="181"/>
        <v>3.0768606625410531</v>
      </c>
      <c r="Q94" s="217">
        <f t="shared" si="182"/>
        <v>1.3674936277960237</v>
      </c>
      <c r="R94" s="217">
        <f t="shared" si="183"/>
        <v>2.7349872555920474</v>
      </c>
      <c r="S94" s="443">
        <f t="shared" si="184"/>
        <v>16</v>
      </c>
      <c r="T94" s="217">
        <f t="shared" si="185"/>
        <v>3.2541285089364709</v>
      </c>
      <c r="U94" s="217">
        <f t="shared" si="186"/>
        <v>1.6342929569269742</v>
      </c>
      <c r="V94" s="217">
        <f t="shared" si="187"/>
        <v>2.3317566133625762</v>
      </c>
      <c r="W94" s="197">
        <f t="shared" si="188"/>
        <v>350</v>
      </c>
      <c r="X94" s="443">
        <f t="shared" si="273"/>
        <v>240.0355500163906</v>
      </c>
      <c r="Z94" s="217">
        <f t="shared" si="189"/>
        <v>2.3442747905074692</v>
      </c>
      <c r="AA94" s="173">
        <f t="shared" si="190"/>
        <v>1.6797979032768664</v>
      </c>
      <c r="AB94" s="173">
        <f t="shared" si="191"/>
        <v>0.68913387861487096</v>
      </c>
      <c r="AC94" s="173"/>
      <c r="AD94" s="173">
        <f t="shared" si="192"/>
        <v>0.71655332816731676</v>
      </c>
      <c r="AE94" s="545">
        <f t="shared" si="193"/>
        <v>2484.1137847375489</v>
      </c>
      <c r="AF94" s="528">
        <f t="shared" si="194"/>
        <v>0.12539683242928043</v>
      </c>
      <c r="AH94" s="173">
        <f t="shared" si="195"/>
        <v>2.7619868624907373</v>
      </c>
      <c r="AI94" s="173">
        <f t="shared" si="196"/>
        <v>3.2541285089364709</v>
      </c>
      <c r="AJ94" s="173">
        <f t="shared" si="197"/>
        <v>2.8697248214344229</v>
      </c>
      <c r="AL94" s="545">
        <f t="shared" si="198"/>
        <v>890</v>
      </c>
      <c r="AM94" s="460">
        <f t="shared" si="199"/>
        <v>240.0355500163906</v>
      </c>
      <c r="AO94">
        <f t="shared" si="274"/>
        <v>890</v>
      </c>
      <c r="AP94">
        <f t="shared" si="200"/>
        <v>240.0355500163906</v>
      </c>
      <c r="AR94" s="5">
        <f t="shared" si="275"/>
        <v>4.1660495702895508</v>
      </c>
      <c r="AS94" s="5">
        <f t="shared" si="201"/>
        <v>1.6342929569269742</v>
      </c>
      <c r="AT94" s="5">
        <f t="shared" si="276"/>
        <v>2.5317566133625764</v>
      </c>
      <c r="AU94" s="173">
        <f t="shared" si="277"/>
        <v>0.39228840880387961</v>
      </c>
      <c r="AW94" s="5">
        <f t="shared" si="202"/>
        <v>9.0907545729062953</v>
      </c>
      <c r="AX94" s="5">
        <f t="shared" si="203"/>
        <v>4.5453772864531476</v>
      </c>
      <c r="AY94" s="5">
        <f t="shared" si="204"/>
        <v>1.2573745326054488</v>
      </c>
      <c r="AZ94" s="5"/>
      <c r="BA94" s="173">
        <f t="shared" si="278"/>
        <v>1.1767299583582957</v>
      </c>
      <c r="BB94" s="173">
        <f t="shared" si="205"/>
        <v>1.464612823465568</v>
      </c>
      <c r="BC94" s="173">
        <f t="shared" si="206"/>
        <v>0.35969167870404389</v>
      </c>
      <c r="BD94" s="173"/>
      <c r="BE94" s="528">
        <f t="shared" si="207"/>
        <v>2.769386789795833E-2</v>
      </c>
      <c r="BF94" s="528">
        <f t="shared" si="208"/>
        <v>0.57934077073348966</v>
      </c>
      <c r="BG94" s="528">
        <f t="shared" si="209"/>
        <v>0.13191355955553441</v>
      </c>
      <c r="BH94" s="528">
        <f t="shared" si="210"/>
        <v>0.19525569806778911</v>
      </c>
      <c r="BI94">
        <f t="shared" si="211"/>
        <v>1.0752230115033245E-2</v>
      </c>
      <c r="BJ94" s="460">
        <f t="shared" si="279"/>
        <v>142.66578967056765</v>
      </c>
      <c r="BK94">
        <f t="shared" si="212"/>
        <v>0.81513129632500991</v>
      </c>
      <c r="BL94" s="460">
        <f t="shared" si="280"/>
        <v>815.13129632500988</v>
      </c>
      <c r="BM94" s="173">
        <f t="shared" si="213"/>
        <v>0.55291249999999992</v>
      </c>
      <c r="BN94" s="173">
        <f t="shared" si="214"/>
        <v>9.8734374999999999E-2</v>
      </c>
      <c r="BO94" s="528"/>
      <c r="BQ94" s="460">
        <f t="shared" si="281"/>
        <v>651.64687499999991</v>
      </c>
      <c r="BR94" s="528">
        <f t="shared" si="215"/>
        <v>4.1540801846937495E-2</v>
      </c>
      <c r="BS94" s="528">
        <f t="shared" si="216"/>
        <v>6.4352721679793487E-2</v>
      </c>
      <c r="BT94" s="528">
        <f t="shared" si="217"/>
        <v>6.4689051864466563E-4</v>
      </c>
      <c r="BU94" s="528">
        <f t="shared" si="218"/>
        <v>0.85260067209616563</v>
      </c>
      <c r="BV94" s="528">
        <f t="shared" si="219"/>
        <v>0.99317585485613069</v>
      </c>
      <c r="BW94" s="625">
        <f t="shared" si="220"/>
        <v>1.2709105081456236E-2</v>
      </c>
      <c r="BX94" s="460">
        <f t="shared" si="282"/>
        <v>1005.8849599375869</v>
      </c>
      <c r="BY94" s="173">
        <f t="shared" si="283"/>
        <v>2.4726631312625966</v>
      </c>
      <c r="BZ94" s="5">
        <f t="shared" si="284"/>
        <v>16.02</v>
      </c>
      <c r="CA94" s="173">
        <f t="shared" si="285"/>
        <v>0.86628950553463235</v>
      </c>
      <c r="CB94" s="5">
        <f t="shared" si="286"/>
        <v>86.628950553463241</v>
      </c>
      <c r="CC94">
        <f t="shared" si="287"/>
        <v>89</v>
      </c>
      <c r="CE94" s="562">
        <f t="shared" si="221"/>
        <v>-50</v>
      </c>
      <c r="CF94">
        <f t="shared" si="222"/>
        <v>-50</v>
      </c>
      <c r="CG94" s="173">
        <f t="shared" si="223"/>
        <v>0.57009251312425169</v>
      </c>
      <c r="CH94" s="173">
        <f t="shared" si="224"/>
        <v>0.20152561614275555</v>
      </c>
      <c r="CI94" s="170">
        <v>89</v>
      </c>
      <c r="CJ94" s="217">
        <f t="shared" si="309"/>
        <v>0.89</v>
      </c>
      <c r="CK94" s="217">
        <f t="shared" si="288"/>
        <v>0.2225</v>
      </c>
      <c r="CL94" s="217">
        <f t="shared" si="225"/>
        <v>14.24</v>
      </c>
      <c r="CM94" s="217">
        <f t="shared" si="310"/>
        <v>1.78</v>
      </c>
      <c r="CN94" s="541">
        <f t="shared" si="289"/>
        <v>24</v>
      </c>
      <c r="CO94" s="443">
        <f t="shared" si="226"/>
        <v>16.7</v>
      </c>
      <c r="CP94" s="443">
        <f t="shared" si="227"/>
        <v>40.700000000000003</v>
      </c>
      <c r="CQ94" s="443"/>
      <c r="CR94" s="217">
        <f t="shared" si="228"/>
        <v>0.40594059405940591</v>
      </c>
      <c r="CS94" s="172">
        <f t="shared" si="290"/>
        <v>21.650165016501649</v>
      </c>
      <c r="CT94" s="172">
        <f t="shared" si="229"/>
        <v>3.0445544554455446</v>
      </c>
      <c r="CU94" s="217">
        <f t="shared" si="230"/>
        <v>1.3531353135313531</v>
      </c>
      <c r="CV94" s="217">
        <f t="shared" si="231"/>
        <v>2.7062706270627062</v>
      </c>
      <c r="CW94" s="443">
        <f t="shared" si="232"/>
        <v>16</v>
      </c>
      <c r="CX94" s="217">
        <f t="shared" si="233"/>
        <v>3.2886585365853658</v>
      </c>
      <c r="CY94" s="217">
        <f t="shared" si="234"/>
        <v>1.6443292682926831</v>
      </c>
      <c r="CZ94" s="217">
        <f t="shared" si="235"/>
        <v>2.3631079304805027</v>
      </c>
      <c r="DA94" s="197">
        <f t="shared" si="236"/>
        <v>350</v>
      </c>
      <c r="DB94" s="443">
        <f t="shared" si="291"/>
        <v>249.53603772159784</v>
      </c>
      <c r="DD94" s="217">
        <f t="shared" si="237"/>
        <v>2.344682344682345</v>
      </c>
      <c r="DE94" s="173">
        <f t="shared" si="238"/>
        <v>1.6848016848016851</v>
      </c>
      <c r="DF94" s="173">
        <f t="shared" si="239"/>
        <v>0.69130683381297664</v>
      </c>
      <c r="DG94" s="173"/>
      <c r="DH94" s="173">
        <f t="shared" si="240"/>
        <v>0.71856287425149712</v>
      </c>
      <c r="DI94" s="545">
        <f t="shared" si="241"/>
        <v>2477.1666666666665</v>
      </c>
      <c r="DJ94" s="528">
        <f t="shared" si="242"/>
        <v>0.125748502994012</v>
      </c>
      <c r="DL94" s="173">
        <f t="shared" si="243"/>
        <v>2.7619868624907373</v>
      </c>
      <c r="DM94" s="173">
        <f t="shared" si="244"/>
        <v>3.2886585365853658</v>
      </c>
      <c r="DN94" s="173">
        <f t="shared" si="245"/>
        <v>2.8953026196928633</v>
      </c>
      <c r="DP94" s="545">
        <f t="shared" si="246"/>
        <v>890</v>
      </c>
      <c r="DQ94" s="460">
        <f t="shared" si="247"/>
        <v>249.53603772159784</v>
      </c>
      <c r="DS94">
        <f>IF(CL94&gt;CS94, "",DP94)</f>
        <v>890</v>
      </c>
      <c r="DT94">
        <f>IF(CL94&gt;CS94, "",DQ94)</f>
        <v>249.53603772159784</v>
      </c>
      <c r="DV94" s="5">
        <f t="shared" si="293"/>
        <v>4.0074371987731858</v>
      </c>
      <c r="DW94" s="5">
        <f t="shared" si="249"/>
        <v>1.6443292682926831</v>
      </c>
      <c r="DX94" s="5">
        <f t="shared" si="294"/>
        <v>2.3631079304805027</v>
      </c>
      <c r="DY94" s="173">
        <f t="shared" si="295"/>
        <v>0.41031941031941033</v>
      </c>
      <c r="EA94" s="5">
        <f t="shared" si="250"/>
        <v>9.1465815548780505</v>
      </c>
      <c r="EB94" s="5">
        <f t="shared" si="251"/>
        <v>4.5732907774390252</v>
      </c>
      <c r="EC94" s="5">
        <f t="shared" si="252"/>
        <v>1.1684255878486929</v>
      </c>
      <c r="ED94" s="5"/>
      <c r="EE94" s="173">
        <f t="shared" si="296"/>
        <v>1.2162397307874295</v>
      </c>
      <c r="EF94" s="173">
        <f t="shared" si="253"/>
        <v>1.4580303748571406</v>
      </c>
      <c r="EG94" s="173">
        <f t="shared" si="254"/>
        <v>0.35807510676638599</v>
      </c>
      <c r="EH94" s="173"/>
      <c r="EI94" s="528">
        <f t="shared" si="255"/>
        <v>2.9584781654917579E-2</v>
      </c>
      <c r="EJ94" s="528">
        <f t="shared" si="256"/>
        <v>0.63460000000000005</v>
      </c>
      <c r="EK94" s="528">
        <f t="shared" si="257"/>
        <v>2.8696644337983752E-2</v>
      </c>
      <c r="EL94" s="528">
        <f t="shared" si="258"/>
        <v>0.20357682092928395</v>
      </c>
      <c r="EM94">
        <f t="shared" si="259"/>
        <v>1.0800000000000001E-2</v>
      </c>
      <c r="EN94" s="460">
        <f t="shared" si="297"/>
        <v>39.496644337983753</v>
      </c>
      <c r="EO94">
        <f t="shared" si="260"/>
        <v>0.9217252620209696</v>
      </c>
      <c r="EP94" s="460">
        <f t="shared" si="298"/>
        <v>921.72526202096958</v>
      </c>
      <c r="EQ94" s="173">
        <f t="shared" si="261"/>
        <v>0.55291249999999992</v>
      </c>
      <c r="ER94" s="173">
        <f t="shared" si="262"/>
        <v>9.8734374999999999E-2</v>
      </c>
      <c r="ES94" s="528"/>
      <c r="EU94" s="460">
        <f t="shared" si="299"/>
        <v>651.64687499999991</v>
      </c>
      <c r="EV94" s="528">
        <f t="shared" si="263"/>
        <v>4.4377172482376367E-2</v>
      </c>
      <c r="EW94" s="528">
        <f t="shared" si="300"/>
        <v>6.3775577220181609E-2</v>
      </c>
      <c r="EX94" s="528">
        <f t="shared" si="264"/>
        <v>6.4108891042879371E-4</v>
      </c>
      <c r="EY94" s="528">
        <f t="shared" si="265"/>
        <v>0.96460642051433976</v>
      </c>
      <c r="EZ94" s="528">
        <f t="shared" si="266"/>
        <v>1.1091644006181327</v>
      </c>
      <c r="FA94" s="625">
        <f t="shared" si="267"/>
        <v>1.3494004314736021E-2</v>
      </c>
      <c r="FB94" s="460">
        <f t="shared" si="301"/>
        <v>1122.6584049328687</v>
      </c>
      <c r="FC94" s="173">
        <f t="shared" si="302"/>
        <v>2.6960305419538382</v>
      </c>
      <c r="FD94" s="5">
        <f t="shared" si="303"/>
        <v>16.02</v>
      </c>
      <c r="FE94" s="173">
        <f t="shared" si="304"/>
        <v>0.85595072972816433</v>
      </c>
      <c r="FF94" s="5">
        <f t="shared" si="305"/>
        <v>85.595072972816439</v>
      </c>
      <c r="FG94">
        <f t="shared" si="306"/>
        <v>89</v>
      </c>
      <c r="FI94" s="562">
        <f t="shared" si="268"/>
        <v>-50</v>
      </c>
      <c r="FJ94">
        <f t="shared" si="269"/>
        <v>-50</v>
      </c>
      <c r="FL94">
        <f t="shared" si="270"/>
        <v>0.57009251312425158</v>
      </c>
    </row>
    <row r="95" spans="5:168">
      <c r="E95" s="170">
        <v>90</v>
      </c>
      <c r="F95" s="217">
        <f t="shared" si="307"/>
        <v>0.9</v>
      </c>
      <c r="G95" s="217">
        <f t="shared" si="271"/>
        <v>0.22500000000000001</v>
      </c>
      <c r="H95" s="217">
        <f t="shared" si="176"/>
        <v>14.4</v>
      </c>
      <c r="I95" s="217">
        <f t="shared" si="308"/>
        <v>1.8</v>
      </c>
      <c r="J95" s="541">
        <f t="shared" si="177"/>
        <v>23.892651943894933</v>
      </c>
      <c r="K95" s="443">
        <f t="shared" si="178"/>
        <v>16.747360734228963</v>
      </c>
      <c r="L95" s="172">
        <f t="shared" si="179"/>
        <v>40.640012678123895</v>
      </c>
      <c r="M95" s="443"/>
      <c r="N95" s="217">
        <f t="shared" si="180"/>
        <v>0.41209044069132134</v>
      </c>
      <c r="O95" s="172">
        <f t="shared" si="272"/>
        <v>21.879852152986707</v>
      </c>
      <c r="P95" s="172">
        <f t="shared" si="181"/>
        <v>3.0768542090137556</v>
      </c>
      <c r="Q95" s="217">
        <f t="shared" si="182"/>
        <v>1.3674907595616692</v>
      </c>
      <c r="R95" s="217">
        <f t="shared" si="183"/>
        <v>2.7349815191233384</v>
      </c>
      <c r="S95" s="443">
        <f t="shared" si="184"/>
        <v>16</v>
      </c>
      <c r="T95" s="217">
        <f t="shared" si="185"/>
        <v>3.2906986526493345</v>
      </c>
      <c r="U95" s="217">
        <f t="shared" si="186"/>
        <v>1.6527417686625663</v>
      </c>
      <c r="V95" s="217">
        <f t="shared" si="187"/>
        <v>2.3578869804293396</v>
      </c>
      <c r="W95" s="197">
        <f t="shared" si="188"/>
        <v>350</v>
      </c>
      <c r="X95" s="443">
        <f t="shared" si="273"/>
        <v>237.49422226209498</v>
      </c>
      <c r="Z95" s="217">
        <f t="shared" si="189"/>
        <v>2.3442698735342899</v>
      </c>
      <c r="AA95" s="173">
        <f t="shared" si="190"/>
        <v>1.6797415980247961</v>
      </c>
      <c r="AB95" s="173">
        <f t="shared" si="191"/>
        <v>0.68910933412507802</v>
      </c>
      <c r="AC95" s="173"/>
      <c r="AD95" s="173">
        <f t="shared" si="192"/>
        <v>0.7165308128506418</v>
      </c>
      <c r="AE95" s="545">
        <f t="shared" si="193"/>
        <v>2512.1041101343444</v>
      </c>
      <c r="AF95" s="528">
        <f t="shared" si="194"/>
        <v>0.12539289224886233</v>
      </c>
      <c r="AH95" s="173">
        <f t="shared" si="195"/>
        <v>2.7774602993176543</v>
      </c>
      <c r="AI95" s="173">
        <f t="shared" si="196"/>
        <v>3.2906986526493345</v>
      </c>
      <c r="AJ95" s="173">
        <f t="shared" si="197"/>
        <v>2.8968138167772848</v>
      </c>
      <c r="AL95" s="545">
        <f t="shared" si="198"/>
        <v>900</v>
      </c>
      <c r="AM95" s="460">
        <f t="shared" si="199"/>
        <v>237.49422226209498</v>
      </c>
      <c r="AO95">
        <f t="shared" si="274"/>
        <v>900</v>
      </c>
      <c r="AP95">
        <f t="shared" si="200"/>
        <v>237.49422226209498</v>
      </c>
      <c r="AR95" s="5">
        <f t="shared" si="275"/>
        <v>4.2106287490919057</v>
      </c>
      <c r="AS95" s="5">
        <f t="shared" si="201"/>
        <v>1.6527417686625663</v>
      </c>
      <c r="AT95" s="5">
        <f t="shared" si="276"/>
        <v>2.5578869804293394</v>
      </c>
      <c r="AU95" s="173">
        <f t="shared" si="277"/>
        <v>0.39251662094859546</v>
      </c>
      <c r="AW95" s="5">
        <f t="shared" si="202"/>
        <v>9.2966724487269339</v>
      </c>
      <c r="AX95" s="5">
        <f t="shared" si="203"/>
        <v>4.6483362243634669</v>
      </c>
      <c r="AY95" s="5">
        <f t="shared" si="204"/>
        <v>1.2846896961136702</v>
      </c>
      <c r="AZ95" s="5"/>
      <c r="BA95" s="173">
        <f t="shared" si="278"/>
        <v>1.1903002142424248</v>
      </c>
      <c r="BB95" s="173">
        <f t="shared" si="205"/>
        <v>1.4807941363191417</v>
      </c>
      <c r="BC95" s="173">
        <f t="shared" si="206"/>
        <v>0.36366561877249509</v>
      </c>
      <c r="BD95" s="173"/>
      <c r="BE95" s="528">
        <f t="shared" si="207"/>
        <v>2.8336292000511246E-2</v>
      </c>
      <c r="BF95" s="528">
        <f t="shared" si="208"/>
        <v>0.57963935638145037</v>
      </c>
      <c r="BG95" s="528">
        <f t="shared" si="209"/>
        <v>0.13051043619746797</v>
      </c>
      <c r="BH95" s="528">
        <f t="shared" si="210"/>
        <v>0.19318213121635994</v>
      </c>
      <c r="BI95">
        <f t="shared" si="211"/>
        <v>1.075169337475272E-2</v>
      </c>
      <c r="BJ95" s="460">
        <f t="shared" si="279"/>
        <v>141.26212957222069</v>
      </c>
      <c r="BK95">
        <f t="shared" si="212"/>
        <v>0.81429095759469194</v>
      </c>
      <c r="BL95" s="460">
        <f t="shared" si="280"/>
        <v>814.29095759469192</v>
      </c>
      <c r="BM95" s="173">
        <f t="shared" si="213"/>
        <v>0.55912499999999998</v>
      </c>
      <c r="BN95" s="173">
        <f t="shared" si="214"/>
        <v>9.9843749999999995E-2</v>
      </c>
      <c r="BO95" s="528"/>
      <c r="BQ95" s="460">
        <f t="shared" si="281"/>
        <v>658.96875</v>
      </c>
      <c r="BR95" s="528">
        <f t="shared" si="215"/>
        <v>4.2504438000766871E-2</v>
      </c>
      <c r="BS95" s="528">
        <f t="shared" si="216"/>
        <v>6.5782538224714582E-2</v>
      </c>
      <c r="BT95" s="528">
        <f t="shared" si="217"/>
        <v>6.6126341138590867E-4</v>
      </c>
      <c r="BU95" s="528">
        <f t="shared" si="218"/>
        <v>0.85373465217613242</v>
      </c>
      <c r="BV95" s="528">
        <f t="shared" si="219"/>
        <v>0.99752475460653434</v>
      </c>
      <c r="BW95" s="625">
        <f t="shared" si="220"/>
        <v>1.2858765599892342E-2</v>
      </c>
      <c r="BX95" s="460">
        <f t="shared" si="282"/>
        <v>1010.3835202064266</v>
      </c>
      <c r="BY95" s="173">
        <f t="shared" si="283"/>
        <v>2.4836432278011187</v>
      </c>
      <c r="BZ95" s="5">
        <f t="shared" si="284"/>
        <v>16.2</v>
      </c>
      <c r="CA95" s="173">
        <f t="shared" si="285"/>
        <v>0.86706857985248431</v>
      </c>
      <c r="CB95" s="5">
        <f t="shared" si="286"/>
        <v>86.706857985248433</v>
      </c>
      <c r="CC95">
        <f t="shared" si="287"/>
        <v>90</v>
      </c>
      <c r="CE95" s="562">
        <f t="shared" si="221"/>
        <v>-50</v>
      </c>
      <c r="CF95">
        <f t="shared" si="222"/>
        <v>-50</v>
      </c>
      <c r="CG95" s="173">
        <f t="shared" si="223"/>
        <v>0.57009251312425169</v>
      </c>
      <c r="CH95" s="173">
        <f t="shared" si="224"/>
        <v>0.20152561614275558</v>
      </c>
      <c r="CI95" s="170">
        <v>90</v>
      </c>
      <c r="CJ95" s="217">
        <f t="shared" si="309"/>
        <v>0.9</v>
      </c>
      <c r="CK95" s="217">
        <f t="shared" si="288"/>
        <v>0.22500000000000001</v>
      </c>
      <c r="CL95" s="217">
        <f t="shared" si="225"/>
        <v>14.4</v>
      </c>
      <c r="CM95" s="217">
        <f t="shared" si="310"/>
        <v>1.8</v>
      </c>
      <c r="CN95" s="541">
        <f t="shared" si="289"/>
        <v>24</v>
      </c>
      <c r="CO95" s="443">
        <f t="shared" si="226"/>
        <v>16.7</v>
      </c>
      <c r="CP95" s="443">
        <f t="shared" si="227"/>
        <v>40.700000000000003</v>
      </c>
      <c r="CQ95" s="443"/>
      <c r="CR95" s="217">
        <f t="shared" si="228"/>
        <v>0.40594059405940591</v>
      </c>
      <c r="CS95" s="172">
        <f t="shared" si="290"/>
        <v>21.650165016501649</v>
      </c>
      <c r="CT95" s="172">
        <f t="shared" si="229"/>
        <v>3.0445544554455446</v>
      </c>
      <c r="CU95" s="217">
        <f t="shared" si="230"/>
        <v>1.3531353135313531</v>
      </c>
      <c r="CV95" s="217">
        <f t="shared" si="231"/>
        <v>2.7062706270627062</v>
      </c>
      <c r="CW95" s="443">
        <f t="shared" si="232"/>
        <v>16</v>
      </c>
      <c r="CX95" s="217">
        <f t="shared" si="233"/>
        <v>3.325609756097561</v>
      </c>
      <c r="CY95" s="217">
        <f t="shared" si="234"/>
        <v>1.6628048780487805</v>
      </c>
      <c r="CZ95" s="217">
        <f t="shared" si="235"/>
        <v>2.3896597049802835</v>
      </c>
      <c r="DA95" s="197">
        <f t="shared" si="236"/>
        <v>350</v>
      </c>
      <c r="DB95" s="443">
        <f t="shared" si="291"/>
        <v>246.76341508024677</v>
      </c>
      <c r="DD95" s="217">
        <f t="shared" si="237"/>
        <v>2.344682344682345</v>
      </c>
      <c r="DE95" s="173">
        <f t="shared" si="238"/>
        <v>1.6848016848016851</v>
      </c>
      <c r="DF95" s="173">
        <f t="shared" si="239"/>
        <v>0.69130683381297664</v>
      </c>
      <c r="DG95" s="173"/>
      <c r="DH95" s="173">
        <f t="shared" si="240"/>
        <v>0.71856287425149712</v>
      </c>
      <c r="DI95" s="545">
        <f t="shared" si="241"/>
        <v>2504.9999999999995</v>
      </c>
      <c r="DJ95" s="528">
        <f t="shared" si="242"/>
        <v>0.125748502994012</v>
      </c>
      <c r="DL95" s="173">
        <f t="shared" si="243"/>
        <v>2.7774602993176543</v>
      </c>
      <c r="DM95" s="173">
        <f t="shared" si="244"/>
        <v>3.325609756097561</v>
      </c>
      <c r="DN95" s="173">
        <f t="shared" si="245"/>
        <v>2.9226738934056007</v>
      </c>
      <c r="DP95" s="545">
        <f t="shared" si="246"/>
        <v>900</v>
      </c>
      <c r="DQ95" s="460">
        <f t="shared" si="247"/>
        <v>246.76341508024677</v>
      </c>
      <c r="DS95">
        <f>IF(CL95&gt;CS95, "",DP95)</f>
        <v>900</v>
      </c>
      <c r="DT95">
        <f>IF(CL95&gt;CS95, "",DQ95)</f>
        <v>246.76341508024677</v>
      </c>
      <c r="DV95" s="5">
        <f t="shared" si="293"/>
        <v>4.0524645830290638</v>
      </c>
      <c r="DW95" s="5">
        <f t="shared" si="249"/>
        <v>1.6628048780487805</v>
      </c>
      <c r="DX95" s="5">
        <f t="shared" si="294"/>
        <v>2.389659704980283</v>
      </c>
      <c r="DY95" s="173">
        <f t="shared" si="295"/>
        <v>0.41031941031941033</v>
      </c>
      <c r="EA95" s="5">
        <f t="shared" si="250"/>
        <v>9.3532774390243905</v>
      </c>
      <c r="EB95" s="5">
        <f t="shared" si="251"/>
        <v>4.6766387195121952</v>
      </c>
      <c r="EC95" s="5">
        <f t="shared" si="252"/>
        <v>1.1948298524901413</v>
      </c>
      <c r="ED95" s="5"/>
      <c r="EE95" s="173">
        <f t="shared" si="296"/>
        <v>1.2299053457400975</v>
      </c>
      <c r="EF95" s="173">
        <f t="shared" si="253"/>
        <v>1.4744127386195804</v>
      </c>
      <c r="EG95" s="173">
        <f t="shared" si="254"/>
        <v>0.36209842257274982</v>
      </c>
      <c r="EH95" s="173"/>
      <c r="EI95" s="528">
        <f t="shared" si="255"/>
        <v>3.0253343189601375E-2</v>
      </c>
      <c r="EJ95" s="528">
        <f t="shared" si="256"/>
        <v>0.63460000000000016</v>
      </c>
      <c r="EK95" s="528">
        <f t="shared" si="257"/>
        <v>2.8377792734228382E-2</v>
      </c>
      <c r="EL95" s="528">
        <f t="shared" si="258"/>
        <v>0.20131485625229192</v>
      </c>
      <c r="EM95">
        <f t="shared" si="259"/>
        <v>1.0800000000000001E-2</v>
      </c>
      <c r="EN95" s="460">
        <f t="shared" si="297"/>
        <v>39.177792734228383</v>
      </c>
      <c r="EO95">
        <f t="shared" si="260"/>
        <v>0.92012845700573731</v>
      </c>
      <c r="EP95" s="460">
        <f t="shared" si="298"/>
        <v>920.12845700573735</v>
      </c>
      <c r="EQ95" s="173">
        <f t="shared" si="261"/>
        <v>0.55912499999999998</v>
      </c>
      <c r="ER95" s="173">
        <f t="shared" si="262"/>
        <v>9.9843749999999995E-2</v>
      </c>
      <c r="ES95" s="528"/>
      <c r="EU95" s="460">
        <f t="shared" si="299"/>
        <v>658.96875</v>
      </c>
      <c r="EV95" s="528">
        <f t="shared" si="263"/>
        <v>4.538001478440206E-2</v>
      </c>
      <c r="EW95" s="528">
        <f t="shared" si="300"/>
        <v>6.5216787714110741E-2</v>
      </c>
      <c r="EX95" s="528">
        <f t="shared" si="264"/>
        <v>6.5557633814836852E-4</v>
      </c>
      <c r="EY95" s="528">
        <f t="shared" si="265"/>
        <v>0.96460642051434042</v>
      </c>
      <c r="EZ95" s="528">
        <f t="shared" si="266"/>
        <v>1.1124604802550118</v>
      </c>
      <c r="FA95" s="625">
        <f t="shared" si="267"/>
        <v>1.3645622340744294E-2</v>
      </c>
      <c r="FB95" s="460">
        <f t="shared" si="301"/>
        <v>1126.1061025957561</v>
      </c>
      <c r="FC95" s="173">
        <f t="shared" si="302"/>
        <v>2.7052033096014934</v>
      </c>
      <c r="FD95" s="5">
        <f t="shared" si="303"/>
        <v>16.2</v>
      </c>
      <c r="FE95" s="173">
        <f t="shared" si="304"/>
        <v>0.85690694433169168</v>
      </c>
      <c r="FF95" s="5">
        <f t="shared" si="305"/>
        <v>85.69069443316917</v>
      </c>
      <c r="FG95">
        <f t="shared" si="306"/>
        <v>90</v>
      </c>
      <c r="FI95" s="562">
        <f t="shared" si="268"/>
        <v>-50</v>
      </c>
      <c r="FJ95">
        <f t="shared" si="269"/>
        <v>-50</v>
      </c>
      <c r="FL95">
        <f t="shared" si="270"/>
        <v>0.57009251312425169</v>
      </c>
    </row>
    <row r="96" spans="5:168">
      <c r="E96" s="170">
        <v>91</v>
      </c>
      <c r="F96" s="217">
        <f t="shared" si="307"/>
        <v>0.91</v>
      </c>
      <c r="G96" s="217">
        <f t="shared" si="271"/>
        <v>0.22750000000000001</v>
      </c>
      <c r="H96" s="217">
        <f t="shared" si="176"/>
        <v>14.56</v>
      </c>
      <c r="I96" s="217">
        <f t="shared" si="308"/>
        <v>1.82</v>
      </c>
      <c r="J96" s="541">
        <f t="shared" si="177"/>
        <v>23.891459187715988</v>
      </c>
      <c r="K96" s="443">
        <f t="shared" si="178"/>
        <v>16.747886964609286</v>
      </c>
      <c r="L96" s="172">
        <f t="shared" si="179"/>
        <v>40.639346152325274</v>
      </c>
      <c r="M96" s="443"/>
      <c r="N96" s="217">
        <f t="shared" si="180"/>
        <v>0.41211014817596953</v>
      </c>
      <c r="O96" s="172">
        <f t="shared" si="272"/>
        <v>21.879806191088367</v>
      </c>
      <c r="P96" s="172">
        <f t="shared" si="181"/>
        <v>3.0768477456218015</v>
      </c>
      <c r="Q96" s="217">
        <f t="shared" si="182"/>
        <v>1.3674878869430229</v>
      </c>
      <c r="R96" s="217">
        <f t="shared" si="183"/>
        <v>2.7349757738860458</v>
      </c>
      <c r="S96" s="443">
        <f t="shared" si="184"/>
        <v>16</v>
      </c>
      <c r="T96" s="217">
        <f t="shared" si="185"/>
        <v>3.3272689604376571</v>
      </c>
      <c r="U96" s="217">
        <f t="shared" si="186"/>
        <v>1.671192504883956</v>
      </c>
      <c r="V96" s="217">
        <f t="shared" si="187"/>
        <v>2.38401582298853</v>
      </c>
      <c r="W96" s="197">
        <f t="shared" si="188"/>
        <v>350</v>
      </c>
      <c r="X96" s="443">
        <f t="shared" si="273"/>
        <v>235.00612025263138</v>
      </c>
      <c r="Z96" s="217">
        <f t="shared" si="189"/>
        <v>2.3442649490451819</v>
      </c>
      <c r="AA96" s="173">
        <f t="shared" si="190"/>
        <v>1.6796852909258013</v>
      </c>
      <c r="AB96" s="173">
        <f t="shared" si="191"/>
        <v>0.68908478676522023</v>
      </c>
      <c r="AC96" s="173"/>
      <c r="AD96" s="173">
        <f t="shared" si="192"/>
        <v>0.71650829894886092</v>
      </c>
      <c r="AE96" s="545">
        <f t="shared" si="193"/>
        <v>2540.0961896324084</v>
      </c>
      <c r="AF96" s="528">
        <f t="shared" si="194"/>
        <v>0.12538895231605066</v>
      </c>
      <c r="AH96" s="173">
        <f t="shared" si="195"/>
        <v>2.7928480087537881</v>
      </c>
      <c r="AI96" s="173">
        <f t="shared" si="196"/>
        <v>3.3272689604376571</v>
      </c>
      <c r="AJ96" s="173">
        <f t="shared" si="197"/>
        <v>2.9239029336575237</v>
      </c>
      <c r="AL96" s="545">
        <f t="shared" si="198"/>
        <v>910</v>
      </c>
      <c r="AM96" s="460">
        <f t="shared" si="199"/>
        <v>235.00612025263138</v>
      </c>
      <c r="AO96">
        <f t="shared" si="274"/>
        <v>910</v>
      </c>
      <c r="AP96">
        <f t="shared" si="200"/>
        <v>235.00612025263138</v>
      </c>
      <c r="AR96" s="5">
        <f t="shared" si="275"/>
        <v>4.2552083278724862</v>
      </c>
      <c r="AS96" s="5">
        <f t="shared" si="201"/>
        <v>1.671192504883956</v>
      </c>
      <c r="AT96" s="5">
        <f t="shared" si="276"/>
        <v>2.5840158229885302</v>
      </c>
      <c r="AU96" s="173">
        <f t="shared" si="277"/>
        <v>0.39274046676805524</v>
      </c>
      <c r="AW96" s="5">
        <f t="shared" si="202"/>
        <v>9.5049073715274996</v>
      </c>
      <c r="AX96" s="5">
        <f t="shared" si="203"/>
        <v>4.7524536857637498</v>
      </c>
      <c r="AY96" s="5">
        <f t="shared" si="204"/>
        <v>1.3122984691972179</v>
      </c>
      <c r="AZ96" s="5"/>
      <c r="BA96" s="173">
        <f t="shared" si="278"/>
        <v>1.2038714277249933</v>
      </c>
      <c r="BB96" s="173">
        <f t="shared" si="205"/>
        <v>1.4969746704174218</v>
      </c>
      <c r="BC96" s="173">
        <f t="shared" si="206"/>
        <v>0.36763936758780802</v>
      </c>
      <c r="BD96" s="173"/>
      <c r="BE96" s="528">
        <f t="shared" si="207"/>
        <v>2.8986128289852277E-2</v>
      </c>
      <c r="BF96" s="528">
        <f t="shared" si="208"/>
        <v>0.57993145083971298</v>
      </c>
      <c r="BG96" s="528">
        <f t="shared" si="209"/>
        <v>0.12913670001022201</v>
      </c>
      <c r="BH96" s="528">
        <f t="shared" si="210"/>
        <v>0.19115199345205086</v>
      </c>
      <c r="BI96">
        <f t="shared" si="211"/>
        <v>1.0751156634472195E-2</v>
      </c>
      <c r="BJ96" s="460">
        <f t="shared" si="279"/>
        <v>139.88785664469421</v>
      </c>
      <c r="BK96">
        <f t="shared" si="212"/>
        <v>0.81349847589363466</v>
      </c>
      <c r="BL96" s="460">
        <f t="shared" si="280"/>
        <v>813.49847589363469</v>
      </c>
      <c r="BM96" s="173">
        <f t="shared" si="213"/>
        <v>0.56533749999999994</v>
      </c>
      <c r="BN96" s="173">
        <f t="shared" si="214"/>
        <v>0.100953125</v>
      </c>
      <c r="BO96" s="528"/>
      <c r="BQ96" s="460">
        <f t="shared" si="281"/>
        <v>666.29062499999986</v>
      </c>
      <c r="BR96" s="528">
        <f t="shared" si="215"/>
        <v>4.3479192434778414E-2</v>
      </c>
      <c r="BS96" s="528">
        <f t="shared" si="216"/>
        <v>6.7227994916140454E-2</v>
      </c>
      <c r="BT96" s="528">
        <f t="shared" si="217"/>
        <v>6.7579352300181715E-4</v>
      </c>
      <c r="BU96" s="528">
        <f t="shared" si="218"/>
        <v>0.85484565296749282</v>
      </c>
      <c r="BV96" s="528">
        <f t="shared" si="219"/>
        <v>1.001888011105456</v>
      </c>
      <c r="BW96" s="625">
        <f t="shared" si="220"/>
        <v>1.3008433291710317E-2</v>
      </c>
      <c r="BX96" s="460">
        <f t="shared" si="282"/>
        <v>1014.8964443971664</v>
      </c>
      <c r="BY96" s="173">
        <f t="shared" si="283"/>
        <v>2.4946855452908006</v>
      </c>
      <c r="BZ96" s="5">
        <f t="shared" si="284"/>
        <v>16.38</v>
      </c>
      <c r="CA96" s="173">
        <f t="shared" si="285"/>
        <v>0.86782902743970647</v>
      </c>
      <c r="CB96" s="5">
        <f t="shared" si="286"/>
        <v>86.782902743970652</v>
      </c>
      <c r="CC96">
        <f t="shared" si="287"/>
        <v>91</v>
      </c>
      <c r="CE96" s="562">
        <f t="shared" si="221"/>
        <v>-50</v>
      </c>
      <c r="CF96">
        <f t="shared" si="222"/>
        <v>-50</v>
      </c>
      <c r="CG96" s="173">
        <f t="shared" si="223"/>
        <v>0.5700925131242518</v>
      </c>
      <c r="CH96" s="173">
        <f t="shared" si="224"/>
        <v>0.2015256161427556</v>
      </c>
      <c r="CI96" s="170">
        <v>91</v>
      </c>
      <c r="CJ96" s="217">
        <f t="shared" si="309"/>
        <v>0.91</v>
      </c>
      <c r="CK96" s="217">
        <f t="shared" si="288"/>
        <v>0.22750000000000001</v>
      </c>
      <c r="CL96" s="217">
        <f t="shared" si="225"/>
        <v>14.56</v>
      </c>
      <c r="CM96" s="217">
        <f t="shared" si="310"/>
        <v>1.82</v>
      </c>
      <c r="CN96" s="541">
        <f t="shared" si="289"/>
        <v>24</v>
      </c>
      <c r="CO96" s="443">
        <f t="shared" si="226"/>
        <v>16.7</v>
      </c>
      <c r="CP96" s="443">
        <f t="shared" si="227"/>
        <v>40.700000000000003</v>
      </c>
      <c r="CQ96" s="443"/>
      <c r="CR96" s="217">
        <f t="shared" si="228"/>
        <v>0.40594059405940591</v>
      </c>
      <c r="CS96" s="172">
        <f t="shared" si="290"/>
        <v>21.650165016501649</v>
      </c>
      <c r="CT96" s="172">
        <f t="shared" si="229"/>
        <v>3.0445544554455446</v>
      </c>
      <c r="CU96" s="217">
        <f t="shared" si="230"/>
        <v>1.3531353135313531</v>
      </c>
      <c r="CV96" s="217">
        <f t="shared" si="231"/>
        <v>2.7062706270627062</v>
      </c>
      <c r="CW96" s="443">
        <f t="shared" si="232"/>
        <v>16</v>
      </c>
      <c r="CX96" s="217">
        <f t="shared" si="233"/>
        <v>3.3625609756097559</v>
      </c>
      <c r="CY96" s="217">
        <f t="shared" si="234"/>
        <v>1.6812804878048779</v>
      </c>
      <c r="CZ96" s="217">
        <f t="shared" si="235"/>
        <v>2.4162114794800642</v>
      </c>
      <c r="DA96" s="197">
        <f t="shared" si="236"/>
        <v>350</v>
      </c>
      <c r="DB96" s="443">
        <f t="shared" si="291"/>
        <v>244.0517292002441</v>
      </c>
      <c r="DD96" s="217">
        <f t="shared" si="237"/>
        <v>2.344682344682345</v>
      </c>
      <c r="DE96" s="173">
        <f t="shared" si="238"/>
        <v>1.6848016848016851</v>
      </c>
      <c r="DF96" s="173">
        <f t="shared" si="239"/>
        <v>0.69130683381297664</v>
      </c>
      <c r="DG96" s="173"/>
      <c r="DH96" s="173">
        <f t="shared" si="240"/>
        <v>0.71856287425149712</v>
      </c>
      <c r="DI96" s="545">
        <f t="shared" si="241"/>
        <v>2532.833333333333</v>
      </c>
      <c r="DJ96" s="528">
        <f t="shared" si="242"/>
        <v>0.125748502994012</v>
      </c>
      <c r="DL96" s="173">
        <f t="shared" si="243"/>
        <v>2.7928480087537881</v>
      </c>
      <c r="DM96" s="173">
        <f t="shared" si="244"/>
        <v>3.3625609756097559</v>
      </c>
      <c r="DN96" s="173">
        <f t="shared" si="245"/>
        <v>2.9500451671183381</v>
      </c>
      <c r="DP96" s="545">
        <f t="shared" si="246"/>
        <v>910</v>
      </c>
      <c r="DQ96" s="460">
        <f t="shared" si="247"/>
        <v>244.0517292002441</v>
      </c>
      <c r="DS96">
        <f t="shared" ref="DS96:DS105" si="311">IF(CL96&gt;CS96, "",DP96)</f>
        <v>910</v>
      </c>
      <c r="DT96">
        <f t="shared" ref="DT96:DT105" si="312">IF(CL96&gt;CS96, "",DQ96)</f>
        <v>244.0517292002441</v>
      </c>
      <c r="DV96" s="5">
        <f t="shared" si="293"/>
        <v>4.0974919672849417</v>
      </c>
      <c r="DW96" s="5">
        <f t="shared" si="249"/>
        <v>1.6812804878048779</v>
      </c>
      <c r="DX96" s="5">
        <f t="shared" si="294"/>
        <v>2.4162114794800638</v>
      </c>
      <c r="DY96" s="173">
        <f t="shared" si="295"/>
        <v>0.41031941031941033</v>
      </c>
      <c r="EA96" s="5">
        <f t="shared" si="250"/>
        <v>9.5622827743902423</v>
      </c>
      <c r="EB96" s="5">
        <f t="shared" si="251"/>
        <v>4.7811413871951212</v>
      </c>
      <c r="EC96" s="5">
        <f t="shared" si="252"/>
        <v>1.2215291368482544</v>
      </c>
      <c r="ED96" s="5"/>
      <c r="EE96" s="173">
        <f t="shared" si="296"/>
        <v>1.2435709606927652</v>
      </c>
      <c r="EF96" s="173">
        <f t="shared" si="253"/>
        <v>1.4907951023820201</v>
      </c>
      <c r="EG96" s="173">
        <f t="shared" si="254"/>
        <v>0.36612173837911371</v>
      </c>
      <c r="EH96" s="173"/>
      <c r="EI96" s="528">
        <f t="shared" si="255"/>
        <v>3.092937468556654E-2</v>
      </c>
      <c r="EJ96" s="528">
        <f t="shared" si="256"/>
        <v>0.63460000000000016</v>
      </c>
      <c r="EK96" s="528">
        <f t="shared" si="257"/>
        <v>2.8065948858028076E-2</v>
      </c>
      <c r="EL96" s="528">
        <f t="shared" si="258"/>
        <v>0.19910260508468436</v>
      </c>
      <c r="EM96">
        <f t="shared" si="259"/>
        <v>1.0800000000000001E-2</v>
      </c>
      <c r="EN96" s="460">
        <f t="shared" si="297"/>
        <v>38.865948858028077</v>
      </c>
      <c r="EO96">
        <f t="shared" si="260"/>
        <v>0.91859948150714377</v>
      </c>
      <c r="EP96" s="460">
        <f t="shared" si="298"/>
        <v>918.59948150714376</v>
      </c>
      <c r="EQ96" s="173">
        <f t="shared" si="261"/>
        <v>0.56533749999999994</v>
      </c>
      <c r="ER96" s="173">
        <f t="shared" si="262"/>
        <v>0.100953125</v>
      </c>
      <c r="ES96" s="528"/>
      <c r="EU96" s="460">
        <f t="shared" si="299"/>
        <v>666.29062499999986</v>
      </c>
      <c r="EV96" s="528">
        <f t="shared" si="263"/>
        <v>4.6394062028349808E-2</v>
      </c>
      <c r="EW96" s="528">
        <f t="shared" si="300"/>
        <v>6.6674101118586529E-2</v>
      </c>
      <c r="EX96" s="528">
        <f t="shared" si="264"/>
        <v>6.702256365687209E-4</v>
      </c>
      <c r="EY96" s="528">
        <f t="shared" si="265"/>
        <v>0.96460642051434065</v>
      </c>
      <c r="EZ96" s="528">
        <f t="shared" si="266"/>
        <v>1.1157947180817076</v>
      </c>
      <c r="FA96" s="625">
        <f t="shared" si="267"/>
        <v>1.3797240366752563E-2</v>
      </c>
      <c r="FB96" s="460">
        <f t="shared" si="301"/>
        <v>1129.5919584484602</v>
      </c>
      <c r="FC96" s="173">
        <f t="shared" si="302"/>
        <v>2.7144820649556038</v>
      </c>
      <c r="FD96" s="5">
        <f t="shared" si="303"/>
        <v>16.38</v>
      </c>
      <c r="FE96" s="173">
        <f t="shared" si="304"/>
        <v>0.85783945038564124</v>
      </c>
      <c r="FF96" s="5">
        <f t="shared" si="305"/>
        <v>85.783945038564127</v>
      </c>
      <c r="FG96">
        <f t="shared" si="306"/>
        <v>91</v>
      </c>
      <c r="FI96" s="562">
        <f t="shared" si="268"/>
        <v>-50</v>
      </c>
      <c r="FJ96">
        <f t="shared" si="269"/>
        <v>-50</v>
      </c>
      <c r="FL96">
        <f t="shared" si="270"/>
        <v>0.57009251312425169</v>
      </c>
    </row>
    <row r="97" spans="5:169">
      <c r="E97" s="170">
        <v>92</v>
      </c>
      <c r="F97" s="217">
        <f t="shared" si="307"/>
        <v>0.92</v>
      </c>
      <c r="G97" s="217">
        <f t="shared" si="271"/>
        <v>0.23</v>
      </c>
      <c r="H97" s="217">
        <f t="shared" si="176"/>
        <v>14.72</v>
      </c>
      <c r="I97" s="217">
        <f t="shared" si="308"/>
        <v>1.84</v>
      </c>
      <c r="J97" s="541">
        <f t="shared" si="177"/>
        <v>23.890266431537043</v>
      </c>
      <c r="K97" s="443">
        <f t="shared" si="178"/>
        <v>16.748413194989606</v>
      </c>
      <c r="L97" s="172">
        <f t="shared" si="179"/>
        <v>40.638679626526653</v>
      </c>
      <c r="M97" s="443"/>
      <c r="N97" s="217">
        <f t="shared" si="180"/>
        <v>0.41212985630707305</v>
      </c>
      <c r="O97" s="172">
        <f t="shared" si="272"/>
        <v>21.879760159037893</v>
      </c>
      <c r="P97" s="172">
        <f t="shared" si="181"/>
        <v>3.0768412723647036</v>
      </c>
      <c r="Q97" s="217">
        <f t="shared" si="182"/>
        <v>1.3674850099398683</v>
      </c>
      <c r="R97" s="217">
        <f t="shared" si="183"/>
        <v>2.7349700198797366</v>
      </c>
      <c r="S97" s="443">
        <f t="shared" si="184"/>
        <v>16</v>
      </c>
      <c r="T97" s="217">
        <f t="shared" si="185"/>
        <v>3.3638394326547489</v>
      </c>
      <c r="U97" s="217">
        <f t="shared" si="186"/>
        <v>1.6896451660568579</v>
      </c>
      <c r="V97" s="217">
        <f t="shared" si="187"/>
        <v>2.4101431414369903</v>
      </c>
      <c r="W97" s="197">
        <f t="shared" si="188"/>
        <v>350</v>
      </c>
      <c r="X97" s="443">
        <f t="shared" si="273"/>
        <v>232.56958912538988</v>
      </c>
      <c r="Z97" s="217">
        <f t="shared" si="189"/>
        <v>2.3442600170397743</v>
      </c>
      <c r="AA97" s="173">
        <f t="shared" si="190"/>
        <v>1.6796289819797909</v>
      </c>
      <c r="AB97" s="173">
        <f t="shared" si="191"/>
        <v>0.68906023653537762</v>
      </c>
      <c r="AC97" s="173"/>
      <c r="AD97" s="173">
        <f t="shared" si="192"/>
        <v>0.7164857864618408</v>
      </c>
      <c r="AE97" s="545">
        <f t="shared" si="193"/>
        <v>2568.0900232317395</v>
      </c>
      <c r="AF97" s="528">
        <f t="shared" si="194"/>
        <v>0.12538501263082213</v>
      </c>
      <c r="AH97" s="173">
        <f t="shared" si="195"/>
        <v>2.8081514000698551</v>
      </c>
      <c r="AI97" s="173">
        <f t="shared" si="196"/>
        <v>3.3638394326547489</v>
      </c>
      <c r="AJ97" s="173">
        <f t="shared" si="197"/>
        <v>2.9509921723368508</v>
      </c>
      <c r="AL97" s="545">
        <f t="shared" si="198"/>
        <v>920</v>
      </c>
      <c r="AM97" s="460">
        <f t="shared" si="199"/>
        <v>232.56958912538988</v>
      </c>
      <c r="AO97">
        <f t="shared" si="274"/>
        <v>920</v>
      </c>
      <c r="AP97">
        <f t="shared" si="200"/>
        <v>232.56958912538988</v>
      </c>
      <c r="AR97" s="5">
        <f t="shared" si="275"/>
        <v>4.2997883074938485</v>
      </c>
      <c r="AS97" s="5">
        <f t="shared" si="201"/>
        <v>1.6896451660568579</v>
      </c>
      <c r="AT97" s="5">
        <f t="shared" si="276"/>
        <v>2.6101431414369909</v>
      </c>
      <c r="AU97" s="173">
        <f t="shared" si="277"/>
        <v>0.39296008203754462</v>
      </c>
      <c r="AW97" s="5">
        <f t="shared" si="202"/>
        <v>9.715459704826932</v>
      </c>
      <c r="AX97" s="5">
        <f t="shared" si="203"/>
        <v>4.857729852413466</v>
      </c>
      <c r="AY97" s="5">
        <f t="shared" si="204"/>
        <v>1.3402008705113382</v>
      </c>
      <c r="AZ97" s="5"/>
      <c r="BA97" s="173">
        <f t="shared" si="278"/>
        <v>1.2174435911685604</v>
      </c>
      <c r="BB97" s="173">
        <f t="shared" si="205"/>
        <v>1.5131544353491944</v>
      </c>
      <c r="BC97" s="173">
        <f t="shared" si="206"/>
        <v>0.37161292750487568</v>
      </c>
      <c r="BD97" s="173"/>
      <c r="BE97" s="528">
        <f t="shared" si="207"/>
        <v>2.9643377953548017E-2</v>
      </c>
      <c r="BF97" s="528">
        <f t="shared" si="208"/>
        <v>0.58021725586904516</v>
      </c>
      <c r="BG97" s="528">
        <f t="shared" si="209"/>
        <v>0.1277914373058093</v>
      </c>
      <c r="BH97" s="528">
        <f t="shared" si="210"/>
        <v>0.18916393450411598</v>
      </c>
      <c r="BI97">
        <f t="shared" si="211"/>
        <v>1.075061989419167E-2</v>
      </c>
      <c r="BJ97" s="460">
        <f t="shared" si="279"/>
        <v>138.54205720000098</v>
      </c>
      <c r="BK97">
        <f t="shared" si="212"/>
        <v>0.81275271442315589</v>
      </c>
      <c r="BL97" s="460">
        <f t="shared" si="280"/>
        <v>812.75271442315591</v>
      </c>
      <c r="BM97" s="173">
        <f t="shared" si="213"/>
        <v>0.57155</v>
      </c>
      <c r="BN97" s="173">
        <f t="shared" si="214"/>
        <v>0.1020625</v>
      </c>
      <c r="BO97" s="528"/>
      <c r="BQ97" s="460">
        <f t="shared" si="281"/>
        <v>673.61249999999995</v>
      </c>
      <c r="BR97" s="528">
        <f t="shared" si="215"/>
        <v>4.4465066930322025E-2</v>
      </c>
      <c r="BS97" s="528">
        <f t="shared" si="216"/>
        <v>6.8689090356508178E-2</v>
      </c>
      <c r="BT97" s="528">
        <f t="shared" si="217"/>
        <v>6.9048083944371998E-4</v>
      </c>
      <c r="BU97" s="528">
        <f t="shared" si="218"/>
        <v>0.85593436172449211</v>
      </c>
      <c r="BV97" s="528">
        <f t="shared" si="219"/>
        <v>1.0062663553275446</v>
      </c>
      <c r="BW97" s="625">
        <f t="shared" si="220"/>
        <v>1.3158107934013924E-2</v>
      </c>
      <c r="BX97" s="460">
        <f t="shared" si="282"/>
        <v>1019.4244632615586</v>
      </c>
      <c r="BY97" s="173">
        <f t="shared" si="283"/>
        <v>2.5057896776847142</v>
      </c>
      <c r="BZ97" s="5">
        <f t="shared" si="284"/>
        <v>16.560000000000002</v>
      </c>
      <c r="CA97" s="173">
        <f t="shared" si="285"/>
        <v>0.86857141927787129</v>
      </c>
      <c r="CB97" s="5">
        <f t="shared" si="286"/>
        <v>86.857141927787126</v>
      </c>
      <c r="CC97">
        <f t="shared" si="287"/>
        <v>92</v>
      </c>
      <c r="CE97" s="562">
        <f t="shared" si="221"/>
        <v>-50</v>
      </c>
      <c r="CF97">
        <f t="shared" si="222"/>
        <v>-50</v>
      </c>
      <c r="CG97" s="173">
        <f t="shared" si="223"/>
        <v>0.57009251312425169</v>
      </c>
      <c r="CH97" s="173">
        <f t="shared" si="224"/>
        <v>0.20152561614275555</v>
      </c>
      <c r="CI97" s="170">
        <v>92</v>
      </c>
      <c r="CJ97" s="217">
        <f t="shared" si="309"/>
        <v>0.92</v>
      </c>
      <c r="CK97" s="217">
        <f t="shared" si="288"/>
        <v>0.23</v>
      </c>
      <c r="CL97" s="217">
        <f t="shared" si="225"/>
        <v>14.72</v>
      </c>
      <c r="CM97" s="217">
        <f t="shared" si="310"/>
        <v>1.84</v>
      </c>
      <c r="CN97" s="541">
        <f t="shared" si="289"/>
        <v>24</v>
      </c>
      <c r="CO97" s="443">
        <f t="shared" si="226"/>
        <v>16.7</v>
      </c>
      <c r="CP97" s="443">
        <f t="shared" si="227"/>
        <v>40.700000000000003</v>
      </c>
      <c r="CQ97" s="443"/>
      <c r="CR97" s="217">
        <f t="shared" si="228"/>
        <v>0.40594059405940591</v>
      </c>
      <c r="CS97" s="172">
        <f t="shared" si="290"/>
        <v>21.650165016501649</v>
      </c>
      <c r="CT97" s="172">
        <f t="shared" si="229"/>
        <v>3.0445544554455446</v>
      </c>
      <c r="CU97" s="217">
        <f t="shared" si="230"/>
        <v>1.3531353135313531</v>
      </c>
      <c r="CV97" s="217">
        <f t="shared" si="231"/>
        <v>2.7062706270627062</v>
      </c>
      <c r="CW97" s="443">
        <f t="shared" si="232"/>
        <v>16</v>
      </c>
      <c r="CX97" s="217">
        <f t="shared" si="233"/>
        <v>3.3995121951219516</v>
      </c>
      <c r="CY97" s="217">
        <f t="shared" si="234"/>
        <v>1.6997560975609758</v>
      </c>
      <c r="CZ97" s="217">
        <f t="shared" si="235"/>
        <v>2.4427632539798454</v>
      </c>
      <c r="DA97" s="197">
        <f t="shared" si="236"/>
        <v>350</v>
      </c>
      <c r="DB97" s="443">
        <f t="shared" si="291"/>
        <v>241.39899301328487</v>
      </c>
      <c r="DD97" s="217">
        <f t="shared" si="237"/>
        <v>2.344682344682345</v>
      </c>
      <c r="DE97" s="173">
        <f t="shared" si="238"/>
        <v>1.6848016848016851</v>
      </c>
      <c r="DF97" s="173">
        <f t="shared" si="239"/>
        <v>0.69130683381297664</v>
      </c>
      <c r="DG97" s="173"/>
      <c r="DH97" s="173">
        <f t="shared" si="240"/>
        <v>0.71856287425149712</v>
      </c>
      <c r="DI97" s="545">
        <f t="shared" si="241"/>
        <v>2560.6666666666665</v>
      </c>
      <c r="DJ97" s="528">
        <f t="shared" si="242"/>
        <v>0.125748502994012</v>
      </c>
      <c r="DL97" s="173">
        <f t="shared" si="243"/>
        <v>2.8081514000698551</v>
      </c>
      <c r="DM97" s="173">
        <f t="shared" si="244"/>
        <v>3.3995121951219516</v>
      </c>
      <c r="DN97" s="173">
        <f t="shared" si="245"/>
        <v>2.977416440831075</v>
      </c>
      <c r="DP97" s="545">
        <f t="shared" si="246"/>
        <v>920</v>
      </c>
      <c r="DQ97" s="460">
        <f t="shared" si="247"/>
        <v>241.39899301328487</v>
      </c>
      <c r="DS97">
        <f t="shared" si="311"/>
        <v>920</v>
      </c>
      <c r="DT97">
        <f t="shared" si="312"/>
        <v>241.39899301328487</v>
      </c>
      <c r="DV97" s="5">
        <f t="shared" si="293"/>
        <v>4.1425193515408205</v>
      </c>
      <c r="DW97" s="5">
        <f t="shared" si="249"/>
        <v>1.6997560975609758</v>
      </c>
      <c r="DX97" s="5">
        <f t="shared" si="294"/>
        <v>2.4427632539798445</v>
      </c>
      <c r="DY97" s="173">
        <f t="shared" si="295"/>
        <v>0.41031941031941038</v>
      </c>
      <c r="EA97" s="5">
        <f t="shared" si="250"/>
        <v>9.7735975609756114</v>
      </c>
      <c r="EB97" s="5">
        <f t="shared" si="251"/>
        <v>4.8867987804878057</v>
      </c>
      <c r="EC97" s="5">
        <f t="shared" si="252"/>
        <v>1.2485234409230315</v>
      </c>
      <c r="ED97" s="5"/>
      <c r="EE97" s="173">
        <f t="shared" si="296"/>
        <v>1.2572365756454331</v>
      </c>
      <c r="EF97" s="173">
        <f t="shared" si="253"/>
        <v>1.5071774661444601</v>
      </c>
      <c r="EG97" s="173">
        <f t="shared" si="254"/>
        <v>0.37014505418547766</v>
      </c>
      <c r="EH97" s="173"/>
      <c r="EI97" s="528">
        <f t="shared" si="255"/>
        <v>3.1612876142813093E-2</v>
      </c>
      <c r="EJ97" s="528">
        <f t="shared" si="256"/>
        <v>0.63460000000000005</v>
      </c>
      <c r="EK97" s="528">
        <f t="shared" si="257"/>
        <v>2.7760884196527762E-2</v>
      </c>
      <c r="EL97" s="528">
        <f t="shared" si="258"/>
        <v>0.19693844633376384</v>
      </c>
      <c r="EM97">
        <f t="shared" si="259"/>
        <v>1.0800000000000001E-2</v>
      </c>
      <c r="EN97" s="460">
        <f t="shared" si="297"/>
        <v>38.560884196527766</v>
      </c>
      <c r="EO97">
        <f t="shared" si="260"/>
        <v>0.91713649665165353</v>
      </c>
      <c r="EP97" s="460">
        <f t="shared" si="298"/>
        <v>917.13649665165349</v>
      </c>
      <c r="EQ97" s="173">
        <f t="shared" si="261"/>
        <v>0.57155</v>
      </c>
      <c r="ER97" s="173">
        <f t="shared" si="262"/>
        <v>0.1020625</v>
      </c>
      <c r="ES97" s="528"/>
      <c r="EU97" s="460">
        <f t="shared" si="299"/>
        <v>673.61249999999995</v>
      </c>
      <c r="EV97" s="528">
        <f t="shared" si="263"/>
        <v>4.7419314214219639E-2</v>
      </c>
      <c r="EW97" s="528">
        <f t="shared" si="300"/>
        <v>6.8147517433609056E-2</v>
      </c>
      <c r="EX97" s="528">
        <f t="shared" si="264"/>
        <v>6.8503680568985097E-4</v>
      </c>
      <c r="EY97" s="528">
        <f t="shared" si="265"/>
        <v>0.96460642051433987</v>
      </c>
      <c r="EZ97" s="528">
        <f t="shared" si="266"/>
        <v>1.1191671592668297</v>
      </c>
      <c r="FA97" s="625">
        <f t="shared" si="267"/>
        <v>1.3948858392760834E-2</v>
      </c>
      <c r="FB97" s="460">
        <f t="shared" si="301"/>
        <v>1133.1160176595906</v>
      </c>
      <c r="FC97" s="173">
        <f t="shared" si="302"/>
        <v>2.7238650143112442</v>
      </c>
      <c r="FD97" s="5">
        <f t="shared" si="303"/>
        <v>16.560000000000002</v>
      </c>
      <c r="FE97" s="173">
        <f t="shared" si="304"/>
        <v>0.85874901051787256</v>
      </c>
      <c r="FF97" s="5">
        <f t="shared" si="305"/>
        <v>85.874901051787262</v>
      </c>
      <c r="FG97">
        <f t="shared" si="306"/>
        <v>92</v>
      </c>
      <c r="FI97" s="562">
        <f t="shared" si="268"/>
        <v>-50</v>
      </c>
      <c r="FJ97">
        <f t="shared" si="269"/>
        <v>-50</v>
      </c>
      <c r="FL97">
        <f t="shared" si="270"/>
        <v>0.57009251312425169</v>
      </c>
    </row>
    <row r="98" spans="5:169">
      <c r="E98" s="170">
        <v>93</v>
      </c>
      <c r="F98" s="217">
        <f t="shared" si="307"/>
        <v>0.93</v>
      </c>
      <c r="G98" s="217">
        <f t="shared" si="271"/>
        <v>0.23250000000000001</v>
      </c>
      <c r="H98" s="217">
        <f t="shared" si="176"/>
        <v>14.88</v>
      </c>
      <c r="I98" s="217">
        <f t="shared" si="308"/>
        <v>1.86</v>
      </c>
      <c r="J98" s="541">
        <f t="shared" si="177"/>
        <v>23.889073675358098</v>
      </c>
      <c r="K98" s="443">
        <f t="shared" si="178"/>
        <v>16.74893942536993</v>
      </c>
      <c r="L98" s="172">
        <f t="shared" si="179"/>
        <v>40.638013100728031</v>
      </c>
      <c r="M98" s="443"/>
      <c r="N98" s="217">
        <f t="shared" si="180"/>
        <v>0.41214956508466383</v>
      </c>
      <c r="O98" s="172">
        <f t="shared" si="272"/>
        <v>21.879714056831851</v>
      </c>
      <c r="P98" s="172">
        <f t="shared" si="181"/>
        <v>3.0768347892419792</v>
      </c>
      <c r="Q98" s="217">
        <f t="shared" si="182"/>
        <v>1.3674821285519907</v>
      </c>
      <c r="R98" s="217">
        <f t="shared" si="183"/>
        <v>2.7349642571039814</v>
      </c>
      <c r="S98" s="443">
        <f t="shared" si="184"/>
        <v>16</v>
      </c>
      <c r="T98" s="217">
        <f t="shared" si="185"/>
        <v>3.4004100696539457</v>
      </c>
      <c r="U98" s="217">
        <f t="shared" si="186"/>
        <v>1.7080997526470931</v>
      </c>
      <c r="V98" s="217">
        <f t="shared" si="187"/>
        <v>2.4362689361715275</v>
      </c>
      <c r="W98" s="197">
        <f t="shared" si="188"/>
        <v>350</v>
      </c>
      <c r="X98" s="443">
        <f t="shared" si="273"/>
        <v>230.18304191671481</v>
      </c>
      <c r="Z98" s="217">
        <f t="shared" si="189"/>
        <v>2.344255077517698</v>
      </c>
      <c r="AA98" s="173">
        <f t="shared" si="190"/>
        <v>1.6795726711866745</v>
      </c>
      <c r="AB98" s="173">
        <f t="shared" si="191"/>
        <v>0.68903568343563193</v>
      </c>
      <c r="AC98" s="173"/>
      <c r="AD98" s="173">
        <f t="shared" si="192"/>
        <v>0.7164632753894481</v>
      </c>
      <c r="AE98" s="545">
        <f t="shared" si="193"/>
        <v>2596.085610932339</v>
      </c>
      <c r="AF98" s="528">
        <f t="shared" si="194"/>
        <v>0.12538107319315342</v>
      </c>
      <c r="AH98" s="173">
        <f t="shared" si="195"/>
        <v>2.8233718443429607</v>
      </c>
      <c r="AI98" s="173">
        <f t="shared" si="196"/>
        <v>3.4004100696539457</v>
      </c>
      <c r="AJ98" s="173">
        <f t="shared" si="197"/>
        <v>2.9780815330769972</v>
      </c>
      <c r="AL98" s="545">
        <f t="shared" si="198"/>
        <v>930</v>
      </c>
      <c r="AM98" s="460">
        <f t="shared" si="199"/>
        <v>230.18304191671481</v>
      </c>
      <c r="AO98">
        <f t="shared" si="274"/>
        <v>930</v>
      </c>
      <c r="AP98">
        <f t="shared" si="200"/>
        <v>230.18304191671481</v>
      </c>
      <c r="AR98" s="5">
        <f t="shared" si="275"/>
        <v>4.3443686888186202</v>
      </c>
      <c r="AS98" s="5">
        <f t="shared" si="201"/>
        <v>1.7080997526470931</v>
      </c>
      <c r="AT98" s="5">
        <f t="shared" si="276"/>
        <v>2.6362689361715272</v>
      </c>
      <c r="AU98" s="173">
        <f t="shared" si="277"/>
        <v>0.39317559696149612</v>
      </c>
      <c r="AW98" s="5">
        <f t="shared" si="202"/>
        <v>9.9283298122612287</v>
      </c>
      <c r="AX98" s="5">
        <f t="shared" si="203"/>
        <v>4.9641649061306143</v>
      </c>
      <c r="AY98" s="5">
        <f t="shared" si="204"/>
        <v>1.3683969187238447</v>
      </c>
      <c r="AZ98" s="5"/>
      <c r="BA98" s="173">
        <f t="shared" si="278"/>
        <v>1.2310166972575793</v>
      </c>
      <c r="BB98" s="173">
        <f t="shared" si="205"/>
        <v>1.5293334403178265</v>
      </c>
      <c r="BC98" s="173">
        <f t="shared" si="206"/>
        <v>0.37558630078393679</v>
      </c>
      <c r="BD98" s="173"/>
      <c r="BE98" s="528">
        <f t="shared" si="207"/>
        <v>3.0308042178539173E-2</v>
      </c>
      <c r="BF98" s="528">
        <f t="shared" si="208"/>
        <v>0.580496964951978</v>
      </c>
      <c r="BG98" s="528">
        <f t="shared" si="209"/>
        <v>0.12647377188482817</v>
      </c>
      <c r="BH98" s="528">
        <f t="shared" si="210"/>
        <v>0.18721665950337041</v>
      </c>
      <c r="BI98">
        <f t="shared" si="211"/>
        <v>1.0750083153911143E-2</v>
      </c>
      <c r="BJ98" s="460">
        <f t="shared" si="279"/>
        <v>137.22385503873932</v>
      </c>
      <c r="BK98">
        <f t="shared" si="212"/>
        <v>0.81205258363403221</v>
      </c>
      <c r="BL98" s="460">
        <f t="shared" si="280"/>
        <v>812.0525836340322</v>
      </c>
      <c r="BM98" s="173">
        <f t="shared" si="213"/>
        <v>0.57776249999999996</v>
      </c>
      <c r="BN98" s="173">
        <f t="shared" si="214"/>
        <v>0.103171875</v>
      </c>
      <c r="BO98" s="528"/>
      <c r="BQ98" s="460">
        <f t="shared" si="281"/>
        <v>680.93437499999993</v>
      </c>
      <c r="BR98" s="528">
        <f t="shared" si="215"/>
        <v>4.5462063267808758E-2</v>
      </c>
      <c r="BS98" s="528">
        <f t="shared" si="216"/>
        <v>7.0165823150230774E-2</v>
      </c>
      <c r="BT98" s="528">
        <f t="shared" si="217"/>
        <v>7.0532534668280922E-4</v>
      </c>
      <c r="BU98" s="528">
        <f t="shared" si="218"/>
        <v>0.85700143858936795</v>
      </c>
      <c r="BV98" s="528">
        <f t="shared" si="219"/>
        <v>1.010660491657482</v>
      </c>
      <c r="BW98" s="625">
        <f t="shared" si="220"/>
        <v>1.3307789313052366E-2</v>
      </c>
      <c r="BX98" s="460">
        <f t="shared" si="282"/>
        <v>1023.9682809705344</v>
      </c>
      <c r="BY98" s="173">
        <f t="shared" si="283"/>
        <v>2.5169552396045667</v>
      </c>
      <c r="BZ98" s="5">
        <f t="shared" si="284"/>
        <v>16.740000000000002</v>
      </c>
      <c r="CA98" s="173">
        <f t="shared" si="285"/>
        <v>0.86929630316488959</v>
      </c>
      <c r="CB98" s="5">
        <f t="shared" si="286"/>
        <v>86.929630316488954</v>
      </c>
      <c r="CC98">
        <f t="shared" si="287"/>
        <v>93</v>
      </c>
      <c r="CE98" s="562">
        <f t="shared" si="221"/>
        <v>-50</v>
      </c>
      <c r="CF98">
        <f t="shared" si="222"/>
        <v>-50</v>
      </c>
      <c r="CG98" s="173">
        <f t="shared" si="223"/>
        <v>0.57009251312425169</v>
      </c>
      <c r="CH98" s="173">
        <f t="shared" si="224"/>
        <v>0.20152561614275555</v>
      </c>
      <c r="CI98" s="170">
        <v>93</v>
      </c>
      <c r="CJ98" s="217">
        <f t="shared" si="309"/>
        <v>0.93</v>
      </c>
      <c r="CK98" s="217">
        <f t="shared" si="288"/>
        <v>0.23250000000000001</v>
      </c>
      <c r="CL98" s="217">
        <f t="shared" si="225"/>
        <v>14.88</v>
      </c>
      <c r="CM98" s="217">
        <f t="shared" si="310"/>
        <v>1.86</v>
      </c>
      <c r="CN98" s="541">
        <f t="shared" si="289"/>
        <v>24</v>
      </c>
      <c r="CO98" s="443">
        <f t="shared" si="226"/>
        <v>16.7</v>
      </c>
      <c r="CP98" s="443">
        <f t="shared" si="227"/>
        <v>40.700000000000003</v>
      </c>
      <c r="CQ98" s="443"/>
      <c r="CR98" s="217">
        <f t="shared" si="228"/>
        <v>0.40594059405940591</v>
      </c>
      <c r="CS98" s="172">
        <f t="shared" si="290"/>
        <v>21.650165016501649</v>
      </c>
      <c r="CT98" s="172">
        <f t="shared" si="229"/>
        <v>3.0445544554455446</v>
      </c>
      <c r="CU98" s="217">
        <f t="shared" si="230"/>
        <v>1.3531353135313531</v>
      </c>
      <c r="CV98" s="217">
        <f t="shared" si="231"/>
        <v>2.7062706270627062</v>
      </c>
      <c r="CW98" s="443">
        <f t="shared" si="232"/>
        <v>16</v>
      </c>
      <c r="CX98" s="217">
        <f t="shared" si="233"/>
        <v>3.4364634146341468</v>
      </c>
      <c r="CY98" s="217">
        <f t="shared" si="234"/>
        <v>1.7182317073170732</v>
      </c>
      <c r="CZ98" s="217">
        <f t="shared" si="235"/>
        <v>2.4693150284796266</v>
      </c>
      <c r="DA98" s="197">
        <f t="shared" si="236"/>
        <v>350</v>
      </c>
      <c r="DB98" s="443">
        <f t="shared" si="291"/>
        <v>238.80330491636784</v>
      </c>
      <c r="DD98" s="217">
        <f t="shared" si="237"/>
        <v>2.344682344682345</v>
      </c>
      <c r="DE98" s="173">
        <f t="shared" si="238"/>
        <v>1.6848016848016851</v>
      </c>
      <c r="DF98" s="173">
        <f t="shared" si="239"/>
        <v>0.69130683381297664</v>
      </c>
      <c r="DG98" s="173"/>
      <c r="DH98" s="173">
        <f t="shared" si="240"/>
        <v>0.71856287425149712</v>
      </c>
      <c r="DI98" s="545">
        <f t="shared" si="241"/>
        <v>2588.5</v>
      </c>
      <c r="DJ98" s="528">
        <f t="shared" si="242"/>
        <v>0.125748502994012</v>
      </c>
      <c r="DL98" s="173">
        <f t="shared" si="243"/>
        <v>2.8233718443429607</v>
      </c>
      <c r="DM98" s="173">
        <f t="shared" si="244"/>
        <v>3.4364634146341468</v>
      </c>
      <c r="DN98" s="173">
        <f t="shared" si="245"/>
        <v>3.0047877145438129</v>
      </c>
      <c r="DP98" s="545">
        <f t="shared" si="246"/>
        <v>930</v>
      </c>
      <c r="DQ98" s="460">
        <f t="shared" si="247"/>
        <v>238.80330491636784</v>
      </c>
      <c r="DS98">
        <f t="shared" si="311"/>
        <v>930</v>
      </c>
      <c r="DT98">
        <f t="shared" si="312"/>
        <v>238.80330491636784</v>
      </c>
      <c r="DV98" s="5">
        <f t="shared" si="293"/>
        <v>4.1875467357966993</v>
      </c>
      <c r="DW98" s="5">
        <f t="shared" si="249"/>
        <v>1.7182317073170732</v>
      </c>
      <c r="DX98" s="5">
        <f t="shared" si="294"/>
        <v>2.4693150284796261</v>
      </c>
      <c r="DY98" s="173">
        <f t="shared" si="295"/>
        <v>0.41031941031941033</v>
      </c>
      <c r="EA98" s="5">
        <f t="shared" si="250"/>
        <v>9.987221798780487</v>
      </c>
      <c r="EB98" s="5">
        <f t="shared" si="251"/>
        <v>4.9936108993902435</v>
      </c>
      <c r="EC98" s="5">
        <f t="shared" si="252"/>
        <v>1.2758127647144732</v>
      </c>
      <c r="ED98" s="5"/>
      <c r="EE98" s="173">
        <f t="shared" si="296"/>
        <v>1.2709021905981008</v>
      </c>
      <c r="EF98" s="173">
        <f t="shared" si="253"/>
        <v>1.5235598299069</v>
      </c>
      <c r="EG98" s="173">
        <f t="shared" si="254"/>
        <v>0.37416836999184161</v>
      </c>
      <c r="EH98" s="173"/>
      <c r="EI98" s="528">
        <f t="shared" si="255"/>
        <v>3.2303847561341026E-2</v>
      </c>
      <c r="EJ98" s="528">
        <f t="shared" si="256"/>
        <v>0.63460000000000016</v>
      </c>
      <c r="EK98" s="528">
        <f t="shared" si="257"/>
        <v>2.7462380065382302E-2</v>
      </c>
      <c r="EL98" s="528">
        <f t="shared" si="258"/>
        <v>0.19482082863125028</v>
      </c>
      <c r="EM98">
        <f t="shared" si="259"/>
        <v>1.0800000000000001E-2</v>
      </c>
      <c r="EN98" s="460">
        <f t="shared" si="297"/>
        <v>38.262380065382303</v>
      </c>
      <c r="EO98">
        <f t="shared" si="260"/>
        <v>0.91573774324497081</v>
      </c>
      <c r="EP98" s="460">
        <f t="shared" si="298"/>
        <v>915.73774324497083</v>
      </c>
      <c r="EQ98" s="173">
        <f t="shared" si="261"/>
        <v>0.57776249999999996</v>
      </c>
      <c r="ER98" s="173">
        <f t="shared" si="262"/>
        <v>0.103171875</v>
      </c>
      <c r="ES98" s="528"/>
      <c r="EU98" s="460">
        <f t="shared" si="299"/>
        <v>680.93437499999993</v>
      </c>
      <c r="EV98" s="528">
        <f t="shared" si="263"/>
        <v>4.8455771342011539E-2</v>
      </c>
      <c r="EW98" s="528">
        <f t="shared" si="300"/>
        <v>6.9637036659178267E-2</v>
      </c>
      <c r="EX98" s="528">
        <f t="shared" si="264"/>
        <v>7.000098455117584E-4</v>
      </c>
      <c r="EY98" s="528">
        <f t="shared" si="265"/>
        <v>0.96460642051434176</v>
      </c>
      <c r="EZ98" s="528">
        <f t="shared" si="266"/>
        <v>1.1225778495240317</v>
      </c>
      <c r="FA98" s="625">
        <f t="shared" si="267"/>
        <v>1.4100476418769105E-2</v>
      </c>
      <c r="FB98" s="460">
        <f t="shared" si="301"/>
        <v>1136.6783259428009</v>
      </c>
      <c r="FC98" s="173">
        <f t="shared" si="302"/>
        <v>2.7333504441877716</v>
      </c>
      <c r="FD98" s="5">
        <f t="shared" si="303"/>
        <v>16.740000000000002</v>
      </c>
      <c r="FE98" s="173">
        <f t="shared" si="304"/>
        <v>0.85963635523215287</v>
      </c>
      <c r="FF98" s="5">
        <f t="shared" si="305"/>
        <v>85.963635523215288</v>
      </c>
      <c r="FG98">
        <f t="shared" si="306"/>
        <v>93</v>
      </c>
      <c r="FI98" s="562">
        <f t="shared" si="268"/>
        <v>-50</v>
      </c>
      <c r="FJ98">
        <f t="shared" si="269"/>
        <v>-50</v>
      </c>
      <c r="FL98">
        <f t="shared" si="270"/>
        <v>0.57009251312425169</v>
      </c>
    </row>
    <row r="99" spans="5:169">
      <c r="E99" s="170">
        <v>94</v>
      </c>
      <c r="F99" s="217">
        <f t="shared" si="307"/>
        <v>0.94</v>
      </c>
      <c r="G99" s="217">
        <f t="shared" si="271"/>
        <v>0.23499999999999999</v>
      </c>
      <c r="H99" s="217">
        <f t="shared" si="176"/>
        <v>15.04</v>
      </c>
      <c r="I99" s="217">
        <f t="shared" si="308"/>
        <v>1.88</v>
      </c>
      <c r="J99" s="541">
        <f t="shared" si="177"/>
        <v>23.887880919179153</v>
      </c>
      <c r="K99" s="443">
        <f t="shared" si="178"/>
        <v>16.749465655750249</v>
      </c>
      <c r="L99" s="172">
        <f t="shared" si="179"/>
        <v>40.637346574929403</v>
      </c>
      <c r="M99" s="443"/>
      <c r="N99" s="217">
        <f t="shared" si="180"/>
        <v>0.41216927450877366</v>
      </c>
      <c r="O99" s="172">
        <f t="shared" si="272"/>
        <v>21.879667884466773</v>
      </c>
      <c r="P99" s="172">
        <f t="shared" si="181"/>
        <v>3.0768282962531401</v>
      </c>
      <c r="Q99" s="217">
        <f t="shared" si="182"/>
        <v>1.3674792427791733</v>
      </c>
      <c r="R99" s="217">
        <f t="shared" si="183"/>
        <v>2.7349584855583466</v>
      </c>
      <c r="S99" s="443">
        <f t="shared" si="184"/>
        <v>16</v>
      </c>
      <c r="T99" s="217">
        <f t="shared" si="185"/>
        <v>3.4369808717886157</v>
      </c>
      <c r="U99" s="217">
        <f t="shared" si="186"/>
        <v>1.726556265120591</v>
      </c>
      <c r="V99" s="217">
        <f t="shared" si="187"/>
        <v>2.4623932075889252</v>
      </c>
      <c r="W99" s="197">
        <f t="shared" si="188"/>
        <v>350</v>
      </c>
      <c r="X99" s="443">
        <f t="shared" si="273"/>
        <v>227.844956114897</v>
      </c>
      <c r="Z99" s="217">
        <f t="shared" si="189"/>
        <v>2.3442501304785828</v>
      </c>
      <c r="AA99" s="173">
        <f t="shared" si="190"/>
        <v>1.6795163585463608</v>
      </c>
      <c r="AB99" s="173">
        <f t="shared" si="191"/>
        <v>0.68901112746606363</v>
      </c>
      <c r="AC99" s="173"/>
      <c r="AD99" s="173">
        <f t="shared" si="192"/>
        <v>0.71644076573154969</v>
      </c>
      <c r="AE99" s="545">
        <f t="shared" si="193"/>
        <v>2624.0829527342053</v>
      </c>
      <c r="AF99" s="528">
        <f t="shared" si="194"/>
        <v>0.1253771340030212</v>
      </c>
      <c r="AH99" s="173">
        <f t="shared" si="195"/>
        <v>2.8385106758902379</v>
      </c>
      <c r="AI99" s="173">
        <f t="shared" si="196"/>
        <v>3.4369808717886157</v>
      </c>
      <c r="AJ99" s="173">
        <f t="shared" si="197"/>
        <v>3.0051710161397152</v>
      </c>
      <c r="AL99" s="545">
        <f t="shared" si="198"/>
        <v>940</v>
      </c>
      <c r="AM99" s="460">
        <f t="shared" si="199"/>
        <v>227.844956114897</v>
      </c>
      <c r="AO99">
        <f t="shared" si="274"/>
        <v>940</v>
      </c>
      <c r="AP99">
        <f t="shared" si="200"/>
        <v>227.844956114897</v>
      </c>
      <c r="AR99" s="5">
        <f t="shared" si="275"/>
        <v>4.3889494727095162</v>
      </c>
      <c r="AS99" s="5">
        <f t="shared" si="201"/>
        <v>1.726556265120591</v>
      </c>
      <c r="AT99" s="5">
        <f t="shared" si="276"/>
        <v>2.6623932075889254</v>
      </c>
      <c r="AU99" s="173">
        <f t="shared" si="277"/>
        <v>0.39338713645630152</v>
      </c>
      <c r="AW99" s="5">
        <f t="shared" si="202"/>
        <v>10.143518057583472</v>
      </c>
      <c r="AX99" s="5">
        <f t="shared" si="203"/>
        <v>5.0717590287917362</v>
      </c>
      <c r="AY99" s="5">
        <f t="shared" si="204"/>
        <v>1.3968866325151268</v>
      </c>
      <c r="AZ99" s="5"/>
      <c r="BA99" s="173">
        <f t="shared" si="278"/>
        <v>1.2445907389819235</v>
      </c>
      <c r="BB99" s="173">
        <f t="shared" si="205"/>
        <v>1.5455116941606664</v>
      </c>
      <c r="BC99" s="173">
        <f t="shared" si="206"/>
        <v>0.37955948959534014</v>
      </c>
      <c r="BD99" s="173"/>
      <c r="BE99" s="528">
        <f t="shared" si="207"/>
        <v>3.0980122151191409E-2</v>
      </c>
      <c r="BF99" s="528">
        <f t="shared" si="208"/>
        <v>0.58077076371306391</v>
      </c>
      <c r="BG99" s="528">
        <f t="shared" si="209"/>
        <v>0.12518286313329</v>
      </c>
      <c r="BH99" s="528">
        <f t="shared" si="210"/>
        <v>0.1853089261696339</v>
      </c>
      <c r="BI99">
        <f t="shared" si="211"/>
        <v>1.0749546413630618E-2</v>
      </c>
      <c r="BJ99" s="460">
        <f t="shared" si="279"/>
        <v>135.93240954692061</v>
      </c>
      <c r="BK99">
        <f t="shared" si="212"/>
        <v>0.81139703883449787</v>
      </c>
      <c r="BL99" s="460">
        <f t="shared" si="280"/>
        <v>811.39703883449783</v>
      </c>
      <c r="BM99" s="173">
        <f t="shared" si="213"/>
        <v>0.58397499999999991</v>
      </c>
      <c r="BN99" s="173">
        <f t="shared" si="214"/>
        <v>0.10428124999999999</v>
      </c>
      <c r="BO99" s="528"/>
      <c r="BQ99" s="460">
        <f t="shared" si="281"/>
        <v>688.25624999999991</v>
      </c>
      <c r="BR99" s="528">
        <f t="shared" si="215"/>
        <v>4.6470183226787115E-2</v>
      </c>
      <c r="BS99" s="528">
        <f t="shared" si="216"/>
        <v>7.1658191903621188E-2</v>
      </c>
      <c r="BT99" s="528">
        <f t="shared" si="217"/>
        <v>7.2032703070937568E-4</v>
      </c>
      <c r="BU99" s="528">
        <f t="shared" si="218"/>
        <v>0.85804751791462219</v>
      </c>
      <c r="BV99" s="528">
        <f t="shared" si="219"/>
        <v>1.0150710992138339</v>
      </c>
      <c r="BW99" s="625">
        <f t="shared" si="220"/>
        <v>1.3457477223755987E-2</v>
      </c>
      <c r="BX99" s="460">
        <f t="shared" si="282"/>
        <v>1028.5285764375897</v>
      </c>
      <c r="BY99" s="173">
        <f t="shared" si="283"/>
        <v>2.5281818652720878</v>
      </c>
      <c r="BZ99" s="5">
        <f t="shared" si="284"/>
        <v>16.919999999999998</v>
      </c>
      <c r="CA99" s="173">
        <f t="shared" si="285"/>
        <v>0.87000420487703423</v>
      </c>
      <c r="CB99" s="5">
        <f t="shared" si="286"/>
        <v>87.000420487703423</v>
      </c>
      <c r="CC99">
        <f t="shared" si="287"/>
        <v>94</v>
      </c>
      <c r="CE99" s="562">
        <f t="shared" si="221"/>
        <v>-50</v>
      </c>
      <c r="CF99">
        <f t="shared" si="222"/>
        <v>-50</v>
      </c>
      <c r="CG99" s="173">
        <f t="shared" si="223"/>
        <v>0.57009251312425169</v>
      </c>
      <c r="CH99" s="173">
        <f t="shared" si="224"/>
        <v>0.20152561614275558</v>
      </c>
      <c r="CI99" s="170">
        <v>94</v>
      </c>
      <c r="CJ99" s="217">
        <f t="shared" si="309"/>
        <v>0.94</v>
      </c>
      <c r="CK99" s="217">
        <f t="shared" si="288"/>
        <v>0.23499999999999999</v>
      </c>
      <c r="CL99" s="217">
        <f t="shared" si="225"/>
        <v>15.04</v>
      </c>
      <c r="CM99" s="217">
        <f t="shared" si="310"/>
        <v>1.88</v>
      </c>
      <c r="CN99" s="541">
        <f t="shared" si="289"/>
        <v>24</v>
      </c>
      <c r="CO99" s="443">
        <f t="shared" si="226"/>
        <v>16.7</v>
      </c>
      <c r="CP99" s="443">
        <f t="shared" si="227"/>
        <v>40.700000000000003</v>
      </c>
      <c r="CQ99" s="443"/>
      <c r="CR99" s="217">
        <f t="shared" si="228"/>
        <v>0.40594059405940591</v>
      </c>
      <c r="CS99" s="172">
        <f t="shared" si="290"/>
        <v>21.650165016501649</v>
      </c>
      <c r="CT99" s="172">
        <f t="shared" si="229"/>
        <v>3.0445544554455446</v>
      </c>
      <c r="CU99" s="217">
        <f t="shared" si="230"/>
        <v>1.3531353135313531</v>
      </c>
      <c r="CV99" s="217">
        <f t="shared" si="231"/>
        <v>2.7062706270627062</v>
      </c>
      <c r="CW99" s="443">
        <f t="shared" si="232"/>
        <v>16</v>
      </c>
      <c r="CX99" s="217">
        <f t="shared" si="233"/>
        <v>3.4734146341463412</v>
      </c>
      <c r="CY99" s="217">
        <f t="shared" si="234"/>
        <v>1.7367073170731708</v>
      </c>
      <c r="CZ99" s="217">
        <f t="shared" si="235"/>
        <v>2.4958668029794069</v>
      </c>
      <c r="DA99" s="197">
        <f t="shared" si="236"/>
        <v>350</v>
      </c>
      <c r="DB99" s="443">
        <f t="shared" si="291"/>
        <v>236.26284422576822</v>
      </c>
      <c r="DD99" s="217">
        <f t="shared" si="237"/>
        <v>2.344682344682345</v>
      </c>
      <c r="DE99" s="173">
        <f t="shared" si="238"/>
        <v>1.6848016848016851</v>
      </c>
      <c r="DF99" s="173">
        <f t="shared" si="239"/>
        <v>0.69130683381297664</v>
      </c>
      <c r="DG99" s="173"/>
      <c r="DH99" s="173">
        <f t="shared" si="240"/>
        <v>0.71856287425149712</v>
      </c>
      <c r="DI99" s="545">
        <f t="shared" si="241"/>
        <v>2616.333333333333</v>
      </c>
      <c r="DJ99" s="528">
        <f t="shared" si="242"/>
        <v>0.125748502994012</v>
      </c>
      <c r="DL99" s="173">
        <f t="shared" si="243"/>
        <v>2.8385106758902379</v>
      </c>
      <c r="DM99" s="173">
        <f t="shared" si="244"/>
        <v>3.4734146341463412</v>
      </c>
      <c r="DN99" s="173">
        <f t="shared" si="245"/>
        <v>3.0321589882565494</v>
      </c>
      <c r="DP99" s="545">
        <f t="shared" si="246"/>
        <v>940</v>
      </c>
      <c r="DQ99" s="460">
        <f t="shared" si="247"/>
        <v>236.26284422576822</v>
      </c>
      <c r="DS99">
        <f t="shared" si="311"/>
        <v>940</v>
      </c>
      <c r="DT99">
        <f t="shared" si="312"/>
        <v>236.26284422576822</v>
      </c>
      <c r="DV99" s="5">
        <f t="shared" si="293"/>
        <v>4.2325741200525764</v>
      </c>
      <c r="DW99" s="5">
        <f t="shared" si="249"/>
        <v>1.7367073170731708</v>
      </c>
      <c r="DX99" s="5">
        <f t="shared" si="294"/>
        <v>2.4958668029794056</v>
      </c>
      <c r="DY99" s="173">
        <f t="shared" si="295"/>
        <v>0.41031941031941049</v>
      </c>
      <c r="EA99" s="5">
        <f t="shared" si="250"/>
        <v>10.203155487804878</v>
      </c>
      <c r="EB99" s="5">
        <f t="shared" si="251"/>
        <v>5.101577743902439</v>
      </c>
      <c r="EC99" s="5">
        <f t="shared" si="252"/>
        <v>1.3033971082225781</v>
      </c>
      <c r="ED99" s="5"/>
      <c r="EE99" s="173">
        <f t="shared" si="296"/>
        <v>1.2845678055507685</v>
      </c>
      <c r="EF99" s="173">
        <f t="shared" si="253"/>
        <v>1.5399421936693392</v>
      </c>
      <c r="EG99" s="173">
        <f t="shared" si="254"/>
        <v>0.37819168579820533</v>
      </c>
      <c r="EH99" s="173"/>
      <c r="EI99" s="528">
        <f t="shared" si="255"/>
        <v>3.3002288941150343E-2</v>
      </c>
      <c r="EJ99" s="528">
        <f t="shared" si="256"/>
        <v>0.63460000000000005</v>
      </c>
      <c r="EK99" s="528">
        <f t="shared" si="257"/>
        <v>2.7170227085963349E-2</v>
      </c>
      <c r="EL99" s="528">
        <f t="shared" si="258"/>
        <v>0.19274826662453487</v>
      </c>
      <c r="EM99">
        <f t="shared" si="259"/>
        <v>1.0800000000000001E-2</v>
      </c>
      <c r="EN99" s="460">
        <f t="shared" si="297"/>
        <v>37.970227085963351</v>
      </c>
      <c r="EO99">
        <f t="shared" si="260"/>
        <v>0.91440153754079578</v>
      </c>
      <c r="EP99" s="460">
        <f t="shared" si="298"/>
        <v>914.40153754079574</v>
      </c>
      <c r="EQ99" s="173">
        <f t="shared" si="261"/>
        <v>0.58397499999999991</v>
      </c>
      <c r="ER99" s="173">
        <f t="shared" si="262"/>
        <v>0.10428124999999999</v>
      </c>
      <c r="ES99" s="528"/>
      <c r="EU99" s="460">
        <f t="shared" si="299"/>
        <v>688.25624999999991</v>
      </c>
      <c r="EV99" s="528">
        <f t="shared" si="263"/>
        <v>4.9503433411725507E-2</v>
      </c>
      <c r="EW99" s="528">
        <f t="shared" si="300"/>
        <v>7.1142658795294092E-2</v>
      </c>
      <c r="EX99" s="528">
        <f t="shared" si="264"/>
        <v>7.1514475603444232E-4</v>
      </c>
      <c r="EY99" s="528">
        <f t="shared" si="265"/>
        <v>0.96460642051434098</v>
      </c>
      <c r="EZ99" s="528">
        <f t="shared" si="266"/>
        <v>1.1260268351135658</v>
      </c>
      <c r="FA99" s="625">
        <f t="shared" si="267"/>
        <v>1.4252094444777373E-2</v>
      </c>
      <c r="FB99" s="460">
        <f t="shared" si="301"/>
        <v>1140.2789295583432</v>
      </c>
      <c r="FC99" s="173">
        <f t="shared" si="302"/>
        <v>2.742936717099139</v>
      </c>
      <c r="FD99" s="5">
        <f t="shared" si="303"/>
        <v>16.919999999999998</v>
      </c>
      <c r="FE99" s="173">
        <f t="shared" si="304"/>
        <v>0.86050218456361882</v>
      </c>
      <c r="FF99" s="5">
        <f t="shared" si="305"/>
        <v>86.050218456361875</v>
      </c>
      <c r="FG99">
        <f t="shared" si="306"/>
        <v>94</v>
      </c>
      <c r="FI99" s="562">
        <f t="shared" si="268"/>
        <v>-50</v>
      </c>
      <c r="FJ99">
        <f t="shared" si="269"/>
        <v>-50</v>
      </c>
      <c r="FL99">
        <f t="shared" si="270"/>
        <v>0.57009251312425169</v>
      </c>
    </row>
    <row r="100" spans="5:169">
      <c r="E100" s="170">
        <v>95</v>
      </c>
      <c r="F100" s="217">
        <f t="shared" si="307"/>
        <v>0.95</v>
      </c>
      <c r="G100" s="217">
        <f t="shared" si="271"/>
        <v>0.23749999999999999</v>
      </c>
      <c r="H100" s="217">
        <f t="shared" si="176"/>
        <v>15.2</v>
      </c>
      <c r="I100" s="217">
        <f t="shared" si="308"/>
        <v>1.9</v>
      </c>
      <c r="J100" s="541">
        <f t="shared" si="177"/>
        <v>23.886688163000208</v>
      </c>
      <c r="K100" s="443">
        <f t="shared" si="178"/>
        <v>16.749991886130573</v>
      </c>
      <c r="L100" s="172">
        <f t="shared" si="179"/>
        <v>40.636680049130781</v>
      </c>
      <c r="M100" s="443"/>
      <c r="N100" s="217">
        <f t="shared" si="180"/>
        <v>0.41218898457943431</v>
      </c>
      <c r="O100" s="172">
        <f t="shared" si="272"/>
        <v>21.87962164193922</v>
      </c>
      <c r="P100" s="172">
        <f t="shared" si="181"/>
        <v>3.0768217933977029</v>
      </c>
      <c r="Q100" s="217">
        <f t="shared" si="182"/>
        <v>1.3674763526212013</v>
      </c>
      <c r="R100" s="217">
        <f t="shared" si="183"/>
        <v>2.7349527052424025</v>
      </c>
      <c r="S100" s="443">
        <f t="shared" si="184"/>
        <v>16</v>
      </c>
      <c r="T100" s="217">
        <f t="shared" si="185"/>
        <v>3.4735518394121558</v>
      </c>
      <c r="U100" s="217">
        <f t="shared" si="186"/>
        <v>1.7450147039433894</v>
      </c>
      <c r="V100" s="217">
        <f t="shared" si="187"/>
        <v>2.4885159560859349</v>
      </c>
      <c r="W100" s="197">
        <f t="shared" si="188"/>
        <v>350</v>
      </c>
      <c r="X100" s="443">
        <f t="shared" si="273"/>
        <v>225.55387042104852</v>
      </c>
      <c r="Z100" s="217">
        <f t="shared" si="189"/>
        <v>2.3442451759220591</v>
      </c>
      <c r="AA100" s="173">
        <f t="shared" si="190"/>
        <v>1.679460044058759</v>
      </c>
      <c r="AB100" s="173">
        <f t="shared" si="191"/>
        <v>0.68898656862675411</v>
      </c>
      <c r="AC100" s="173"/>
      <c r="AD100" s="173">
        <f t="shared" si="192"/>
        <v>0.7164182574880118</v>
      </c>
      <c r="AE100" s="545">
        <f t="shared" si="193"/>
        <v>2652.0820486373404</v>
      </c>
      <c r="AF100" s="528">
        <f t="shared" si="194"/>
        <v>0.12537319506040207</v>
      </c>
      <c r="AH100" s="173">
        <f t="shared" si="195"/>
        <v>2.8535691936340255</v>
      </c>
      <c r="AI100" s="173">
        <f t="shared" si="196"/>
        <v>3.4735518394121558</v>
      </c>
      <c r="AJ100" s="173">
        <f t="shared" si="197"/>
        <v>3.032260621786782</v>
      </c>
      <c r="AL100" s="545">
        <f t="shared" si="198"/>
        <v>950</v>
      </c>
      <c r="AM100" s="460">
        <f t="shared" si="199"/>
        <v>225.55387042104852</v>
      </c>
      <c r="AO100">
        <f t="shared" si="274"/>
        <v>950</v>
      </c>
      <c r="AP100">
        <f t="shared" si="200"/>
        <v>225.55387042104852</v>
      </c>
      <c r="AR100" s="5">
        <f t="shared" si="275"/>
        <v>4.4335306600293247</v>
      </c>
      <c r="AS100" s="5">
        <f t="shared" si="201"/>
        <v>1.7450147039433894</v>
      </c>
      <c r="AT100" s="5">
        <f t="shared" si="276"/>
        <v>2.6885159560859355</v>
      </c>
      <c r="AU100" s="173">
        <f t="shared" si="277"/>
        <v>0.39359482041607158</v>
      </c>
      <c r="AW100" s="5">
        <f t="shared" si="202"/>
        <v>10.361024804663874</v>
      </c>
      <c r="AX100" s="5">
        <f t="shared" si="203"/>
        <v>5.1805124023319369</v>
      </c>
      <c r="AY100" s="5">
        <f t="shared" si="204"/>
        <v>1.4256700305781471</v>
      </c>
      <c r="AZ100" s="5"/>
      <c r="BA100" s="173">
        <f t="shared" si="278"/>
        <v>1.2581657096214178</v>
      </c>
      <c r="BB100" s="173">
        <f t="shared" si="205"/>
        <v>1.5616892053672817</v>
      </c>
      <c r="BC100" s="173">
        <f t="shared" si="206"/>
        <v>0.38353249602402356</v>
      </c>
      <c r="BD100" s="173"/>
      <c r="BE100" s="528">
        <f t="shared" si="207"/>
        <v>3.1659619057343318E-2</v>
      </c>
      <c r="BF100" s="528">
        <f t="shared" si="208"/>
        <v>0.58103883031379178</v>
      </c>
      <c r="BG100" s="528">
        <f t="shared" si="209"/>
        <v>0.12391790423422287</v>
      </c>
      <c r="BH100" s="528">
        <f t="shared" si="210"/>
        <v>0.18343954216879529</v>
      </c>
      <c r="BI100">
        <f t="shared" si="211"/>
        <v>1.0749009673350093E-2</v>
      </c>
      <c r="BJ100" s="460">
        <f t="shared" si="279"/>
        <v>134.66691390757296</v>
      </c>
      <c r="BK100">
        <f t="shared" si="212"/>
        <v>0.81078507794253041</v>
      </c>
      <c r="BL100" s="460">
        <f t="shared" si="280"/>
        <v>810.78507794253039</v>
      </c>
      <c r="BM100" s="173">
        <f t="shared" si="213"/>
        <v>0.59018749999999986</v>
      </c>
      <c r="BN100" s="173">
        <f t="shared" si="214"/>
        <v>0.10539062499999999</v>
      </c>
      <c r="BO100" s="528"/>
      <c r="BQ100" s="460">
        <f t="shared" si="281"/>
        <v>695.57812499999977</v>
      </c>
      <c r="BR100" s="528">
        <f t="shared" si="215"/>
        <v>4.7489428586014973E-2</v>
      </c>
      <c r="BS100" s="528">
        <f t="shared" si="216"/>
        <v>7.3166195224820749E-2</v>
      </c>
      <c r="BT100" s="528">
        <f t="shared" si="217"/>
        <v>7.3548587753208825E-4</v>
      </c>
      <c r="BU100" s="528">
        <f t="shared" si="218"/>
        <v>0.85907320950873767</v>
      </c>
      <c r="BV100" s="528">
        <f t="shared" si="219"/>
        <v>1.0194988330963588</v>
      </c>
      <c r="BW100" s="625">
        <f t="shared" si="220"/>
        <v>1.3607171469300006E-2</v>
      </c>
      <c r="BX100" s="460">
        <f t="shared" si="282"/>
        <v>1033.1060045656588</v>
      </c>
      <c r="BY100" s="173">
        <f t="shared" si="283"/>
        <v>2.5394692075081893</v>
      </c>
      <c r="BZ100" s="5">
        <f t="shared" si="284"/>
        <v>17.099999999999998</v>
      </c>
      <c r="CA100" s="173">
        <f t="shared" si="285"/>
        <v>0.8706956292618464</v>
      </c>
      <c r="CB100" s="5">
        <f t="shared" si="286"/>
        <v>87.069562926184645</v>
      </c>
      <c r="CC100">
        <f t="shared" si="287"/>
        <v>95</v>
      </c>
      <c r="CE100" s="562">
        <f t="shared" si="221"/>
        <v>-50</v>
      </c>
      <c r="CF100">
        <f t="shared" si="222"/>
        <v>-50</v>
      </c>
      <c r="CG100" s="173">
        <f t="shared" si="223"/>
        <v>0.5700925131242518</v>
      </c>
      <c r="CH100" s="173">
        <f t="shared" si="224"/>
        <v>0.20152561614275558</v>
      </c>
      <c r="CI100" s="170">
        <v>95</v>
      </c>
      <c r="CJ100" s="217">
        <f t="shared" si="309"/>
        <v>0.95</v>
      </c>
      <c r="CK100" s="217">
        <f t="shared" si="288"/>
        <v>0.23749999999999999</v>
      </c>
      <c r="CL100" s="217">
        <f t="shared" si="225"/>
        <v>15.2</v>
      </c>
      <c r="CM100" s="217">
        <f t="shared" si="310"/>
        <v>1.9</v>
      </c>
      <c r="CN100" s="541">
        <f t="shared" si="289"/>
        <v>24</v>
      </c>
      <c r="CO100" s="443">
        <f t="shared" si="226"/>
        <v>16.7</v>
      </c>
      <c r="CP100" s="443">
        <f t="shared" si="227"/>
        <v>40.700000000000003</v>
      </c>
      <c r="CQ100" s="443"/>
      <c r="CR100" s="217">
        <f t="shared" si="228"/>
        <v>0.40594059405940591</v>
      </c>
      <c r="CS100" s="172">
        <f t="shared" si="290"/>
        <v>21.650165016501649</v>
      </c>
      <c r="CT100" s="172">
        <f t="shared" si="229"/>
        <v>3.0445544554455446</v>
      </c>
      <c r="CU100" s="217">
        <f t="shared" si="230"/>
        <v>1.3531353135313531</v>
      </c>
      <c r="CV100" s="217">
        <f t="shared" si="231"/>
        <v>2.7062706270627062</v>
      </c>
      <c r="CW100" s="443">
        <f t="shared" si="232"/>
        <v>16</v>
      </c>
      <c r="CX100" s="217">
        <f t="shared" si="233"/>
        <v>3.510365853658536</v>
      </c>
      <c r="CY100" s="217">
        <f t="shared" si="234"/>
        <v>1.755182926829268</v>
      </c>
      <c r="CZ100" s="217">
        <f t="shared" si="235"/>
        <v>2.5224185774791876</v>
      </c>
      <c r="DA100" s="197">
        <f t="shared" si="236"/>
        <v>350</v>
      </c>
      <c r="DB100" s="443">
        <f t="shared" si="291"/>
        <v>233.77586691812857</v>
      </c>
      <c r="DD100" s="217">
        <f t="shared" si="237"/>
        <v>2.344682344682345</v>
      </c>
      <c r="DE100" s="173">
        <f t="shared" si="238"/>
        <v>1.6848016848016851</v>
      </c>
      <c r="DF100" s="173">
        <f t="shared" si="239"/>
        <v>0.69130683381297664</v>
      </c>
      <c r="DG100" s="173"/>
      <c r="DH100" s="173">
        <f t="shared" si="240"/>
        <v>0.71856287425149712</v>
      </c>
      <c r="DI100" s="545">
        <f t="shared" si="241"/>
        <v>2644.1666666666661</v>
      </c>
      <c r="DJ100" s="528">
        <f t="shared" si="242"/>
        <v>0.125748502994012</v>
      </c>
      <c r="DL100" s="173">
        <f t="shared" si="243"/>
        <v>2.8535691936340255</v>
      </c>
      <c r="DM100" s="173">
        <f t="shared" si="244"/>
        <v>3.510365853658536</v>
      </c>
      <c r="DN100" s="173">
        <f t="shared" si="245"/>
        <v>3.0595302619692859</v>
      </c>
      <c r="DP100" s="545">
        <f t="shared" si="246"/>
        <v>950</v>
      </c>
      <c r="DQ100" s="460">
        <f t="shared" si="247"/>
        <v>233.77586691812857</v>
      </c>
      <c r="DS100">
        <f t="shared" si="311"/>
        <v>950</v>
      </c>
      <c r="DT100">
        <f t="shared" si="312"/>
        <v>233.77586691812857</v>
      </c>
      <c r="DV100" s="5">
        <f t="shared" si="293"/>
        <v>4.2776015043084552</v>
      </c>
      <c r="DW100" s="5">
        <f t="shared" si="249"/>
        <v>1.755182926829268</v>
      </c>
      <c r="DX100" s="5">
        <f t="shared" si="294"/>
        <v>2.5224185774791872</v>
      </c>
      <c r="DY100" s="173">
        <f t="shared" si="295"/>
        <v>0.41031941031941038</v>
      </c>
      <c r="EA100" s="5">
        <f t="shared" si="250"/>
        <v>10.421398628048777</v>
      </c>
      <c r="EB100" s="5">
        <f t="shared" si="251"/>
        <v>5.2106993140243887</v>
      </c>
      <c r="EC100" s="5">
        <f t="shared" si="252"/>
        <v>1.3312764714473484</v>
      </c>
      <c r="ED100" s="5"/>
      <c r="EE100" s="173">
        <f t="shared" si="296"/>
        <v>1.298233420503436</v>
      </c>
      <c r="EF100" s="173">
        <f t="shared" si="253"/>
        <v>1.556324557431779</v>
      </c>
      <c r="EG100" s="173">
        <f t="shared" si="254"/>
        <v>0.38221500160456923</v>
      </c>
      <c r="EH100" s="173"/>
      <c r="EI100" s="528">
        <f t="shared" si="255"/>
        <v>3.370820028224103E-2</v>
      </c>
      <c r="EJ100" s="528">
        <f t="shared" si="256"/>
        <v>0.63460000000000005</v>
      </c>
      <c r="EK100" s="528">
        <f t="shared" si="257"/>
        <v>2.6884224695584789E-2</v>
      </c>
      <c r="EL100" s="528">
        <f t="shared" si="258"/>
        <v>0.19071933750217138</v>
      </c>
      <c r="EM100">
        <f t="shared" si="259"/>
        <v>1.0800000000000001E-2</v>
      </c>
      <c r="EN100" s="460">
        <f t="shared" si="297"/>
        <v>37.684224695584788</v>
      </c>
      <c r="EO100">
        <f t="shared" si="260"/>
        <v>0.91312626727684398</v>
      </c>
      <c r="EP100" s="460">
        <f t="shared" si="298"/>
        <v>913.12626727684403</v>
      </c>
      <c r="EQ100" s="173">
        <f t="shared" si="261"/>
        <v>0.59018749999999986</v>
      </c>
      <c r="ER100" s="173">
        <f t="shared" si="262"/>
        <v>0.10539062499999999</v>
      </c>
      <c r="ES100" s="528"/>
      <c r="EU100" s="460">
        <f t="shared" si="299"/>
        <v>695.57812499999977</v>
      </c>
      <c r="EV100" s="528">
        <f t="shared" si="263"/>
        <v>5.0562300423361538E-2</v>
      </c>
      <c r="EW100" s="528">
        <f t="shared" si="300"/>
        <v>7.266438384195667E-2</v>
      </c>
      <c r="EX100" s="528">
        <f t="shared" si="264"/>
        <v>7.3044153725790426E-4</v>
      </c>
      <c r="EY100" s="528">
        <f t="shared" si="265"/>
        <v>0.96460642051433976</v>
      </c>
      <c r="EZ100" s="528">
        <f t="shared" si="266"/>
        <v>1.1295141628438887</v>
      </c>
      <c r="FA100" s="625">
        <f t="shared" si="267"/>
        <v>1.4403712470785639E-2</v>
      </c>
      <c r="FB100" s="460">
        <f t="shared" si="301"/>
        <v>1143.9178753146743</v>
      </c>
      <c r="FC100" s="173">
        <f t="shared" si="302"/>
        <v>2.752622267591518</v>
      </c>
      <c r="FD100" s="5">
        <f t="shared" si="303"/>
        <v>17.099999999999998</v>
      </c>
      <c r="FE100" s="173">
        <f t="shared" si="304"/>
        <v>0.86134716963385505</v>
      </c>
      <c r="FF100" s="5">
        <f t="shared" si="305"/>
        <v>86.1347169633855</v>
      </c>
      <c r="FG100">
        <f t="shared" si="306"/>
        <v>95</v>
      </c>
      <c r="FI100" s="562">
        <f t="shared" si="268"/>
        <v>-50</v>
      </c>
      <c r="FJ100">
        <f t="shared" si="269"/>
        <v>-50</v>
      </c>
      <c r="FL100">
        <f t="shared" si="270"/>
        <v>0.57009251312425169</v>
      </c>
    </row>
    <row r="101" spans="5:169">
      <c r="E101" s="170">
        <v>96</v>
      </c>
      <c r="F101" s="217">
        <f t="shared" si="307"/>
        <v>0.96</v>
      </c>
      <c r="G101" s="217">
        <f t="shared" si="271"/>
        <v>0.24</v>
      </c>
      <c r="H101" s="217">
        <f t="shared" si="176"/>
        <v>15.36</v>
      </c>
      <c r="I101" s="217">
        <f t="shared" si="308"/>
        <v>1.92</v>
      </c>
      <c r="J101" s="541">
        <f t="shared" si="177"/>
        <v>23.885495406821263</v>
      </c>
      <c r="K101" s="443">
        <f t="shared" si="178"/>
        <v>16.750518116510893</v>
      </c>
      <c r="L101" s="172">
        <f t="shared" si="179"/>
        <v>40.636013523332153</v>
      </c>
      <c r="M101" s="443"/>
      <c r="N101" s="217">
        <f t="shared" si="180"/>
        <v>0.41220869529667759</v>
      </c>
      <c r="O101" s="172">
        <f t="shared" si="272"/>
        <v>21.879575329245728</v>
      </c>
      <c r="P101" s="172">
        <f t="shared" si="181"/>
        <v>3.0768152806751807</v>
      </c>
      <c r="Q101" s="217">
        <f t="shared" si="182"/>
        <v>1.367473458077858</v>
      </c>
      <c r="R101" s="217">
        <f t="shared" si="183"/>
        <v>2.7349469161557161</v>
      </c>
      <c r="S101" s="443">
        <f t="shared" si="184"/>
        <v>16</v>
      </c>
      <c r="T101" s="217">
        <f t="shared" si="185"/>
        <v>3.5101229728779924</v>
      </c>
      <c r="U101" s="217">
        <f t="shared" si="186"/>
        <v>1.7634750695816335</v>
      </c>
      <c r="V101" s="217">
        <f t="shared" si="187"/>
        <v>2.5146371820592828</v>
      </c>
      <c r="W101" s="197">
        <f t="shared" si="188"/>
        <v>350</v>
      </c>
      <c r="X101" s="443">
        <f t="shared" si="273"/>
        <v>223.30838170337728</v>
      </c>
      <c r="Z101" s="217">
        <f t="shared" si="189"/>
        <v>2.3442402138477565</v>
      </c>
      <c r="AA101" s="173">
        <f t="shared" si="190"/>
        <v>1.6794037277237785</v>
      </c>
      <c r="AB101" s="173">
        <f>0.5*AA101*Z101*Nps*W101/1000*(Pout/Pout_total)</f>
        <v>0.68896200691778431</v>
      </c>
      <c r="AC101" s="173"/>
      <c r="AD101" s="173">
        <f t="shared" si="192"/>
        <v>0.71639575065870154</v>
      </c>
      <c r="AE101" s="545">
        <f>MAX(10, F101/(0.5*AD101/1000000*Isw_min*Nps)/1000*Pout_total/Pout)</f>
        <v>2680.0828986417428</v>
      </c>
      <c r="AF101" s="528">
        <f t="shared" si="194"/>
        <v>0.12536925636527277</v>
      </c>
      <c r="AH101" s="173">
        <f t="shared" si="195"/>
        <v>2.8685486624025449</v>
      </c>
      <c r="AI101" s="173">
        <f>MAX(IF(F101&gt;AB101,T101,AH101),Isw_min)</f>
        <v>3.5101229728779924</v>
      </c>
      <c r="AJ101" s="173">
        <f>IF(F101&gt;AF101, (AI101-Isw_min)/1.08*0.8+1.2, AE101*0.2/350+1)</f>
        <v>3.0593503502799941</v>
      </c>
      <c r="AL101" s="545">
        <f t="shared" si="198"/>
        <v>960</v>
      </c>
      <c r="AM101" s="460">
        <f t="shared" si="199"/>
        <v>223.30838170337728</v>
      </c>
      <c r="AO101">
        <f t="shared" si="274"/>
        <v>960</v>
      </c>
      <c r="AP101">
        <f t="shared" si="200"/>
        <v>223.30838170337728</v>
      </c>
      <c r="AR101" s="5">
        <f t="shared" si="275"/>
        <v>4.4781122516409155</v>
      </c>
      <c r="AS101" s="5">
        <f t="shared" si="201"/>
        <v>1.7634750695816335</v>
      </c>
      <c r="AT101" s="5">
        <f t="shared" si="276"/>
        <v>2.7146371820592821</v>
      </c>
      <c r="AU101" s="173">
        <f t="shared" si="277"/>
        <v>0.39379876396252528</v>
      </c>
      <c r="AW101" s="5">
        <f t="shared" si="202"/>
        <v>10.580850417489801</v>
      </c>
      <c r="AX101" s="5">
        <f t="shared" si="203"/>
        <v>5.2904252087449004</v>
      </c>
      <c r="AY101" s="5">
        <f t="shared" si="204"/>
        <v>1.4547471316184462</v>
      </c>
      <c r="AZ101" s="5"/>
      <c r="BA101" s="173">
        <f t="shared" si="278"/>
        <v>1.2717416027312951</v>
      </c>
      <c r="BB101" s="173">
        <f t="shared" si="205"/>
        <v>1.5778659820966148</v>
      </c>
      <c r="BC101" s="173">
        <f t="shared" si="206"/>
        <v>0.38750532207372745</v>
      </c>
      <c r="BD101" s="173"/>
      <c r="BE101" s="528">
        <f t="shared" si="207"/>
        <v>3.2346534082351261E-2</v>
      </c>
      <c r="BF101" s="528">
        <f t="shared" si="208"/>
        <v>0.5813013358239203</v>
      </c>
      <c r="BG101" s="528">
        <f t="shared" si="209"/>
        <v>0.12267812048605628</v>
      </c>
      <c r="BH101" s="528">
        <f t="shared" si="210"/>
        <v>0.1816073626276789</v>
      </c>
      <c r="BI101">
        <f t="shared" si="211"/>
        <v>1.0748472933069568E-2</v>
      </c>
      <c r="BJ101" s="460">
        <f t="shared" si="279"/>
        <v>133.42659341912585</v>
      </c>
      <c r="BK101">
        <f t="shared" si="212"/>
        <v>0.81021573937235858</v>
      </c>
      <c r="BL101" s="460">
        <f t="shared" si="280"/>
        <v>810.2157393723586</v>
      </c>
      <c r="BM101" s="173">
        <f t="shared" si="213"/>
        <v>0.59639999999999993</v>
      </c>
      <c r="BN101" s="173">
        <f t="shared" si="214"/>
        <v>0.1065</v>
      </c>
      <c r="BO101" s="528"/>
      <c r="BQ101" s="460">
        <f t="shared" si="281"/>
        <v>702.9</v>
      </c>
      <c r="BR101" s="528">
        <f t="shared" si="215"/>
        <v>4.8519801123526891E-2</v>
      </c>
      <c r="BS101" s="528">
        <f t="shared" si="216"/>
        <v>7.4689831723731434E-2</v>
      </c>
      <c r="BT101" s="528">
        <f t="shared" si="217"/>
        <v>7.5080187317731631E-4</v>
      </c>
      <c r="BU101" s="528">
        <f t="shared" si="218"/>
        <v>0.86007909981046626</v>
      </c>
      <c r="BV101" s="528">
        <f>(BU101+(BR101+BS101+BT101)*(1+Ltc*(Ta-25)))/(1-(BR101+BS101+BT101)*Ltc*ThetaCa)</f>
        <v>1.0239443255619007</v>
      </c>
      <c r="BW101" s="625">
        <f t="shared" si="220"/>
        <v>1.375687186069427E-2</v>
      </c>
      <c r="BX101" s="460">
        <f t="shared" si="282"/>
        <v>1037.701197422595</v>
      </c>
      <c r="BY101" s="173">
        <f t="shared" si="283"/>
        <v>2.5508169367949534</v>
      </c>
      <c r="BZ101" s="5">
        <f t="shared" si="284"/>
        <v>17.28</v>
      </c>
      <c r="CA101" s="173">
        <f t="shared" si="285"/>
        <v>0.87137106126666641</v>
      </c>
      <c r="CB101" s="5">
        <f t="shared" si="286"/>
        <v>87.137106126666637</v>
      </c>
      <c r="CC101">
        <f t="shared" si="287"/>
        <v>96</v>
      </c>
      <c r="CE101" s="562">
        <f t="shared" si="221"/>
        <v>-50</v>
      </c>
      <c r="CF101">
        <f t="shared" si="222"/>
        <v>-50</v>
      </c>
      <c r="CG101" s="173">
        <f t="shared" si="223"/>
        <v>0.57009251312425158</v>
      </c>
      <c r="CH101" s="173">
        <f t="shared" si="224"/>
        <v>0.20152561614275555</v>
      </c>
      <c r="CI101" s="170">
        <v>96</v>
      </c>
      <c r="CJ101" s="217">
        <f t="shared" si="309"/>
        <v>0.96</v>
      </c>
      <c r="CK101" s="217">
        <f t="shared" si="288"/>
        <v>0.24</v>
      </c>
      <c r="CL101" s="217">
        <f t="shared" si="225"/>
        <v>15.36</v>
      </c>
      <c r="CM101" s="217">
        <f t="shared" si="310"/>
        <v>1.92</v>
      </c>
      <c r="CN101" s="541">
        <f t="shared" si="289"/>
        <v>24</v>
      </c>
      <c r="CO101" s="443">
        <f t="shared" si="226"/>
        <v>16.7</v>
      </c>
      <c r="CP101" s="443">
        <f t="shared" si="227"/>
        <v>40.700000000000003</v>
      </c>
      <c r="CQ101" s="443"/>
      <c r="CR101" s="217">
        <f t="shared" si="228"/>
        <v>0.40594059405940591</v>
      </c>
      <c r="CS101" s="172">
        <f t="shared" si="290"/>
        <v>21.650165016501649</v>
      </c>
      <c r="CT101" s="172">
        <f t="shared" si="229"/>
        <v>3.0445544554455446</v>
      </c>
      <c r="CU101" s="217">
        <f t="shared" si="230"/>
        <v>1.3531353135313531</v>
      </c>
      <c r="CV101" s="217">
        <f t="shared" si="231"/>
        <v>2.7062706270627062</v>
      </c>
      <c r="CW101" s="443">
        <f t="shared" si="232"/>
        <v>16</v>
      </c>
      <c r="CX101" s="217">
        <f t="shared" si="233"/>
        <v>3.5473170731707322</v>
      </c>
      <c r="CY101" s="217">
        <f t="shared" si="234"/>
        <v>1.7736585365853661</v>
      </c>
      <c r="CZ101" s="217">
        <f t="shared" si="235"/>
        <v>2.5489703519789697</v>
      </c>
      <c r="DA101" s="197">
        <f t="shared" si="236"/>
        <v>350</v>
      </c>
      <c r="DB101" s="443">
        <f t="shared" si="291"/>
        <v>231.34070163773129</v>
      </c>
      <c r="DD101" s="217">
        <f t="shared" si="237"/>
        <v>2.344682344682345</v>
      </c>
      <c r="DE101" s="173">
        <f t="shared" si="238"/>
        <v>1.6848016848016851</v>
      </c>
      <c r="DF101" s="173">
        <f t="shared" si="239"/>
        <v>0.69130683381297664</v>
      </c>
      <c r="DG101" s="173"/>
      <c r="DH101" s="173">
        <f t="shared" si="240"/>
        <v>0.71856287425149712</v>
      </c>
      <c r="DI101" s="545">
        <f t="shared" si="241"/>
        <v>2671.9999999999995</v>
      </c>
      <c r="DJ101" s="528">
        <f t="shared" si="242"/>
        <v>0.125748502994012</v>
      </c>
      <c r="DL101" s="173">
        <f t="shared" si="243"/>
        <v>2.8685486624025449</v>
      </c>
      <c r="DM101" s="173">
        <f t="shared" si="244"/>
        <v>3.5473170731707322</v>
      </c>
      <c r="DN101" s="173">
        <f t="shared" si="245"/>
        <v>3.0869015356820242</v>
      </c>
      <c r="DP101" s="545">
        <f t="shared" si="246"/>
        <v>960</v>
      </c>
      <c r="DQ101" s="460">
        <f t="shared" si="247"/>
        <v>231.34070163773129</v>
      </c>
      <c r="DS101">
        <f t="shared" si="311"/>
        <v>960</v>
      </c>
      <c r="DT101">
        <f t="shared" si="312"/>
        <v>231.34070163773129</v>
      </c>
      <c r="DV101" s="5">
        <f t="shared" si="293"/>
        <v>4.3226288885643358</v>
      </c>
      <c r="DW101" s="5">
        <f t="shared" si="249"/>
        <v>1.7736585365853661</v>
      </c>
      <c r="DX101" s="5">
        <f t="shared" si="294"/>
        <v>2.5489703519789697</v>
      </c>
      <c r="DY101" s="173">
        <f t="shared" si="295"/>
        <v>0.41031941031941027</v>
      </c>
      <c r="EA101" s="5">
        <f t="shared" si="250"/>
        <v>10.641951219512197</v>
      </c>
      <c r="EB101" s="5">
        <f t="shared" si="251"/>
        <v>5.3209756097560987</v>
      </c>
      <c r="EC101" s="5">
        <f t="shared" si="252"/>
        <v>1.3594508543887835</v>
      </c>
      <c r="ED101" s="5"/>
      <c r="EE101" s="173">
        <f t="shared" si="296"/>
        <v>1.311899035456104</v>
      </c>
      <c r="EF101" s="173">
        <f t="shared" si="253"/>
        <v>1.5727069211942193</v>
      </c>
      <c r="EG101" s="173">
        <f t="shared" si="254"/>
        <v>0.38623831741093323</v>
      </c>
      <c r="EH101" s="173"/>
      <c r="EI101" s="528">
        <f t="shared" si="255"/>
        <v>3.4421581584613122E-2</v>
      </c>
      <c r="EJ101" s="528">
        <f t="shared" si="256"/>
        <v>0.63459999999999994</v>
      </c>
      <c r="EK101" s="528">
        <f t="shared" si="257"/>
        <v>2.6604180688339099E-2</v>
      </c>
      <c r="EL101" s="528">
        <f t="shared" si="258"/>
        <v>0.18873267773652364</v>
      </c>
      <c r="EM101">
        <f t="shared" si="259"/>
        <v>1.0800000000000001E-2</v>
      </c>
      <c r="EN101" s="460">
        <f t="shared" si="297"/>
        <v>37.404180688339103</v>
      </c>
      <c r="EO101">
        <f t="shared" si="260"/>
        <v>0.91191038795863466</v>
      </c>
      <c r="EP101" s="460">
        <f t="shared" si="298"/>
        <v>911.91038795863471</v>
      </c>
      <c r="EQ101" s="173">
        <f t="shared" si="261"/>
        <v>0.59639999999999993</v>
      </c>
      <c r="ER101" s="173">
        <f t="shared" si="262"/>
        <v>0.1065</v>
      </c>
      <c r="ES101" s="528"/>
      <c r="EU101" s="460">
        <f t="shared" si="299"/>
        <v>702.9</v>
      </c>
      <c r="EV101" s="528">
        <f t="shared" si="263"/>
        <v>5.1632372376919679E-2</v>
      </c>
      <c r="EW101" s="528">
        <f t="shared" si="300"/>
        <v>7.4202211799166015E-2</v>
      </c>
      <c r="EX101" s="528">
        <f t="shared" si="264"/>
        <v>7.4590018918214399E-4</v>
      </c>
      <c r="EY101" s="528">
        <f t="shared" si="265"/>
        <v>0.96460642051434153</v>
      </c>
      <c r="EZ101" s="528">
        <f t="shared" si="266"/>
        <v>1.1330398800732608</v>
      </c>
      <c r="FA101" s="625">
        <f t="shared" si="267"/>
        <v>1.4555330496793912E-2</v>
      </c>
      <c r="FB101" s="460">
        <f t="shared" si="301"/>
        <v>1147.5952105700546</v>
      </c>
      <c r="FC101" s="173">
        <f t="shared" si="302"/>
        <v>2.7624055985286895</v>
      </c>
      <c r="FD101" s="5">
        <f t="shared" si="303"/>
        <v>17.28</v>
      </c>
      <c r="FE101" s="173">
        <f t="shared" si="304"/>
        <v>0.86217195411256031</v>
      </c>
      <c r="FF101" s="5">
        <f t="shared" si="305"/>
        <v>86.217195411256029</v>
      </c>
      <c r="FG101">
        <f t="shared" si="306"/>
        <v>96</v>
      </c>
      <c r="FI101" s="562">
        <f t="shared" si="268"/>
        <v>-50</v>
      </c>
      <c r="FJ101">
        <f t="shared" si="269"/>
        <v>-50</v>
      </c>
      <c r="FL101">
        <f t="shared" si="270"/>
        <v>0.57009251312425158</v>
      </c>
    </row>
    <row r="102" spans="5:169">
      <c r="E102" s="170">
        <v>97</v>
      </c>
      <c r="F102" s="217">
        <f t="shared" si="307"/>
        <v>0.97</v>
      </c>
      <c r="G102" s="217">
        <f t="shared" si="271"/>
        <v>0.24249999999999999</v>
      </c>
      <c r="H102" s="217">
        <f t="shared" si="176"/>
        <v>15.52</v>
      </c>
      <c r="I102" s="217">
        <f t="shared" si="308"/>
        <v>1.94</v>
      </c>
      <c r="J102" s="541">
        <f t="shared" si="177"/>
        <v>23.884302650642319</v>
      </c>
      <c r="K102" s="443">
        <f t="shared" si="178"/>
        <v>16.751044346891216</v>
      </c>
      <c r="L102" s="172">
        <f t="shared" si="179"/>
        <v>40.635346997533532</v>
      </c>
      <c r="M102" s="443"/>
      <c r="N102" s="217">
        <f t="shared" si="180"/>
        <v>0.41222840666053534</v>
      </c>
      <c r="O102" s="172">
        <f>N102*J102*Isw_max*0.5*Efficiency*Pout/(Pout+Pout2)</f>
        <v>21.879528946382852</v>
      </c>
      <c r="P102" s="172">
        <f t="shared" si="181"/>
        <v>3.0768087580850887</v>
      </c>
      <c r="Q102" s="217">
        <f t="shared" si="182"/>
        <v>1.3674705591489282</v>
      </c>
      <c r="R102" s="217">
        <f t="shared" si="183"/>
        <v>2.7349411182978565</v>
      </c>
      <c r="S102" s="443">
        <f t="shared" si="184"/>
        <v>16</v>
      </c>
      <c r="T102" s="217">
        <f t="shared" si="185"/>
        <v>3.5466942725395794</v>
      </c>
      <c r="U102" s="217">
        <f t="shared" si="186"/>
        <v>1.7819373625015751</v>
      </c>
      <c r="V102" s="217">
        <f t="shared" si="187"/>
        <v>2.5407568859056608</v>
      </c>
      <c r="W102" s="197">
        <f t="shared" si="188"/>
        <v>350</v>
      </c>
      <c r="X102" s="443">
        <f t="shared" si="273"/>
        <v>221.10714213152292</v>
      </c>
      <c r="Z102" s="217">
        <f t="shared" si="189"/>
        <v>2.3442352442553056</v>
      </c>
      <c r="AA102" s="173">
        <f t="shared" si="190"/>
        <v>1.6793474095413279</v>
      </c>
      <c r="AB102" s="173">
        <f>0.5*AA102*Z102*Nps*W102/1000*(Pout/Pout_total)</f>
        <v>0.68893744233923515</v>
      </c>
      <c r="AC102" s="173"/>
      <c r="AD102" s="173">
        <f t="shared" si="192"/>
        <v>0.71637324524348533</v>
      </c>
      <c r="AE102" s="545">
        <f>MAX(10, F102/(0.5*AD102/1000000*Isw_min*Nps)/1000*Pout_total/Pout)</f>
        <v>2708.0855027474131</v>
      </c>
      <c r="AF102" s="528">
        <f t="shared" si="194"/>
        <v>0.12536531791760994</v>
      </c>
      <c r="AH102" s="173">
        <f t="shared" si="195"/>
        <v>2.8834503141697647</v>
      </c>
      <c r="AI102" s="173">
        <f>MAX(IF(F102&gt;AB102,T102,AH102),Isw_min)</f>
        <v>3.5466942725395794</v>
      </c>
      <c r="AJ102" s="173">
        <f>IF(F102&gt;AF102, (AI102-Isw_min)/1.08*0.8+1.2, AE102*0.2/350+1)</f>
        <v>3.0864402018811701</v>
      </c>
      <c r="AL102" s="545">
        <f t="shared" si="198"/>
        <v>970</v>
      </c>
      <c r="AM102" s="460">
        <f t="shared" si="199"/>
        <v>221.10714213152292</v>
      </c>
      <c r="AO102">
        <f t="shared" si="274"/>
        <v>970</v>
      </c>
      <c r="AP102">
        <f t="shared" si="200"/>
        <v>221.10714213152292</v>
      </c>
      <c r="AR102" s="5">
        <f t="shared" si="275"/>
        <v>4.5226942484072366</v>
      </c>
      <c r="AS102" s="5">
        <f t="shared" si="201"/>
        <v>1.7819373625015751</v>
      </c>
      <c r="AT102" s="5">
        <f t="shared" si="276"/>
        <v>2.7407568859056615</v>
      </c>
      <c r="AU102" s="173">
        <f t="shared" si="277"/>
        <v>0.39399907768010684</v>
      </c>
      <c r="AW102" s="5">
        <f t="shared" si="202"/>
        <v>10.802995260165797</v>
      </c>
      <c r="AX102" s="5">
        <f t="shared" si="203"/>
        <v>5.4014976300828987</v>
      </c>
      <c r="AY102" s="5">
        <f t="shared" si="204"/>
        <v>1.4841179543541443</v>
      </c>
      <c r="AZ102" s="5"/>
      <c r="BA102" s="173">
        <f t="shared" si="278"/>
        <v>1.2853184121285228</v>
      </c>
      <c r="BB102" s="173">
        <f t="shared" si="205"/>
        <v>1.594042032193139</v>
      </c>
      <c r="BC102" s="173">
        <f t="shared" si="206"/>
        <v>0.39147796967096204</v>
      </c>
      <c r="BD102" s="173"/>
      <c r="BE102" s="528">
        <f t="shared" si="207"/>
        <v>3.3040868411131748E-2</v>
      </c>
      <c r="BF102" s="528">
        <f t="shared" si="208"/>
        <v>0.58155844457086137</v>
      </c>
      <c r="BG102" s="528">
        <f t="shared" si="209"/>
        <v>0.12146276772042126</v>
      </c>
      <c r="BH102" s="528">
        <f t="shared" si="210"/>
        <v>0.17981128779583122</v>
      </c>
      <c r="BI102">
        <f t="shared" si="211"/>
        <v>1.0747936192789043E-2</v>
      </c>
      <c r="BJ102" s="460">
        <f t="shared" si="279"/>
        <v>132.2107039132103</v>
      </c>
      <c r="BK102">
        <f t="shared" si="212"/>
        <v>0.80968810004595004</v>
      </c>
      <c r="BL102" s="460">
        <f t="shared" si="280"/>
        <v>809.68810004595002</v>
      </c>
      <c r="BM102" s="173">
        <f t="shared" si="213"/>
        <v>0.60261249999999988</v>
      </c>
      <c r="BN102" s="173">
        <f t="shared" si="214"/>
        <v>0.10760937499999999</v>
      </c>
      <c r="BO102" s="528"/>
      <c r="BQ102" s="460">
        <f t="shared" si="281"/>
        <v>710.22187499999984</v>
      </c>
      <c r="BR102" s="528">
        <f t="shared" si="215"/>
        <v>4.9561302616697618E-2</v>
      </c>
      <c r="BS102" s="528">
        <f t="shared" si="216"/>
        <v>7.6229100011952974E-2</v>
      </c>
      <c r="BT102" s="528">
        <f t="shared" si="217"/>
        <v>7.6627500368849338E-4</v>
      </c>
      <c r="BU102" s="528">
        <f t="shared" si="218"/>
        <v>0.86106575299645383</v>
      </c>
      <c r="BV102" s="528">
        <f>(BU102+(BR102+BS102+BT102)*(1+Ltc*(Ta-25)))/(1-(BR102+BS102+BT102)*Ltc*ThetaCa)</f>
        <v>1.0284081871336368</v>
      </c>
      <c r="BW102" s="625">
        <f t="shared" si="220"/>
        <v>1.3906578216397267E-2</v>
      </c>
      <c r="BX102" s="460">
        <f t="shared" si="282"/>
        <v>1042.3147653500339</v>
      </c>
      <c r="BY102" s="173">
        <f t="shared" si="283"/>
        <v>2.5622247403959841</v>
      </c>
      <c r="BZ102" s="5">
        <f t="shared" si="284"/>
        <v>17.46</v>
      </c>
      <c r="CA102" s="173">
        <f t="shared" si="285"/>
        <v>0.87203096690716153</v>
      </c>
      <c r="CB102" s="5">
        <f t="shared" si="286"/>
        <v>87.203096690716151</v>
      </c>
      <c r="CC102">
        <f t="shared" si="287"/>
        <v>97</v>
      </c>
      <c r="CE102" s="562">
        <f t="shared" si="221"/>
        <v>-50</v>
      </c>
      <c r="CF102">
        <f t="shared" si="222"/>
        <v>-50</v>
      </c>
      <c r="CG102" s="173">
        <f t="shared" si="223"/>
        <v>0.57009251312425169</v>
      </c>
      <c r="CH102" s="173">
        <f t="shared" si="224"/>
        <v>0.20152561614275555</v>
      </c>
      <c r="CI102" s="170">
        <v>97</v>
      </c>
      <c r="CJ102" s="217">
        <f t="shared" si="309"/>
        <v>0.97</v>
      </c>
      <c r="CK102" s="217">
        <f t="shared" si="288"/>
        <v>0.24249999999999999</v>
      </c>
      <c r="CL102" s="217">
        <f t="shared" si="225"/>
        <v>15.52</v>
      </c>
      <c r="CM102" s="217">
        <f t="shared" si="310"/>
        <v>1.94</v>
      </c>
      <c r="CN102" s="541">
        <f t="shared" si="289"/>
        <v>24</v>
      </c>
      <c r="CO102" s="443">
        <f t="shared" si="226"/>
        <v>16.7</v>
      </c>
      <c r="CP102" s="443">
        <f t="shared" si="227"/>
        <v>40.700000000000003</v>
      </c>
      <c r="CQ102" s="443"/>
      <c r="CR102" s="217">
        <f t="shared" si="228"/>
        <v>0.40594059405940591</v>
      </c>
      <c r="CS102" s="172">
        <f t="shared" si="290"/>
        <v>21.650165016501649</v>
      </c>
      <c r="CT102" s="172">
        <f t="shared" si="229"/>
        <v>3.0445544554455446</v>
      </c>
      <c r="CU102" s="217">
        <f t="shared" si="230"/>
        <v>1.3531353135313531</v>
      </c>
      <c r="CV102" s="217">
        <f t="shared" si="231"/>
        <v>2.7062706270627062</v>
      </c>
      <c r="CW102" s="443">
        <f t="shared" si="232"/>
        <v>16</v>
      </c>
      <c r="CX102" s="217">
        <f t="shared" si="233"/>
        <v>3.584268292682927</v>
      </c>
      <c r="CY102" s="217">
        <f t="shared" si="234"/>
        <v>1.7921341463414635</v>
      </c>
      <c r="CZ102" s="217">
        <f t="shared" si="235"/>
        <v>2.57552212647875</v>
      </c>
      <c r="DA102" s="197">
        <f t="shared" si="236"/>
        <v>350</v>
      </c>
      <c r="DB102" s="443">
        <f t="shared" si="291"/>
        <v>228.95574595074439</v>
      </c>
      <c r="DD102" s="217">
        <f t="shared" si="237"/>
        <v>2.344682344682345</v>
      </c>
      <c r="DE102" s="173">
        <f t="shared" si="238"/>
        <v>1.6848016848016851</v>
      </c>
      <c r="DF102" s="173">
        <f t="shared" si="239"/>
        <v>0.69130683381297664</v>
      </c>
      <c r="DG102" s="173"/>
      <c r="DH102" s="173">
        <f t="shared" si="240"/>
        <v>0.71856287425149712</v>
      </c>
      <c r="DI102" s="545">
        <f t="shared" si="241"/>
        <v>2699.833333333333</v>
      </c>
      <c r="DJ102" s="528">
        <f t="shared" si="242"/>
        <v>0.125748502994012</v>
      </c>
      <c r="DL102" s="173">
        <f t="shared" si="243"/>
        <v>2.8834503141697647</v>
      </c>
      <c r="DM102" s="173">
        <f t="shared" si="244"/>
        <v>3.584268292682927</v>
      </c>
      <c r="DN102" s="173">
        <f t="shared" si="245"/>
        <v>3.1142728093947607</v>
      </c>
      <c r="DP102" s="545">
        <f t="shared" si="246"/>
        <v>970</v>
      </c>
      <c r="DQ102" s="460">
        <f t="shared" si="247"/>
        <v>228.95574595074439</v>
      </c>
      <c r="DS102">
        <f t="shared" si="311"/>
        <v>970</v>
      </c>
      <c r="DT102">
        <f t="shared" si="312"/>
        <v>228.95574595074439</v>
      </c>
      <c r="DV102" s="5">
        <f t="shared" si="293"/>
        <v>4.3676562728202137</v>
      </c>
      <c r="DW102" s="5">
        <f t="shared" si="249"/>
        <v>1.7921341463414635</v>
      </c>
      <c r="DX102" s="5">
        <f t="shared" si="294"/>
        <v>2.5755221264787505</v>
      </c>
      <c r="DY102" s="173">
        <f t="shared" si="295"/>
        <v>0.41031941031941027</v>
      </c>
      <c r="EA102" s="5">
        <f t="shared" si="250"/>
        <v>10.864813262195122</v>
      </c>
      <c r="EB102" s="5">
        <f t="shared" si="251"/>
        <v>5.4324066310975612</v>
      </c>
      <c r="EC102" s="5">
        <f t="shared" si="252"/>
        <v>1.3879202570468818</v>
      </c>
      <c r="ED102" s="5"/>
      <c r="EE102" s="173">
        <f t="shared" si="296"/>
        <v>1.3255646504087717</v>
      </c>
      <c r="EF102" s="173">
        <f t="shared" si="253"/>
        <v>1.5890892849566589</v>
      </c>
      <c r="EG102" s="173">
        <f t="shared" si="254"/>
        <v>0.39026163321729712</v>
      </c>
      <c r="EH102" s="173"/>
      <c r="EI102" s="528">
        <f t="shared" si="255"/>
        <v>3.5142432848266583E-2</v>
      </c>
      <c r="EJ102" s="528">
        <f t="shared" si="256"/>
        <v>0.63460000000000005</v>
      </c>
      <c r="EK102" s="528">
        <f t="shared" si="257"/>
        <v>2.6329910784335605E-2</v>
      </c>
      <c r="EL102" s="528">
        <f t="shared" si="258"/>
        <v>0.18678698002789973</v>
      </c>
      <c r="EM102">
        <f t="shared" si="259"/>
        <v>1.0800000000000001E-2</v>
      </c>
      <c r="EN102" s="460">
        <f t="shared" si="297"/>
        <v>37.129910784335607</v>
      </c>
      <c r="EO102">
        <f t="shared" si="260"/>
        <v>0.91075241937317208</v>
      </c>
      <c r="EP102" s="460">
        <f t="shared" si="298"/>
        <v>910.75241937317207</v>
      </c>
      <c r="EQ102" s="173">
        <f t="shared" si="261"/>
        <v>0.60261249999999988</v>
      </c>
      <c r="ER102" s="173">
        <f t="shared" si="262"/>
        <v>0.10760937499999999</v>
      </c>
      <c r="ES102" s="528"/>
      <c r="EU102" s="460">
        <f t="shared" si="299"/>
        <v>710.22187499999984</v>
      </c>
      <c r="EV102" s="528">
        <f t="shared" si="263"/>
        <v>5.2713649272399875E-2</v>
      </c>
      <c r="EW102" s="528">
        <f t="shared" si="300"/>
        <v>7.5756142666921961E-2</v>
      </c>
      <c r="EX102" s="528">
        <f t="shared" si="264"/>
        <v>7.6152071180716075E-4</v>
      </c>
      <c r="EY102" s="528">
        <f t="shared" si="265"/>
        <v>0.96460642051434042</v>
      </c>
      <c r="EZ102" s="528">
        <f t="shared" si="266"/>
        <v>1.136604034711366</v>
      </c>
      <c r="FA102" s="625">
        <f t="shared" si="267"/>
        <v>1.4706948522802184E-2</v>
      </c>
      <c r="FB102" s="460">
        <f t="shared" si="301"/>
        <v>1151.3109832341681</v>
      </c>
      <c r="FC102" s="173">
        <f t="shared" si="302"/>
        <v>2.7722852776073399</v>
      </c>
      <c r="FD102" s="5">
        <f t="shared" si="303"/>
        <v>17.46</v>
      </c>
      <c r="FE102" s="173">
        <f t="shared" si="304"/>
        <v>0.86297715559222343</v>
      </c>
      <c r="FF102" s="5">
        <f t="shared" si="305"/>
        <v>86.29771555922234</v>
      </c>
      <c r="FG102">
        <f t="shared" si="306"/>
        <v>97</v>
      </c>
      <c r="FI102" s="562">
        <f t="shared" si="268"/>
        <v>-50</v>
      </c>
      <c r="FJ102">
        <f t="shared" si="269"/>
        <v>-50</v>
      </c>
      <c r="FL102">
        <f t="shared" si="270"/>
        <v>0.57009251312425169</v>
      </c>
    </row>
    <row r="103" spans="5:169">
      <c r="E103" s="170">
        <v>98</v>
      </c>
      <c r="F103" s="217">
        <f t="shared" si="307"/>
        <v>0.98</v>
      </c>
      <c r="G103" s="217">
        <f t="shared" si="271"/>
        <v>0.245</v>
      </c>
      <c r="H103" s="217">
        <f t="shared" si="176"/>
        <v>15.68</v>
      </c>
      <c r="I103" s="217">
        <f t="shared" si="308"/>
        <v>1.96</v>
      </c>
      <c r="J103" s="541">
        <f t="shared" si="177"/>
        <v>23.883109894463374</v>
      </c>
      <c r="K103" s="443">
        <f t="shared" si="178"/>
        <v>16.751570577271536</v>
      </c>
      <c r="L103" s="172">
        <f t="shared" si="179"/>
        <v>40.63468047173491</v>
      </c>
      <c r="M103" s="443"/>
      <c r="N103" s="217">
        <f t="shared" si="180"/>
        <v>0.41224811867103928</v>
      </c>
      <c r="O103" s="172">
        <f>N103*J103*Isw_max*0.5*Efficiency*Pout/(Pout+Pout2)</f>
        <v>21.879482493347133</v>
      </c>
      <c r="P103" s="172">
        <f t="shared" si="181"/>
        <v>3.0768022256269405</v>
      </c>
      <c r="Q103" s="217">
        <f t="shared" si="182"/>
        <v>1.3674676558341958</v>
      </c>
      <c r="R103" s="217">
        <f t="shared" si="183"/>
        <v>2.7349353116683917</v>
      </c>
      <c r="S103" s="443">
        <f t="shared" si="184"/>
        <v>16</v>
      </c>
      <c r="T103" s="217">
        <f t="shared" si="185"/>
        <v>3.5832657387504021</v>
      </c>
      <c r="U103" s="217">
        <f t="shared" si="186"/>
        <v>1.8004015831695761</v>
      </c>
      <c r="V103" s="217">
        <f t="shared" si="187"/>
        <v>2.5668750680217385</v>
      </c>
      <c r="W103" s="197">
        <f t="shared" si="188"/>
        <v>350</v>
      </c>
      <c r="X103" s="443">
        <f t="shared" si="273"/>
        <v>218.94885647865516</v>
      </c>
      <c r="Z103" s="217">
        <f t="shared" si="189"/>
        <v>2.3442302671443356</v>
      </c>
      <c r="AA103" s="173">
        <f t="shared" si="190"/>
        <v>1.6792910895113162</v>
      </c>
      <c r="AB103" s="173">
        <f>0.5*AA103*Z103*Nps*W103/1000*(Pout/Pout_total)</f>
        <v>0.68891287489118769</v>
      </c>
      <c r="AC103" s="173"/>
      <c r="AD103" s="173">
        <f t="shared" si="192"/>
        <v>0.7163507412422303</v>
      </c>
      <c r="AE103" s="545">
        <f>MAX(10, F103/(0.5*AD103/1000000*Isw_min*Nps)/1000*Pout_total/Pout)</f>
        <v>2736.0898609543506</v>
      </c>
      <c r="AF103" s="528">
        <f t="shared" si="194"/>
        <v>0.12536137971739031</v>
      </c>
      <c r="AH103" s="173">
        <f t="shared" si="195"/>
        <v>2.8982753492378879</v>
      </c>
      <c r="AI103" s="173">
        <f>MAX(IF(F103&gt;AB103,T103,AH103),Isw_min)</f>
        <v>3.5832657387504021</v>
      </c>
      <c r="AJ103" s="173">
        <f>IF(F103&gt;AF103, (AI103-Isw_min)/1.08*0.8+1.2, AE103*0.2/350+1)</f>
        <v>3.1135301768521497</v>
      </c>
      <c r="AL103" s="545">
        <f t="shared" si="198"/>
        <v>980</v>
      </c>
      <c r="AM103" s="460">
        <f t="shared" si="199"/>
        <v>218.94885647865516</v>
      </c>
      <c r="AO103">
        <f t="shared" si="274"/>
        <v>980</v>
      </c>
      <c r="AP103">
        <f t="shared" si="200"/>
        <v>218.94885647865516</v>
      </c>
      <c r="AR103" s="5">
        <f t="shared" si="275"/>
        <v>4.5672766511913148</v>
      </c>
      <c r="AS103" s="5">
        <f t="shared" si="201"/>
        <v>1.8004015831695761</v>
      </c>
      <c r="AT103" s="5">
        <f t="shared" si="276"/>
        <v>2.7668750680217387</v>
      </c>
      <c r="AU103" s="173">
        <f t="shared" si="277"/>
        <v>0.39419586783733906</v>
      </c>
      <c r="AW103" s="5">
        <f t="shared" si="202"/>
        <v>11.027459696913654</v>
      </c>
      <c r="AX103" s="5">
        <f t="shared" si="203"/>
        <v>5.5137298484568271</v>
      </c>
      <c r="AY103" s="5">
        <f t="shared" si="204"/>
        <v>1.5137825175159438</v>
      </c>
      <c r="AZ103" s="5"/>
      <c r="BA103" s="173">
        <f t="shared" si="278"/>
        <v>1.2988961318789374</v>
      </c>
      <c r="BB103" s="173">
        <f t="shared" si="205"/>
        <v>1.6102173632020687</v>
      </c>
      <c r="BC103" s="173">
        <f t="shared" si="206"/>
        <v>0.3954504406687433</v>
      </c>
      <c r="BD103" s="173"/>
      <c r="BE103" s="528">
        <f t="shared" si="207"/>
        <v>3.3742623228201318E-2</v>
      </c>
      <c r="BF103" s="528">
        <f t="shared" si="208"/>
        <v>0.58181031446860554</v>
      </c>
      <c r="BG103" s="528">
        <f t="shared" si="209"/>
        <v>0.12027113081257665</v>
      </c>
      <c r="BH103" s="528">
        <f t="shared" si="210"/>
        <v>0.17805026084419109</v>
      </c>
      <c r="BI103">
        <f t="shared" si="211"/>
        <v>1.0747399452508518E-2</v>
      </c>
      <c r="BJ103" s="460">
        <f t="shared" si="279"/>
        <v>131.01853026508516</v>
      </c>
      <c r="BK103">
        <f t="shared" si="212"/>
        <v>0.80920127352092797</v>
      </c>
      <c r="BL103" s="460">
        <f t="shared" si="280"/>
        <v>809.201273520928</v>
      </c>
      <c r="BM103" s="173">
        <f t="shared" si="213"/>
        <v>0.60882499999999995</v>
      </c>
      <c r="BN103" s="173">
        <f t="shared" si="214"/>
        <v>0.10871874999999999</v>
      </c>
      <c r="BO103" s="528"/>
      <c r="BQ103" s="460">
        <f t="shared" si="281"/>
        <v>717.54374999999993</v>
      </c>
      <c r="BR103" s="528">
        <f t="shared" si="215"/>
        <v>5.0613934842301977E-2</v>
      </c>
      <c r="BS103" s="528">
        <f t="shared" si="216"/>
        <v>7.7783998702722665E-2</v>
      </c>
      <c r="BT103" s="528">
        <f t="shared" si="217"/>
        <v>7.8190525512551636E-4</v>
      </c>
      <c r="BU103" s="528">
        <f t="shared" si="218"/>
        <v>0.86203371202648227</v>
      </c>
      <c r="BV103" s="528">
        <f>(BU103+(BR103+BS103+BT103)*(1+Ltc*(Ta-25)))/(1-(BR103+BS103+BT103)*Ltc*ThetaCa)</f>
        <v>1.0328910076479556</v>
      </c>
      <c r="BW103" s="625">
        <f t="shared" si="220"/>
        <v>1.4056290361952753E-2</v>
      </c>
      <c r="BX103" s="460">
        <f t="shared" si="282"/>
        <v>1046.9472980099083</v>
      </c>
      <c r="BY103" s="173">
        <f t="shared" si="283"/>
        <v>2.5736923215308365</v>
      </c>
      <c r="BZ103" s="5">
        <f t="shared" si="284"/>
        <v>17.64</v>
      </c>
      <c r="CA103" s="173">
        <f t="shared" si="285"/>
        <v>0.8726757941798966</v>
      </c>
      <c r="CB103" s="5">
        <f t="shared" si="286"/>
        <v>87.267579417989666</v>
      </c>
      <c r="CC103">
        <f t="shared" si="287"/>
        <v>98</v>
      </c>
      <c r="CE103" s="562">
        <f t="shared" si="221"/>
        <v>-50</v>
      </c>
      <c r="CF103">
        <f t="shared" si="222"/>
        <v>-50</v>
      </c>
      <c r="CG103" s="173">
        <f t="shared" si="223"/>
        <v>0.57009251312425158</v>
      </c>
      <c r="CH103" s="173">
        <f t="shared" si="224"/>
        <v>0.20152561614275555</v>
      </c>
      <c r="CI103" s="170">
        <v>98</v>
      </c>
      <c r="CJ103" s="217">
        <f t="shared" si="309"/>
        <v>0.98</v>
      </c>
      <c r="CK103" s="217">
        <f t="shared" si="288"/>
        <v>0.245</v>
      </c>
      <c r="CL103" s="217">
        <f t="shared" si="225"/>
        <v>15.68</v>
      </c>
      <c r="CM103" s="217">
        <f t="shared" si="310"/>
        <v>1.96</v>
      </c>
      <c r="CN103" s="541">
        <f t="shared" si="289"/>
        <v>24</v>
      </c>
      <c r="CO103" s="443">
        <f t="shared" si="226"/>
        <v>16.7</v>
      </c>
      <c r="CP103" s="443">
        <f t="shared" si="227"/>
        <v>40.700000000000003</v>
      </c>
      <c r="CQ103" s="443"/>
      <c r="CR103" s="217">
        <f t="shared" si="228"/>
        <v>0.40594059405940591</v>
      </c>
      <c r="CS103" s="172">
        <f t="shared" si="290"/>
        <v>21.650165016501649</v>
      </c>
      <c r="CT103" s="172">
        <f t="shared" si="229"/>
        <v>3.0445544554455446</v>
      </c>
      <c r="CU103" s="217">
        <f t="shared" si="230"/>
        <v>1.3531353135313531</v>
      </c>
      <c r="CV103" s="217">
        <f t="shared" si="231"/>
        <v>2.7062706270627062</v>
      </c>
      <c r="CW103" s="443">
        <f t="shared" si="232"/>
        <v>16</v>
      </c>
      <c r="CX103" s="217">
        <f t="shared" si="233"/>
        <v>3.6212195121951223</v>
      </c>
      <c r="CY103" s="217">
        <f t="shared" si="234"/>
        <v>1.8106097560975614</v>
      </c>
      <c r="CZ103" s="217">
        <f t="shared" si="235"/>
        <v>2.6020739009785312</v>
      </c>
      <c r="DA103" s="197">
        <f t="shared" si="236"/>
        <v>350</v>
      </c>
      <c r="DB103" s="443">
        <f t="shared" si="291"/>
        <v>226.61946282879799</v>
      </c>
      <c r="DD103" s="217">
        <f t="shared" si="237"/>
        <v>2.344682344682345</v>
      </c>
      <c r="DE103" s="173">
        <f t="shared" si="238"/>
        <v>1.6848016848016851</v>
      </c>
      <c r="DF103" s="173">
        <f t="shared" si="239"/>
        <v>0.69130683381297664</v>
      </c>
      <c r="DG103" s="173"/>
      <c r="DH103" s="173">
        <f t="shared" si="240"/>
        <v>0.71856287425149712</v>
      </c>
      <c r="DI103" s="545">
        <f t="shared" si="241"/>
        <v>2727.6666666666661</v>
      </c>
      <c r="DJ103" s="528">
        <f t="shared" si="242"/>
        <v>0.125748502994012</v>
      </c>
      <c r="DL103" s="173">
        <f t="shared" si="243"/>
        <v>2.8982753492378879</v>
      </c>
      <c r="DM103" s="173">
        <f t="shared" si="244"/>
        <v>3.6212195121951223</v>
      </c>
      <c r="DN103" s="173">
        <f t="shared" si="245"/>
        <v>3.1416440831074981</v>
      </c>
      <c r="DP103" s="545">
        <f t="shared" si="246"/>
        <v>980</v>
      </c>
      <c r="DQ103" s="460">
        <f t="shared" si="247"/>
        <v>226.61946282879799</v>
      </c>
      <c r="DS103">
        <f t="shared" si="311"/>
        <v>980</v>
      </c>
      <c r="DT103">
        <f t="shared" si="312"/>
        <v>226.61946282879799</v>
      </c>
      <c r="DV103" s="5">
        <f t="shared" si="293"/>
        <v>4.4126836570760926</v>
      </c>
      <c r="DW103" s="5">
        <f t="shared" si="249"/>
        <v>1.8106097560975614</v>
      </c>
      <c r="DX103" s="5">
        <f t="shared" si="294"/>
        <v>2.6020739009785312</v>
      </c>
      <c r="DY103" s="173">
        <f t="shared" si="295"/>
        <v>0.41031941031941033</v>
      </c>
      <c r="EA103" s="5">
        <f t="shared" si="250"/>
        <v>11.089984756097564</v>
      </c>
      <c r="EB103" s="5">
        <f t="shared" si="251"/>
        <v>5.5449923780487822</v>
      </c>
      <c r="EC103" s="5">
        <f t="shared" si="252"/>
        <v>1.4166846794216446</v>
      </c>
      <c r="ED103" s="5"/>
      <c r="EE103" s="173">
        <f t="shared" si="296"/>
        <v>1.3392302653614396</v>
      </c>
      <c r="EF103" s="173">
        <f t="shared" si="253"/>
        <v>1.6054716487190988</v>
      </c>
      <c r="EG103" s="173">
        <f t="shared" si="254"/>
        <v>0.39428494902366101</v>
      </c>
      <c r="EH103" s="173"/>
      <c r="EI103" s="528">
        <f t="shared" si="255"/>
        <v>3.5870754073201443E-2</v>
      </c>
      <c r="EJ103" s="528">
        <f t="shared" si="256"/>
        <v>0.63459999999999994</v>
      </c>
      <c r="EK103" s="528">
        <f t="shared" si="257"/>
        <v>2.606123822531177E-2</v>
      </c>
      <c r="EL103" s="528">
        <f t="shared" si="258"/>
        <v>0.18488099043577827</v>
      </c>
      <c r="EM103">
        <f t="shared" si="259"/>
        <v>1.0800000000000001E-2</v>
      </c>
      <c r="EN103" s="460">
        <f t="shared" si="297"/>
        <v>36.861238225311773</v>
      </c>
      <c r="EO103">
        <f t="shared" si="260"/>
        <v>0.90965094231609611</v>
      </c>
      <c r="EP103" s="460">
        <f t="shared" si="298"/>
        <v>909.65094231609612</v>
      </c>
      <c r="EQ103" s="173">
        <f t="shared" si="261"/>
        <v>0.60882499999999995</v>
      </c>
      <c r="ER103" s="173">
        <f t="shared" si="262"/>
        <v>0.10871874999999999</v>
      </c>
      <c r="ES103" s="528"/>
      <c r="EU103" s="460">
        <f t="shared" si="299"/>
        <v>717.54374999999993</v>
      </c>
      <c r="EV103" s="528">
        <f t="shared" si="263"/>
        <v>5.3806131109802154E-2</v>
      </c>
      <c r="EW103" s="528">
        <f t="shared" si="300"/>
        <v>7.7326176445224645E-2</v>
      </c>
      <c r="EX103" s="528">
        <f t="shared" si="264"/>
        <v>7.7730310513295488E-4</v>
      </c>
      <c r="EY103" s="528">
        <f t="shared" si="265"/>
        <v>0.96460642051433876</v>
      </c>
      <c r="EZ103" s="528">
        <f t="shared" si="266"/>
        <v>1.1402066752209781</v>
      </c>
      <c r="FA103" s="625">
        <f t="shared" si="267"/>
        <v>1.485856654881045E-2</v>
      </c>
      <c r="FB103" s="460">
        <f t="shared" si="301"/>
        <v>1155.0652417697884</v>
      </c>
      <c r="FC103" s="173">
        <f t="shared" si="302"/>
        <v>2.7822599340858845</v>
      </c>
      <c r="FD103" s="5">
        <f t="shared" si="303"/>
        <v>17.64</v>
      </c>
      <c r="FE103" s="173">
        <f t="shared" si="304"/>
        <v>0.86376336688173583</v>
      </c>
      <c r="FF103" s="5">
        <f t="shared" si="305"/>
        <v>86.376336688173581</v>
      </c>
      <c r="FG103">
        <f t="shared" si="306"/>
        <v>98</v>
      </c>
      <c r="FI103" s="562">
        <f t="shared" si="268"/>
        <v>-50</v>
      </c>
      <c r="FJ103">
        <f t="shared" si="269"/>
        <v>-50</v>
      </c>
      <c r="FL103">
        <f t="shared" si="270"/>
        <v>0.57009251312425158</v>
      </c>
    </row>
    <row r="104" spans="5:169">
      <c r="E104" s="170">
        <v>99</v>
      </c>
      <c r="F104" s="217">
        <f>IF(PLOT_TYPE=1, E104/100*Iout_max, min_I*EXP(O104*rr/100))</f>
        <v>0.99</v>
      </c>
      <c r="G104" s="217">
        <f t="shared" si="271"/>
        <v>0.2475</v>
      </c>
      <c r="H104" s="217">
        <f t="shared" si="176"/>
        <v>15.84</v>
      </c>
      <c r="I104" s="217">
        <f t="shared" si="308"/>
        <v>1.98</v>
      </c>
      <c r="J104" s="541">
        <f t="shared" si="177"/>
        <v>23.881917138284429</v>
      </c>
      <c r="K104" s="443">
        <f t="shared" si="178"/>
        <v>16.75209680765186</v>
      </c>
      <c r="L104" s="172">
        <f t="shared" si="179"/>
        <v>40.634013945936289</v>
      </c>
      <c r="M104" s="443"/>
      <c r="N104" s="217">
        <f t="shared" si="180"/>
        <v>0.41226783132822142</v>
      </c>
      <c r="O104" s="172">
        <f>N104*J104*Isw_max*0.5*Efficiency*Pout/(Pout+Pout2)</f>
        <v>21.879435970135123</v>
      </c>
      <c r="P104" s="172">
        <f t="shared" si="181"/>
        <v>3.0767956833002517</v>
      </c>
      <c r="Q104" s="217">
        <f t="shared" si="182"/>
        <v>1.3674647481334452</v>
      </c>
      <c r="R104" s="217">
        <f t="shared" si="183"/>
        <v>2.7349294962668904</v>
      </c>
      <c r="S104" s="443">
        <f t="shared" si="184"/>
        <v>16</v>
      </c>
      <c r="T104" s="217">
        <f t="shared" si="185"/>
        <v>3.6198373718639729</v>
      </c>
      <c r="U104" s="217">
        <f t="shared" si="186"/>
        <v>1.8188677320521041</v>
      </c>
      <c r="V104" s="217">
        <f t="shared" si="187"/>
        <v>2.59299172880415</v>
      </c>
      <c r="W104" s="197">
        <f t="shared" si="188"/>
        <v>350</v>
      </c>
      <c r="X104" s="443">
        <f t="shared" si="273"/>
        <v>216.83227957998886</v>
      </c>
      <c r="Z104" s="217">
        <f t="shared" si="189"/>
        <v>2.3442252825144774</v>
      </c>
      <c r="AA104" s="173">
        <f t="shared" si="190"/>
        <v>1.6792347676336528</v>
      </c>
      <c r="AB104" s="173">
        <f>0.5*AA104*Z104*Nps*W104/1000*(Pout/Pout_total)</f>
        <v>0.68888830457372308</v>
      </c>
      <c r="AC104" s="173"/>
      <c r="AD104" s="173">
        <f t="shared" si="192"/>
        <v>0.71632823865480266</v>
      </c>
      <c r="AE104" s="545">
        <f>MAX(10, F104/(0.5*AD104/1000000*Isw_min*Nps)/1000*Pout_total/Pout)</f>
        <v>2764.095973262557</v>
      </c>
      <c r="AF104" s="528">
        <f t="shared" si="194"/>
        <v>0.12535744176459046</v>
      </c>
      <c r="AH104" s="173">
        <f t="shared" si="195"/>
        <v>2.9130249373656736</v>
      </c>
      <c r="AI104" s="173">
        <f>MAX(IF(F104&gt;AB104,T104,AH104),Isw_min)</f>
        <v>3.6198373718639729</v>
      </c>
      <c r="AJ104" s="173">
        <f>IF(F104&gt;AF104, (AI104-Isw_min)/1.08*0.8+1.2, AE104*0.2/350+1)</f>
        <v>3.1406202754547943</v>
      </c>
      <c r="AL104" s="545">
        <f t="shared" si="198"/>
        <v>990</v>
      </c>
      <c r="AM104" s="460">
        <f t="shared" si="199"/>
        <v>216.83227957998886</v>
      </c>
      <c r="AO104">
        <f t="shared" si="274"/>
        <v>990</v>
      </c>
      <c r="AP104">
        <f t="shared" si="200"/>
        <v>216.83227957998886</v>
      </c>
      <c r="AR104" s="5">
        <f t="shared" si="275"/>
        <v>4.6118594608562544</v>
      </c>
      <c r="AS104" s="5">
        <f t="shared" si="201"/>
        <v>1.8188677320521041</v>
      </c>
      <c r="AT104" s="5">
        <f t="shared" si="276"/>
        <v>2.7929917288041501</v>
      </c>
      <c r="AU104" s="173">
        <f t="shared" si="277"/>
        <v>0.39438923659534209</v>
      </c>
      <c r="AW104" s="5">
        <f t="shared" si="202"/>
        <v>11.254244092072392</v>
      </c>
      <c r="AX104" s="5">
        <f t="shared" si="203"/>
        <v>5.6271220460361961</v>
      </c>
      <c r="AY104" s="5">
        <f t="shared" si="204"/>
        <v>1.5437408398471302</v>
      </c>
      <c r="AZ104" s="5"/>
      <c r="BA104" s="173">
        <f t="shared" si="278"/>
        <v>1.3124747562851278</v>
      </c>
      <c r="BB104" s="173">
        <f t="shared" si="205"/>
        <v>1.6263919823837014</v>
      </c>
      <c r="BC104" s="173">
        <f t="shared" si="206"/>
        <v>0.39942273685011487</v>
      </c>
      <c r="BD104" s="173"/>
      <c r="BE104" s="528">
        <f t="shared" si="207"/>
        <v>3.4451799717714109E-2</v>
      </c>
      <c r="BF104" s="528">
        <f t="shared" si="208"/>
        <v>0.58205709732758282</v>
      </c>
      <c r="BG104" s="528">
        <f t="shared" si="209"/>
        <v>0.11910252227819619</v>
      </c>
      <c r="BH104" s="528">
        <f t="shared" si="210"/>
        <v>0.17632326579138771</v>
      </c>
      <c r="BI104">
        <f t="shared" si="211"/>
        <v>1.0746862712227993E-2</v>
      </c>
      <c r="BJ104" s="460">
        <f t="shared" si="279"/>
        <v>129.84938499042417</v>
      </c>
      <c r="BK104">
        <f t="shared" si="212"/>
        <v>0.8087544082270578</v>
      </c>
      <c r="BL104" s="460">
        <f t="shared" si="280"/>
        <v>808.75440822705775</v>
      </c>
      <c r="BM104" s="173">
        <f t="shared" si="213"/>
        <v>0.6150374999999999</v>
      </c>
      <c r="BN104" s="173">
        <f t="shared" si="214"/>
        <v>0.109828125</v>
      </c>
      <c r="BO104" s="528"/>
      <c r="BQ104" s="460">
        <f t="shared" si="281"/>
        <v>724.8656249999998</v>
      </c>
      <c r="BR104" s="528">
        <f t="shared" si="215"/>
        <v>5.1677699576571159E-2</v>
      </c>
      <c r="BS104" s="528">
        <f t="shared" si="216"/>
        <v>7.9354526410859577E-2</v>
      </c>
      <c r="BT104" s="528">
        <f t="shared" si="217"/>
        <v>7.976926135641806E-4</v>
      </c>
      <c r="BU104" s="528">
        <f t="shared" si="218"/>
        <v>0.86298349963048748</v>
      </c>
      <c r="BV104" s="528">
        <f>(BU104+(BR104+BS104+BT104)*(1+Ltc*(Ta-25)))/(1-(BR104+BS104+BT104)*Ltc*ThetaCa)</f>
        <v>1.0373933572431271</v>
      </c>
      <c r="BW104" s="625">
        <f t="shared" si="220"/>
        <v>1.4206008129647433E-2</v>
      </c>
      <c r="BX104" s="460">
        <f t="shared" si="282"/>
        <v>1051.5993653727744</v>
      </c>
      <c r="BY104" s="173">
        <f t="shared" si="283"/>
        <v>2.5852193985998322</v>
      </c>
      <c r="BZ104" s="5">
        <f t="shared" si="284"/>
        <v>17.82</v>
      </c>
      <c r="CA104" s="173">
        <f t="shared" si="285"/>
        <v>0.87330597392267073</v>
      </c>
      <c r="CB104" s="5">
        <f t="shared" si="286"/>
        <v>87.330597392267066</v>
      </c>
      <c r="CC104">
        <f t="shared" si="287"/>
        <v>99</v>
      </c>
      <c r="CE104" s="562">
        <f t="shared" si="221"/>
        <v>-50</v>
      </c>
      <c r="CF104">
        <f t="shared" si="222"/>
        <v>-50</v>
      </c>
      <c r="CG104" s="173">
        <f t="shared" si="223"/>
        <v>0.57009251312425169</v>
      </c>
      <c r="CH104" s="173">
        <f t="shared" si="224"/>
        <v>0.20152561614275555</v>
      </c>
      <c r="CI104" s="170">
        <v>99</v>
      </c>
      <c r="CJ104" s="217">
        <f t="shared" si="309"/>
        <v>0.99</v>
      </c>
      <c r="CK104" s="217">
        <f t="shared" si="288"/>
        <v>0.2475</v>
      </c>
      <c r="CL104" s="217">
        <f t="shared" si="225"/>
        <v>15.84</v>
      </c>
      <c r="CM104" s="217">
        <f t="shared" si="310"/>
        <v>1.98</v>
      </c>
      <c r="CN104" s="541">
        <f t="shared" si="289"/>
        <v>24</v>
      </c>
      <c r="CO104" s="443">
        <f t="shared" si="226"/>
        <v>16.7</v>
      </c>
      <c r="CP104" s="443">
        <f t="shared" si="227"/>
        <v>40.700000000000003</v>
      </c>
      <c r="CQ104" s="443"/>
      <c r="CR104" s="217">
        <f t="shared" si="228"/>
        <v>0.40594059405940591</v>
      </c>
      <c r="CS104" s="172">
        <f t="shared" si="290"/>
        <v>21.650165016501649</v>
      </c>
      <c r="CT104" s="172">
        <f t="shared" si="229"/>
        <v>3.0445544554455446</v>
      </c>
      <c r="CU104" s="217">
        <f t="shared" si="230"/>
        <v>1.3531353135313531</v>
      </c>
      <c r="CV104" s="217">
        <f t="shared" si="231"/>
        <v>2.7062706270627062</v>
      </c>
      <c r="CW104" s="443">
        <f t="shared" si="232"/>
        <v>16</v>
      </c>
      <c r="CX104" s="217">
        <f t="shared" si="233"/>
        <v>3.6581707317073171</v>
      </c>
      <c r="CY104" s="217">
        <f t="shared" si="234"/>
        <v>1.8290853658536586</v>
      </c>
      <c r="CZ104" s="217">
        <f t="shared" si="235"/>
        <v>2.6286256754783119</v>
      </c>
      <c r="DA104" s="197">
        <f t="shared" si="236"/>
        <v>350</v>
      </c>
      <c r="DB104" s="443">
        <f t="shared" si="291"/>
        <v>224.33037734567887</v>
      </c>
      <c r="DD104" s="217">
        <f t="shared" si="237"/>
        <v>2.344682344682345</v>
      </c>
      <c r="DE104" s="173">
        <f t="shared" si="238"/>
        <v>1.6848016848016851</v>
      </c>
      <c r="DF104" s="173">
        <f t="shared" si="239"/>
        <v>0.69130683381297664</v>
      </c>
      <c r="DG104" s="173"/>
      <c r="DH104" s="173">
        <f t="shared" si="240"/>
        <v>0.71856287425149712</v>
      </c>
      <c r="DI104" s="545">
        <f t="shared" si="241"/>
        <v>2755.4999999999995</v>
      </c>
      <c r="DJ104" s="528">
        <f t="shared" si="242"/>
        <v>0.125748502994012</v>
      </c>
      <c r="DL104" s="173">
        <f t="shared" si="243"/>
        <v>2.9130249373656736</v>
      </c>
      <c r="DM104" s="173">
        <f t="shared" si="244"/>
        <v>3.6581707317073171</v>
      </c>
      <c r="DN104" s="173">
        <f t="shared" si="245"/>
        <v>3.1690153568202346</v>
      </c>
      <c r="DP104" s="545">
        <f t="shared" si="246"/>
        <v>990</v>
      </c>
      <c r="DQ104" s="460">
        <f t="shared" si="247"/>
        <v>224.33037734567887</v>
      </c>
      <c r="DS104">
        <f t="shared" si="311"/>
        <v>990</v>
      </c>
      <c r="DT104">
        <f t="shared" si="312"/>
        <v>224.33037734567887</v>
      </c>
      <c r="DV104" s="5">
        <f t="shared" si="293"/>
        <v>4.4577110413319705</v>
      </c>
      <c r="DW104" s="5">
        <f t="shared" si="249"/>
        <v>1.8290853658536586</v>
      </c>
      <c r="DX104" s="5">
        <f t="shared" si="294"/>
        <v>2.6286256754783119</v>
      </c>
      <c r="DY104" s="173">
        <f t="shared" si="295"/>
        <v>0.41031941031941027</v>
      </c>
      <c r="EA104" s="5">
        <f t="shared" si="250"/>
        <v>11.317465701219511</v>
      </c>
      <c r="EB104" s="5">
        <f t="shared" si="251"/>
        <v>5.6587328506097556</v>
      </c>
      <c r="EC104" s="5">
        <f t="shared" si="252"/>
        <v>1.4457441215130713</v>
      </c>
      <c r="ED104" s="5"/>
      <c r="EE104" s="173">
        <f t="shared" si="296"/>
        <v>1.3528958803141071</v>
      </c>
      <c r="EF104" s="173">
        <f t="shared" si="253"/>
        <v>1.6218540124815384</v>
      </c>
      <c r="EG104" s="173">
        <f t="shared" si="254"/>
        <v>0.39830826483002485</v>
      </c>
      <c r="EH104" s="173"/>
      <c r="EI104" s="528">
        <f t="shared" si="255"/>
        <v>3.6606545259417658E-2</v>
      </c>
      <c r="EJ104" s="528">
        <f t="shared" si="256"/>
        <v>0.63460000000000005</v>
      </c>
      <c r="EK104" s="528">
        <f t="shared" si="257"/>
        <v>2.5797993394753072E-2</v>
      </c>
      <c r="EL104" s="528">
        <f t="shared" si="258"/>
        <v>0.18301350568390176</v>
      </c>
      <c r="EM104">
        <f t="shared" si="259"/>
        <v>1.0800000000000001E-2</v>
      </c>
      <c r="EN104" s="460">
        <f t="shared" si="297"/>
        <v>36.597993394753075</v>
      </c>
      <c r="EO104">
        <f t="shared" si="260"/>
        <v>0.90860459551721018</v>
      </c>
      <c r="EP104" s="460">
        <f t="shared" si="298"/>
        <v>908.60459551721021</v>
      </c>
      <c r="EQ104" s="173">
        <f t="shared" si="261"/>
        <v>0.6150374999999999</v>
      </c>
      <c r="ER104" s="173">
        <f t="shared" si="262"/>
        <v>0.109828125</v>
      </c>
      <c r="ES104" s="528"/>
      <c r="EU104" s="460">
        <f t="shared" si="299"/>
        <v>724.8656249999998</v>
      </c>
      <c r="EV104" s="528">
        <f t="shared" si="263"/>
        <v>5.4909817889126487E-2</v>
      </c>
      <c r="EW104" s="528">
        <f t="shared" si="300"/>
        <v>7.8912313134073986E-2</v>
      </c>
      <c r="EX104" s="528">
        <f t="shared" si="264"/>
        <v>7.9324736915952604E-4</v>
      </c>
      <c r="EY104" s="528">
        <f t="shared" si="265"/>
        <v>0.96460642051434031</v>
      </c>
      <c r="EZ104" s="528">
        <f t="shared" si="266"/>
        <v>1.1438478506196226</v>
      </c>
      <c r="FA104" s="625">
        <f t="shared" si="267"/>
        <v>1.5010184574818721E-2</v>
      </c>
      <c r="FB104" s="460">
        <f t="shared" si="301"/>
        <v>1158.8580351944413</v>
      </c>
      <c r="FC104" s="173">
        <f t="shared" si="302"/>
        <v>2.7923282557116513</v>
      </c>
      <c r="FD104" s="5">
        <f t="shared" si="303"/>
        <v>17.82</v>
      </c>
      <c r="FE104" s="173">
        <f t="shared" si="304"/>
        <v>0.86453115722441976</v>
      </c>
      <c r="FF104" s="5">
        <f t="shared" si="305"/>
        <v>86.453115722441979</v>
      </c>
      <c r="FG104">
        <f t="shared" si="306"/>
        <v>99</v>
      </c>
      <c r="FI104" s="562">
        <f t="shared" si="268"/>
        <v>-50</v>
      </c>
      <c r="FJ104">
        <f t="shared" si="269"/>
        <v>-50</v>
      </c>
      <c r="FL104">
        <f t="shared" si="270"/>
        <v>0.57009251312425169</v>
      </c>
    </row>
    <row r="105" spans="5:169" ht="13">
      <c r="E105" s="170">
        <v>100</v>
      </c>
      <c r="F105" s="217">
        <f>IF(PLOT_TYPE=1, E105/100*Iout_max, min_I*EXP(O105*rr/100))</f>
        <v>1</v>
      </c>
      <c r="G105" s="217">
        <f t="shared" si="271"/>
        <v>0.25</v>
      </c>
      <c r="H105" s="217">
        <f t="shared" si="176"/>
        <v>16</v>
      </c>
      <c r="I105" s="217">
        <f t="shared" si="308"/>
        <v>2</v>
      </c>
      <c r="J105" s="541">
        <f t="shared" si="177"/>
        <v>23.880724382105484</v>
      </c>
      <c r="K105" s="443">
        <f t="shared" si="178"/>
        <v>16.752623038032183</v>
      </c>
      <c r="L105" s="172">
        <f t="shared" si="179"/>
        <v>40.633347420137667</v>
      </c>
      <c r="M105" s="443"/>
      <c r="N105" s="217">
        <f t="shared" si="180"/>
        <v>0.41228754463211353</v>
      </c>
      <c r="O105" s="172">
        <f>N105*J105*Isw_max*0.5*Efficiency*Pout/(Pout+Pout2)</f>
        <v>21.879389376743369</v>
      </c>
      <c r="P105" s="172">
        <f t="shared" si="181"/>
        <v>3.0767891311045363</v>
      </c>
      <c r="Q105" s="217">
        <f t="shared" si="182"/>
        <v>1.3674618360464605</v>
      </c>
      <c r="R105" s="217">
        <f t="shared" si="183"/>
        <v>2.7349236720929211</v>
      </c>
      <c r="S105" s="443">
        <f t="shared" si="184"/>
        <v>16</v>
      </c>
      <c r="T105" s="217">
        <f t="shared" si="185"/>
        <v>3.6564091722338357</v>
      </c>
      <c r="U105" s="217">
        <f t="shared" si="186"/>
        <v>1.8373358096157362</v>
      </c>
      <c r="V105" s="217">
        <f t="shared" si="187"/>
        <v>2.6191068686495051</v>
      </c>
      <c r="W105" s="197">
        <f t="shared" si="188"/>
        <v>350</v>
      </c>
      <c r="X105" s="443">
        <f t="shared" si="273"/>
        <v>214.75621393723463</v>
      </c>
      <c r="Z105" s="217">
        <f t="shared" si="189"/>
        <v>2.3442202903653611</v>
      </c>
      <c r="AA105" s="173">
        <f t="shared" si="190"/>
        <v>1.6791784439082471</v>
      </c>
      <c r="AB105" s="173">
        <f>0.5*AA105*Z105*Nps*W105/1000*(Pout/Pout_total)</f>
        <v>0.68886373138692303</v>
      </c>
      <c r="AC105" s="173"/>
      <c r="AD105" s="173">
        <f t="shared" si="192"/>
        <v>0.71630573748106963</v>
      </c>
      <c r="AE105" s="545">
        <f>MAX(10, F105/(0.5*AD105/1000000*Isw_min*Nps)/1000*Pout_total/Pout)</f>
        <v>2792.1038396720305</v>
      </c>
      <c r="AF105" s="528">
        <f t="shared" si="194"/>
        <v>0.12535350405918719</v>
      </c>
      <c r="AH105" s="173">
        <f t="shared" si="195"/>
        <v>2.9277002188455996</v>
      </c>
      <c r="AI105" s="173">
        <f>MAX(IF(F105&gt;AB105,T105,AH105),Isw_min)</f>
        <v>3.6564091722338357</v>
      </c>
      <c r="AJ105" s="173">
        <f>IF(F105&gt;AF105, (AI105-Isw_min)/1.08*0.8+1.2, AE105*0.2/350+1)</f>
        <v>3.1677104979509894</v>
      </c>
      <c r="AL105" s="545">
        <f t="shared" si="198"/>
        <v>1000</v>
      </c>
      <c r="AM105" s="460">
        <f t="shared" si="199"/>
        <v>214.75621393723463</v>
      </c>
      <c r="AO105">
        <f t="shared" si="274"/>
        <v>1000</v>
      </c>
      <c r="AP105" s="3">
        <f t="shared" si="200"/>
        <v>214.75621393723463</v>
      </c>
      <c r="AR105" s="5">
        <f t="shared" si="275"/>
        <v>4.6564426782652415</v>
      </c>
      <c r="AS105" s="5">
        <f t="shared" si="201"/>
        <v>1.8373358096157362</v>
      </c>
      <c r="AT105" s="5">
        <f t="shared" si="276"/>
        <v>2.8191068686495053</v>
      </c>
      <c r="AU105" s="173">
        <f t="shared" si="277"/>
        <v>0.39457928220437921</v>
      </c>
      <c r="AW105" s="5">
        <f t="shared" si="202"/>
        <v>11.483348810098351</v>
      </c>
      <c r="AX105" s="5">
        <f t="shared" si="203"/>
        <v>5.7416744050491753</v>
      </c>
      <c r="AY105" s="5">
        <f t="shared" si="204"/>
        <v>1.5739929401035775</v>
      </c>
      <c r="AZ105" s="5"/>
      <c r="BA105" s="173">
        <f t="shared" si="278"/>
        <v>1.3260542798750208</v>
      </c>
      <c r="BB105" s="173">
        <f t="shared" si="205"/>
        <v>1.6425658967269414</v>
      </c>
      <c r="BC105" s="173">
        <f t="shared" si="206"/>
        <v>0.4033948599314694</v>
      </c>
      <c r="BD105" s="173"/>
      <c r="BE105" s="528">
        <f t="shared" si="207"/>
        <v>3.5168399063497197E-2</v>
      </c>
      <c r="BF105" s="528">
        <f t="shared" si="208"/>
        <v>0.58229893914672537</v>
      </c>
      <c r="BG105" s="528">
        <f t="shared" si="209"/>
        <v>0.11795628095073037</v>
      </c>
      <c r="BH105" s="528">
        <f t="shared" si="210"/>
        <v>0.17462932554911254</v>
      </c>
      <c r="BI105">
        <f t="shared" si="211"/>
        <v>1.0746325971947468E-2</v>
      </c>
      <c r="BJ105" s="460">
        <f t="shared" si="279"/>
        <v>128.70260692267783</v>
      </c>
      <c r="BK105">
        <f t="shared" si="212"/>
        <v>0.8083466858040147</v>
      </c>
      <c r="BL105" s="460">
        <f t="shared" si="280"/>
        <v>808.34668580401467</v>
      </c>
      <c r="BM105" s="173">
        <f t="shared" si="213"/>
        <v>0.62124999999999997</v>
      </c>
      <c r="BN105" s="173">
        <f t="shared" si="214"/>
        <v>0.11093749999999999</v>
      </c>
      <c r="BO105" s="528"/>
      <c r="BQ105" s="460">
        <f t="shared" si="281"/>
        <v>732.1875</v>
      </c>
      <c r="BR105" s="528">
        <f t="shared" si="215"/>
        <v>5.2752598595245795E-2</v>
      </c>
      <c r="BS105" s="528">
        <f t="shared" si="216"/>
        <v>8.0940681752711421E-2</v>
      </c>
      <c r="BT105" s="528">
        <f t="shared" si="217"/>
        <v>8.1363706509564912E-4</v>
      </c>
      <c r="BU105" s="528">
        <f t="shared" si="218"/>
        <v>0.86391561924101146</v>
      </c>
      <c r="BV105" s="528">
        <f>(BU105+(BR105+BS105+BT105)*(1+Ltc*(Ta-25)))/(1-(BR105+BS105+BT105)*Ltc*ThetaCa)</f>
        <v>1.0419157872934235</v>
      </c>
      <c r="BW105" s="625">
        <f t="shared" si="220"/>
        <v>1.4355731358188295E-2</v>
      </c>
      <c r="BX105" s="460">
        <f t="shared" si="282"/>
        <v>1056.2715186516118</v>
      </c>
      <c r="BY105" s="173">
        <f>SUM(BK105,BM105:BP105,BV105:BW105)+BI105+BG105</f>
        <v>2.7255083113783036</v>
      </c>
      <c r="BZ105" s="5">
        <f t="shared" si="284"/>
        <v>18</v>
      </c>
      <c r="CA105" s="173">
        <f t="shared" si="285"/>
        <v>0.8684949835521284</v>
      </c>
      <c r="CB105" s="5">
        <f t="shared" si="286"/>
        <v>86.849498355212845</v>
      </c>
      <c r="CC105">
        <f t="shared" si="287"/>
        <v>100</v>
      </c>
      <c r="CE105" s="562">
        <f t="shared" si="221"/>
        <v>-50</v>
      </c>
      <c r="CF105">
        <f t="shared" si="222"/>
        <v>-50</v>
      </c>
      <c r="CG105" s="173">
        <f t="shared" si="223"/>
        <v>0.57009251312425158</v>
      </c>
      <c r="CH105" s="173">
        <f t="shared" si="224"/>
        <v>0.20152561614275552</v>
      </c>
      <c r="CI105" s="170">
        <v>100</v>
      </c>
      <c r="CJ105" s="217">
        <f t="shared" si="309"/>
        <v>1</v>
      </c>
      <c r="CK105" s="217">
        <f t="shared" si="288"/>
        <v>0.25</v>
      </c>
      <c r="CL105" s="217">
        <f t="shared" si="225"/>
        <v>16</v>
      </c>
      <c r="CM105" s="217">
        <f t="shared" si="310"/>
        <v>2</v>
      </c>
      <c r="CN105" s="541">
        <f t="shared" si="289"/>
        <v>24</v>
      </c>
      <c r="CO105" s="443">
        <f t="shared" si="226"/>
        <v>16.7</v>
      </c>
      <c r="CP105" s="443">
        <f t="shared" si="227"/>
        <v>40.700000000000003</v>
      </c>
      <c r="CQ105" s="443"/>
      <c r="CR105" s="217">
        <f t="shared" si="228"/>
        <v>0.40594059405940591</v>
      </c>
      <c r="CS105" s="172">
        <f t="shared" si="290"/>
        <v>21.650165016501649</v>
      </c>
      <c r="CT105" s="172">
        <f t="shared" si="229"/>
        <v>3.0445544554455446</v>
      </c>
      <c r="CU105" s="217">
        <f t="shared" si="230"/>
        <v>1.3531353135313531</v>
      </c>
      <c r="CV105" s="217">
        <f t="shared" si="231"/>
        <v>2.7062706270627062</v>
      </c>
      <c r="CW105" s="443">
        <f t="shared" si="232"/>
        <v>16</v>
      </c>
      <c r="CX105" s="217">
        <f t="shared" si="233"/>
        <v>3.6951219512195124</v>
      </c>
      <c r="CY105" s="217">
        <f t="shared" si="234"/>
        <v>1.8475609756097562</v>
      </c>
      <c r="CZ105" s="217">
        <f t="shared" si="235"/>
        <v>2.6551774499780931</v>
      </c>
      <c r="DA105" s="197">
        <f t="shared" si="236"/>
        <v>350</v>
      </c>
      <c r="DB105" s="443">
        <f t="shared" si="291"/>
        <v>222.08707357222204</v>
      </c>
      <c r="DD105" s="217">
        <f t="shared" si="237"/>
        <v>2.344682344682345</v>
      </c>
      <c r="DE105" s="173">
        <f t="shared" si="238"/>
        <v>1.6848016848016851</v>
      </c>
      <c r="DF105" s="173">
        <f t="shared" si="239"/>
        <v>0.69130683381297664</v>
      </c>
      <c r="DG105" s="173"/>
      <c r="DH105" s="173">
        <f t="shared" si="240"/>
        <v>0.71856287425149712</v>
      </c>
      <c r="DI105" s="545">
        <f t="shared" si="241"/>
        <v>2783.333333333333</v>
      </c>
      <c r="DJ105" s="528">
        <f t="shared" si="242"/>
        <v>0.125748502994012</v>
      </c>
      <c r="DL105" s="173">
        <f t="shared" si="243"/>
        <v>2.9277002188455996</v>
      </c>
      <c r="DM105" s="173">
        <f t="shared" si="244"/>
        <v>3.6951219512195124</v>
      </c>
      <c r="DN105" s="173">
        <f t="shared" si="245"/>
        <v>3.196386630532972</v>
      </c>
      <c r="DP105" s="545">
        <f t="shared" si="246"/>
        <v>1000</v>
      </c>
      <c r="DQ105" s="460">
        <f t="shared" si="247"/>
        <v>222.08707357222204</v>
      </c>
      <c r="DS105">
        <f t="shared" si="311"/>
        <v>1000</v>
      </c>
      <c r="DT105">
        <f t="shared" si="312"/>
        <v>222.08707357222204</v>
      </c>
      <c r="DV105" s="5">
        <f t="shared" si="293"/>
        <v>4.5027384255878493</v>
      </c>
      <c r="DW105" s="5">
        <f t="shared" si="249"/>
        <v>1.8475609756097562</v>
      </c>
      <c r="DX105" s="5">
        <f t="shared" si="294"/>
        <v>2.6551774499780931</v>
      </c>
      <c r="DY105" s="173">
        <f t="shared" si="295"/>
        <v>0.41031941031941027</v>
      </c>
      <c r="EA105" s="5">
        <f t="shared" si="250"/>
        <v>11.547256097560975</v>
      </c>
      <c r="EB105" s="5">
        <f t="shared" si="251"/>
        <v>5.7736280487804876</v>
      </c>
      <c r="EC105" s="5">
        <f t="shared" si="252"/>
        <v>1.4750985833211625</v>
      </c>
      <c r="ED105" s="5"/>
      <c r="EE105" s="173">
        <f t="shared" si="296"/>
        <v>1.3665614952667751</v>
      </c>
      <c r="EF105" s="173">
        <f t="shared" si="253"/>
        <v>1.6382363762439782</v>
      </c>
      <c r="EG105" s="173">
        <f t="shared" si="254"/>
        <v>0.40233158063638874</v>
      </c>
      <c r="EH105" s="173"/>
      <c r="EI105" s="528">
        <f t="shared" si="255"/>
        <v>3.7349806406915279E-2</v>
      </c>
      <c r="EJ105" s="528">
        <f t="shared" si="256"/>
        <v>0.63459999999999994</v>
      </c>
      <c r="EK105" s="528">
        <f t="shared" si="257"/>
        <v>2.5540013460805536E-2</v>
      </c>
      <c r="EL105" s="528">
        <f t="shared" si="258"/>
        <v>0.18118337062706269</v>
      </c>
      <c r="EM105">
        <f t="shared" si="259"/>
        <v>1.0800000000000001E-2</v>
      </c>
      <c r="EN105" s="460">
        <f t="shared" si="297"/>
        <v>36.340013460805537</v>
      </c>
      <c r="EO105">
        <f t="shared" si="260"/>
        <v>0.9076120727505016</v>
      </c>
      <c r="EP105" s="460">
        <f t="shared" si="298"/>
        <v>907.61207275050162</v>
      </c>
      <c r="EQ105" s="173">
        <f t="shared" si="261"/>
        <v>0.62124999999999997</v>
      </c>
      <c r="ER105" s="173">
        <f t="shared" si="262"/>
        <v>0.11093749999999999</v>
      </c>
      <c r="ES105" s="528"/>
      <c r="EU105" s="460">
        <f t="shared" si="299"/>
        <v>732.1875</v>
      </c>
      <c r="EV105" s="528">
        <f t="shared" si="263"/>
        <v>5.6024709610372918E-2</v>
      </c>
      <c r="EW105" s="528">
        <f t="shared" si="300"/>
        <v>8.0514552733470038E-2</v>
      </c>
      <c r="EX105" s="528">
        <f t="shared" si="264"/>
        <v>8.0935350388687489E-4</v>
      </c>
      <c r="EY105" s="528">
        <f t="shared" si="265"/>
        <v>0.96460642051433876</v>
      </c>
      <c r="EZ105" s="528">
        <f t="shared" si="266"/>
        <v>1.147527610481256</v>
      </c>
      <c r="FA105" s="625">
        <f t="shared" si="267"/>
        <v>1.5161802600826989E-2</v>
      </c>
      <c r="FB105" s="460">
        <f t="shared" si="301"/>
        <v>1162.6894130820829</v>
      </c>
      <c r="FC105" s="173">
        <f t="shared" si="302"/>
        <v>2.8024889858325843</v>
      </c>
      <c r="FD105" s="5">
        <f t="shared" si="303"/>
        <v>18</v>
      </c>
      <c r="FE105" s="173">
        <f t="shared" si="304"/>
        <v>0.86528107344552829</v>
      </c>
      <c r="FF105" s="5">
        <f t="shared" si="305"/>
        <v>86.528107344552836</v>
      </c>
      <c r="FG105">
        <f t="shared" si="306"/>
        <v>100</v>
      </c>
      <c r="FI105" s="562">
        <f t="shared" si="268"/>
        <v>-50</v>
      </c>
      <c r="FJ105">
        <f t="shared" si="269"/>
        <v>-50</v>
      </c>
      <c r="FL105">
        <f t="shared" si="270"/>
        <v>0.57009251312425158</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2.5000000000000001E-4</v>
      </c>
      <c r="H110" s="217">
        <f t="shared" ref="H110:H141" si="314">F110*Vout</f>
        <v>1.6000000000000001E-8</v>
      </c>
      <c r="I110" s="217">
        <f t="shared" ref="I110:I141" si="315">Vout2*G110</f>
        <v>2E-3</v>
      </c>
      <c r="J110" s="541">
        <f t="shared" ref="J110:J141" si="316">VIN_min-(F110/CG110/Nps+G110/CH110/(Nps/Nsec1sec2))*(Rdcr_pri+RON/1000)</f>
        <v>18.995282100597951</v>
      </c>
      <c r="K110" s="443">
        <f t="shared" ref="K110:K141" si="317">MAX((S110+Vfwd2+Rdcr_sec*F110/CG110)*Nps,(Vout2+Vfwd22+Rdcr_sec2*G110/CH110)*Nps/Nsec1sec2)</f>
        <v>16.701816096584029</v>
      </c>
      <c r="L110" s="172">
        <f t="shared" ref="L110:L141" si="318">MAX((Vout+Vfwd2+F110/CG110*Rdcr_sec)*Nps+J110, (Vout2+Vfwd22+G110/CH110*Rdcr_sec2)*Nps/Nsec1sec2+J110)</f>
        <v>35.69709819718198</v>
      </c>
      <c r="M110" s="443"/>
      <c r="N110" s="217">
        <f t="shared" ref="N110:N141" si="319">MAX((Vout+Vfwd2+F110/CG110*Rdcr_sec)*Nps/((Vout+Vfwd2+F110/CG110*Rdcr_sec)*Nps+J110), (Vout2+Vfwd22+G110/CH110*Rdcr_sec2)*Nps/Nsec1sec2/((Vout2+Vfwd22+G110/CH110*Rdcr_sec2)*Nps/Nsec1sec2+J110))</f>
        <v>0.46787601626124647</v>
      </c>
      <c r="O110" s="172">
        <f t="shared" ref="O110:O141" si="320">N110*J110*Isw_max*0.5*Efficiency*Pout/(Pout+Pout2)</f>
        <v>19.749859815525181</v>
      </c>
      <c r="P110" s="172">
        <f t="shared" ref="P110:P141" si="321">N110*J110*Isw_max*0.5*Efficiency*(Pout2/Pout_total)</f>
        <v>2.7773240365582286</v>
      </c>
      <c r="Q110" s="217">
        <f t="shared" ref="Q110:Q173" si="322">O110/Vout</f>
        <v>1.2343662384703238</v>
      </c>
      <c r="R110" s="217">
        <f t="shared" ref="R110:R141" si="323">O110/Vout2</f>
        <v>2.4687324769406476</v>
      </c>
      <c r="S110" s="217">
        <f t="shared" ref="S110:S141" si="324">MIN(Vout,O110/F110)</f>
        <v>16</v>
      </c>
      <c r="T110" s="217">
        <f t="shared" ref="T110:T141" si="325">MIN(2*(Vout*F110+Vout2*G110)/(Efficiency*J110*N110), Isw_max)</f>
        <v>4.5007711867465865E-4</v>
      </c>
      <c r="U110" s="217">
        <f t="shared" ref="U110:U173" si="326">L*T110/J110*1000000</f>
        <v>2.8432983492916318E-4</v>
      </c>
      <c r="V110" s="217">
        <f t="shared" ref="V110:V173" si="327">L*T110/K110*1000000</f>
        <v>3.2337354170727209E-4</v>
      </c>
      <c r="W110" s="197">
        <f t="shared" ref="W110:W173" si="328">IF(1/((350000*L)*(1/J110+1/K110))&gt;Isw_min, 350, 0.001/((Isw_min*L)*(1/J110+1/K110)))</f>
        <v>350</v>
      </c>
      <c r="X110" s="443">
        <f>MIN(1/(U110+V110+0.2)*1000, 350)</f>
        <v>350</v>
      </c>
      <c r="Z110" s="217">
        <f t="shared" ref="Z110:Z173" si="329">1/((W110*1000*L)*(1/J110+1/K110))</f>
        <v>2.1160564088062692</v>
      </c>
      <c r="AA110" s="173">
        <f t="shared" ref="AA110:AA173" si="330">L*Z110/K110*1000000</f>
        <v>1.5203542392535814</v>
      </c>
      <c r="AB110" s="173">
        <f t="shared" ref="AB110:AB141" si="331">0.5*AA110*Z110*Nps*W110/1000*(Pout/(Pout+Pout2))</f>
        <v>0.50044638491996107</v>
      </c>
      <c r="AC110" s="173"/>
      <c r="AD110" s="173">
        <f t="shared" ref="AD110:AD173" si="332">L*Isw_min/K110*1000000</f>
        <v>0.71848474025853526</v>
      </c>
      <c r="AE110" s="545">
        <f t="shared" ref="AE110:AE141" si="333">MAX(10, F110/(0.5*AD110/1000000*Isw_min*Nps)/1000*Pout_total/Pout)</f>
        <v>10</v>
      </c>
      <c r="AF110" s="528">
        <f t="shared" ref="AF110:AF141" si="334">0.5*AD110/1000000*Isw_min*Nps*W110*1000*(Pout/Pout_total)</f>
        <v>0.12573482954524365</v>
      </c>
      <c r="AH110" s="173">
        <f t="shared" ref="AH110:AH141" si="335">SQRT((H110+I110)/(0.5*L*Fsw_DCM))</f>
        <v>3.0860793434851465E-2</v>
      </c>
      <c r="AI110" s="173">
        <f t="shared" ref="AI110:AI141" si="336">MAX(IF(F110&gt;AB110,T110,AH110),Isw_min)</f>
        <v>1</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0.63173581400100676</v>
      </c>
      <c r="AT110" s="5">
        <f>AR110-AS110</f>
        <v>99.368264185998996</v>
      </c>
      <c r="AU110" s="173">
        <f>AS110/AR110</f>
        <v>6.3173581400100673E-3</v>
      </c>
      <c r="AW110" s="5">
        <f t="shared" ref="AW110:AW169" si="342">F110*AS110/Vout_ripple*1000</f>
        <v>3.9483488375062934E-9</v>
      </c>
      <c r="AX110" s="5">
        <f t="shared" ref="AX110:AX169" si="343">G110*AS110/Vout_ripple2*1000</f>
        <v>1.9741744187531463E-3</v>
      </c>
      <c r="AY110" s="5">
        <f t="shared" ref="AY110:AY169" si="344">H110/Efficiency/J110*AT110/Vinripple1</f>
        <v>6.9749434734899057E-8</v>
      </c>
      <c r="AZ110" s="5"/>
      <c r="BA110" s="173">
        <f t="shared" ref="BA110:BA169" si="345">AI110*SQRT(AU110/3)</f>
        <v>4.5888844468672585E-2</v>
      </c>
      <c r="BB110" s="173">
        <f t="shared" ref="BB110:BB169" si="346">AI110*Npri_sec1*SQRT((1-AU110)/3)*(Pout/Pout_total)</f>
        <v>0.57552371565962712</v>
      </c>
      <c r="BC110" s="173">
        <f t="shared" ref="BC110:BC169" si="347">AI110*Npri_sec2*SQRT((1-AU110)/3)*(Pout2/Pout_total)</f>
        <v>0.14134185369876137</v>
      </c>
      <c r="BD110" s="173"/>
      <c r="BE110" s="528">
        <f t="shared" ref="BE110:BE169" si="348">Rdson*BA110^2</f>
        <v>4.2115720933400454E-5</v>
      </c>
      <c r="BF110" s="528">
        <f t="shared" ref="BF110:BF141" si="349">0.5*L110*AI110*AM110*1000*Tfall</f>
        <v>6.5147204209857123E-3</v>
      </c>
      <c r="BG110" s="528">
        <f t="shared" ref="BG110:BG141" si="350">Qg*Vdd*AM110*1000*0+Qg*J110*AM110*1000</f>
        <v>4.368914883137529E-3</v>
      </c>
      <c r="BH110" s="528">
        <f t="shared" ref="BH110:BH169" si="351">0.5*(Coss+Csw)*L110^2*AM110*1000</f>
        <v>6.2758428870188215E-3</v>
      </c>
      <c r="BI110">
        <f t="shared" ref="BI110:BI169" si="352">J110*IQ</f>
        <v>8.5478769452690777E-3</v>
      </c>
      <c r="BJ110" s="460">
        <f>(BG110+BI110)*1000</f>
        <v>12.916791828406607</v>
      </c>
      <c r="BK110">
        <f t="shared" ref="BK110:BK141" si="353">(BF110+BG110*0+BH110+BI110*0+BE110*(1+RdsonTC*(Ta-25)))/(1-BE110*RdsonTC*ThetaJA)</f>
        <v>1.2844178801373517E-2</v>
      </c>
      <c r="BL110" s="460">
        <f>SUM(BE110:BI110)*1000</f>
        <v>25.749470857344544</v>
      </c>
      <c r="BM110" s="173">
        <f t="shared" ref="BM110:BM141" si="354">Vfwd2*F110*(1+Diode_TC/1000*(Ta-25))</f>
        <v>6.212499999999999E-10</v>
      </c>
      <c r="BN110" s="173">
        <f t="shared" ref="BN110:BN141" si="355">Vfwd2*G110*(1+Diode_TC/1000*(Ta-25))</f>
        <v>1.5531249999999999E-4</v>
      </c>
      <c r="BO110" s="528"/>
      <c r="BQ110" s="460">
        <f t="shared" ref="BQ110:BQ169" si="356">SUM(BM110:BP110)*1000</f>
        <v>0.15531312124999999</v>
      </c>
      <c r="BR110" s="528">
        <f t="shared" ref="BR110:BR169" si="357">Rdcr_pri*BA110^2</f>
        <v>6.317358140010067E-5</v>
      </c>
      <c r="BS110" s="528">
        <f t="shared" ref="BS110:BS169" si="358">Rdcr_sec*BB110^2</f>
        <v>9.9368264185998988E-3</v>
      </c>
      <c r="BT110" s="528">
        <f t="shared" ref="BT110:BT169" si="359">Rdcr_sec2*BC110^2</f>
        <v>9.9887598035010308E-5</v>
      </c>
      <c r="BU110" s="528">
        <f t="shared" ref="BU110:BU169" si="360">AI110^2.5*AM110^2.5*k_core</f>
        <v>1.5811388300841911E-5</v>
      </c>
      <c r="BV110" s="528"/>
      <c r="BW110" s="625">
        <f t="shared" ref="BW110:BW141" si="361">0.5*Lleak*0.000000001*AI110^2*AM110*1000</f>
        <v>4.9999999999999996E-5</v>
      </c>
      <c r="BX110" s="460">
        <f t="shared" ref="BX110:BX169" si="362">SUM(BR110:BW110)*1000</f>
        <v>10.165698986335853</v>
      </c>
      <c r="BY110" s="173">
        <f t="shared" ref="BY110:BY169" si="363">SUM(BE110:BI110,BM110:BP110,BR110:BW110)</f>
        <v>3.6070482964930393E-2</v>
      </c>
      <c r="BZ110" s="5">
        <f t="shared" ref="BZ110:BZ169" si="364">MIN(H110+I110,O110+P110)</f>
        <v>2.0000159999999999E-3</v>
      </c>
      <c r="CA110" s="173">
        <f t="shared" ref="CA110:CA169" si="365">BZ110/(BZ110+BY110)</f>
        <v>5.253453604173576E-2</v>
      </c>
      <c r="CB110" s="5">
        <f t="shared" ref="CB110:CB169" si="366">CA110*100</f>
        <v>5.2534536041735764</v>
      </c>
      <c r="CC110">
        <f t="shared" ref="CC110:CC169" si="367">F110/Iout*100</f>
        <v>1.0000000000000001E-7</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3.82546027838003E-6</v>
      </c>
      <c r="CH110" s="173">
        <f t="shared" ref="CH110:CH141" si="371">MIN(SQRT(2*DT110*1000*Ls2_*(CM110+CK110*Vfwd22))/(Vout2+Vfwd22), 1-DY110)</f>
        <v>1.3522862024714032E-3</v>
      </c>
      <c r="CI110" s="170">
        <v>0.1</v>
      </c>
      <c r="CJ110" s="217">
        <v>1.0000000000000001E-9</v>
      </c>
      <c r="CK110" s="217">
        <f t="shared" ref="CK110:CK173" si="372">IF(PLOT_TYPE=1, CI110/100*Iout2, min_I*EXP(CU110*rr/100))</f>
        <v>2.5000000000000001E-4</v>
      </c>
      <c r="CL110" s="217">
        <f t="shared" ref="CL110:CL173" si="373">CJ110*Vout</f>
        <v>1.6000000000000001E-8</v>
      </c>
      <c r="CM110" s="217">
        <f t="shared" ref="CM110:CM173" si="374">Vout2*CK110</f>
        <v>2E-3</v>
      </c>
      <c r="CN110" s="541">
        <f t="shared" ref="CN110:CN173" si="375">VIN_min</f>
        <v>19</v>
      </c>
      <c r="CO110" s="443">
        <f t="shared" ref="CO110:CO141" si="376">(CW110+Vfwd2)*Nps</f>
        <v>16.7</v>
      </c>
      <c r="CP110" s="443">
        <f t="shared" ref="CP110:CP141" si="377">(Vout+Vfwd2)*Nps+CN110</f>
        <v>35.700000000000003</v>
      </c>
      <c r="CQ110" s="443"/>
      <c r="CR110" s="217">
        <f t="shared" ref="CR110:CR173" si="378">(Vout+Vfwd1)*Nps/((Vout+Vfwd1)*Nps+CN110)</f>
        <v>0.4632768361581921</v>
      </c>
      <c r="CS110" s="172">
        <f t="shared" ref="CS110:CS173" si="379">CR110*CN110*Isw_max*0.5*Efficiency*Pout/(Pout+Pout2)</f>
        <v>19.560577526679221</v>
      </c>
      <c r="CT110" s="172">
        <f t="shared" ref="CT110:CT173" si="380">CR110*CN110*Isw_max*0.5*Efficiency*(Pout2/Pout_total)</f>
        <v>2.7507062146892656</v>
      </c>
      <c r="CU110" s="217">
        <f t="shared" ref="CU110:CU173" si="381">CS110/Vout</f>
        <v>1.2225360954174513</v>
      </c>
      <c r="CV110" s="217">
        <f t="shared" ref="CV110:CV173" si="382">CS110/Vout2</f>
        <v>2.4450721908349027</v>
      </c>
      <c r="CW110" s="217">
        <f t="shared" ref="CW110:CW173" si="383">MIN(Vout,CS110/CJ110)</f>
        <v>16</v>
      </c>
      <c r="CX110" s="217">
        <f t="shared" ref="CX110:CX173" si="384">MIN(2*(Vout*CJ110+Vout2*CK110)/(Efficiency*CN110*CR110), Isw_max)</f>
        <v>4.5443239024390235E-4</v>
      </c>
      <c r="CY110" s="217">
        <f t="shared" ref="CY110:CY173" si="385">L*CX110/CN110*1000000</f>
        <v>2.870099306803594E-4</v>
      </c>
      <c r="CZ110" s="217">
        <f t="shared" ref="CZ110:CZ173" si="386">L*CX110/CO110*1000000</f>
        <v>3.2653824448663642E-4</v>
      </c>
      <c r="DA110" s="197">
        <f t="shared" ref="DA110:DA173" si="387">IF(1/((350000*L)*(1/CN110+1/CO110))&gt;Isw_min, 350, 0.001/((Isw_min*L)*(1/CN110+1/CO110)))</f>
        <v>350</v>
      </c>
      <c r="DB110" s="443">
        <f t="shared" ref="DB110:DB173" si="388">MIN(1/(CY110+CZ110)*1000, 350)</f>
        <v>350</v>
      </c>
      <c r="DD110" s="217">
        <f t="shared" ref="DD110:DD173" si="389">1/((DA110*1000*L)*(1/CN110+1/CO110))</f>
        <v>2.1161798052554355</v>
      </c>
      <c r="DE110" s="173">
        <f t="shared" ref="DE110:DE173" si="390">L*DD110/CO110*1000000</f>
        <v>1.5206082432973189</v>
      </c>
      <c r="DF110" s="173">
        <f t="shared" ref="DF110:DF173" si="391">0.5*DE110*DD110*Nps*DA110/1000*(Pout/(Pout+Pout2))</f>
        <v>0.50055918207100247</v>
      </c>
      <c r="DG110" s="173"/>
      <c r="DH110" s="173">
        <f t="shared" ref="DH110:DH173" si="392">L*Isw_min/CO110*1000000</f>
        <v>0.71856287425149712</v>
      </c>
      <c r="DI110" s="545">
        <f t="shared" ref="DI110:DI173" si="393">MAX(10, CJ110/(0.5*DH110/1000000*Isw_min*Nps)/1000*Pout_total/Pout)</f>
        <v>10</v>
      </c>
      <c r="DJ110" s="528">
        <f t="shared" ref="DJ110:DJ173" si="394">0.5*DH110/1000000*Isw_min*Nps*DA110*1000*(Pout/Pout_total)</f>
        <v>0.125748502994012</v>
      </c>
      <c r="DL110" s="173">
        <f t="shared" ref="DL110:DL173" si="395">SQRT((CL110+CM110)/(0.5*L*Fsw_DCM))</f>
        <v>3.0860793434851465E-2</v>
      </c>
      <c r="DM110" s="173">
        <f t="shared" ref="DM110:DM173" si="396">MAX(IF(CJ110&gt;DF110,CX110,DL110),Isw_min)</f>
        <v>1</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0.63157894736842113</v>
      </c>
      <c r="DX110" s="5">
        <f t="shared" ref="DX110:DX173" si="404">DV110-DW110</f>
        <v>99.368421052631575</v>
      </c>
      <c r="DY110" s="173">
        <f t="shared" ref="DY110:DY173" si="405">DW110/DV110</f>
        <v>6.3157894736842113E-3</v>
      </c>
      <c r="EA110" s="5">
        <f t="shared" ref="EA110:EA173" si="406">CJ110*DW110/Vout_ripple*1000</f>
        <v>3.9473684210526322E-9</v>
      </c>
      <c r="EB110" s="5">
        <f t="shared" ref="EB110:EB173" si="407">CK110*DW110/Vout_ripple2*1000</f>
        <v>1.9736842105263163E-3</v>
      </c>
      <c r="EC110" s="5">
        <f t="shared" ref="EC110:EC173" si="408">CL110/Efficiency/CN110*DX110/Vinripple1</f>
        <v>6.9732225300092339E-8</v>
      </c>
      <c r="ED110" s="5"/>
      <c r="EE110" s="173">
        <f t="shared" ref="EE110:EE173" si="409">DM110*SQRT(DY110/3)</f>
        <v>4.5883146774112357E-2</v>
      </c>
      <c r="EF110" s="173">
        <f t="shared" ref="EF110:EF173" si="410">DM110*Npri_sec1*SQRT((1-DY110)/3)*(Pout/Pout_total)</f>
        <v>0.57552416993158384</v>
      </c>
      <c r="EG110" s="173">
        <f t="shared" ref="EG110:EG173" si="411">DM110*Npri_sec2*SQRT((1-DY110)/3)*(Pout2/Pout_total)</f>
        <v>0.14134196526260956</v>
      </c>
      <c r="EH110" s="173"/>
      <c r="EI110" s="528">
        <f t="shared" ref="EI110:EI173" si="412">Rdson*EE110^2</f>
        <v>4.2105263157894745E-5</v>
      </c>
      <c r="EJ110" s="528">
        <f t="shared" ref="EJ110:EJ173" si="413">0.5*CP110*DM110*DQ110*1000*Trise</f>
        <v>6.7830000000000008E-3</v>
      </c>
      <c r="EK110" s="528">
        <f t="shared" ref="EK110:EK173" si="414">Qg*Vdd*DQ110*1000</f>
        <v>1.15E-3</v>
      </c>
      <c r="EL110" s="528">
        <f t="shared" ref="EL110:EL173" si="415">0.5*(Coss+Csw)*CP110^2*DQ110*1000</f>
        <v>6.2768632500000013E-3</v>
      </c>
      <c r="EM110">
        <f t="shared" ref="EM110:EM173" si="416">CN110*IQ</f>
        <v>8.5500000000000003E-3</v>
      </c>
      <c r="EN110" s="460">
        <f t="shared" ref="EN110:EN173" si="417">(EK110+EM110)*1000</f>
        <v>9.7000000000000011</v>
      </c>
      <c r="EP110" s="460">
        <f>SUM(EI110:EM110)*1000</f>
        <v>22.801968513157895</v>
      </c>
      <c r="EQ110" s="173">
        <f t="shared" ref="EQ110:EQ173" si="418">Vfwd2*CJ110</f>
        <v>6.9999999999999996E-10</v>
      </c>
      <c r="ER110" s="173">
        <f t="shared" ref="ER110:ER141" si="419">Vfwd22*CK110*(1+Diode_TC/1000*(Ta-25))</f>
        <v>1.1093749999999999E-4</v>
      </c>
      <c r="ES110" s="528"/>
      <c r="EU110" s="460">
        <f t="shared" ref="EU110:EU169" si="420">SUM(EQ110:ET110)*1000</f>
        <v>0.11093819999999999</v>
      </c>
      <c r="EV110" s="528">
        <f t="shared" ref="EV110:EV173" si="421">Rdcr_pri*EE110^2</f>
        <v>6.3157894736842117E-5</v>
      </c>
      <c r="EW110" s="528">
        <f t="shared" ref="EW110:EW173" si="422">Rdcr_sec*EF110^2</f>
        <v>9.9368421052631571E-3</v>
      </c>
      <c r="EX110" s="528">
        <f t="shared" ref="EX110:EX173" si="423">Rdcr_sec2*EG110^2</f>
        <v>9.9887755721483643E-5</v>
      </c>
      <c r="EY110" s="528">
        <f t="shared" ref="EY110:EY173" si="424">DM110^2.5*DQ110^2.5*k_core</f>
        <v>1.5811388300841911E-5</v>
      </c>
      <c r="EZ110" s="528"/>
      <c r="FA110" s="625">
        <f t="shared" ref="FA110:FA173" si="425">0.5*Lleak*0.000000001*DM110^2*DQ110*1000</f>
        <v>4.9999999999999996E-5</v>
      </c>
      <c r="FB110" s="460">
        <f t="shared" ref="FB110:FB169" si="426">SUM(EV110:FA110)*1000</f>
        <v>10.165699144022323</v>
      </c>
      <c r="FC110" s="173">
        <f t="shared" ref="FC110:FC173" si="427">SUM(EI110:EM110,EQ110:ET110,EV110:FA110)</f>
        <v>3.3078605857180227E-2</v>
      </c>
      <c r="FD110" s="5">
        <f t="shared" ref="FD110:FD173" si="428">MIN(CL110+CM110,CS110+CT110)</f>
        <v>2.0000159999999999E-3</v>
      </c>
      <c r="FE110" s="173">
        <f t="shared" ref="FE110:FE173" si="429">FD110/(FD110+FC110)</f>
        <v>5.7015238744067637E-2</v>
      </c>
      <c r="FF110" s="5">
        <f t="shared" ref="FF110:FF173" si="430">FE110*100</f>
        <v>5.7015238744067638</v>
      </c>
      <c r="FG110">
        <f t="shared" ref="FG110:FG173" si="431">CJ110/Iout*100</f>
        <v>1.0000000000000001E-7</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0.01</v>
      </c>
      <c r="G111" s="217">
        <f t="shared" si="313"/>
        <v>2.5000000000000001E-3</v>
      </c>
      <c r="H111" s="217">
        <f t="shared" si="314"/>
        <v>0.16</v>
      </c>
      <c r="I111" s="217">
        <f t="shared" si="315"/>
        <v>0.02</v>
      </c>
      <c r="J111" s="541">
        <f t="shared" si="316"/>
        <v>18.966307696403316</v>
      </c>
      <c r="K111" s="443">
        <f t="shared" si="317"/>
        <v>16.714864658887183</v>
      </c>
      <c r="L111" s="172">
        <f t="shared" si="318"/>
        <v>35.681172355290499</v>
      </c>
      <c r="M111" s="443"/>
      <c r="N111" s="217">
        <f t="shared" si="319"/>
        <v>0.46845054563934041</v>
      </c>
      <c r="O111" s="172">
        <f t="shared" si="320"/>
        <v>19.743949309208343</v>
      </c>
      <c r="P111" s="172">
        <f t="shared" si="321"/>
        <v>2.7764928716074233</v>
      </c>
      <c r="Q111" s="217">
        <f t="shared" si="322"/>
        <v>1.2339968318255214</v>
      </c>
      <c r="R111" s="217">
        <f t="shared" si="323"/>
        <v>2.4679936636510429</v>
      </c>
      <c r="S111" s="217">
        <f t="shared" si="324"/>
        <v>16</v>
      </c>
      <c r="T111" s="217">
        <f t="shared" si="325"/>
        <v>4.0518742601658192E-2</v>
      </c>
      <c r="U111" s="217">
        <f t="shared" si="326"/>
        <v>2.5636245019482824E-2</v>
      </c>
      <c r="V111" s="217">
        <f t="shared" si="327"/>
        <v>2.9089371714498189E-2</v>
      </c>
      <c r="W111" s="197">
        <f t="shared" si="328"/>
        <v>350</v>
      </c>
      <c r="X111" s="443">
        <f t="shared" ref="X111:X174" si="435">MIN(1/(U111+V111+0.2)*1000, 350)</f>
        <v>350</v>
      </c>
      <c r="Z111" s="217">
        <f t="shared" si="329"/>
        <v>2.1154231402723225</v>
      </c>
      <c r="AA111" s="173">
        <f t="shared" si="330"/>
        <v>1.5187127267447416</v>
      </c>
      <c r="AB111" s="173">
        <f t="shared" si="331"/>
        <v>0.49975645153496262</v>
      </c>
      <c r="AC111" s="173"/>
      <c r="AD111" s="173">
        <f t="shared" si="332"/>
        <v>0.71792385070971421</v>
      </c>
      <c r="AE111" s="545">
        <f t="shared" si="333"/>
        <v>27.858107764811972</v>
      </c>
      <c r="AF111" s="528">
        <f t="shared" si="334"/>
        <v>0.12563667387419999</v>
      </c>
      <c r="AH111" s="173">
        <f t="shared" si="335"/>
        <v>0.29277002188455992</v>
      </c>
      <c r="AI111" s="173">
        <f t="shared" si="336"/>
        <v>1</v>
      </c>
      <c r="AJ111" s="173">
        <f t="shared" si="337"/>
        <v>1.0159189187227498</v>
      </c>
      <c r="AL111" s="545">
        <f t="shared" si="338"/>
        <v>10</v>
      </c>
      <c r="AM111" s="460">
        <f t="shared" si="339"/>
        <v>27.858107764811972</v>
      </c>
      <c r="AO111" s="460">
        <f t="shared" si="340"/>
        <v>10</v>
      </c>
      <c r="AP111" s="460">
        <f t="shared" si="341"/>
        <v>27.858107764811972</v>
      </c>
      <c r="AR111" s="5">
        <f t="shared" si="275"/>
        <v>35.89619253548571</v>
      </c>
      <c r="AS111" s="5">
        <f>L*AI111/J111*1000000</f>
        <v>0.63270090267889234</v>
      </c>
      <c r="AT111" s="5">
        <f>AR111-AS111</f>
        <v>35.263491632806819</v>
      </c>
      <c r="AU111" s="173">
        <f>AS111/AR111</f>
        <v>1.7625849929722395E-2</v>
      </c>
      <c r="AW111" s="5">
        <f t="shared" si="342"/>
        <v>3.9543806417430764E-2</v>
      </c>
      <c r="AX111" s="5">
        <f t="shared" si="343"/>
        <v>1.9771903208715382E-2</v>
      </c>
      <c r="AY111" s="5">
        <f t="shared" si="344"/>
        <v>0.24790269986318259</v>
      </c>
      <c r="AZ111" s="5"/>
      <c r="BA111" s="173">
        <f t="shared" si="345"/>
        <v>7.6650396671559803E-2</v>
      </c>
      <c r="BB111" s="173">
        <f t="shared" si="346"/>
        <v>0.57223950407449664</v>
      </c>
      <c r="BC111" s="173">
        <f t="shared" si="347"/>
        <v>0.14053528997123665</v>
      </c>
      <c r="BD111" s="173"/>
      <c r="BE111" s="528">
        <f t="shared" si="348"/>
        <v>1.1750566619814933E-4</v>
      </c>
      <c r="BF111" s="528">
        <f t="shared" si="349"/>
        <v>1.8140681489835359E-2</v>
      </c>
      <c r="BG111" s="528">
        <f t="shared" si="350"/>
        <v>1.2152405205260683E-2</v>
      </c>
      <c r="BH111" s="528">
        <f t="shared" si="351"/>
        <v>1.74677142777541E-2</v>
      </c>
      <c r="BI111">
        <f t="shared" si="352"/>
        <v>8.5348384633814924E-3</v>
      </c>
      <c r="BJ111" s="460">
        <f t="shared" ref="BJ111:BJ174" si="436">(BG111+BI111)*1000</f>
        <v>20.687243668642179</v>
      </c>
      <c r="BK111">
        <f t="shared" si="353"/>
        <v>3.5758626321132178E-2</v>
      </c>
      <c r="BL111" s="460">
        <f t="shared" ref="BL111:BL174" si="437">SUM(BE111:BI111)*1000</f>
        <v>56.413145102429787</v>
      </c>
      <c r="BM111" s="173">
        <f t="shared" si="354"/>
        <v>6.2124999999999993E-3</v>
      </c>
      <c r="BN111" s="173">
        <f t="shared" si="355"/>
        <v>1.5531249999999998E-3</v>
      </c>
      <c r="BO111" s="528"/>
      <c r="BQ111" s="460">
        <f t="shared" si="356"/>
        <v>7.7656249999999991</v>
      </c>
      <c r="BR111" s="528">
        <f t="shared" si="357"/>
        <v>1.7625849929722397E-4</v>
      </c>
      <c r="BS111" s="528">
        <f t="shared" si="358"/>
        <v>9.8237415007027765E-3</v>
      </c>
      <c r="BT111" s="528">
        <f t="shared" si="359"/>
        <v>9.8750838636497854E-5</v>
      </c>
      <c r="BU111" s="528">
        <f t="shared" si="360"/>
        <v>2.0480900112299354E-4</v>
      </c>
      <c r="BV111" s="528"/>
      <c r="BW111" s="625">
        <f t="shared" si="361"/>
        <v>1.3929053882405986E-4</v>
      </c>
      <c r="BX111" s="460">
        <f t="shared" si="362"/>
        <v>10.442850378583554</v>
      </c>
      <c r="BY111" s="173">
        <f t="shared" si="363"/>
        <v>7.462162048101334E-2</v>
      </c>
      <c r="BZ111" s="5">
        <f t="shared" si="364"/>
        <v>0.18</v>
      </c>
      <c r="CA111" s="173">
        <f t="shared" si="365"/>
        <v>0.70693132680546378</v>
      </c>
      <c r="CB111" s="5">
        <f t="shared" si="366"/>
        <v>70.693132680546384</v>
      </c>
      <c r="CC111">
        <f t="shared" si="367"/>
        <v>1</v>
      </c>
      <c r="CE111" s="562">
        <f t="shared" si="368"/>
        <v>-50</v>
      </c>
      <c r="CF111">
        <f t="shared" si="369"/>
        <v>-50</v>
      </c>
      <c r="CG111" s="173">
        <f t="shared" si="370"/>
        <v>2.0182097838696844E-2</v>
      </c>
      <c r="CH111" s="173">
        <f t="shared" si="371"/>
        <v>7.1342976944345675E-3</v>
      </c>
      <c r="CI111" s="170">
        <v>1</v>
      </c>
      <c r="CJ111" s="217">
        <f t="shared" ref="CJ111:CJ174" si="438">IF(PLOT_TYPE=1, CI111/100*Iout_max, min_I*EXP(CS111*rr/100))</f>
        <v>0.01</v>
      </c>
      <c r="CK111" s="217">
        <f t="shared" si="372"/>
        <v>2.5000000000000001E-3</v>
      </c>
      <c r="CL111" s="217">
        <f t="shared" si="373"/>
        <v>0.16</v>
      </c>
      <c r="CM111" s="217">
        <f t="shared" si="374"/>
        <v>0.02</v>
      </c>
      <c r="CN111" s="541">
        <f t="shared" si="375"/>
        <v>19</v>
      </c>
      <c r="CO111" s="443">
        <f t="shared" si="376"/>
        <v>16.7</v>
      </c>
      <c r="CP111" s="443">
        <f t="shared" si="377"/>
        <v>35.700000000000003</v>
      </c>
      <c r="CQ111" s="443"/>
      <c r="CR111" s="217">
        <f t="shared" si="378"/>
        <v>0.4632768361581921</v>
      </c>
      <c r="CS111" s="172">
        <f t="shared" si="379"/>
        <v>19.560577526679221</v>
      </c>
      <c r="CT111" s="172">
        <f t="shared" si="380"/>
        <v>2.7507062146892656</v>
      </c>
      <c r="CU111" s="217">
        <f t="shared" si="381"/>
        <v>1.2225360954174513</v>
      </c>
      <c r="CV111" s="217">
        <f t="shared" si="382"/>
        <v>2.4450721908349027</v>
      </c>
      <c r="CW111" s="217">
        <f t="shared" si="383"/>
        <v>16</v>
      </c>
      <c r="CX111" s="217">
        <f t="shared" si="384"/>
        <v>4.089858793324775E-2</v>
      </c>
      <c r="CY111" s="217">
        <f t="shared" si="385"/>
        <v>2.5830687115735419E-2</v>
      </c>
      <c r="CZ111" s="217">
        <f t="shared" si="386"/>
        <v>2.9388206898142095E-2</v>
      </c>
      <c r="DA111" s="197">
        <f t="shared" si="387"/>
        <v>350</v>
      </c>
      <c r="DB111" s="443">
        <f t="shared" si="388"/>
        <v>350</v>
      </c>
      <c r="DD111" s="217">
        <f t="shared" si="389"/>
        <v>2.1161798052554355</v>
      </c>
      <c r="DE111" s="173">
        <f t="shared" si="390"/>
        <v>1.5206082432973189</v>
      </c>
      <c r="DF111" s="173">
        <f t="shared" si="391"/>
        <v>0.50055918207100247</v>
      </c>
      <c r="DG111" s="173"/>
      <c r="DH111" s="173">
        <f t="shared" si="392"/>
        <v>0.71856287425149712</v>
      </c>
      <c r="DI111" s="545">
        <f t="shared" si="393"/>
        <v>27.833333333333332</v>
      </c>
      <c r="DJ111" s="528">
        <f t="shared" si="394"/>
        <v>0.125748502994012</v>
      </c>
      <c r="DL111" s="173">
        <f t="shared" si="395"/>
        <v>0.29277002188455992</v>
      </c>
      <c r="DM111" s="173">
        <f t="shared" si="396"/>
        <v>1</v>
      </c>
      <c r="DN111" s="173">
        <f t="shared" si="397"/>
        <v>1.0159047619047619</v>
      </c>
      <c r="DP111" s="545">
        <f t="shared" si="398"/>
        <v>10</v>
      </c>
      <c r="DQ111" s="460">
        <f t="shared" si="399"/>
        <v>27.833333333333332</v>
      </c>
      <c r="DS111" s="460">
        <f t="shared" si="400"/>
        <v>10</v>
      </c>
      <c r="DT111" s="460">
        <f t="shared" si="401"/>
        <v>27.833333333333332</v>
      </c>
      <c r="DV111" s="5">
        <f t="shared" si="402"/>
        <v>35.928143712574851</v>
      </c>
      <c r="DW111" s="5">
        <f t="shared" si="403"/>
        <v>0.63157894736842113</v>
      </c>
      <c r="DX111" s="5">
        <f t="shared" si="404"/>
        <v>35.296564765206433</v>
      </c>
      <c r="DY111" s="173">
        <f t="shared" si="405"/>
        <v>1.7578947368421055E-2</v>
      </c>
      <c r="EA111" s="5">
        <f t="shared" si="406"/>
        <v>3.9473684210526321E-2</v>
      </c>
      <c r="EB111" s="5">
        <f t="shared" si="407"/>
        <v>1.973684210526316E-2</v>
      </c>
      <c r="EC111" s="5">
        <f t="shared" si="408"/>
        <v>0.24769519133478196</v>
      </c>
      <c r="ED111" s="5"/>
      <c r="EE111" s="173">
        <f t="shared" si="409"/>
        <v>7.6548345003710036E-2</v>
      </c>
      <c r="EF111" s="173">
        <f t="shared" si="410"/>
        <v>0.57225316443906737</v>
      </c>
      <c r="EG111" s="173">
        <f t="shared" si="411"/>
        <v>0.14053864479606507</v>
      </c>
      <c r="EH111" s="173"/>
      <c r="EI111" s="528">
        <f t="shared" si="412"/>
        <v>1.1719298245614039E-4</v>
      </c>
      <c r="EJ111" s="528">
        <f t="shared" si="413"/>
        <v>1.8879350000000003E-2</v>
      </c>
      <c r="EK111" s="528">
        <f t="shared" si="414"/>
        <v>3.2008333333333333E-3</v>
      </c>
      <c r="EL111" s="528">
        <f t="shared" si="415"/>
        <v>1.7470602712500002E-2</v>
      </c>
      <c r="EM111">
        <f t="shared" si="416"/>
        <v>8.5500000000000003E-3</v>
      </c>
      <c r="EN111" s="460">
        <f t="shared" si="417"/>
        <v>11.750833333333334</v>
      </c>
      <c r="EP111" s="460">
        <f t="shared" ref="EP111:EP174" si="439">SUM(EI111:EM111)*1000</f>
        <v>48.217979028289477</v>
      </c>
      <c r="EQ111" s="173">
        <f t="shared" si="418"/>
        <v>6.9999999999999993E-3</v>
      </c>
      <c r="ER111" s="173">
        <f t="shared" si="419"/>
        <v>1.1093749999999999E-3</v>
      </c>
      <c r="ES111" s="528"/>
      <c r="EU111" s="460">
        <f t="shared" si="420"/>
        <v>8.1093749999999982</v>
      </c>
      <c r="EV111" s="528">
        <f t="shared" si="421"/>
        <v>1.7578947368421057E-4</v>
      </c>
      <c r="EW111" s="528">
        <f t="shared" si="422"/>
        <v>9.8242105263157894E-3</v>
      </c>
      <c r="EX111" s="528">
        <f t="shared" si="423"/>
        <v>9.8755553405572736E-5</v>
      </c>
      <c r="EY111" s="528">
        <f t="shared" si="424"/>
        <v>2.0435395919852069E-4</v>
      </c>
      <c r="EZ111" s="528"/>
      <c r="FA111" s="625">
        <f t="shared" si="425"/>
        <v>1.3916666666666667E-4</v>
      </c>
      <c r="FB111" s="460">
        <f t="shared" si="426"/>
        <v>10.442276179270758</v>
      </c>
      <c r="FC111" s="173">
        <f t="shared" si="427"/>
        <v>6.6769630207560243E-2</v>
      </c>
      <c r="FD111" s="5">
        <f t="shared" si="428"/>
        <v>0.18</v>
      </c>
      <c r="FE111" s="173">
        <f t="shared" si="429"/>
        <v>0.72942525321531793</v>
      </c>
      <c r="FF111" s="5">
        <f t="shared" si="430"/>
        <v>72.942525321531789</v>
      </c>
      <c r="FG111">
        <f t="shared" si="431"/>
        <v>1</v>
      </c>
      <c r="FI111" s="562">
        <f t="shared" si="432"/>
        <v>-50</v>
      </c>
      <c r="FJ111">
        <f t="shared" si="433"/>
        <v>-50</v>
      </c>
    </row>
    <row r="112" spans="5:169">
      <c r="E112" s="170">
        <v>3</v>
      </c>
      <c r="F112" s="217">
        <f>IF(PLOT_TYPE=1, E112/100*Iout_max, min_I*EXP(O112*rr/100))</f>
        <v>0.03</v>
      </c>
      <c r="G112" s="217">
        <f>IF(PLOT_TYPE=1, E112/100*Iout2, min_I*EXP(Q112*rr/100))</f>
        <v>7.4999999999999997E-3</v>
      </c>
      <c r="H112" s="217">
        <f>F112*Vout</f>
        <v>0.48</v>
      </c>
      <c r="I112" s="217">
        <f>Vout2*G112</f>
        <v>0.06</v>
      </c>
      <c r="J112" s="541">
        <f>VIN_min-(F112/CG112/Nps+G112/CH112/(Nps/Nsec1sec2))*(Rdcr_pri+RON/1000)</f>
        <v>18.966307696403316</v>
      </c>
      <c r="K112" s="443">
        <f t="shared" si="317"/>
        <v>16.714864658887183</v>
      </c>
      <c r="L112" s="172">
        <f t="shared" si="318"/>
        <v>35.681172355290499</v>
      </c>
      <c r="M112" s="443"/>
      <c r="N112" s="217">
        <f t="shared" si="319"/>
        <v>0.46845054563934041</v>
      </c>
      <c r="O112" s="172">
        <f>N112*J112*Isw_max*0.5*Efficiency*Pout/(Pout+Pout2)</f>
        <v>19.743949309208343</v>
      </c>
      <c r="P112" s="172">
        <f>N112*J112*Isw_max*0.5*Efficiency*(Pout2/Pout_total)</f>
        <v>2.7764928716074233</v>
      </c>
      <c r="Q112" s="217">
        <f>O112/Vout</f>
        <v>1.2339968318255214</v>
      </c>
      <c r="R112" s="217">
        <f>O112/Vout2</f>
        <v>2.4679936636510429</v>
      </c>
      <c r="S112" s="217">
        <f>MIN(Vout,O112/F112)</f>
        <v>16</v>
      </c>
      <c r="T112" s="217">
        <f>MIN(2*(Vout*F112+Vout2*G112)/(Efficiency*J112*N112), Isw_max)</f>
        <v>0.12155622780497459</v>
      </c>
      <c r="U112" s="217">
        <f>L*T112/J112*1000000</f>
        <v>7.6908735058448488E-2</v>
      </c>
      <c r="V112" s="217">
        <f>L*T112/K112*1000000</f>
        <v>8.7268115143494585E-2</v>
      </c>
      <c r="W112" s="197">
        <f>IF(1/((350000*L)*(1/J112+1/K112))&gt;Isw_min, 350, 0.001/((Isw_min*L)*(1/J112+1/K112)))</f>
        <v>350</v>
      </c>
      <c r="X112" s="443">
        <f t="shared" si="435"/>
        <v>350</v>
      </c>
      <c r="Z112" s="217">
        <f>1/((W112*1000*L)*(1/J112+1/K112))</f>
        <v>2.1154231402723225</v>
      </c>
      <c r="AA112" s="173">
        <f>L*Z112/K112*1000000</f>
        <v>1.5187127267447416</v>
      </c>
      <c r="AB112" s="173">
        <f>0.5*AA112*Z112*Nps*W112/1000*(Pout/(Pout+Pout2))</f>
        <v>0.49975645153496262</v>
      </c>
      <c r="AC112" s="173"/>
      <c r="AD112" s="173">
        <f>L*Isw_min/K112*1000000</f>
        <v>0.71792385070971421</v>
      </c>
      <c r="AE112" s="545">
        <f>MAX(10, F112/(0.5*AD112/1000000*Isw_min*Nps)/1000*Pout_total/Pout)</f>
        <v>83.574323294435899</v>
      </c>
      <c r="AF112" s="528">
        <f>0.5*AD112/1000000*Isw_min*Nps*W112*1000*(Pout/Pout_total)</f>
        <v>0.12563667387419999</v>
      </c>
      <c r="AH112" s="173">
        <f>SQRT((H112+I112)/(0.5*L*Fsw_DCM))</f>
        <v>0.50709255283710997</v>
      </c>
      <c r="AI112" s="173">
        <f>MAX(IF(F112&gt;AB112,T112,AH112),Isw_min)</f>
        <v>1</v>
      </c>
      <c r="AJ112" s="173">
        <f>IF(F112&gt;AF112, (AI112-Isw_min)/1.08*0.8+1.2, AE112*0.2/350+1)</f>
        <v>1.047756756168249</v>
      </c>
      <c r="AL112" s="545">
        <f>F112*1000</f>
        <v>30</v>
      </c>
      <c r="AM112" s="460">
        <f>IF(F112&gt;AF112, X112, AE112)</f>
        <v>83.574323294435899</v>
      </c>
      <c r="AO112" s="460">
        <f>IF(H112&gt;O112, "",AL112)</f>
        <v>30</v>
      </c>
      <c r="AP112" s="460">
        <f>IF(H112&gt;O112, "",AM112)</f>
        <v>83.574323294435899</v>
      </c>
      <c r="AR112" s="5">
        <f>1/AM112*1000</f>
        <v>11.965397511828572</v>
      </c>
      <c r="AS112" s="5">
        <f>L*AI112/J112*1000000</f>
        <v>0.63270090267889234</v>
      </c>
      <c r="AT112" s="5">
        <f>AR112-AS112</f>
        <v>11.332696609149679</v>
      </c>
      <c r="AU112" s="173">
        <f>AS112/AR112</f>
        <v>5.2877549789167172E-2</v>
      </c>
      <c r="AW112" s="5">
        <f>F112*AS112/Vout_ripple*1000</f>
        <v>0.11863141925229231</v>
      </c>
      <c r="AX112" s="5">
        <f>G112*AS112/Vout_ripple2*1000</f>
        <v>5.9315709626146157E-2</v>
      </c>
      <c r="AY112" s="5">
        <f>H112/Efficiency/J112*AT112/Vinripple1</f>
        <v>0.23900691247983405</v>
      </c>
      <c r="AZ112" s="5"/>
      <c r="BA112" s="173">
        <f>AI112*SQRT(AU112/3)</f>
        <v>0.13276238145544991</v>
      </c>
      <c r="BB112" s="173">
        <f>AI112*Npri_sec1*SQRT((1-AU112)/3)*(Pout/Pout_total)</f>
        <v>0.56187853082637973</v>
      </c>
      <c r="BC112" s="173">
        <f>AI112*Npri_sec2*SQRT((1-AU112)/3)*(Pout2/Pout_total)</f>
        <v>0.13799075683530207</v>
      </c>
      <c r="BD112" s="173"/>
      <c r="BE112" s="528">
        <f>Rdson*BA112^2</f>
        <v>3.5251699859444784E-4</v>
      </c>
      <c r="BF112" s="528">
        <f t="shared" si="349"/>
        <v>5.4422044469506055E-2</v>
      </c>
      <c r="BG112" s="528">
        <f t="shared" si="350"/>
        <v>3.6457215615782045E-2</v>
      </c>
      <c r="BH112" s="528">
        <f>0.5*(Coss+Csw)*L112^2*AM112*1000</f>
        <v>5.2403142833262292E-2</v>
      </c>
      <c r="BI112">
        <f>J112*IQ</f>
        <v>8.5348384633814924E-3</v>
      </c>
      <c r="BJ112" s="460">
        <f>(BG112+BI112)*1000</f>
        <v>44.992054079163537</v>
      </c>
      <c r="BK112">
        <f t="shared" si="353"/>
        <v>0.10728186960998772</v>
      </c>
      <c r="BL112" s="460">
        <f>SUM(BE112:BI112)*1000</f>
        <v>152.16975838052633</v>
      </c>
      <c r="BM112" s="173">
        <f t="shared" si="354"/>
        <v>1.8637499999999998E-2</v>
      </c>
      <c r="BN112" s="173">
        <f t="shared" si="355"/>
        <v>4.6593749999999995E-3</v>
      </c>
      <c r="BO112" s="528"/>
      <c r="BQ112" s="460">
        <f>SUM(BM112:BP112)*1000</f>
        <v>23.296874999999996</v>
      </c>
      <c r="BR112" s="528">
        <f>Rdcr_pri*BA112^2</f>
        <v>5.2877549789167178E-4</v>
      </c>
      <c r="BS112" s="528">
        <f>Rdcr_sec*BB112^2</f>
        <v>9.4712245021083274E-3</v>
      </c>
      <c r="BT112" s="528">
        <f>Rdcr_sec2*BC112^2</f>
        <v>9.520724485989733E-5</v>
      </c>
      <c r="BU112" s="528">
        <f>AI112^2.5*AM112^2.5*k_core</f>
        <v>3.1926563621320972E-3</v>
      </c>
      <c r="BV112" s="528"/>
      <c r="BW112" s="625">
        <f>0.5*Lleak*0.000000001*AI112^2*AM112*1000</f>
        <v>4.1787161647217951E-4</v>
      </c>
      <c r="BX112" s="460">
        <f>SUM(BR112:BW112)*1000</f>
        <v>13.705735223464172</v>
      </c>
      <c r="BY112" s="173">
        <f>SUM(BE112:BI112,BM112:BP112,BR112:BW112)</f>
        <v>0.1891723686039905</v>
      </c>
      <c r="BZ112" s="5">
        <f>MIN(H112+I112,O112+P112)</f>
        <v>0.54</v>
      </c>
      <c r="CA112" s="173">
        <f>BZ112/(BZ112+BY112)</f>
        <v>0.74056563749643534</v>
      </c>
      <c r="CB112" s="5">
        <f>CA112*100</f>
        <v>74.05656374964353</v>
      </c>
      <c r="CC112">
        <f>F112/Iout*100</f>
        <v>3</v>
      </c>
      <c r="CE112" s="562">
        <f>IF(ABS(F112-Ioutmax_Vinmin)&lt;Iout/200, AM112, -50)</f>
        <v>-50</v>
      </c>
      <c r="CF112">
        <f>IF(ABS(F112-Ioutmax_Vinmin)&lt;Iout/200, (O112+P112)*CA112, -50)</f>
        <v>-50</v>
      </c>
      <c r="CG112" s="173">
        <f>MIN(SQRT(2*DT112*1000*Ls1_*(CL112+CJ112*Vfwd1))/(CW112+Vfwd1), 1-DY112)</f>
        <v>6.0546293516090519E-2</v>
      </c>
      <c r="CH112" s="173">
        <f t="shared" si="371"/>
        <v>2.14028930833037E-2</v>
      </c>
      <c r="CI112" s="170">
        <v>3</v>
      </c>
      <c r="CJ112" s="217">
        <f>IF(PLOT_TYPE=1, CI112/100*Iout_max, min_I*EXP(CS112*rr/100))</f>
        <v>0.03</v>
      </c>
      <c r="CK112" s="217">
        <f>IF(PLOT_TYPE=1, CI112/100*Iout2, min_I*EXP(CU112*rr/100))</f>
        <v>7.4999999999999997E-3</v>
      </c>
      <c r="CL112" s="217">
        <f>CJ112*Vout</f>
        <v>0.48</v>
      </c>
      <c r="CM112" s="217">
        <f>Vout2*CK112</f>
        <v>0.06</v>
      </c>
      <c r="CN112" s="541">
        <f t="shared" si="375"/>
        <v>19</v>
      </c>
      <c r="CO112" s="443">
        <f t="shared" si="376"/>
        <v>16.7</v>
      </c>
      <c r="CP112" s="443">
        <f t="shared" si="377"/>
        <v>35.700000000000003</v>
      </c>
      <c r="CQ112" s="443"/>
      <c r="CR112" s="217">
        <f>(Vout+Vfwd1)*Nps/((Vout+Vfwd1)*Nps+CN112)</f>
        <v>0.4632768361581921</v>
      </c>
      <c r="CS112" s="172">
        <f>CR112*CN112*Isw_max*0.5*Efficiency*Pout/(Pout+Pout2)</f>
        <v>19.560577526679221</v>
      </c>
      <c r="CT112" s="172">
        <f>CR112*CN112*Isw_max*0.5*Efficiency*(Pout2/Pout_total)</f>
        <v>2.7507062146892656</v>
      </c>
      <c r="CU112" s="217">
        <f>CS112/Vout</f>
        <v>1.2225360954174513</v>
      </c>
      <c r="CV112" s="217">
        <f>CS112/Vout2</f>
        <v>2.4450721908349027</v>
      </c>
      <c r="CW112" s="217">
        <f>MIN(Vout,CS112/CJ112)</f>
        <v>16</v>
      </c>
      <c r="CX112" s="217">
        <f>MIN(2*(Vout*CJ112+Vout2*CK112)/(Efficiency*CN112*CR112), Isw_max)</f>
        <v>0.12269576379974326</v>
      </c>
      <c r="CY112" s="217">
        <f>L*CX112/CN112*1000000</f>
        <v>7.7492061347206265E-2</v>
      </c>
      <c r="CZ112" s="217">
        <f>L*CX112/CO112*1000000</f>
        <v>8.8164620694426293E-2</v>
      </c>
      <c r="DA112" s="197">
        <f>IF(1/((350000*L)*(1/CN112+1/CO112))&gt;Isw_min, 350, 0.001/((Isw_min*L)*(1/CN112+1/CO112)))</f>
        <v>350</v>
      </c>
      <c r="DB112" s="443">
        <f>MIN(1/(CY112+CZ112)*1000, 350)</f>
        <v>350</v>
      </c>
      <c r="DD112" s="217">
        <f>1/((DA112*1000*L)*(1/CN112+1/CO112))</f>
        <v>2.1161798052554355</v>
      </c>
      <c r="DE112" s="173">
        <f>L*DD112/CO112*1000000</f>
        <v>1.5206082432973189</v>
      </c>
      <c r="DF112" s="173">
        <f>0.5*DE112*DD112*Nps*DA112/1000*(Pout/(Pout+Pout2))</f>
        <v>0.50055918207100247</v>
      </c>
      <c r="DG112" s="173"/>
      <c r="DH112" s="173">
        <f>L*Isw_min/CO112*1000000</f>
        <v>0.71856287425149712</v>
      </c>
      <c r="DI112" s="545">
        <f>MAX(10, CJ112/(0.5*DH112/1000000*Isw_min*Nps)/1000*Pout_total/Pout)</f>
        <v>83.499999999999986</v>
      </c>
      <c r="DJ112" s="528">
        <f>0.5*DH112/1000000*Isw_min*Nps*DA112*1000*(Pout/Pout_total)</f>
        <v>0.125748502994012</v>
      </c>
      <c r="DL112" s="173">
        <f>SQRT((CL112+CM112)/(0.5*L*Fsw_DCM))</f>
        <v>0.50709255283710997</v>
      </c>
      <c r="DM112" s="173">
        <f>MAX(IF(CJ112&gt;DF112,CX112,DL112),Isw_min)</f>
        <v>1</v>
      </c>
      <c r="DN112" s="173">
        <f>IF(CJ112&gt;DJ112, (DM112-Isw_min)/1.08*0.8+1.2, DI112*0.2/350+1)</f>
        <v>1.0477142857142856</v>
      </c>
      <c r="DP112" s="545">
        <f>CJ112*1000</f>
        <v>30</v>
      </c>
      <c r="DQ112" s="460">
        <f>IF(CJ112&gt;DJ112, DB112, DI112)</f>
        <v>83.499999999999986</v>
      </c>
      <c r="DS112" s="460">
        <f>IF(CL112&gt;CS112, "",DP112)</f>
        <v>30</v>
      </c>
      <c r="DT112" s="460">
        <f>IF(CL112&gt;CS112, "",DQ112)</f>
        <v>83.499999999999986</v>
      </c>
      <c r="DV112" s="5">
        <f>1/DQ112*1000</f>
        <v>11.976047904191619</v>
      </c>
      <c r="DW112" s="5">
        <f>L*DM112/CN112*1000000</f>
        <v>0.63157894736842113</v>
      </c>
      <c r="DX112" s="5">
        <f>DV112-DW112</f>
        <v>11.344468956823198</v>
      </c>
      <c r="DY112" s="173">
        <f>DW112/DV112</f>
        <v>5.2736842105263158E-2</v>
      </c>
      <c r="EA112" s="5">
        <f>CJ112*DW112/Vout_ripple*1000</f>
        <v>0.11842105263157895</v>
      </c>
      <c r="EB112" s="5">
        <f>CK112*DW112/Vout_ripple2*1000</f>
        <v>5.9210526315789477E-2</v>
      </c>
      <c r="EC112" s="5">
        <f>CL112/Efficiency/CN112*DX112/Vinripple1</f>
        <v>0.23883092540680412</v>
      </c>
      <c r="ED112" s="5"/>
      <c r="EE112" s="173">
        <f>DM112*SQRT(DY112/3)</f>
        <v>0.13258562278173697</v>
      </c>
      <c r="EF112" s="173">
        <f>DM112*Npri_sec1*SQRT((1-DY112)/3)*(Pout/Pout_total)</f>
        <v>0.56192026655470639</v>
      </c>
      <c r="EG112" s="173">
        <f>DM112*Npri_sec2*SQRT((1-DY112)/3)*(Pout2/Pout_total)</f>
        <v>0.13800100663917053</v>
      </c>
      <c r="EH112" s="173"/>
      <c r="EI112" s="528">
        <f>Rdson*EE112^2</f>
        <v>3.5157894736842098E-4</v>
      </c>
      <c r="EJ112" s="528">
        <f>0.5*CP112*DM112*DQ112*1000*Trise</f>
        <v>5.6638050000000002E-2</v>
      </c>
      <c r="EK112" s="528">
        <f>Qg*Vdd*DQ112*1000</f>
        <v>9.6024999999999999E-3</v>
      </c>
      <c r="EL112" s="528">
        <f>0.5*(Coss+Csw)*CP112^2*DQ112*1000</f>
        <v>5.2411808137499995E-2</v>
      </c>
      <c r="EM112">
        <f>CN112*IQ</f>
        <v>8.5500000000000003E-3</v>
      </c>
      <c r="EN112" s="460">
        <f>(EK112+EM112)*1000</f>
        <v>18.152500000000003</v>
      </c>
      <c r="EP112" s="460">
        <f>SUM(EI112:EM112)*1000</f>
        <v>127.55393708486842</v>
      </c>
      <c r="EQ112" s="173">
        <f>Vfwd2*CJ112</f>
        <v>2.0999999999999998E-2</v>
      </c>
      <c r="ER112" s="173">
        <f t="shared" si="419"/>
        <v>3.3281249999999999E-3</v>
      </c>
      <c r="ES112" s="528"/>
      <c r="EU112" s="460">
        <f>SUM(EQ112:ET112)*1000</f>
        <v>24.328125</v>
      </c>
      <c r="EV112" s="528">
        <f>Rdcr_pri*EE112^2</f>
        <v>5.2736842105263141E-4</v>
      </c>
      <c r="EW112" s="528">
        <f>Rdcr_sec*EF112^2</f>
        <v>9.4726315789473679E-3</v>
      </c>
      <c r="EX112" s="528">
        <f>Rdcr_sec2*EG112^2</f>
        <v>9.5221389167121951E-5</v>
      </c>
      <c r="EY112" s="528">
        <f>DM112^2.5*DQ112^2.5*k_core</f>
        <v>3.1855629605372542E-3</v>
      </c>
      <c r="EZ112" s="528"/>
      <c r="FA112" s="625">
        <f>0.5*Lleak*0.000000001*DM112^2*DQ112*1000</f>
        <v>4.174999999999999E-4</v>
      </c>
      <c r="FB112" s="460">
        <f>SUM(EV112:FA112)*1000</f>
        <v>13.698284349704373</v>
      </c>
      <c r="FC112" s="173">
        <f>SUM(EI112:EM112,EQ112:ET112,EV112:FA112)</f>
        <v>0.16558034643457278</v>
      </c>
      <c r="FD112" s="5">
        <f>MIN(CL112+CM112,CS112+CT112)</f>
        <v>0.54</v>
      </c>
      <c r="FE112" s="173">
        <f>FD112/(FD112+FC112)</f>
        <v>0.7653274396441444</v>
      </c>
      <c r="FF112" s="5">
        <f>FE112*100</f>
        <v>76.532743964414436</v>
      </c>
      <c r="FG112">
        <f>CJ112/Iout*100</f>
        <v>3</v>
      </c>
      <c r="FI112" s="562">
        <f>IF(ABS(CJ112-Ioutmax_Vinmin)&lt;Iout/200, DQ112, -50)</f>
        <v>-50</v>
      </c>
      <c r="FJ112">
        <f>IF(ABS(CJ112-Ioutmax_Vinmin)&lt;Iout/200, (CS112+CT112)*FE112, -50)</f>
        <v>-50</v>
      </c>
    </row>
    <row r="113" spans="5:166">
      <c r="E113" s="170">
        <v>3</v>
      </c>
      <c r="F113" s="217">
        <f t="shared" si="434"/>
        <v>0.03</v>
      </c>
      <c r="G113" s="217">
        <f t="shared" si="313"/>
        <v>7.4999999999999997E-3</v>
      </c>
      <c r="H113" s="217">
        <f t="shared" si="314"/>
        <v>0.48</v>
      </c>
      <c r="I113" s="217">
        <f t="shared" si="315"/>
        <v>0.06</v>
      </c>
      <c r="J113" s="541">
        <f t="shared" si="316"/>
        <v>18.966307696403316</v>
      </c>
      <c r="K113" s="443">
        <f t="shared" si="317"/>
        <v>16.714864658887183</v>
      </c>
      <c r="L113" s="172">
        <f t="shared" si="318"/>
        <v>35.681172355290499</v>
      </c>
      <c r="M113" s="443"/>
      <c r="N113" s="217">
        <f t="shared" si="319"/>
        <v>0.46845054563934041</v>
      </c>
      <c r="O113" s="172">
        <f t="shared" si="320"/>
        <v>19.743949309208343</v>
      </c>
      <c r="P113" s="172">
        <f t="shared" si="321"/>
        <v>2.7764928716074233</v>
      </c>
      <c r="Q113" s="217">
        <f t="shared" si="322"/>
        <v>1.2339968318255214</v>
      </c>
      <c r="R113" s="217">
        <f t="shared" si="323"/>
        <v>2.4679936636510429</v>
      </c>
      <c r="S113" s="217">
        <f t="shared" si="324"/>
        <v>16</v>
      </c>
      <c r="T113" s="217">
        <f t="shared" si="325"/>
        <v>0.12155622780497459</v>
      </c>
      <c r="U113" s="217">
        <f t="shared" si="326"/>
        <v>7.6908735058448488E-2</v>
      </c>
      <c r="V113" s="217">
        <f t="shared" si="327"/>
        <v>8.7268115143494585E-2</v>
      </c>
      <c r="W113" s="197">
        <f t="shared" si="328"/>
        <v>350</v>
      </c>
      <c r="X113" s="443">
        <f t="shared" si="435"/>
        <v>350</v>
      </c>
      <c r="Z113" s="217">
        <f t="shared" si="329"/>
        <v>2.1154231402723225</v>
      </c>
      <c r="AA113" s="173">
        <f t="shared" si="330"/>
        <v>1.5187127267447416</v>
      </c>
      <c r="AB113" s="173">
        <f t="shared" si="331"/>
        <v>0.49975645153496262</v>
      </c>
      <c r="AC113" s="173"/>
      <c r="AD113" s="173">
        <f t="shared" si="332"/>
        <v>0.71792385070971421</v>
      </c>
      <c r="AE113" s="545">
        <f t="shared" si="333"/>
        <v>83.574323294435899</v>
      </c>
      <c r="AF113" s="528">
        <f t="shared" si="334"/>
        <v>0.12563667387419999</v>
      </c>
      <c r="AH113" s="173">
        <f t="shared" si="335"/>
        <v>0.50709255283710997</v>
      </c>
      <c r="AI113" s="173">
        <f t="shared" si="336"/>
        <v>1</v>
      </c>
      <c r="AJ113" s="173">
        <f t="shared" si="337"/>
        <v>1.047756756168249</v>
      </c>
      <c r="AL113" s="545">
        <f t="shared" si="338"/>
        <v>30</v>
      </c>
      <c r="AM113" s="460">
        <f t="shared" si="339"/>
        <v>83.574323294435899</v>
      </c>
      <c r="AO113" s="460">
        <f t="shared" si="340"/>
        <v>30</v>
      </c>
      <c r="AP113" s="460">
        <f t="shared" si="341"/>
        <v>83.574323294435899</v>
      </c>
      <c r="AR113" s="5">
        <f t="shared" si="275"/>
        <v>11.965397511828572</v>
      </c>
      <c r="AS113" s="5">
        <f>L*AI113/J113*1000000</f>
        <v>0.63270090267889234</v>
      </c>
      <c r="AT113" s="5">
        <f>AR113-AS113</f>
        <v>11.332696609149679</v>
      </c>
      <c r="AU113" s="173">
        <f>AS113/AR113</f>
        <v>5.2877549789167172E-2</v>
      </c>
      <c r="AW113" s="5">
        <f t="shared" si="342"/>
        <v>0.11863141925229231</v>
      </c>
      <c r="AX113" s="5">
        <f t="shared" si="343"/>
        <v>5.9315709626146157E-2</v>
      </c>
      <c r="AY113" s="5">
        <f t="shared" si="344"/>
        <v>0.23900691247983405</v>
      </c>
      <c r="AZ113" s="5"/>
      <c r="BA113" s="173">
        <f t="shared" si="345"/>
        <v>0.13276238145544991</v>
      </c>
      <c r="BB113" s="173">
        <f t="shared" si="346"/>
        <v>0.56187853082637973</v>
      </c>
      <c r="BC113" s="173">
        <f t="shared" si="347"/>
        <v>0.13799075683530207</v>
      </c>
      <c r="BD113" s="173"/>
      <c r="BE113" s="528">
        <f t="shared" si="348"/>
        <v>3.5251699859444784E-4</v>
      </c>
      <c r="BF113" s="528">
        <f t="shared" si="349"/>
        <v>5.4422044469506055E-2</v>
      </c>
      <c r="BG113" s="528">
        <f t="shared" si="350"/>
        <v>3.6457215615782045E-2</v>
      </c>
      <c r="BH113" s="528">
        <f t="shared" si="351"/>
        <v>5.2403142833262292E-2</v>
      </c>
      <c r="BI113">
        <f t="shared" si="352"/>
        <v>8.5348384633814924E-3</v>
      </c>
      <c r="BJ113" s="460">
        <f t="shared" si="436"/>
        <v>44.992054079163537</v>
      </c>
      <c r="BK113">
        <f t="shared" si="353"/>
        <v>0.10728186960998772</v>
      </c>
      <c r="BL113" s="460">
        <f t="shared" si="437"/>
        <v>152.16975838052633</v>
      </c>
      <c r="BM113" s="173">
        <f t="shared" si="354"/>
        <v>1.8637499999999998E-2</v>
      </c>
      <c r="BN113" s="173">
        <f t="shared" si="355"/>
        <v>4.6593749999999995E-3</v>
      </c>
      <c r="BO113" s="528"/>
      <c r="BQ113" s="460">
        <f t="shared" si="356"/>
        <v>23.296874999999996</v>
      </c>
      <c r="BR113" s="528">
        <f t="shared" si="357"/>
        <v>5.2877549789167178E-4</v>
      </c>
      <c r="BS113" s="528">
        <f t="shared" si="358"/>
        <v>9.4712245021083274E-3</v>
      </c>
      <c r="BT113" s="528">
        <f t="shared" si="359"/>
        <v>9.520724485989733E-5</v>
      </c>
      <c r="BU113" s="528">
        <f t="shared" si="360"/>
        <v>3.1926563621320972E-3</v>
      </c>
      <c r="BV113" s="528"/>
      <c r="BW113" s="625">
        <f t="shared" si="361"/>
        <v>4.1787161647217951E-4</v>
      </c>
      <c r="BX113" s="460">
        <f t="shared" si="362"/>
        <v>13.705735223464172</v>
      </c>
      <c r="BY113" s="173">
        <f t="shared" si="363"/>
        <v>0.1891723686039905</v>
      </c>
      <c r="BZ113" s="5">
        <f t="shared" si="364"/>
        <v>0.54</v>
      </c>
      <c r="CA113" s="173">
        <f t="shared" si="365"/>
        <v>0.74056563749643534</v>
      </c>
      <c r="CB113" s="5">
        <f t="shared" si="366"/>
        <v>74.05656374964353</v>
      </c>
      <c r="CC113">
        <f t="shared" si="367"/>
        <v>3</v>
      </c>
      <c r="CE113" s="562">
        <f t="shared" si="368"/>
        <v>-50</v>
      </c>
      <c r="CF113">
        <f t="shared" si="369"/>
        <v>-50</v>
      </c>
      <c r="CG113" s="173">
        <f t="shared" si="370"/>
        <v>6.0546293516090519E-2</v>
      </c>
      <c r="CH113" s="173">
        <f t="shared" si="371"/>
        <v>2.14028930833037E-2</v>
      </c>
      <c r="CI113" s="170">
        <v>3</v>
      </c>
      <c r="CJ113" s="217">
        <f t="shared" si="438"/>
        <v>0.03</v>
      </c>
      <c r="CK113" s="217">
        <f t="shared" si="372"/>
        <v>7.4999999999999997E-3</v>
      </c>
      <c r="CL113" s="217">
        <f t="shared" si="373"/>
        <v>0.48</v>
      </c>
      <c r="CM113" s="217">
        <f t="shared" si="374"/>
        <v>0.06</v>
      </c>
      <c r="CN113" s="541">
        <f t="shared" si="375"/>
        <v>19</v>
      </c>
      <c r="CO113" s="443">
        <f t="shared" si="376"/>
        <v>16.7</v>
      </c>
      <c r="CP113" s="443">
        <f t="shared" si="377"/>
        <v>35.700000000000003</v>
      </c>
      <c r="CQ113" s="443"/>
      <c r="CR113" s="217">
        <f t="shared" si="378"/>
        <v>0.4632768361581921</v>
      </c>
      <c r="CS113" s="172">
        <f t="shared" si="379"/>
        <v>19.560577526679221</v>
      </c>
      <c r="CT113" s="172">
        <f t="shared" si="380"/>
        <v>2.7507062146892656</v>
      </c>
      <c r="CU113" s="217">
        <f t="shared" si="381"/>
        <v>1.2225360954174513</v>
      </c>
      <c r="CV113" s="217">
        <f t="shared" si="382"/>
        <v>2.4450721908349027</v>
      </c>
      <c r="CW113" s="217">
        <f t="shared" si="383"/>
        <v>16</v>
      </c>
      <c r="CX113" s="217">
        <f t="shared" si="384"/>
        <v>0.12269576379974326</v>
      </c>
      <c r="CY113" s="217">
        <f t="shared" si="385"/>
        <v>7.7492061347206265E-2</v>
      </c>
      <c r="CZ113" s="217">
        <f t="shared" si="386"/>
        <v>8.8164620694426293E-2</v>
      </c>
      <c r="DA113" s="197">
        <f t="shared" si="387"/>
        <v>350</v>
      </c>
      <c r="DB113" s="443">
        <f t="shared" si="388"/>
        <v>350</v>
      </c>
      <c r="DD113" s="217">
        <f t="shared" si="389"/>
        <v>2.1161798052554355</v>
      </c>
      <c r="DE113" s="173">
        <f t="shared" si="390"/>
        <v>1.5206082432973189</v>
      </c>
      <c r="DF113" s="173">
        <f t="shared" si="391"/>
        <v>0.50055918207100247</v>
      </c>
      <c r="DG113" s="173"/>
      <c r="DH113" s="173">
        <f t="shared" si="392"/>
        <v>0.71856287425149712</v>
      </c>
      <c r="DI113" s="545">
        <f t="shared" si="393"/>
        <v>83.499999999999986</v>
      </c>
      <c r="DJ113" s="528">
        <f t="shared" si="394"/>
        <v>0.125748502994012</v>
      </c>
      <c r="DL113" s="173">
        <f t="shared" si="395"/>
        <v>0.50709255283710997</v>
      </c>
      <c r="DM113" s="173">
        <f t="shared" si="396"/>
        <v>1</v>
      </c>
      <c r="DN113" s="173">
        <f t="shared" si="397"/>
        <v>1.0477142857142856</v>
      </c>
      <c r="DP113" s="545">
        <f t="shared" si="398"/>
        <v>30</v>
      </c>
      <c r="DQ113" s="460">
        <f t="shared" si="399"/>
        <v>83.499999999999986</v>
      </c>
      <c r="DS113" s="460">
        <f t="shared" si="400"/>
        <v>30</v>
      </c>
      <c r="DT113" s="460">
        <f t="shared" si="401"/>
        <v>83.499999999999986</v>
      </c>
      <c r="DV113" s="5">
        <f t="shared" si="402"/>
        <v>11.976047904191619</v>
      </c>
      <c r="DW113" s="5">
        <f t="shared" si="403"/>
        <v>0.63157894736842113</v>
      </c>
      <c r="DX113" s="5">
        <f t="shared" si="404"/>
        <v>11.344468956823198</v>
      </c>
      <c r="DY113" s="173">
        <f t="shared" si="405"/>
        <v>5.2736842105263158E-2</v>
      </c>
      <c r="EA113" s="5">
        <f t="shared" si="406"/>
        <v>0.11842105263157895</v>
      </c>
      <c r="EB113" s="5">
        <f t="shared" si="407"/>
        <v>5.9210526315789477E-2</v>
      </c>
      <c r="EC113" s="5">
        <f t="shared" si="408"/>
        <v>0.23883092540680412</v>
      </c>
      <c r="ED113" s="5"/>
      <c r="EE113" s="173">
        <f t="shared" si="409"/>
        <v>0.13258562278173697</v>
      </c>
      <c r="EF113" s="173">
        <f t="shared" si="410"/>
        <v>0.56192026655470639</v>
      </c>
      <c r="EG113" s="173">
        <f t="shared" si="411"/>
        <v>0.13800100663917053</v>
      </c>
      <c r="EH113" s="173"/>
      <c r="EI113" s="528">
        <f t="shared" si="412"/>
        <v>3.5157894736842098E-4</v>
      </c>
      <c r="EJ113" s="528">
        <f t="shared" si="413"/>
        <v>5.6638050000000002E-2</v>
      </c>
      <c r="EK113" s="528">
        <f t="shared" si="414"/>
        <v>9.6024999999999999E-3</v>
      </c>
      <c r="EL113" s="528">
        <f t="shared" si="415"/>
        <v>5.2411808137499995E-2</v>
      </c>
      <c r="EM113">
        <f t="shared" si="416"/>
        <v>8.5500000000000003E-3</v>
      </c>
      <c r="EN113" s="460">
        <f t="shared" si="417"/>
        <v>18.152500000000003</v>
      </c>
      <c r="EP113" s="460">
        <f t="shared" si="439"/>
        <v>127.55393708486842</v>
      </c>
      <c r="EQ113" s="173">
        <f t="shared" si="418"/>
        <v>2.0999999999999998E-2</v>
      </c>
      <c r="ER113" s="173">
        <f t="shared" si="419"/>
        <v>3.3281249999999999E-3</v>
      </c>
      <c r="ES113" s="528"/>
      <c r="EU113" s="460">
        <f t="shared" si="420"/>
        <v>24.328125</v>
      </c>
      <c r="EV113" s="528">
        <f t="shared" si="421"/>
        <v>5.2736842105263141E-4</v>
      </c>
      <c r="EW113" s="528">
        <f t="shared" si="422"/>
        <v>9.4726315789473679E-3</v>
      </c>
      <c r="EX113" s="528">
        <f t="shared" si="423"/>
        <v>9.5221389167121951E-5</v>
      </c>
      <c r="EY113" s="528">
        <f t="shared" si="424"/>
        <v>3.1855629605372542E-3</v>
      </c>
      <c r="EZ113" s="528"/>
      <c r="FA113" s="625">
        <f t="shared" si="425"/>
        <v>4.174999999999999E-4</v>
      </c>
      <c r="FB113" s="460">
        <f t="shared" si="426"/>
        <v>13.698284349704373</v>
      </c>
      <c r="FC113" s="173">
        <f t="shared" si="427"/>
        <v>0.16558034643457278</v>
      </c>
      <c r="FD113" s="5">
        <f t="shared" si="428"/>
        <v>0.54</v>
      </c>
      <c r="FE113" s="173">
        <f t="shared" si="429"/>
        <v>0.7653274396441444</v>
      </c>
      <c r="FF113" s="5">
        <f t="shared" si="430"/>
        <v>76.532743964414436</v>
      </c>
      <c r="FG113">
        <f t="shared" si="431"/>
        <v>3</v>
      </c>
      <c r="FI113" s="562">
        <f t="shared" si="432"/>
        <v>-50</v>
      </c>
      <c r="FJ113">
        <f t="shared" si="433"/>
        <v>-50</v>
      </c>
    </row>
    <row r="114" spans="5:166">
      <c r="E114" s="170">
        <v>4</v>
      </c>
      <c r="F114" s="217">
        <f t="shared" si="434"/>
        <v>0.04</v>
      </c>
      <c r="G114" s="217">
        <f t="shared" si="313"/>
        <v>0.01</v>
      </c>
      <c r="H114" s="217">
        <f t="shared" si="314"/>
        <v>0.64</v>
      </c>
      <c r="I114" s="217">
        <f t="shared" si="315"/>
        <v>0.08</v>
      </c>
      <c r="J114" s="541">
        <f t="shared" si="316"/>
        <v>18.966307696403316</v>
      </c>
      <c r="K114" s="443">
        <f t="shared" si="317"/>
        <v>16.714864658887183</v>
      </c>
      <c r="L114" s="172">
        <f t="shared" si="318"/>
        <v>35.681172355290499</v>
      </c>
      <c r="M114" s="443"/>
      <c r="N114" s="217">
        <f t="shared" si="319"/>
        <v>0.46845054563934041</v>
      </c>
      <c r="O114" s="172">
        <f t="shared" si="320"/>
        <v>19.743949309208343</v>
      </c>
      <c r="P114" s="172">
        <f t="shared" si="321"/>
        <v>2.7764928716074233</v>
      </c>
      <c r="Q114" s="217">
        <f t="shared" si="322"/>
        <v>1.2339968318255214</v>
      </c>
      <c r="R114" s="217">
        <f t="shared" si="323"/>
        <v>2.4679936636510429</v>
      </c>
      <c r="S114" s="217">
        <f t="shared" si="324"/>
        <v>16</v>
      </c>
      <c r="T114" s="217">
        <f t="shared" si="325"/>
        <v>0.16207497040663277</v>
      </c>
      <c r="U114" s="217">
        <f t="shared" si="326"/>
        <v>0.10254498007793129</v>
      </c>
      <c r="V114" s="217">
        <f t="shared" si="327"/>
        <v>0.11635748685799276</v>
      </c>
      <c r="W114" s="197">
        <f t="shared" si="328"/>
        <v>350</v>
      </c>
      <c r="X114" s="443">
        <f t="shared" si="435"/>
        <v>350</v>
      </c>
      <c r="Z114" s="217">
        <f t="shared" si="329"/>
        <v>2.1154231402723225</v>
      </c>
      <c r="AA114" s="173">
        <f t="shared" si="330"/>
        <v>1.5187127267447416</v>
      </c>
      <c r="AB114" s="173">
        <f t="shared" si="331"/>
        <v>0.49975645153496262</v>
      </c>
      <c r="AC114" s="173"/>
      <c r="AD114" s="173">
        <f t="shared" si="332"/>
        <v>0.71792385070971421</v>
      </c>
      <c r="AE114" s="545">
        <f t="shared" si="333"/>
        <v>111.43243105924789</v>
      </c>
      <c r="AF114" s="528">
        <f t="shared" si="334"/>
        <v>0.12563667387419999</v>
      </c>
      <c r="AH114" s="173">
        <f t="shared" si="335"/>
        <v>0.58554004376911983</v>
      </c>
      <c r="AI114" s="173">
        <f t="shared" si="336"/>
        <v>1</v>
      </c>
      <c r="AJ114" s="173">
        <f t="shared" si="337"/>
        <v>1.0636756748909988</v>
      </c>
      <c r="AL114" s="545">
        <f t="shared" si="338"/>
        <v>40</v>
      </c>
      <c r="AM114" s="460">
        <f t="shared" si="339"/>
        <v>111.43243105924789</v>
      </c>
      <c r="AO114" s="460">
        <f t="shared" si="340"/>
        <v>40</v>
      </c>
      <c r="AP114" s="460">
        <f t="shared" si="341"/>
        <v>111.43243105924789</v>
      </c>
      <c r="AR114" s="5">
        <f t="shared" si="275"/>
        <v>8.9740481338714275</v>
      </c>
      <c r="AS114" s="5">
        <f>L*AI114/J114*1000000</f>
        <v>0.63270090267889234</v>
      </c>
      <c r="AT114" s="5">
        <f>AR114-AS114</f>
        <v>8.3413472311925361</v>
      </c>
      <c r="AU114" s="173">
        <f>AS114/AR114</f>
        <v>7.0503399718889581E-2</v>
      </c>
      <c r="AW114" s="5">
        <f t="shared" si="342"/>
        <v>0.15817522566972306</v>
      </c>
      <c r="AX114" s="5">
        <f t="shared" si="343"/>
        <v>7.9087612834861529E-2</v>
      </c>
      <c r="AY114" s="5">
        <f t="shared" si="344"/>
        <v>0.2345590187881598</v>
      </c>
      <c r="AZ114" s="5"/>
      <c r="BA114" s="173">
        <f t="shared" si="345"/>
        <v>0.15330079334311961</v>
      </c>
      <c r="BB114" s="173">
        <f t="shared" si="346"/>
        <v>0.55662572712164815</v>
      </c>
      <c r="BC114" s="173">
        <f t="shared" si="347"/>
        <v>0.13670073004311065</v>
      </c>
      <c r="BD114" s="173"/>
      <c r="BE114" s="528">
        <f t="shared" si="348"/>
        <v>4.7002266479259733E-4</v>
      </c>
      <c r="BF114" s="528">
        <f t="shared" si="349"/>
        <v>7.2562725959341434E-2</v>
      </c>
      <c r="BG114" s="528">
        <f t="shared" si="350"/>
        <v>4.8609620821042733E-2</v>
      </c>
      <c r="BH114" s="528">
        <f t="shared" si="351"/>
        <v>6.9870857111016399E-2</v>
      </c>
      <c r="BI114">
        <f t="shared" si="352"/>
        <v>8.5348384633814924E-3</v>
      </c>
      <c r="BJ114" s="460">
        <f t="shared" si="436"/>
        <v>57.144459284424229</v>
      </c>
      <c r="BK114">
        <f t="shared" si="353"/>
        <v>0.14304648691225838</v>
      </c>
      <c r="BL114" s="460">
        <f t="shared" si="437"/>
        <v>200.04806501957464</v>
      </c>
      <c r="BM114" s="173">
        <f t="shared" si="354"/>
        <v>2.4849999999999997E-2</v>
      </c>
      <c r="BN114" s="173">
        <f t="shared" si="355"/>
        <v>6.2124999999999993E-3</v>
      </c>
      <c r="BO114" s="528"/>
      <c r="BQ114" s="460">
        <f t="shared" si="356"/>
        <v>31.062499999999996</v>
      </c>
      <c r="BR114" s="528">
        <f t="shared" si="357"/>
        <v>7.0503399718889589E-4</v>
      </c>
      <c r="BS114" s="528">
        <f t="shared" si="358"/>
        <v>9.2949660028111038E-3</v>
      </c>
      <c r="BT114" s="528">
        <f t="shared" si="359"/>
        <v>9.3435447971597076E-5</v>
      </c>
      <c r="BU114" s="528">
        <f t="shared" si="360"/>
        <v>6.5538880359357959E-3</v>
      </c>
      <c r="BV114" s="528"/>
      <c r="BW114" s="625">
        <f t="shared" si="361"/>
        <v>5.5716215529623945E-4</v>
      </c>
      <c r="BX114" s="460">
        <f t="shared" si="362"/>
        <v>17.204485639203632</v>
      </c>
      <c r="BY114" s="173">
        <f t="shared" si="363"/>
        <v>0.24831505065877832</v>
      </c>
      <c r="BZ114" s="5">
        <f t="shared" si="364"/>
        <v>0.72</v>
      </c>
      <c r="CA114" s="173">
        <f t="shared" si="365"/>
        <v>0.74355964983727041</v>
      </c>
      <c r="CB114" s="5">
        <f t="shared" si="366"/>
        <v>74.355964983727034</v>
      </c>
      <c r="CC114">
        <f t="shared" si="367"/>
        <v>4</v>
      </c>
      <c r="CE114" s="562">
        <f t="shared" si="368"/>
        <v>-50</v>
      </c>
      <c r="CF114">
        <f t="shared" si="369"/>
        <v>-50</v>
      </c>
      <c r="CG114" s="173">
        <f t="shared" si="370"/>
        <v>8.0728391354787377E-2</v>
      </c>
      <c r="CH114" s="173">
        <f t="shared" si="371"/>
        <v>2.853719077773827E-2</v>
      </c>
      <c r="CI114" s="170">
        <v>4</v>
      </c>
      <c r="CJ114" s="217">
        <f t="shared" si="438"/>
        <v>0.04</v>
      </c>
      <c r="CK114" s="217">
        <f t="shared" si="372"/>
        <v>0.01</v>
      </c>
      <c r="CL114" s="217">
        <f t="shared" si="373"/>
        <v>0.64</v>
      </c>
      <c r="CM114" s="217">
        <f t="shared" si="374"/>
        <v>0.08</v>
      </c>
      <c r="CN114" s="541">
        <f t="shared" si="375"/>
        <v>19</v>
      </c>
      <c r="CO114" s="443">
        <f t="shared" si="376"/>
        <v>16.7</v>
      </c>
      <c r="CP114" s="443">
        <f t="shared" si="377"/>
        <v>35.700000000000003</v>
      </c>
      <c r="CQ114" s="443"/>
      <c r="CR114" s="217">
        <f t="shared" si="378"/>
        <v>0.4632768361581921</v>
      </c>
      <c r="CS114" s="172">
        <f t="shared" si="379"/>
        <v>19.560577526679221</v>
      </c>
      <c r="CT114" s="172">
        <f t="shared" si="380"/>
        <v>2.7507062146892656</v>
      </c>
      <c r="CU114" s="217">
        <f t="shared" si="381"/>
        <v>1.2225360954174513</v>
      </c>
      <c r="CV114" s="217">
        <f t="shared" si="382"/>
        <v>2.4450721908349027</v>
      </c>
      <c r="CW114" s="217">
        <f t="shared" si="383"/>
        <v>16</v>
      </c>
      <c r="CX114" s="217">
        <f t="shared" si="384"/>
        <v>0.163594351732991</v>
      </c>
      <c r="CY114" s="217">
        <f t="shared" si="385"/>
        <v>0.10332274846294168</v>
      </c>
      <c r="CZ114" s="217">
        <f t="shared" si="386"/>
        <v>0.11755282759256838</v>
      </c>
      <c r="DA114" s="197">
        <f t="shared" si="387"/>
        <v>350</v>
      </c>
      <c r="DB114" s="443">
        <f t="shared" si="388"/>
        <v>350</v>
      </c>
      <c r="DD114" s="217">
        <f t="shared" si="389"/>
        <v>2.1161798052554355</v>
      </c>
      <c r="DE114" s="173">
        <f t="shared" si="390"/>
        <v>1.5206082432973189</v>
      </c>
      <c r="DF114" s="173">
        <f t="shared" si="391"/>
        <v>0.50055918207100247</v>
      </c>
      <c r="DG114" s="173"/>
      <c r="DH114" s="173">
        <f t="shared" si="392"/>
        <v>0.71856287425149712</v>
      </c>
      <c r="DI114" s="545">
        <f t="shared" si="393"/>
        <v>111.33333333333333</v>
      </c>
      <c r="DJ114" s="528">
        <f t="shared" si="394"/>
        <v>0.125748502994012</v>
      </c>
      <c r="DL114" s="173">
        <f t="shared" si="395"/>
        <v>0.58554004376911983</v>
      </c>
      <c r="DM114" s="173">
        <f t="shared" si="396"/>
        <v>1</v>
      </c>
      <c r="DN114" s="173">
        <f t="shared" si="397"/>
        <v>1.0636190476190477</v>
      </c>
      <c r="DP114" s="545">
        <f t="shared" si="398"/>
        <v>40</v>
      </c>
      <c r="DQ114" s="460">
        <f t="shared" si="399"/>
        <v>111.33333333333333</v>
      </c>
      <c r="DS114" s="460">
        <f t="shared" si="400"/>
        <v>40</v>
      </c>
      <c r="DT114" s="460">
        <f t="shared" si="401"/>
        <v>111.33333333333333</v>
      </c>
      <c r="DV114" s="5">
        <f t="shared" si="402"/>
        <v>8.9820359281437128</v>
      </c>
      <c r="DW114" s="5">
        <f t="shared" si="403"/>
        <v>0.63157894736842113</v>
      </c>
      <c r="DX114" s="5">
        <f t="shared" si="404"/>
        <v>8.3504569807752915</v>
      </c>
      <c r="DY114" s="173">
        <f t="shared" si="405"/>
        <v>7.031578947368422E-2</v>
      </c>
      <c r="EA114" s="5">
        <f t="shared" si="406"/>
        <v>0.15789473684210528</v>
      </c>
      <c r="EB114" s="5">
        <f t="shared" si="407"/>
        <v>7.8947368421052641E-2</v>
      </c>
      <c r="EC114" s="5">
        <f t="shared" si="408"/>
        <v>0.23439879244281514</v>
      </c>
      <c r="ED114" s="5"/>
      <c r="EE114" s="173">
        <f t="shared" si="409"/>
        <v>0.15309669000742007</v>
      </c>
      <c r="EF114" s="173">
        <f t="shared" si="410"/>
        <v>0.55668189915076749</v>
      </c>
      <c r="EG114" s="173">
        <f t="shared" si="411"/>
        <v>0.13671452523261496</v>
      </c>
      <c r="EH114" s="173"/>
      <c r="EI114" s="528">
        <f t="shared" si="412"/>
        <v>4.6877192982456157E-4</v>
      </c>
      <c r="EJ114" s="528">
        <f t="shared" si="413"/>
        <v>7.5517400000000012E-2</v>
      </c>
      <c r="EK114" s="528">
        <f t="shared" si="414"/>
        <v>1.2803333333333333E-2</v>
      </c>
      <c r="EL114" s="528">
        <f t="shared" si="415"/>
        <v>6.9882410850000007E-2</v>
      </c>
      <c r="EM114">
        <f t="shared" si="416"/>
        <v>8.5500000000000003E-3</v>
      </c>
      <c r="EN114" s="460">
        <f t="shared" si="417"/>
        <v>21.353333333333335</v>
      </c>
      <c r="EP114" s="460">
        <f t="shared" si="439"/>
        <v>167.2219161131579</v>
      </c>
      <c r="EQ114" s="173">
        <f t="shared" si="418"/>
        <v>2.7999999999999997E-2</v>
      </c>
      <c r="ER114" s="173">
        <f t="shared" si="419"/>
        <v>4.4374999999999996E-3</v>
      </c>
      <c r="ES114" s="528"/>
      <c r="EU114" s="460">
        <f t="shared" si="420"/>
        <v>32.437499999999993</v>
      </c>
      <c r="EV114" s="528">
        <f t="shared" si="421"/>
        <v>7.0315789473684228E-4</v>
      </c>
      <c r="EW114" s="528">
        <f t="shared" si="422"/>
        <v>9.2968421052631572E-3</v>
      </c>
      <c r="EX114" s="528">
        <f t="shared" si="423"/>
        <v>9.3454307047896552E-5</v>
      </c>
      <c r="EY114" s="528">
        <f t="shared" si="424"/>
        <v>6.5393266943526533E-3</v>
      </c>
      <c r="EZ114" s="528"/>
      <c r="FA114" s="625">
        <f t="shared" si="425"/>
        <v>5.5666666666666668E-4</v>
      </c>
      <c r="FB114" s="460">
        <f t="shared" si="426"/>
        <v>17.189447668067221</v>
      </c>
      <c r="FC114" s="173">
        <f t="shared" si="427"/>
        <v>0.21684886378122514</v>
      </c>
      <c r="FD114" s="5">
        <f t="shared" si="428"/>
        <v>0.72</v>
      </c>
      <c r="FE114" s="173">
        <f t="shared" si="429"/>
        <v>0.76853378152587037</v>
      </c>
      <c r="FF114" s="5">
        <f t="shared" si="430"/>
        <v>76.853378152587041</v>
      </c>
      <c r="FG114">
        <f t="shared" si="431"/>
        <v>4</v>
      </c>
      <c r="FI114" s="562">
        <f t="shared" si="432"/>
        <v>-50</v>
      </c>
      <c r="FJ114">
        <f t="shared" si="433"/>
        <v>-50</v>
      </c>
    </row>
    <row r="115" spans="5:166">
      <c r="E115" s="170">
        <v>5</v>
      </c>
      <c r="F115" s="217">
        <f t="shared" si="434"/>
        <v>0.05</v>
      </c>
      <c r="G115" s="217">
        <f t="shared" si="313"/>
        <v>1.2500000000000001E-2</v>
      </c>
      <c r="H115" s="217">
        <f t="shared" si="314"/>
        <v>0.8</v>
      </c>
      <c r="I115" s="217">
        <f t="shared" si="315"/>
        <v>0.1</v>
      </c>
      <c r="J115" s="541">
        <f t="shared" si="316"/>
        <v>18.966307696403316</v>
      </c>
      <c r="K115" s="443">
        <f t="shared" si="317"/>
        <v>16.714864658887183</v>
      </c>
      <c r="L115" s="172">
        <f t="shared" si="318"/>
        <v>35.681172355290499</v>
      </c>
      <c r="M115" s="443"/>
      <c r="N115" s="217">
        <f t="shared" si="319"/>
        <v>0.46845054563934041</v>
      </c>
      <c r="O115" s="172">
        <f t="shared" si="320"/>
        <v>19.743949309208343</v>
      </c>
      <c r="P115" s="172">
        <f t="shared" si="321"/>
        <v>2.7764928716074233</v>
      </c>
      <c r="Q115" s="217">
        <f t="shared" si="322"/>
        <v>1.2339968318255214</v>
      </c>
      <c r="R115" s="217">
        <f t="shared" si="323"/>
        <v>2.4679936636510429</v>
      </c>
      <c r="S115" s="217">
        <f t="shared" si="324"/>
        <v>16</v>
      </c>
      <c r="T115" s="217">
        <f t="shared" si="325"/>
        <v>0.20259371300829099</v>
      </c>
      <c r="U115" s="217">
        <f t="shared" si="326"/>
        <v>0.12818122509741417</v>
      </c>
      <c r="V115" s="217">
        <f t="shared" si="327"/>
        <v>0.14544685857249098</v>
      </c>
      <c r="W115" s="197">
        <f t="shared" si="328"/>
        <v>350</v>
      </c>
      <c r="X115" s="443">
        <f t="shared" si="435"/>
        <v>350</v>
      </c>
      <c r="Z115" s="217">
        <f t="shared" si="329"/>
        <v>2.1154231402723225</v>
      </c>
      <c r="AA115" s="173">
        <f t="shared" si="330"/>
        <v>1.5187127267447416</v>
      </c>
      <c r="AB115" s="173">
        <f t="shared" si="331"/>
        <v>0.49975645153496262</v>
      </c>
      <c r="AC115" s="173"/>
      <c r="AD115" s="173">
        <f t="shared" si="332"/>
        <v>0.71792385070971421</v>
      </c>
      <c r="AE115" s="545">
        <f t="shared" si="333"/>
        <v>139.29053882405987</v>
      </c>
      <c r="AF115" s="528">
        <f t="shared" si="334"/>
        <v>0.12563667387419999</v>
      </c>
      <c r="AH115" s="173">
        <f t="shared" si="335"/>
        <v>0.65465367070797709</v>
      </c>
      <c r="AI115" s="173">
        <f t="shared" si="336"/>
        <v>1</v>
      </c>
      <c r="AJ115" s="173">
        <f t="shared" si="337"/>
        <v>1.0795945936137485</v>
      </c>
      <c r="AL115" s="545">
        <f t="shared" si="338"/>
        <v>50</v>
      </c>
      <c r="AM115" s="460">
        <f t="shared" si="339"/>
        <v>139.29053882405987</v>
      </c>
      <c r="AO115" s="460">
        <f t="shared" si="340"/>
        <v>50</v>
      </c>
      <c r="AP115" s="460">
        <f t="shared" si="341"/>
        <v>139.29053882405987</v>
      </c>
      <c r="AR115" s="5">
        <f t="shared" si="275"/>
        <v>7.179238507097141</v>
      </c>
      <c r="AS115" s="5">
        <f t="shared" ref="AS115:AS178" si="440">L*AI115/J115*1000000</f>
        <v>0.63270090267889234</v>
      </c>
      <c r="AT115" s="5">
        <f t="shared" ref="AT115:AT178" si="441">AR115-AS115</f>
        <v>6.5465376044182486</v>
      </c>
      <c r="AU115" s="173">
        <f t="shared" ref="AU115:AU178" si="442">AS115/AR115</f>
        <v>8.812924964861199E-2</v>
      </c>
      <c r="AW115" s="5">
        <f t="shared" si="342"/>
        <v>0.19771903208715388</v>
      </c>
      <c r="AX115" s="5">
        <f t="shared" si="343"/>
        <v>9.8859516043576942E-2</v>
      </c>
      <c r="AY115" s="5">
        <f t="shared" si="344"/>
        <v>0.23011112509648546</v>
      </c>
      <c r="AZ115" s="5"/>
      <c r="BA115" s="173">
        <f t="shared" si="345"/>
        <v>0.17139549745993135</v>
      </c>
      <c r="BB115" s="173">
        <f t="shared" si="346"/>
        <v>0.5513228788865886</v>
      </c>
      <c r="BC115" s="173">
        <f t="shared" si="347"/>
        <v>0.13539841290302984</v>
      </c>
      <c r="BD115" s="173"/>
      <c r="BE115" s="528">
        <f t="shared" si="348"/>
        <v>5.8752833099074667E-4</v>
      </c>
      <c r="BF115" s="528">
        <f t="shared" si="349"/>
        <v>9.0703407449176779E-2</v>
      </c>
      <c r="BG115" s="528">
        <f t="shared" si="350"/>
        <v>6.0762026026303428E-2</v>
      </c>
      <c r="BH115" s="528">
        <f t="shared" si="351"/>
        <v>8.7338571388770506E-2</v>
      </c>
      <c r="BI115">
        <f t="shared" si="352"/>
        <v>8.5348384633814924E-3</v>
      </c>
      <c r="BJ115" s="460">
        <f t="shared" si="436"/>
        <v>69.296864489684921</v>
      </c>
      <c r="BK115">
        <f t="shared" si="353"/>
        <v>0.17881310154282015</v>
      </c>
      <c r="BL115" s="460">
        <f t="shared" si="437"/>
        <v>247.92637165862297</v>
      </c>
      <c r="BM115" s="173">
        <f t="shared" si="354"/>
        <v>3.1062499999999996E-2</v>
      </c>
      <c r="BN115" s="173">
        <f t="shared" si="355"/>
        <v>7.7656249999999991E-3</v>
      </c>
      <c r="BO115" s="528"/>
      <c r="BQ115" s="460">
        <f t="shared" si="356"/>
        <v>38.828125</v>
      </c>
      <c r="BR115" s="528">
        <f t="shared" si="357"/>
        <v>8.8129249648612E-4</v>
      </c>
      <c r="BS115" s="528">
        <f t="shared" si="358"/>
        <v>9.1187075035138818E-3</v>
      </c>
      <c r="BT115" s="528">
        <f t="shared" si="359"/>
        <v>9.1663651083296794E-5</v>
      </c>
      <c r="BU115" s="528">
        <f t="shared" si="360"/>
        <v>1.1449171222871106E-2</v>
      </c>
      <c r="BV115" s="528"/>
      <c r="BW115" s="625">
        <f t="shared" si="361"/>
        <v>6.964526941202994E-4</v>
      </c>
      <c r="BX115" s="460">
        <f t="shared" si="362"/>
        <v>22.237287568074702</v>
      </c>
      <c r="BY115" s="173">
        <f t="shared" si="363"/>
        <v>0.30899178422669765</v>
      </c>
      <c r="BZ115" s="5">
        <f t="shared" si="364"/>
        <v>0.9</v>
      </c>
      <c r="CA115" s="173">
        <f t="shared" si="365"/>
        <v>0.74442193217687014</v>
      </c>
      <c r="CB115" s="5">
        <f t="shared" si="366"/>
        <v>74.44219321768702</v>
      </c>
      <c r="CC115">
        <f t="shared" si="367"/>
        <v>5</v>
      </c>
      <c r="CE115" s="562">
        <f t="shared" si="368"/>
        <v>-50</v>
      </c>
      <c r="CF115">
        <f t="shared" si="369"/>
        <v>-50</v>
      </c>
      <c r="CG115" s="173">
        <f t="shared" si="370"/>
        <v>0.10091048919348422</v>
      </c>
      <c r="CH115" s="173">
        <f t="shared" si="371"/>
        <v>3.5671488472172837E-2</v>
      </c>
      <c r="CI115" s="170">
        <v>5</v>
      </c>
      <c r="CJ115" s="217">
        <f t="shared" si="438"/>
        <v>0.05</v>
      </c>
      <c r="CK115" s="217">
        <f t="shared" si="372"/>
        <v>1.2500000000000001E-2</v>
      </c>
      <c r="CL115" s="217">
        <f t="shared" si="373"/>
        <v>0.8</v>
      </c>
      <c r="CM115" s="217">
        <f t="shared" si="374"/>
        <v>0.1</v>
      </c>
      <c r="CN115" s="541">
        <f t="shared" si="375"/>
        <v>19</v>
      </c>
      <c r="CO115" s="443">
        <f t="shared" si="376"/>
        <v>16.7</v>
      </c>
      <c r="CP115" s="443">
        <f t="shared" si="377"/>
        <v>35.700000000000003</v>
      </c>
      <c r="CQ115" s="443"/>
      <c r="CR115" s="217">
        <f t="shared" si="378"/>
        <v>0.4632768361581921</v>
      </c>
      <c r="CS115" s="172">
        <f t="shared" si="379"/>
        <v>19.560577526679221</v>
      </c>
      <c r="CT115" s="172">
        <f t="shared" si="380"/>
        <v>2.7507062146892656</v>
      </c>
      <c r="CU115" s="217">
        <f t="shared" si="381"/>
        <v>1.2225360954174513</v>
      </c>
      <c r="CV115" s="217">
        <f t="shared" si="382"/>
        <v>2.4450721908349027</v>
      </c>
      <c r="CW115" s="217">
        <f t="shared" si="383"/>
        <v>16</v>
      </c>
      <c r="CX115" s="217">
        <f t="shared" si="384"/>
        <v>0.20449293966623874</v>
      </c>
      <c r="CY115" s="217">
        <f t="shared" si="385"/>
        <v>0.12915343557867712</v>
      </c>
      <c r="CZ115" s="217">
        <f t="shared" si="386"/>
        <v>0.1469410344907105</v>
      </c>
      <c r="DA115" s="197">
        <f t="shared" si="387"/>
        <v>350</v>
      </c>
      <c r="DB115" s="443">
        <f t="shared" si="388"/>
        <v>350</v>
      </c>
      <c r="DD115" s="217">
        <f t="shared" si="389"/>
        <v>2.1161798052554355</v>
      </c>
      <c r="DE115" s="173">
        <f t="shared" si="390"/>
        <v>1.5206082432973189</v>
      </c>
      <c r="DF115" s="173">
        <f t="shared" si="391"/>
        <v>0.50055918207100247</v>
      </c>
      <c r="DG115" s="173"/>
      <c r="DH115" s="173">
        <f t="shared" si="392"/>
        <v>0.71856287425149712</v>
      </c>
      <c r="DI115" s="545">
        <f t="shared" si="393"/>
        <v>139.16666666666666</v>
      </c>
      <c r="DJ115" s="528">
        <f t="shared" si="394"/>
        <v>0.125748502994012</v>
      </c>
      <c r="DL115" s="173">
        <f t="shared" si="395"/>
        <v>0.65465367070797709</v>
      </c>
      <c r="DM115" s="173">
        <f t="shared" si="396"/>
        <v>1</v>
      </c>
      <c r="DN115" s="173">
        <f t="shared" si="397"/>
        <v>1.0795238095238096</v>
      </c>
      <c r="DP115" s="545">
        <f t="shared" si="398"/>
        <v>50</v>
      </c>
      <c r="DQ115" s="460">
        <f t="shared" si="399"/>
        <v>139.16666666666666</v>
      </c>
      <c r="DS115" s="460">
        <f t="shared" si="400"/>
        <v>50</v>
      </c>
      <c r="DT115" s="460">
        <f t="shared" si="401"/>
        <v>139.16666666666666</v>
      </c>
      <c r="DV115" s="5">
        <f t="shared" si="402"/>
        <v>7.1856287425149707</v>
      </c>
      <c r="DW115" s="5">
        <f t="shared" si="403"/>
        <v>0.63157894736842113</v>
      </c>
      <c r="DX115" s="5">
        <f t="shared" si="404"/>
        <v>6.5540497951465495</v>
      </c>
      <c r="DY115" s="173">
        <f t="shared" si="405"/>
        <v>8.7894736842105262E-2</v>
      </c>
      <c r="EA115" s="5">
        <f t="shared" si="406"/>
        <v>0.19736842105263164</v>
      </c>
      <c r="EB115" s="5">
        <f t="shared" si="407"/>
        <v>9.8684210526315819E-2</v>
      </c>
      <c r="EC115" s="5">
        <f t="shared" si="408"/>
        <v>0.22996665947882625</v>
      </c>
      <c r="ED115" s="5"/>
      <c r="EE115" s="173">
        <f t="shared" si="409"/>
        <v>0.17116730299340199</v>
      </c>
      <c r="EF115" s="173">
        <f t="shared" si="410"/>
        <v>0.55139376829929654</v>
      </c>
      <c r="EG115" s="173">
        <f t="shared" si="411"/>
        <v>0.13541582250879783</v>
      </c>
      <c r="EH115" s="173"/>
      <c r="EI115" s="528">
        <f t="shared" si="412"/>
        <v>5.8596491228070174E-4</v>
      </c>
      <c r="EJ115" s="528">
        <f t="shared" si="413"/>
        <v>9.4396750000000001E-2</v>
      </c>
      <c r="EK115" s="528">
        <f t="shared" si="414"/>
        <v>1.600416666666667E-2</v>
      </c>
      <c r="EL115" s="528">
        <f t="shared" si="415"/>
        <v>8.7353013562499998E-2</v>
      </c>
      <c r="EM115">
        <f t="shared" si="416"/>
        <v>8.5500000000000003E-3</v>
      </c>
      <c r="EN115" s="460">
        <f t="shared" si="417"/>
        <v>24.554166666666667</v>
      </c>
      <c r="EP115" s="460">
        <f t="shared" si="439"/>
        <v>206.88989514144737</v>
      </c>
      <c r="EQ115" s="173">
        <f t="shared" si="418"/>
        <v>3.4999999999999996E-2</v>
      </c>
      <c r="ER115" s="173">
        <f t="shared" si="419"/>
        <v>5.5468749999999997E-3</v>
      </c>
      <c r="ES115" s="528"/>
      <c r="EU115" s="460">
        <f t="shared" si="420"/>
        <v>40.546874999999993</v>
      </c>
      <c r="EV115" s="528">
        <f t="shared" si="421"/>
        <v>8.7894736842105249E-4</v>
      </c>
      <c r="EW115" s="528">
        <f t="shared" si="422"/>
        <v>9.1210526315789499E-3</v>
      </c>
      <c r="EX115" s="528">
        <f t="shared" si="423"/>
        <v>9.168722492867118E-5</v>
      </c>
      <c r="EY115" s="528">
        <f t="shared" si="424"/>
        <v>1.1423733605977766E-2</v>
      </c>
      <c r="EZ115" s="528"/>
      <c r="FA115" s="625">
        <f t="shared" si="425"/>
        <v>6.9583333333333324E-4</v>
      </c>
      <c r="FB115" s="460">
        <f t="shared" si="426"/>
        <v>22.211254164239776</v>
      </c>
      <c r="FC115" s="173">
        <f t="shared" si="427"/>
        <v>0.26964802430568718</v>
      </c>
      <c r="FD115" s="5">
        <f t="shared" si="428"/>
        <v>0.9</v>
      </c>
      <c r="FE115" s="173">
        <f t="shared" si="429"/>
        <v>0.76946224958080656</v>
      </c>
      <c r="FF115" s="5">
        <f t="shared" si="430"/>
        <v>76.946224958080649</v>
      </c>
      <c r="FG115">
        <f t="shared" si="431"/>
        <v>5</v>
      </c>
      <c r="FI115" s="562">
        <f t="shared" si="432"/>
        <v>-50</v>
      </c>
      <c r="FJ115">
        <f t="shared" si="433"/>
        <v>-50</v>
      </c>
    </row>
    <row r="116" spans="5:166">
      <c r="E116" s="170">
        <v>6</v>
      </c>
      <c r="F116" s="217">
        <f t="shared" si="434"/>
        <v>0.06</v>
      </c>
      <c r="G116" s="217">
        <f t="shared" si="313"/>
        <v>1.4999999999999999E-2</v>
      </c>
      <c r="H116" s="217">
        <f t="shared" si="314"/>
        <v>0.96</v>
      </c>
      <c r="I116" s="217">
        <f t="shared" si="315"/>
        <v>0.12</v>
      </c>
      <c r="J116" s="541">
        <f t="shared" si="316"/>
        <v>18.966307696403316</v>
      </c>
      <c r="K116" s="443">
        <f t="shared" si="317"/>
        <v>16.714864658887183</v>
      </c>
      <c r="L116" s="172">
        <f t="shared" si="318"/>
        <v>35.681172355290499</v>
      </c>
      <c r="M116" s="443"/>
      <c r="N116" s="217">
        <f t="shared" si="319"/>
        <v>0.46845054563934041</v>
      </c>
      <c r="O116" s="172">
        <f t="shared" si="320"/>
        <v>19.743949309208343</v>
      </c>
      <c r="P116" s="172">
        <f t="shared" si="321"/>
        <v>2.7764928716074233</v>
      </c>
      <c r="Q116" s="217">
        <f t="shared" si="322"/>
        <v>1.2339968318255214</v>
      </c>
      <c r="R116" s="217">
        <f t="shared" si="323"/>
        <v>2.4679936636510429</v>
      </c>
      <c r="S116" s="217">
        <f t="shared" si="324"/>
        <v>16</v>
      </c>
      <c r="T116" s="217">
        <f t="shared" si="325"/>
        <v>0.24311245560994918</v>
      </c>
      <c r="U116" s="217">
        <f t="shared" si="326"/>
        <v>0.15381747011689698</v>
      </c>
      <c r="V116" s="217">
        <f t="shared" si="327"/>
        <v>0.17453623028698917</v>
      </c>
      <c r="W116" s="197">
        <f t="shared" si="328"/>
        <v>350</v>
      </c>
      <c r="X116" s="443">
        <f t="shared" si="435"/>
        <v>350</v>
      </c>
      <c r="Z116" s="217">
        <f t="shared" si="329"/>
        <v>2.1154231402723225</v>
      </c>
      <c r="AA116" s="173">
        <f t="shared" si="330"/>
        <v>1.5187127267447416</v>
      </c>
      <c r="AB116" s="173">
        <f t="shared" si="331"/>
        <v>0.49975645153496262</v>
      </c>
      <c r="AC116" s="173"/>
      <c r="AD116" s="173">
        <f t="shared" si="332"/>
        <v>0.71792385070971421</v>
      </c>
      <c r="AE116" s="545">
        <f t="shared" si="333"/>
        <v>167.1486465888718</v>
      </c>
      <c r="AF116" s="528">
        <f t="shared" si="334"/>
        <v>0.12563667387419999</v>
      </c>
      <c r="AH116" s="173">
        <f t="shared" si="335"/>
        <v>0.71713716560063623</v>
      </c>
      <c r="AI116" s="173">
        <f t="shared" si="336"/>
        <v>1</v>
      </c>
      <c r="AJ116" s="173">
        <f t="shared" si="337"/>
        <v>1.0955135123364981</v>
      </c>
      <c r="AL116" s="545">
        <f t="shared" si="338"/>
        <v>60</v>
      </c>
      <c r="AM116" s="460">
        <f t="shared" si="339"/>
        <v>167.1486465888718</v>
      </c>
      <c r="AO116" s="460">
        <f t="shared" si="340"/>
        <v>60</v>
      </c>
      <c r="AP116" s="460">
        <f t="shared" si="341"/>
        <v>167.1486465888718</v>
      </c>
      <c r="AR116" s="5">
        <f t="shared" si="275"/>
        <v>5.9826987559142859</v>
      </c>
      <c r="AS116" s="5">
        <f t="shared" si="440"/>
        <v>0.63270090267889234</v>
      </c>
      <c r="AT116" s="5">
        <f t="shared" si="441"/>
        <v>5.3499978532353936</v>
      </c>
      <c r="AU116" s="173">
        <f t="shared" si="442"/>
        <v>0.10575509957833434</v>
      </c>
      <c r="AW116" s="5">
        <f t="shared" si="342"/>
        <v>0.23726283850458463</v>
      </c>
      <c r="AX116" s="5">
        <f t="shared" si="343"/>
        <v>0.11863141925229231</v>
      </c>
      <c r="AY116" s="5">
        <f t="shared" si="344"/>
        <v>0.22566323140481123</v>
      </c>
      <c r="AZ116" s="5"/>
      <c r="BA116" s="173">
        <f t="shared" si="345"/>
        <v>0.18775436042724755</v>
      </c>
      <c r="BB116" s="173">
        <f t="shared" si="346"/>
        <v>0.54596852791519823</v>
      </c>
      <c r="BC116" s="173">
        <f t="shared" si="347"/>
        <v>0.13408344729682073</v>
      </c>
      <c r="BD116" s="173"/>
      <c r="BE116" s="528">
        <f t="shared" si="348"/>
        <v>7.0503399718889568E-4</v>
      </c>
      <c r="BF116" s="528">
        <f t="shared" si="349"/>
        <v>0.10884408893901211</v>
      </c>
      <c r="BG116" s="528">
        <f t="shared" si="350"/>
        <v>7.2914431231564089E-2</v>
      </c>
      <c r="BH116" s="528">
        <f t="shared" si="351"/>
        <v>0.10480628566652458</v>
      </c>
      <c r="BI116">
        <f t="shared" si="352"/>
        <v>8.5348384633814924E-3</v>
      </c>
      <c r="BJ116" s="460">
        <f t="shared" si="436"/>
        <v>81.449269694945585</v>
      </c>
      <c r="BK116">
        <f t="shared" si="353"/>
        <v>0.21458171366899348</v>
      </c>
      <c r="BL116" s="460">
        <f t="shared" si="437"/>
        <v>295.80467829767116</v>
      </c>
      <c r="BM116" s="173">
        <f t="shared" si="354"/>
        <v>3.7274999999999996E-2</v>
      </c>
      <c r="BN116" s="173">
        <f t="shared" si="355"/>
        <v>9.3187499999999989E-3</v>
      </c>
      <c r="BO116" s="528"/>
      <c r="BQ116" s="460">
        <f t="shared" si="356"/>
        <v>46.593749999999993</v>
      </c>
      <c r="BR116" s="528">
        <f t="shared" si="357"/>
        <v>1.0575509957833436E-3</v>
      </c>
      <c r="BS116" s="528">
        <f t="shared" si="358"/>
        <v>8.9424490042166582E-3</v>
      </c>
      <c r="BT116" s="528">
        <f t="shared" si="359"/>
        <v>8.9891854194996512E-5</v>
      </c>
      <c r="BU116" s="528">
        <f t="shared" si="360"/>
        <v>1.8060391709295857E-2</v>
      </c>
      <c r="BV116" s="528"/>
      <c r="BW116" s="625">
        <f t="shared" si="361"/>
        <v>8.3574323294435902E-4</v>
      </c>
      <c r="BX116" s="460">
        <f t="shared" si="362"/>
        <v>28.986026796435215</v>
      </c>
      <c r="BY116" s="173">
        <f t="shared" si="363"/>
        <v>0.37138445509410639</v>
      </c>
      <c r="BZ116" s="5">
        <f t="shared" si="364"/>
        <v>1.08</v>
      </c>
      <c r="CA116" s="173">
        <f t="shared" si="365"/>
        <v>0.74411710571198997</v>
      </c>
      <c r="CB116" s="5">
        <f t="shared" si="366"/>
        <v>74.411710571198995</v>
      </c>
      <c r="CC116">
        <f t="shared" si="367"/>
        <v>6</v>
      </c>
      <c r="CE116" s="562">
        <f t="shared" si="368"/>
        <v>-50</v>
      </c>
      <c r="CF116">
        <f t="shared" si="369"/>
        <v>-50</v>
      </c>
      <c r="CG116" s="173">
        <f t="shared" si="370"/>
        <v>0.12109258703218104</v>
      </c>
      <c r="CH116" s="173">
        <f t="shared" si="371"/>
        <v>4.28057861666074E-2</v>
      </c>
      <c r="CI116" s="170">
        <v>6</v>
      </c>
      <c r="CJ116" s="217">
        <f t="shared" si="438"/>
        <v>0.06</v>
      </c>
      <c r="CK116" s="217">
        <f t="shared" si="372"/>
        <v>1.4999999999999999E-2</v>
      </c>
      <c r="CL116" s="217">
        <f t="shared" si="373"/>
        <v>0.96</v>
      </c>
      <c r="CM116" s="217">
        <f t="shared" si="374"/>
        <v>0.12</v>
      </c>
      <c r="CN116" s="541">
        <f t="shared" si="375"/>
        <v>19</v>
      </c>
      <c r="CO116" s="443">
        <f t="shared" si="376"/>
        <v>16.7</v>
      </c>
      <c r="CP116" s="443">
        <f t="shared" si="377"/>
        <v>35.700000000000003</v>
      </c>
      <c r="CQ116" s="443"/>
      <c r="CR116" s="217">
        <f t="shared" si="378"/>
        <v>0.4632768361581921</v>
      </c>
      <c r="CS116" s="172">
        <f t="shared" si="379"/>
        <v>19.560577526679221</v>
      </c>
      <c r="CT116" s="172">
        <f t="shared" si="380"/>
        <v>2.7507062146892656</v>
      </c>
      <c r="CU116" s="217">
        <f t="shared" si="381"/>
        <v>1.2225360954174513</v>
      </c>
      <c r="CV116" s="217">
        <f t="shared" si="382"/>
        <v>2.4450721908349027</v>
      </c>
      <c r="CW116" s="217">
        <f t="shared" si="383"/>
        <v>16</v>
      </c>
      <c r="CX116" s="217">
        <f t="shared" si="384"/>
        <v>0.24539152759948651</v>
      </c>
      <c r="CY116" s="217">
        <f t="shared" si="385"/>
        <v>0.15498412269441253</v>
      </c>
      <c r="CZ116" s="217">
        <f t="shared" si="386"/>
        <v>0.17632924138885259</v>
      </c>
      <c r="DA116" s="197">
        <f t="shared" si="387"/>
        <v>350</v>
      </c>
      <c r="DB116" s="443">
        <f t="shared" si="388"/>
        <v>350</v>
      </c>
      <c r="DD116" s="217">
        <f t="shared" si="389"/>
        <v>2.1161798052554355</v>
      </c>
      <c r="DE116" s="173">
        <f t="shared" si="390"/>
        <v>1.5206082432973189</v>
      </c>
      <c r="DF116" s="173">
        <f t="shared" si="391"/>
        <v>0.50055918207100247</v>
      </c>
      <c r="DG116" s="173"/>
      <c r="DH116" s="173">
        <f t="shared" si="392"/>
        <v>0.71856287425149712</v>
      </c>
      <c r="DI116" s="545">
        <f t="shared" si="393"/>
        <v>166.99999999999997</v>
      </c>
      <c r="DJ116" s="528">
        <f t="shared" si="394"/>
        <v>0.125748502994012</v>
      </c>
      <c r="DL116" s="173">
        <f t="shared" si="395"/>
        <v>0.71713716560063623</v>
      </c>
      <c r="DM116" s="173">
        <f t="shared" si="396"/>
        <v>1</v>
      </c>
      <c r="DN116" s="173">
        <f t="shared" si="397"/>
        <v>1.0954285714285714</v>
      </c>
      <c r="DP116" s="545">
        <f t="shared" si="398"/>
        <v>60</v>
      </c>
      <c r="DQ116" s="460">
        <f t="shared" si="399"/>
        <v>166.99999999999997</v>
      </c>
      <c r="DS116" s="460">
        <f t="shared" si="400"/>
        <v>60</v>
      </c>
      <c r="DT116" s="460">
        <f t="shared" si="401"/>
        <v>166.99999999999997</v>
      </c>
      <c r="DV116" s="5">
        <f t="shared" si="402"/>
        <v>5.9880239520958094</v>
      </c>
      <c r="DW116" s="5">
        <f t="shared" si="403"/>
        <v>0.63157894736842113</v>
      </c>
      <c r="DX116" s="5">
        <f t="shared" si="404"/>
        <v>5.3564450047273882</v>
      </c>
      <c r="DY116" s="173">
        <f t="shared" si="405"/>
        <v>0.10547368421052632</v>
      </c>
      <c r="EA116" s="5">
        <f t="shared" si="406"/>
        <v>0.23684210526315791</v>
      </c>
      <c r="EB116" s="5">
        <f t="shared" si="407"/>
        <v>0.11842105263157895</v>
      </c>
      <c r="EC116" s="5">
        <f t="shared" si="408"/>
        <v>0.22553452651483735</v>
      </c>
      <c r="ED116" s="5"/>
      <c r="EE116" s="173">
        <f t="shared" si="409"/>
        <v>0.18750438591361565</v>
      </c>
      <c r="EF116" s="173">
        <f t="shared" si="410"/>
        <v>0.54605442823631722</v>
      </c>
      <c r="EG116" s="173">
        <f t="shared" si="411"/>
        <v>0.13410454340509553</v>
      </c>
      <c r="EH116" s="173"/>
      <c r="EI116" s="528">
        <f t="shared" si="412"/>
        <v>7.0315789473684217E-4</v>
      </c>
      <c r="EJ116" s="528">
        <f t="shared" si="413"/>
        <v>0.1132761</v>
      </c>
      <c r="EK116" s="528">
        <f t="shared" si="414"/>
        <v>1.9205E-2</v>
      </c>
      <c r="EL116" s="528">
        <f t="shared" si="415"/>
        <v>0.10482361627499999</v>
      </c>
      <c r="EM116">
        <f t="shared" si="416"/>
        <v>8.5500000000000003E-3</v>
      </c>
      <c r="EN116" s="460">
        <f t="shared" si="417"/>
        <v>27.755000000000003</v>
      </c>
      <c r="EP116" s="460">
        <f t="shared" si="439"/>
        <v>246.55787416973683</v>
      </c>
      <c r="EQ116" s="173">
        <f t="shared" si="418"/>
        <v>4.1999999999999996E-2</v>
      </c>
      <c r="ER116" s="173">
        <f t="shared" si="419"/>
        <v>6.6562499999999998E-3</v>
      </c>
      <c r="ES116" s="528"/>
      <c r="EU116" s="460">
        <f t="shared" si="420"/>
        <v>48.65625</v>
      </c>
      <c r="EV116" s="528">
        <f t="shared" si="421"/>
        <v>1.0547368421052633E-3</v>
      </c>
      <c r="EW116" s="528">
        <f t="shared" si="422"/>
        <v>8.9452631578947391E-3</v>
      </c>
      <c r="EX116" s="528">
        <f t="shared" si="423"/>
        <v>8.9920142809445767E-5</v>
      </c>
      <c r="EY116" s="528">
        <f t="shared" si="424"/>
        <v>1.8020265370340682E-2</v>
      </c>
      <c r="EZ116" s="528"/>
      <c r="FA116" s="625">
        <f t="shared" si="425"/>
        <v>8.349999999999998E-4</v>
      </c>
      <c r="FB116" s="460">
        <f t="shared" si="426"/>
        <v>28.945185513150129</v>
      </c>
      <c r="FC116" s="173">
        <f t="shared" si="427"/>
        <v>0.32415930968288692</v>
      </c>
      <c r="FD116" s="5">
        <f t="shared" si="428"/>
        <v>1.08</v>
      </c>
      <c r="FE116" s="173">
        <f t="shared" si="429"/>
        <v>0.76914349572193874</v>
      </c>
      <c r="FF116" s="5">
        <f t="shared" si="430"/>
        <v>76.914349572193871</v>
      </c>
      <c r="FG116">
        <f t="shared" si="431"/>
        <v>6</v>
      </c>
      <c r="FI116" s="562">
        <f t="shared" si="432"/>
        <v>-50</v>
      </c>
      <c r="FJ116">
        <f t="shared" si="433"/>
        <v>-50</v>
      </c>
    </row>
    <row r="117" spans="5:166">
      <c r="E117" s="170">
        <v>7</v>
      </c>
      <c r="F117" s="217">
        <f t="shared" si="434"/>
        <v>7.0000000000000007E-2</v>
      </c>
      <c r="G117" s="217">
        <f t="shared" si="313"/>
        <v>1.7500000000000002E-2</v>
      </c>
      <c r="H117" s="217">
        <f t="shared" si="314"/>
        <v>1.1200000000000001</v>
      </c>
      <c r="I117" s="217">
        <f t="shared" si="315"/>
        <v>0.14000000000000001</v>
      </c>
      <c r="J117" s="541">
        <f t="shared" si="316"/>
        <v>18.966307696403316</v>
      </c>
      <c r="K117" s="443">
        <f t="shared" si="317"/>
        <v>16.714864658887183</v>
      </c>
      <c r="L117" s="172">
        <f t="shared" si="318"/>
        <v>35.681172355290499</v>
      </c>
      <c r="M117" s="443"/>
      <c r="N117" s="217">
        <f t="shared" si="319"/>
        <v>0.46845054563934041</v>
      </c>
      <c r="O117" s="172">
        <f t="shared" si="320"/>
        <v>19.743949309208343</v>
      </c>
      <c r="P117" s="172">
        <f t="shared" si="321"/>
        <v>2.7764928716074233</v>
      </c>
      <c r="Q117" s="217">
        <f t="shared" si="322"/>
        <v>1.2339968318255214</v>
      </c>
      <c r="R117" s="217">
        <f t="shared" si="323"/>
        <v>2.4679936636510429</v>
      </c>
      <c r="S117" s="217">
        <f t="shared" si="324"/>
        <v>16</v>
      </c>
      <c r="T117" s="217">
        <f t="shared" si="325"/>
        <v>0.28363119821160743</v>
      </c>
      <c r="U117" s="217">
        <f t="shared" si="326"/>
        <v>0.17945371513637984</v>
      </c>
      <c r="V117" s="217">
        <f t="shared" si="327"/>
        <v>0.20362560200148741</v>
      </c>
      <c r="W117" s="197">
        <f t="shared" si="328"/>
        <v>350</v>
      </c>
      <c r="X117" s="443">
        <f t="shared" si="435"/>
        <v>350</v>
      </c>
      <c r="Z117" s="217">
        <f t="shared" si="329"/>
        <v>2.1154231402723225</v>
      </c>
      <c r="AA117" s="173">
        <f t="shared" si="330"/>
        <v>1.5187127267447416</v>
      </c>
      <c r="AB117" s="173">
        <f t="shared" si="331"/>
        <v>0.49975645153496262</v>
      </c>
      <c r="AC117" s="173"/>
      <c r="AD117" s="173">
        <f t="shared" si="332"/>
        <v>0.71792385070971421</v>
      </c>
      <c r="AE117" s="545">
        <f t="shared" si="333"/>
        <v>195.00675435368382</v>
      </c>
      <c r="AF117" s="528">
        <f t="shared" si="334"/>
        <v>0.12563667387419999</v>
      </c>
      <c r="AH117" s="173">
        <f t="shared" si="335"/>
        <v>0.7745966692414834</v>
      </c>
      <c r="AI117" s="173">
        <f t="shared" si="336"/>
        <v>1</v>
      </c>
      <c r="AJ117" s="173">
        <f t="shared" si="337"/>
        <v>1.1114324310592478</v>
      </c>
      <c r="AL117" s="545">
        <f t="shared" si="338"/>
        <v>70</v>
      </c>
      <c r="AM117" s="460">
        <f t="shared" si="339"/>
        <v>195.00675435368382</v>
      </c>
      <c r="AO117" s="460">
        <f t="shared" si="340"/>
        <v>70</v>
      </c>
      <c r="AP117" s="460">
        <f t="shared" si="341"/>
        <v>195.00675435368382</v>
      </c>
      <c r="AR117" s="5">
        <f t="shared" si="275"/>
        <v>5.1280275050693866</v>
      </c>
      <c r="AS117" s="5">
        <f t="shared" si="440"/>
        <v>0.63270090267889234</v>
      </c>
      <c r="AT117" s="5">
        <f t="shared" si="441"/>
        <v>4.4953266023904943</v>
      </c>
      <c r="AU117" s="173">
        <f t="shared" si="442"/>
        <v>0.12338094950805677</v>
      </c>
      <c r="AW117" s="5">
        <f t="shared" si="342"/>
        <v>0.2768066449220154</v>
      </c>
      <c r="AX117" s="5">
        <f t="shared" si="343"/>
        <v>0.1384033224610077</v>
      </c>
      <c r="AY117" s="5">
        <f t="shared" si="344"/>
        <v>0.22121533771313692</v>
      </c>
      <c r="AZ117" s="5"/>
      <c r="BA117" s="173">
        <f t="shared" si="345"/>
        <v>0.20279788748740027</v>
      </c>
      <c r="BB117" s="173">
        <f t="shared" si="346"/>
        <v>0.54056114377929632</v>
      </c>
      <c r="BC117" s="173">
        <f t="shared" si="347"/>
        <v>0.13275545736932717</v>
      </c>
      <c r="BD117" s="173"/>
      <c r="BE117" s="528">
        <f t="shared" si="348"/>
        <v>8.2253966338704523E-4</v>
      </c>
      <c r="BF117" s="528">
        <f t="shared" si="349"/>
        <v>0.12698477042884748</v>
      </c>
      <c r="BG117" s="528">
        <f t="shared" si="350"/>
        <v>8.5066836436824791E-2</v>
      </c>
      <c r="BH117" s="528">
        <f t="shared" si="351"/>
        <v>0.12227399994427872</v>
      </c>
      <c r="BI117">
        <f t="shared" si="352"/>
        <v>8.5348384633814924E-3</v>
      </c>
      <c r="BJ117" s="460">
        <f t="shared" si="436"/>
        <v>93.601674900206277</v>
      </c>
      <c r="BK117">
        <f t="shared" si="353"/>
        <v>0.25035232345811737</v>
      </c>
      <c r="BL117" s="460">
        <f t="shared" si="437"/>
        <v>343.68298493671955</v>
      </c>
      <c r="BM117" s="173">
        <f t="shared" si="354"/>
        <v>4.3487499999999998E-2</v>
      </c>
      <c r="BN117" s="173">
        <f t="shared" si="355"/>
        <v>1.0871875E-2</v>
      </c>
      <c r="BO117" s="528"/>
      <c r="BQ117" s="460">
        <f t="shared" si="356"/>
        <v>54.359375</v>
      </c>
      <c r="BR117" s="528">
        <f t="shared" si="357"/>
        <v>1.2338094950805677E-3</v>
      </c>
      <c r="BS117" s="528">
        <f t="shared" si="358"/>
        <v>8.766190504919431E-3</v>
      </c>
      <c r="BT117" s="528">
        <f t="shared" si="359"/>
        <v>8.8120057306696216E-5</v>
      </c>
      <c r="BU117" s="528">
        <f t="shared" si="360"/>
        <v>2.6551810478710462E-2</v>
      </c>
      <c r="BV117" s="528"/>
      <c r="BW117" s="625">
        <f t="shared" si="361"/>
        <v>9.7503377176841918E-4</v>
      </c>
      <c r="BX117" s="460">
        <f t="shared" si="362"/>
        <v>37.614964307785577</v>
      </c>
      <c r="BY117" s="173">
        <f t="shared" si="363"/>
        <v>0.43565732424450515</v>
      </c>
      <c r="BZ117" s="5">
        <f t="shared" si="364"/>
        <v>1.2600000000000002</v>
      </c>
      <c r="CA117" s="173">
        <f t="shared" si="365"/>
        <v>0.74307466608053552</v>
      </c>
      <c r="CB117" s="5">
        <f t="shared" si="366"/>
        <v>74.307466608053545</v>
      </c>
      <c r="CC117">
        <f t="shared" si="367"/>
        <v>7.0000000000000009</v>
      </c>
      <c r="CE117" s="562">
        <f t="shared" si="368"/>
        <v>-50</v>
      </c>
      <c r="CF117">
        <f t="shared" si="369"/>
        <v>-50</v>
      </c>
      <c r="CG117" s="173">
        <f t="shared" si="370"/>
        <v>0.14127468487087788</v>
      </c>
      <c r="CH117" s="173">
        <f t="shared" si="371"/>
        <v>4.994008386104197E-2</v>
      </c>
      <c r="CI117" s="170">
        <v>7</v>
      </c>
      <c r="CJ117" s="217">
        <f t="shared" si="438"/>
        <v>7.0000000000000007E-2</v>
      </c>
      <c r="CK117" s="217">
        <f t="shared" si="372"/>
        <v>1.7500000000000002E-2</v>
      </c>
      <c r="CL117" s="217">
        <f t="shared" si="373"/>
        <v>1.1200000000000001</v>
      </c>
      <c r="CM117" s="217">
        <f t="shared" si="374"/>
        <v>0.14000000000000001</v>
      </c>
      <c r="CN117" s="541">
        <f t="shared" si="375"/>
        <v>19</v>
      </c>
      <c r="CO117" s="443">
        <f t="shared" si="376"/>
        <v>16.7</v>
      </c>
      <c r="CP117" s="443">
        <f t="shared" si="377"/>
        <v>35.700000000000003</v>
      </c>
      <c r="CQ117" s="443"/>
      <c r="CR117" s="217">
        <f t="shared" si="378"/>
        <v>0.4632768361581921</v>
      </c>
      <c r="CS117" s="172">
        <f t="shared" si="379"/>
        <v>19.560577526679221</v>
      </c>
      <c r="CT117" s="172">
        <f t="shared" si="380"/>
        <v>2.7507062146892656</v>
      </c>
      <c r="CU117" s="217">
        <f t="shared" si="381"/>
        <v>1.2225360954174513</v>
      </c>
      <c r="CV117" s="217">
        <f t="shared" si="382"/>
        <v>2.4450721908349027</v>
      </c>
      <c r="CW117" s="217">
        <f t="shared" si="383"/>
        <v>16</v>
      </c>
      <c r="CX117" s="217">
        <f t="shared" si="384"/>
        <v>0.28629011553273431</v>
      </c>
      <c r="CY117" s="217">
        <f t="shared" si="385"/>
        <v>0.180814809810148</v>
      </c>
      <c r="CZ117" s="217">
        <f t="shared" si="386"/>
        <v>0.20571744828699476</v>
      </c>
      <c r="DA117" s="197">
        <f t="shared" si="387"/>
        <v>350</v>
      </c>
      <c r="DB117" s="443">
        <f t="shared" si="388"/>
        <v>350</v>
      </c>
      <c r="DD117" s="217">
        <f t="shared" si="389"/>
        <v>2.1161798052554355</v>
      </c>
      <c r="DE117" s="173">
        <f t="shared" si="390"/>
        <v>1.5206082432973189</v>
      </c>
      <c r="DF117" s="173">
        <f t="shared" si="391"/>
        <v>0.50055918207100247</v>
      </c>
      <c r="DG117" s="173"/>
      <c r="DH117" s="173">
        <f t="shared" si="392"/>
        <v>0.71856287425149712</v>
      </c>
      <c r="DI117" s="545">
        <f t="shared" si="393"/>
        <v>194.83333333333331</v>
      </c>
      <c r="DJ117" s="528">
        <f t="shared" si="394"/>
        <v>0.125748502994012</v>
      </c>
      <c r="DL117" s="173">
        <f t="shared" si="395"/>
        <v>0.7745966692414834</v>
      </c>
      <c r="DM117" s="173">
        <f t="shared" si="396"/>
        <v>1</v>
      </c>
      <c r="DN117" s="173">
        <f t="shared" si="397"/>
        <v>1.1113333333333333</v>
      </c>
      <c r="DP117" s="545">
        <f t="shared" si="398"/>
        <v>70</v>
      </c>
      <c r="DQ117" s="460">
        <f t="shared" si="399"/>
        <v>194.83333333333331</v>
      </c>
      <c r="DS117" s="460">
        <f t="shared" si="400"/>
        <v>70</v>
      </c>
      <c r="DT117" s="460">
        <f t="shared" si="401"/>
        <v>194.83333333333331</v>
      </c>
      <c r="DV117" s="5">
        <f t="shared" si="402"/>
        <v>5.1325919589392646</v>
      </c>
      <c r="DW117" s="5">
        <f t="shared" si="403"/>
        <v>0.63157894736842113</v>
      </c>
      <c r="DX117" s="5">
        <f t="shared" si="404"/>
        <v>4.5010130115708433</v>
      </c>
      <c r="DY117" s="173">
        <f t="shared" si="405"/>
        <v>0.12305263157894737</v>
      </c>
      <c r="EA117" s="5">
        <f t="shared" si="406"/>
        <v>0.27631578947368429</v>
      </c>
      <c r="EB117" s="5">
        <f t="shared" si="407"/>
        <v>0.13815789473684215</v>
      </c>
      <c r="EC117" s="5">
        <f t="shared" si="408"/>
        <v>0.2211023935508484</v>
      </c>
      <c r="ED117" s="5"/>
      <c r="EE117" s="173">
        <f t="shared" si="409"/>
        <v>0.2025278841533904</v>
      </c>
      <c r="EF117" s="173">
        <f t="shared" si="410"/>
        <v>0.54066236180603899</v>
      </c>
      <c r="EG117" s="173">
        <f t="shared" si="411"/>
        <v>0.13278031532589488</v>
      </c>
      <c r="EH117" s="173"/>
      <c r="EI117" s="528">
        <f t="shared" si="412"/>
        <v>8.2035087719298249E-4</v>
      </c>
      <c r="EJ117" s="528">
        <f t="shared" si="413"/>
        <v>0.13215545000000001</v>
      </c>
      <c r="EK117" s="528">
        <f t="shared" si="414"/>
        <v>2.2405833333333333E-2</v>
      </c>
      <c r="EL117" s="528">
        <f t="shared" si="415"/>
        <v>0.12229421898750001</v>
      </c>
      <c r="EM117">
        <f t="shared" si="416"/>
        <v>8.5500000000000003E-3</v>
      </c>
      <c r="EN117" s="460">
        <f t="shared" si="417"/>
        <v>30.955833333333334</v>
      </c>
      <c r="EP117" s="460">
        <f t="shared" si="439"/>
        <v>286.22585319802636</v>
      </c>
      <c r="EQ117" s="173">
        <f t="shared" si="418"/>
        <v>4.9000000000000002E-2</v>
      </c>
      <c r="ER117" s="173">
        <f t="shared" si="419"/>
        <v>7.765625E-3</v>
      </c>
      <c r="ES117" s="528"/>
      <c r="EU117" s="460">
        <f t="shared" si="420"/>
        <v>56.765625</v>
      </c>
      <c r="EV117" s="528">
        <f t="shared" si="421"/>
        <v>1.2305263157894738E-3</v>
      </c>
      <c r="EW117" s="528">
        <f t="shared" si="422"/>
        <v>8.7694736842105249E-3</v>
      </c>
      <c r="EX117" s="528">
        <f t="shared" si="423"/>
        <v>8.8153060690220368E-5</v>
      </c>
      <c r="EY117" s="528">
        <f t="shared" si="424"/>
        <v>2.6492818018065554E-2</v>
      </c>
      <c r="EZ117" s="528"/>
      <c r="FA117" s="625">
        <f t="shared" si="425"/>
        <v>9.7416666666666648E-4</v>
      </c>
      <c r="FB117" s="460">
        <f t="shared" si="426"/>
        <v>37.555137745422435</v>
      </c>
      <c r="FC117" s="173">
        <f t="shared" si="427"/>
        <v>0.3805466159434488</v>
      </c>
      <c r="FD117" s="5">
        <f t="shared" si="428"/>
        <v>1.2600000000000002</v>
      </c>
      <c r="FE117" s="173">
        <f t="shared" si="429"/>
        <v>0.76803669444979272</v>
      </c>
      <c r="FF117" s="5">
        <f t="shared" si="430"/>
        <v>76.803669444979278</v>
      </c>
      <c r="FG117">
        <f t="shared" si="431"/>
        <v>7.0000000000000009</v>
      </c>
      <c r="FI117" s="562">
        <f t="shared" si="432"/>
        <v>-50</v>
      </c>
      <c r="FJ117">
        <f t="shared" si="433"/>
        <v>-50</v>
      </c>
    </row>
    <row r="118" spans="5:166">
      <c r="E118" s="170">
        <v>8</v>
      </c>
      <c r="F118" s="217">
        <f t="shared" si="434"/>
        <v>0.08</v>
      </c>
      <c r="G118" s="217">
        <f t="shared" si="313"/>
        <v>0.02</v>
      </c>
      <c r="H118" s="217">
        <f t="shared" si="314"/>
        <v>1.28</v>
      </c>
      <c r="I118" s="217">
        <f t="shared" si="315"/>
        <v>0.16</v>
      </c>
      <c r="J118" s="541">
        <f t="shared" si="316"/>
        <v>18.966307696403316</v>
      </c>
      <c r="K118" s="443">
        <f t="shared" si="317"/>
        <v>16.714864658887183</v>
      </c>
      <c r="L118" s="172">
        <f t="shared" si="318"/>
        <v>35.681172355290499</v>
      </c>
      <c r="M118" s="443"/>
      <c r="N118" s="217">
        <f t="shared" si="319"/>
        <v>0.46845054563934041</v>
      </c>
      <c r="O118" s="172">
        <f t="shared" si="320"/>
        <v>19.743949309208343</v>
      </c>
      <c r="P118" s="172">
        <f t="shared" si="321"/>
        <v>2.7764928716074233</v>
      </c>
      <c r="Q118" s="217">
        <f t="shared" si="322"/>
        <v>1.2339968318255214</v>
      </c>
      <c r="R118" s="217">
        <f t="shared" si="323"/>
        <v>2.4679936636510429</v>
      </c>
      <c r="S118" s="217">
        <f t="shared" si="324"/>
        <v>16</v>
      </c>
      <c r="T118" s="217">
        <f t="shared" si="325"/>
        <v>0.32414994081326554</v>
      </c>
      <c r="U118" s="217">
        <f t="shared" si="326"/>
        <v>0.20508996015586259</v>
      </c>
      <c r="V118" s="217">
        <f t="shared" si="327"/>
        <v>0.23271497371598551</v>
      </c>
      <c r="W118" s="197">
        <f t="shared" si="328"/>
        <v>350</v>
      </c>
      <c r="X118" s="443">
        <f t="shared" si="435"/>
        <v>350</v>
      </c>
      <c r="Z118" s="217">
        <f t="shared" si="329"/>
        <v>2.1154231402723225</v>
      </c>
      <c r="AA118" s="173">
        <f t="shared" si="330"/>
        <v>1.5187127267447416</v>
      </c>
      <c r="AB118" s="173">
        <f t="shared" si="331"/>
        <v>0.49975645153496262</v>
      </c>
      <c r="AC118" s="173"/>
      <c r="AD118" s="173">
        <f t="shared" si="332"/>
        <v>0.71792385070971421</v>
      </c>
      <c r="AE118" s="545">
        <f t="shared" si="333"/>
        <v>222.86486211849578</v>
      </c>
      <c r="AF118" s="528">
        <f t="shared" si="334"/>
        <v>0.12563667387419999</v>
      </c>
      <c r="AH118" s="173">
        <f t="shared" si="335"/>
        <v>0.82807867121082501</v>
      </c>
      <c r="AI118" s="173">
        <f t="shared" si="336"/>
        <v>1</v>
      </c>
      <c r="AJ118" s="173">
        <f t="shared" si="337"/>
        <v>1.1273513497819976</v>
      </c>
      <c r="AL118" s="545">
        <f t="shared" si="338"/>
        <v>80</v>
      </c>
      <c r="AM118" s="460">
        <f t="shared" si="339"/>
        <v>222.86486211849578</v>
      </c>
      <c r="AO118" s="460">
        <f t="shared" si="340"/>
        <v>80</v>
      </c>
      <c r="AP118" s="460">
        <f t="shared" si="341"/>
        <v>222.86486211849578</v>
      </c>
      <c r="AR118" s="5">
        <f t="shared" si="275"/>
        <v>4.4870240669357138</v>
      </c>
      <c r="AS118" s="5">
        <f t="shared" si="440"/>
        <v>0.63270090267889234</v>
      </c>
      <c r="AT118" s="5">
        <f t="shared" si="441"/>
        <v>3.8543231642568214</v>
      </c>
      <c r="AU118" s="173">
        <f t="shared" si="442"/>
        <v>0.14100679943777916</v>
      </c>
      <c r="AW118" s="5">
        <f t="shared" si="342"/>
        <v>0.31635045133944611</v>
      </c>
      <c r="AX118" s="5">
        <f t="shared" si="343"/>
        <v>0.15817522566972306</v>
      </c>
      <c r="AY118" s="5">
        <f t="shared" si="344"/>
        <v>0.21676744402146264</v>
      </c>
      <c r="AZ118" s="5"/>
      <c r="BA118" s="173">
        <f t="shared" si="345"/>
        <v>0.21680006106839481</v>
      </c>
      <c r="BB118" s="173">
        <f t="shared" si="346"/>
        <v>0.53509911871920857</v>
      </c>
      <c r="BC118" s="173">
        <f t="shared" si="347"/>
        <v>0.13141404827368797</v>
      </c>
      <c r="BD118" s="173"/>
      <c r="BE118" s="528">
        <f t="shared" si="348"/>
        <v>9.4004532958519434E-4</v>
      </c>
      <c r="BF118" s="528">
        <f t="shared" si="349"/>
        <v>0.14512545191868287</v>
      </c>
      <c r="BG118" s="528">
        <f t="shared" si="350"/>
        <v>9.7219241642085466E-2</v>
      </c>
      <c r="BH118" s="528">
        <f t="shared" si="351"/>
        <v>0.1397417142220328</v>
      </c>
      <c r="BI118">
        <f t="shared" si="352"/>
        <v>8.5348384633814924E-3</v>
      </c>
      <c r="BJ118" s="460">
        <f t="shared" si="436"/>
        <v>105.75408010546695</v>
      </c>
      <c r="BK118">
        <f t="shared" si="353"/>
        <v>0.28612493107754949</v>
      </c>
      <c r="BL118" s="460">
        <f t="shared" si="437"/>
        <v>391.56129157576783</v>
      </c>
      <c r="BM118" s="173">
        <f t="shared" si="354"/>
        <v>4.9699999999999994E-2</v>
      </c>
      <c r="BN118" s="173">
        <f t="shared" si="355"/>
        <v>1.2424999999999999E-2</v>
      </c>
      <c r="BO118" s="528"/>
      <c r="BQ118" s="460">
        <f t="shared" si="356"/>
        <v>62.124999999999993</v>
      </c>
      <c r="BR118" s="528">
        <f t="shared" si="357"/>
        <v>1.4100679943777914E-3</v>
      </c>
      <c r="BS118" s="528">
        <f t="shared" si="358"/>
        <v>8.5899320056222091E-3</v>
      </c>
      <c r="BT118" s="528">
        <f t="shared" si="359"/>
        <v>8.6348260418395961E-5</v>
      </c>
      <c r="BU118" s="528">
        <f t="shared" si="360"/>
        <v>3.7074389386780648E-2</v>
      </c>
      <c r="BV118" s="528"/>
      <c r="BW118" s="625">
        <f t="shared" si="361"/>
        <v>1.1143243105924789E-3</v>
      </c>
      <c r="BX118" s="460">
        <f t="shared" si="362"/>
        <v>48.275061957791529</v>
      </c>
      <c r="BY118" s="173">
        <f t="shared" si="363"/>
        <v>0.50196135353355931</v>
      </c>
      <c r="BZ118" s="5">
        <f t="shared" si="364"/>
        <v>1.44</v>
      </c>
      <c r="CA118" s="173">
        <f t="shared" si="365"/>
        <v>0.74151836100126334</v>
      </c>
      <c r="CB118" s="5">
        <f t="shared" si="366"/>
        <v>74.151836100126332</v>
      </c>
      <c r="CC118">
        <f t="shared" si="367"/>
        <v>8</v>
      </c>
      <c r="CE118" s="562">
        <f t="shared" si="368"/>
        <v>-50</v>
      </c>
      <c r="CF118">
        <f t="shared" si="369"/>
        <v>-50</v>
      </c>
      <c r="CG118" s="173">
        <f t="shared" si="370"/>
        <v>0.16145678270957475</v>
      </c>
      <c r="CH118" s="173">
        <f t="shared" si="371"/>
        <v>5.707438155547654E-2</v>
      </c>
      <c r="CI118" s="170">
        <v>8</v>
      </c>
      <c r="CJ118" s="217">
        <f t="shared" si="438"/>
        <v>0.08</v>
      </c>
      <c r="CK118" s="217">
        <f t="shared" si="372"/>
        <v>0.02</v>
      </c>
      <c r="CL118" s="217">
        <f t="shared" si="373"/>
        <v>1.28</v>
      </c>
      <c r="CM118" s="217">
        <f t="shared" si="374"/>
        <v>0.16</v>
      </c>
      <c r="CN118" s="541">
        <f t="shared" si="375"/>
        <v>19</v>
      </c>
      <c r="CO118" s="443">
        <f t="shared" si="376"/>
        <v>16.7</v>
      </c>
      <c r="CP118" s="443">
        <f t="shared" si="377"/>
        <v>35.700000000000003</v>
      </c>
      <c r="CQ118" s="443"/>
      <c r="CR118" s="217">
        <f t="shared" si="378"/>
        <v>0.4632768361581921</v>
      </c>
      <c r="CS118" s="172">
        <f t="shared" si="379"/>
        <v>19.560577526679221</v>
      </c>
      <c r="CT118" s="172">
        <f t="shared" si="380"/>
        <v>2.7507062146892656</v>
      </c>
      <c r="CU118" s="217">
        <f t="shared" si="381"/>
        <v>1.2225360954174513</v>
      </c>
      <c r="CV118" s="217">
        <f t="shared" si="382"/>
        <v>2.4450721908349027</v>
      </c>
      <c r="CW118" s="217">
        <f t="shared" si="383"/>
        <v>16</v>
      </c>
      <c r="CX118" s="217">
        <f t="shared" si="384"/>
        <v>0.327188703465982</v>
      </c>
      <c r="CY118" s="217">
        <f t="shared" si="385"/>
        <v>0.20664549692588335</v>
      </c>
      <c r="CZ118" s="217">
        <f t="shared" si="386"/>
        <v>0.23510565518513676</v>
      </c>
      <c r="DA118" s="197">
        <f t="shared" si="387"/>
        <v>350</v>
      </c>
      <c r="DB118" s="443">
        <f t="shared" si="388"/>
        <v>350</v>
      </c>
      <c r="DD118" s="217">
        <f t="shared" si="389"/>
        <v>2.1161798052554355</v>
      </c>
      <c r="DE118" s="173">
        <f t="shared" si="390"/>
        <v>1.5206082432973189</v>
      </c>
      <c r="DF118" s="173">
        <f t="shared" si="391"/>
        <v>0.50055918207100247</v>
      </c>
      <c r="DG118" s="173"/>
      <c r="DH118" s="173">
        <f t="shared" si="392"/>
        <v>0.71856287425149712</v>
      </c>
      <c r="DI118" s="545">
        <f t="shared" si="393"/>
        <v>222.66666666666666</v>
      </c>
      <c r="DJ118" s="528">
        <f t="shared" si="394"/>
        <v>0.125748502994012</v>
      </c>
      <c r="DL118" s="173">
        <f t="shared" si="395"/>
        <v>0.82807867121082501</v>
      </c>
      <c r="DM118" s="173">
        <f t="shared" si="396"/>
        <v>1</v>
      </c>
      <c r="DN118" s="173">
        <f t="shared" si="397"/>
        <v>1.1272380952380952</v>
      </c>
      <c r="DP118" s="545">
        <f t="shared" si="398"/>
        <v>80</v>
      </c>
      <c r="DQ118" s="460">
        <f t="shared" si="399"/>
        <v>222.66666666666666</v>
      </c>
      <c r="DS118" s="460">
        <f t="shared" si="400"/>
        <v>80</v>
      </c>
      <c r="DT118" s="460">
        <f t="shared" si="401"/>
        <v>222.66666666666666</v>
      </c>
      <c r="DV118" s="5">
        <f t="shared" si="402"/>
        <v>4.4910179640718564</v>
      </c>
      <c r="DW118" s="5">
        <f t="shared" si="403"/>
        <v>0.63157894736842113</v>
      </c>
      <c r="DX118" s="5">
        <f t="shared" si="404"/>
        <v>3.8594390167034351</v>
      </c>
      <c r="DY118" s="173">
        <f t="shared" si="405"/>
        <v>0.14063157894736844</v>
      </c>
      <c r="EA118" s="5">
        <f t="shared" si="406"/>
        <v>0.31578947368421056</v>
      </c>
      <c r="EB118" s="5">
        <f t="shared" si="407"/>
        <v>0.15789473684210528</v>
      </c>
      <c r="EC118" s="5">
        <f t="shared" si="408"/>
        <v>0.21667026058685948</v>
      </c>
      <c r="ED118" s="5"/>
      <c r="EE118" s="173">
        <f t="shared" si="409"/>
        <v>0.21651141536292295</v>
      </c>
      <c r="EF118" s="173">
        <f t="shared" si="410"/>
        <v>0.5352159754256941</v>
      </c>
      <c r="EG118" s="173">
        <f t="shared" si="411"/>
        <v>0.13144274690601604</v>
      </c>
      <c r="EH118" s="173"/>
      <c r="EI118" s="528">
        <f t="shared" si="412"/>
        <v>9.3754385964912304E-4</v>
      </c>
      <c r="EJ118" s="528">
        <f t="shared" si="413"/>
        <v>0.15103480000000002</v>
      </c>
      <c r="EK118" s="528">
        <f t="shared" si="414"/>
        <v>2.5606666666666666E-2</v>
      </c>
      <c r="EL118" s="528">
        <f t="shared" si="415"/>
        <v>0.13976482170000001</v>
      </c>
      <c r="EM118">
        <f t="shared" si="416"/>
        <v>8.5500000000000003E-3</v>
      </c>
      <c r="EN118" s="460">
        <f t="shared" si="417"/>
        <v>34.156666666666666</v>
      </c>
      <c r="EP118" s="460">
        <f t="shared" si="439"/>
        <v>325.89383222631579</v>
      </c>
      <c r="EQ118" s="173">
        <f t="shared" si="418"/>
        <v>5.5999999999999994E-2</v>
      </c>
      <c r="ER118" s="173">
        <f t="shared" si="419"/>
        <v>8.8749999999999992E-3</v>
      </c>
      <c r="ES118" s="528"/>
      <c r="EU118" s="460">
        <f t="shared" si="420"/>
        <v>64.874999999999986</v>
      </c>
      <c r="EV118" s="528">
        <f t="shared" si="421"/>
        <v>1.4063157894736843E-3</v>
      </c>
      <c r="EW118" s="528">
        <f t="shared" si="422"/>
        <v>8.5936842105263159E-3</v>
      </c>
      <c r="EX118" s="528">
        <f t="shared" si="423"/>
        <v>8.6385978570994955E-5</v>
      </c>
      <c r="EY118" s="528">
        <f t="shared" si="424"/>
        <v>3.6992017999767805E-2</v>
      </c>
      <c r="EZ118" s="528"/>
      <c r="FA118" s="625">
        <f t="shared" si="425"/>
        <v>1.1133333333333334E-3</v>
      </c>
      <c r="FB118" s="460">
        <f t="shared" si="426"/>
        <v>48.191737311672135</v>
      </c>
      <c r="FC118" s="173">
        <f t="shared" si="427"/>
        <v>0.43896056953798795</v>
      </c>
      <c r="FD118" s="5">
        <f t="shared" si="428"/>
        <v>1.44</v>
      </c>
      <c r="FE118" s="173">
        <f t="shared" si="429"/>
        <v>0.76638117017755059</v>
      </c>
      <c r="FF118" s="5">
        <f t="shared" si="430"/>
        <v>76.638117017755064</v>
      </c>
      <c r="FG118">
        <f t="shared" si="431"/>
        <v>8</v>
      </c>
      <c r="FI118" s="562">
        <f t="shared" si="432"/>
        <v>-50</v>
      </c>
      <c r="FJ118">
        <f t="shared" si="433"/>
        <v>-50</v>
      </c>
    </row>
    <row r="119" spans="5:166">
      <c r="E119" s="170">
        <v>9</v>
      </c>
      <c r="F119" s="217">
        <f t="shared" si="434"/>
        <v>0.09</v>
      </c>
      <c r="G119" s="217">
        <f t="shared" si="313"/>
        <v>2.2499999999999999E-2</v>
      </c>
      <c r="H119" s="217">
        <f t="shared" si="314"/>
        <v>1.44</v>
      </c>
      <c r="I119" s="217">
        <f t="shared" si="315"/>
        <v>0.18</v>
      </c>
      <c r="J119" s="541">
        <f t="shared" si="316"/>
        <v>18.966307696403316</v>
      </c>
      <c r="K119" s="443">
        <f t="shared" si="317"/>
        <v>16.714864658887183</v>
      </c>
      <c r="L119" s="172">
        <f t="shared" si="318"/>
        <v>35.681172355290499</v>
      </c>
      <c r="M119" s="443"/>
      <c r="N119" s="217">
        <f t="shared" si="319"/>
        <v>0.46845054563934041</v>
      </c>
      <c r="O119" s="172">
        <f t="shared" si="320"/>
        <v>19.743949309208343</v>
      </c>
      <c r="P119" s="172">
        <f t="shared" si="321"/>
        <v>2.7764928716074233</v>
      </c>
      <c r="Q119" s="217">
        <f t="shared" si="322"/>
        <v>1.2339968318255214</v>
      </c>
      <c r="R119" s="217">
        <f t="shared" si="323"/>
        <v>2.4679936636510429</v>
      </c>
      <c r="S119" s="217">
        <f t="shared" si="324"/>
        <v>16</v>
      </c>
      <c r="T119" s="217">
        <f t="shared" si="325"/>
        <v>0.36466868341492376</v>
      </c>
      <c r="U119" s="217">
        <f t="shared" si="326"/>
        <v>0.23072620517534545</v>
      </c>
      <c r="V119" s="217">
        <f t="shared" si="327"/>
        <v>0.26180434543048375</v>
      </c>
      <c r="W119" s="197">
        <f t="shared" si="328"/>
        <v>350</v>
      </c>
      <c r="X119" s="443">
        <f t="shared" si="435"/>
        <v>350</v>
      </c>
      <c r="Z119" s="217">
        <f t="shared" si="329"/>
        <v>2.1154231402723225</v>
      </c>
      <c r="AA119" s="173">
        <f t="shared" si="330"/>
        <v>1.5187127267447416</v>
      </c>
      <c r="AB119" s="173">
        <f t="shared" si="331"/>
        <v>0.49975645153496262</v>
      </c>
      <c r="AC119" s="173"/>
      <c r="AD119" s="173">
        <f t="shared" si="332"/>
        <v>0.71792385070971421</v>
      </c>
      <c r="AE119" s="545">
        <f t="shared" si="333"/>
        <v>250.72296988330774</v>
      </c>
      <c r="AF119" s="528">
        <f t="shared" si="334"/>
        <v>0.12563667387419999</v>
      </c>
      <c r="AH119" s="173">
        <f t="shared" si="335"/>
        <v>0.87831006565367986</v>
      </c>
      <c r="AI119" s="173">
        <f t="shared" si="336"/>
        <v>1</v>
      </c>
      <c r="AJ119" s="173">
        <f t="shared" si="337"/>
        <v>1.1432702685047473</v>
      </c>
      <c r="AL119" s="545">
        <f t="shared" si="338"/>
        <v>90</v>
      </c>
      <c r="AM119" s="460">
        <f t="shared" si="339"/>
        <v>250.72296988330774</v>
      </c>
      <c r="AO119" s="460">
        <f t="shared" si="340"/>
        <v>90</v>
      </c>
      <c r="AP119" s="460">
        <f t="shared" si="341"/>
        <v>250.72296988330774</v>
      </c>
      <c r="AR119" s="5">
        <f t="shared" si="275"/>
        <v>3.9884658372761903</v>
      </c>
      <c r="AS119" s="5">
        <f t="shared" si="440"/>
        <v>0.63270090267889234</v>
      </c>
      <c r="AT119" s="5">
        <f t="shared" si="441"/>
        <v>3.355764934597298</v>
      </c>
      <c r="AU119" s="173">
        <f t="shared" si="442"/>
        <v>0.15863264936750154</v>
      </c>
      <c r="AW119" s="5">
        <f t="shared" si="342"/>
        <v>0.35589425775687694</v>
      </c>
      <c r="AX119" s="5">
        <f t="shared" si="343"/>
        <v>0.17794712887843847</v>
      </c>
      <c r="AY119" s="5">
        <f t="shared" si="344"/>
        <v>0.21231955032978841</v>
      </c>
      <c r="AZ119" s="5"/>
      <c r="BA119" s="173">
        <f t="shared" si="345"/>
        <v>0.22995119001467937</v>
      </c>
      <c r="BB119" s="173">
        <f t="shared" si="346"/>
        <v>0.5295807620601094</v>
      </c>
      <c r="BC119" s="173">
        <f t="shared" si="347"/>
        <v>0.13005880480005627</v>
      </c>
      <c r="BD119" s="173"/>
      <c r="BE119" s="528">
        <f t="shared" si="348"/>
        <v>1.0575509957833436E-3</v>
      </c>
      <c r="BF119" s="528">
        <f t="shared" si="349"/>
        <v>0.16326613340851817</v>
      </c>
      <c r="BG119" s="528">
        <f t="shared" si="350"/>
        <v>0.10937164684734615</v>
      </c>
      <c r="BH119" s="528">
        <f t="shared" si="351"/>
        <v>0.15720942849978689</v>
      </c>
      <c r="BI119">
        <f t="shared" si="352"/>
        <v>8.5348384633814924E-3</v>
      </c>
      <c r="BJ119" s="460">
        <f t="shared" si="436"/>
        <v>117.90648531072765</v>
      </c>
      <c r="BK119">
        <f t="shared" si="353"/>
        <v>0.3218995366946662</v>
      </c>
      <c r="BL119" s="460">
        <f t="shared" si="437"/>
        <v>439.4395982148161</v>
      </c>
      <c r="BM119" s="173">
        <f t="shared" si="354"/>
        <v>5.5912499999999997E-2</v>
      </c>
      <c r="BN119" s="173">
        <f t="shared" si="355"/>
        <v>1.3978124999999999E-2</v>
      </c>
      <c r="BO119" s="528"/>
      <c r="BQ119" s="460">
        <f t="shared" si="356"/>
        <v>69.890625</v>
      </c>
      <c r="BR119" s="528">
        <f t="shared" si="357"/>
        <v>1.5863264936750152E-3</v>
      </c>
      <c r="BS119" s="528">
        <f t="shared" si="358"/>
        <v>8.4136735063249871E-3</v>
      </c>
      <c r="BT119" s="528">
        <f t="shared" si="359"/>
        <v>8.4576463530095707E-5</v>
      </c>
      <c r="BU119" s="528">
        <f t="shared" si="360"/>
        <v>4.9768587272887375E-2</v>
      </c>
      <c r="BV119" s="528"/>
      <c r="BW119" s="625">
        <f t="shared" si="361"/>
        <v>1.2536148494165387E-3</v>
      </c>
      <c r="BX119" s="460">
        <f t="shared" si="362"/>
        <v>61.106778585834007</v>
      </c>
      <c r="BY119" s="173">
        <f t="shared" si="363"/>
        <v>0.57043700180064993</v>
      </c>
      <c r="BZ119" s="5">
        <f t="shared" si="364"/>
        <v>1.6199999999999999</v>
      </c>
      <c r="CA119" s="173">
        <f t="shared" si="365"/>
        <v>0.73957844880646106</v>
      </c>
      <c r="CB119" s="5">
        <f t="shared" si="366"/>
        <v>73.957844880646107</v>
      </c>
      <c r="CC119">
        <f t="shared" si="367"/>
        <v>9</v>
      </c>
      <c r="CE119" s="562">
        <f t="shared" si="368"/>
        <v>-50</v>
      </c>
      <c r="CF119">
        <f t="shared" si="369"/>
        <v>-50</v>
      </c>
      <c r="CG119" s="173">
        <f t="shared" si="370"/>
        <v>0.1816388805482716</v>
      </c>
      <c r="CH119" s="173">
        <f t="shared" si="371"/>
        <v>6.420867924991111E-2</v>
      </c>
      <c r="CI119" s="170">
        <v>9</v>
      </c>
      <c r="CJ119" s="217">
        <f t="shared" si="438"/>
        <v>0.09</v>
      </c>
      <c r="CK119" s="217">
        <f t="shared" si="372"/>
        <v>2.2499999999999999E-2</v>
      </c>
      <c r="CL119" s="217">
        <f t="shared" si="373"/>
        <v>1.44</v>
      </c>
      <c r="CM119" s="217">
        <f t="shared" si="374"/>
        <v>0.18</v>
      </c>
      <c r="CN119" s="541">
        <f t="shared" si="375"/>
        <v>19</v>
      </c>
      <c r="CO119" s="443">
        <f t="shared" si="376"/>
        <v>16.7</v>
      </c>
      <c r="CP119" s="443">
        <f t="shared" si="377"/>
        <v>35.700000000000003</v>
      </c>
      <c r="CQ119" s="443"/>
      <c r="CR119" s="217">
        <f t="shared" si="378"/>
        <v>0.4632768361581921</v>
      </c>
      <c r="CS119" s="172">
        <f t="shared" si="379"/>
        <v>19.560577526679221</v>
      </c>
      <c r="CT119" s="172">
        <f t="shared" si="380"/>
        <v>2.7507062146892656</v>
      </c>
      <c r="CU119" s="217">
        <f t="shared" si="381"/>
        <v>1.2225360954174513</v>
      </c>
      <c r="CV119" s="217">
        <f t="shared" si="382"/>
        <v>2.4450721908349027</v>
      </c>
      <c r="CW119" s="217">
        <f t="shared" si="383"/>
        <v>16</v>
      </c>
      <c r="CX119" s="217">
        <f t="shared" si="384"/>
        <v>0.36808729139922974</v>
      </c>
      <c r="CY119" s="217">
        <f t="shared" si="385"/>
        <v>0.23247618404161879</v>
      </c>
      <c r="CZ119" s="217">
        <f t="shared" si="386"/>
        <v>0.26449386208327885</v>
      </c>
      <c r="DA119" s="197">
        <f t="shared" si="387"/>
        <v>350</v>
      </c>
      <c r="DB119" s="443">
        <f t="shared" si="388"/>
        <v>350</v>
      </c>
      <c r="DD119" s="217">
        <f t="shared" si="389"/>
        <v>2.1161798052554355</v>
      </c>
      <c r="DE119" s="173">
        <f t="shared" si="390"/>
        <v>1.5206082432973189</v>
      </c>
      <c r="DF119" s="173">
        <f t="shared" si="391"/>
        <v>0.50055918207100247</v>
      </c>
      <c r="DG119" s="173"/>
      <c r="DH119" s="173">
        <f t="shared" si="392"/>
        <v>0.71856287425149712</v>
      </c>
      <c r="DI119" s="545">
        <f t="shared" si="393"/>
        <v>250.49999999999997</v>
      </c>
      <c r="DJ119" s="528">
        <f t="shared" si="394"/>
        <v>0.125748502994012</v>
      </c>
      <c r="DL119" s="173">
        <f t="shared" si="395"/>
        <v>0.87831006565367986</v>
      </c>
      <c r="DM119" s="173">
        <f t="shared" si="396"/>
        <v>1</v>
      </c>
      <c r="DN119" s="173">
        <f t="shared" si="397"/>
        <v>1.1431428571428572</v>
      </c>
      <c r="DP119" s="545">
        <f t="shared" si="398"/>
        <v>90</v>
      </c>
      <c r="DQ119" s="460">
        <f t="shared" si="399"/>
        <v>250.49999999999997</v>
      </c>
      <c r="DS119" s="460">
        <f t="shared" si="400"/>
        <v>90</v>
      </c>
      <c r="DT119" s="460">
        <f t="shared" si="401"/>
        <v>250.49999999999997</v>
      </c>
      <c r="DV119" s="5">
        <f t="shared" si="402"/>
        <v>3.9920159680638729</v>
      </c>
      <c r="DW119" s="5">
        <f t="shared" si="403"/>
        <v>0.63157894736842113</v>
      </c>
      <c r="DX119" s="5">
        <f t="shared" si="404"/>
        <v>3.3604370206954517</v>
      </c>
      <c r="DY119" s="173">
        <f t="shared" si="405"/>
        <v>0.15821052631578947</v>
      </c>
      <c r="EA119" s="5">
        <f t="shared" si="406"/>
        <v>0.35526315789473689</v>
      </c>
      <c r="EB119" s="5">
        <f t="shared" si="407"/>
        <v>0.17763157894736845</v>
      </c>
      <c r="EC119" s="5">
        <f t="shared" si="408"/>
        <v>0.21223812762287059</v>
      </c>
      <c r="ED119" s="5"/>
      <c r="EE119" s="173">
        <f t="shared" si="409"/>
        <v>0.22964503501113007</v>
      </c>
      <c r="EF119" s="173">
        <f t="shared" si="410"/>
        <v>0.52971359358437287</v>
      </c>
      <c r="EG119" s="173">
        <f t="shared" si="411"/>
        <v>0.13009142665969156</v>
      </c>
      <c r="EH119" s="173"/>
      <c r="EI119" s="528">
        <f t="shared" si="412"/>
        <v>1.054736842105263E-3</v>
      </c>
      <c r="EJ119" s="528">
        <f t="shared" si="413"/>
        <v>0.16991415000000001</v>
      </c>
      <c r="EK119" s="528">
        <f t="shared" si="414"/>
        <v>2.88075E-2</v>
      </c>
      <c r="EL119" s="528">
        <f t="shared" si="415"/>
        <v>0.15723542441249999</v>
      </c>
      <c r="EM119">
        <f t="shared" si="416"/>
        <v>8.5500000000000003E-3</v>
      </c>
      <c r="EN119" s="460">
        <f t="shared" si="417"/>
        <v>37.357500000000002</v>
      </c>
      <c r="EP119" s="460">
        <f t="shared" si="439"/>
        <v>365.56181125460529</v>
      </c>
      <c r="EQ119" s="173">
        <f t="shared" si="418"/>
        <v>6.3E-2</v>
      </c>
      <c r="ER119" s="173">
        <f t="shared" si="419"/>
        <v>9.9843749999999985E-3</v>
      </c>
      <c r="ES119" s="528"/>
      <c r="EU119" s="460">
        <f t="shared" si="420"/>
        <v>72.984375</v>
      </c>
      <c r="EV119" s="528">
        <f t="shared" si="421"/>
        <v>1.5821052631578944E-3</v>
      </c>
      <c r="EW119" s="528">
        <f t="shared" si="422"/>
        <v>8.4178947368421051E-3</v>
      </c>
      <c r="EX119" s="528">
        <f t="shared" si="423"/>
        <v>8.4618896451769542E-5</v>
      </c>
      <c r="EY119" s="528">
        <f t="shared" si="424"/>
        <v>4.9658012085240469E-2</v>
      </c>
      <c r="EZ119" s="528"/>
      <c r="FA119" s="625">
        <f t="shared" si="425"/>
        <v>1.2524999999999999E-3</v>
      </c>
      <c r="FB119" s="460">
        <f t="shared" si="426"/>
        <v>60.995130981692235</v>
      </c>
      <c r="FC119" s="173">
        <f t="shared" si="427"/>
        <v>0.49954131723629752</v>
      </c>
      <c r="FD119" s="5">
        <f t="shared" si="428"/>
        <v>1.6199999999999999</v>
      </c>
      <c r="FE119" s="173">
        <f t="shared" si="429"/>
        <v>0.76431631071591599</v>
      </c>
      <c r="FF119" s="5">
        <f t="shared" si="430"/>
        <v>76.431631071591596</v>
      </c>
      <c r="FG119">
        <f t="shared" si="431"/>
        <v>9</v>
      </c>
      <c r="FI119" s="562">
        <f t="shared" si="432"/>
        <v>-50</v>
      </c>
      <c r="FJ119">
        <f t="shared" si="433"/>
        <v>-50</v>
      </c>
    </row>
    <row r="120" spans="5:166">
      <c r="E120" s="170">
        <v>10</v>
      </c>
      <c r="F120" s="217">
        <f t="shared" si="434"/>
        <v>0.1</v>
      </c>
      <c r="G120" s="217">
        <f t="shared" si="313"/>
        <v>2.5000000000000001E-2</v>
      </c>
      <c r="H120" s="217">
        <f t="shared" si="314"/>
        <v>1.6</v>
      </c>
      <c r="I120" s="217">
        <f t="shared" si="315"/>
        <v>0.2</v>
      </c>
      <c r="J120" s="541">
        <f t="shared" si="316"/>
        <v>18.966307696403316</v>
      </c>
      <c r="K120" s="443">
        <f t="shared" si="317"/>
        <v>16.714864658887183</v>
      </c>
      <c r="L120" s="172">
        <f t="shared" si="318"/>
        <v>35.681172355290499</v>
      </c>
      <c r="M120" s="443"/>
      <c r="N120" s="217">
        <f t="shared" si="319"/>
        <v>0.46845054563934041</v>
      </c>
      <c r="O120" s="172">
        <f t="shared" si="320"/>
        <v>19.743949309208343</v>
      </c>
      <c r="P120" s="172">
        <f t="shared" si="321"/>
        <v>2.7764928716074233</v>
      </c>
      <c r="Q120" s="217">
        <f t="shared" si="322"/>
        <v>1.2339968318255214</v>
      </c>
      <c r="R120" s="217">
        <f t="shared" si="323"/>
        <v>2.4679936636510429</v>
      </c>
      <c r="S120" s="217">
        <f t="shared" si="324"/>
        <v>16</v>
      </c>
      <c r="T120" s="217">
        <f t="shared" si="325"/>
        <v>0.40518742601658198</v>
      </c>
      <c r="U120" s="217">
        <f t="shared" si="326"/>
        <v>0.25636245019482834</v>
      </c>
      <c r="V120" s="217">
        <f t="shared" si="327"/>
        <v>0.29089371714498197</v>
      </c>
      <c r="W120" s="197">
        <f t="shared" si="328"/>
        <v>350</v>
      </c>
      <c r="X120" s="443">
        <f t="shared" si="435"/>
        <v>350</v>
      </c>
      <c r="Z120" s="217">
        <f t="shared" si="329"/>
        <v>2.1154231402723225</v>
      </c>
      <c r="AA120" s="173">
        <f t="shared" si="330"/>
        <v>1.5187127267447416</v>
      </c>
      <c r="AB120" s="173">
        <f t="shared" si="331"/>
        <v>0.49975645153496262</v>
      </c>
      <c r="AC120" s="173"/>
      <c r="AD120" s="173">
        <f t="shared" si="332"/>
        <v>0.71792385070971421</v>
      </c>
      <c r="AE120" s="545">
        <f t="shared" si="333"/>
        <v>278.58107764811973</v>
      </c>
      <c r="AF120" s="528">
        <f t="shared" si="334"/>
        <v>0.12563667387419999</v>
      </c>
      <c r="AH120" s="173">
        <f t="shared" si="335"/>
        <v>0.92582009977255142</v>
      </c>
      <c r="AI120" s="173">
        <f t="shared" si="336"/>
        <v>1</v>
      </c>
      <c r="AJ120" s="173">
        <f t="shared" si="337"/>
        <v>1.1591891872274971</v>
      </c>
      <c r="AL120" s="545">
        <f t="shared" si="338"/>
        <v>100</v>
      </c>
      <c r="AM120" s="460">
        <f t="shared" si="339"/>
        <v>278.58107764811973</v>
      </c>
      <c r="AO120" s="460">
        <f t="shared" si="340"/>
        <v>100</v>
      </c>
      <c r="AP120" s="460">
        <f t="shared" si="341"/>
        <v>278.58107764811973</v>
      </c>
      <c r="AR120" s="5">
        <f t="shared" si="275"/>
        <v>3.5896192535485705</v>
      </c>
      <c r="AS120" s="5">
        <f t="shared" si="440"/>
        <v>0.63270090267889234</v>
      </c>
      <c r="AT120" s="5">
        <f t="shared" si="441"/>
        <v>2.9569183508696781</v>
      </c>
      <c r="AU120" s="173">
        <f t="shared" si="442"/>
        <v>0.17625849929722398</v>
      </c>
      <c r="AW120" s="5">
        <f t="shared" si="342"/>
        <v>0.39543806417430777</v>
      </c>
      <c r="AX120" s="5">
        <f t="shared" si="343"/>
        <v>0.19771903208715388</v>
      </c>
      <c r="AY120" s="5">
        <f t="shared" si="344"/>
        <v>0.20787165663811408</v>
      </c>
      <c r="AZ120" s="5"/>
      <c r="BA120" s="173">
        <f t="shared" si="345"/>
        <v>0.24238983703751826</v>
      </c>
      <c r="BB120" s="173">
        <f t="shared" si="346"/>
        <v>0.52400429409906435</v>
      </c>
      <c r="BC120" s="173">
        <f t="shared" si="347"/>
        <v>0.12868928987432904</v>
      </c>
      <c r="BD120" s="173"/>
      <c r="BE120" s="528">
        <f t="shared" si="348"/>
        <v>1.1750566619814933E-3</v>
      </c>
      <c r="BF120" s="528">
        <f t="shared" si="349"/>
        <v>0.18140681489835356</v>
      </c>
      <c r="BG120" s="528">
        <f t="shared" si="350"/>
        <v>0.12152405205260686</v>
      </c>
      <c r="BH120" s="528">
        <f t="shared" si="351"/>
        <v>0.17467714277754101</v>
      </c>
      <c r="BI120">
        <f t="shared" si="352"/>
        <v>8.5348384633814924E-3</v>
      </c>
      <c r="BJ120" s="460">
        <f t="shared" si="436"/>
        <v>130.05889051598834</v>
      </c>
      <c r="BK120">
        <f t="shared" si="353"/>
        <v>0.3576761404768628</v>
      </c>
      <c r="BL120" s="460">
        <f t="shared" si="437"/>
        <v>487.31790485386443</v>
      </c>
      <c r="BM120" s="173">
        <f t="shared" si="354"/>
        <v>6.2124999999999993E-2</v>
      </c>
      <c r="BN120" s="173">
        <f t="shared" si="355"/>
        <v>1.5531249999999998E-2</v>
      </c>
      <c r="BO120" s="528"/>
      <c r="BQ120" s="460">
        <f t="shared" si="356"/>
        <v>77.65625</v>
      </c>
      <c r="BR120" s="528">
        <f t="shared" si="357"/>
        <v>1.7625849929722398E-3</v>
      </c>
      <c r="BS120" s="528">
        <f t="shared" si="358"/>
        <v>8.2374150070277617E-3</v>
      </c>
      <c r="BT120" s="528">
        <f t="shared" si="359"/>
        <v>8.2804666641795438E-5</v>
      </c>
      <c r="BU120" s="528">
        <f t="shared" si="360"/>
        <v>6.4766292885264365E-2</v>
      </c>
      <c r="BV120" s="528"/>
      <c r="BW120" s="625">
        <f t="shared" si="361"/>
        <v>1.3929053882405988E-3</v>
      </c>
      <c r="BX120" s="460">
        <f t="shared" si="362"/>
        <v>76.242002940146762</v>
      </c>
      <c r="BY120" s="173">
        <f t="shared" si="363"/>
        <v>0.6412161577940112</v>
      </c>
      <c r="BZ120" s="5">
        <f t="shared" si="364"/>
        <v>1.8</v>
      </c>
      <c r="CA120" s="173">
        <f t="shared" si="365"/>
        <v>0.73733741039407097</v>
      </c>
      <c r="CB120" s="5">
        <f t="shared" si="366"/>
        <v>73.733741039407093</v>
      </c>
      <c r="CC120">
        <f t="shared" si="367"/>
        <v>10</v>
      </c>
      <c r="CE120" s="562">
        <f t="shared" si="368"/>
        <v>-50</v>
      </c>
      <c r="CF120">
        <f t="shared" si="369"/>
        <v>-50</v>
      </c>
      <c r="CG120" s="173">
        <f t="shared" si="370"/>
        <v>0.20182097838696844</v>
      </c>
      <c r="CH120" s="173">
        <f t="shared" si="371"/>
        <v>7.1342976944345673E-2</v>
      </c>
      <c r="CI120" s="170">
        <v>10</v>
      </c>
      <c r="CJ120" s="217">
        <f t="shared" si="438"/>
        <v>0.1</v>
      </c>
      <c r="CK120" s="217">
        <f t="shared" si="372"/>
        <v>2.5000000000000001E-2</v>
      </c>
      <c r="CL120" s="217">
        <f t="shared" si="373"/>
        <v>1.6</v>
      </c>
      <c r="CM120" s="217">
        <f t="shared" si="374"/>
        <v>0.2</v>
      </c>
      <c r="CN120" s="541">
        <f t="shared" si="375"/>
        <v>19</v>
      </c>
      <c r="CO120" s="443">
        <f t="shared" si="376"/>
        <v>16.7</v>
      </c>
      <c r="CP120" s="443">
        <f t="shared" si="377"/>
        <v>35.700000000000003</v>
      </c>
      <c r="CQ120" s="443"/>
      <c r="CR120" s="217">
        <f t="shared" si="378"/>
        <v>0.4632768361581921</v>
      </c>
      <c r="CS120" s="172">
        <f t="shared" si="379"/>
        <v>19.560577526679221</v>
      </c>
      <c r="CT120" s="172">
        <f t="shared" si="380"/>
        <v>2.7507062146892656</v>
      </c>
      <c r="CU120" s="217">
        <f t="shared" si="381"/>
        <v>1.2225360954174513</v>
      </c>
      <c r="CV120" s="217">
        <f t="shared" si="382"/>
        <v>2.4450721908349027</v>
      </c>
      <c r="CW120" s="217">
        <f t="shared" si="383"/>
        <v>16</v>
      </c>
      <c r="CX120" s="217">
        <f t="shared" si="384"/>
        <v>0.40898587933247749</v>
      </c>
      <c r="CY120" s="217">
        <f t="shared" si="385"/>
        <v>0.25830687115735423</v>
      </c>
      <c r="CZ120" s="217">
        <f t="shared" si="386"/>
        <v>0.293882068981421</v>
      </c>
      <c r="DA120" s="197">
        <f t="shared" si="387"/>
        <v>350</v>
      </c>
      <c r="DB120" s="443">
        <f t="shared" si="388"/>
        <v>350</v>
      </c>
      <c r="DD120" s="217">
        <f t="shared" si="389"/>
        <v>2.1161798052554355</v>
      </c>
      <c r="DE120" s="173">
        <f t="shared" si="390"/>
        <v>1.5206082432973189</v>
      </c>
      <c r="DF120" s="173">
        <f t="shared" si="391"/>
        <v>0.50055918207100247</v>
      </c>
      <c r="DG120" s="173"/>
      <c r="DH120" s="173">
        <f t="shared" si="392"/>
        <v>0.71856287425149712</v>
      </c>
      <c r="DI120" s="545">
        <f t="shared" si="393"/>
        <v>278.33333333333331</v>
      </c>
      <c r="DJ120" s="528">
        <f t="shared" si="394"/>
        <v>0.125748502994012</v>
      </c>
      <c r="DL120" s="173">
        <f t="shared" si="395"/>
        <v>0.92582009977255142</v>
      </c>
      <c r="DM120" s="173">
        <f t="shared" si="396"/>
        <v>1</v>
      </c>
      <c r="DN120" s="173">
        <f t="shared" si="397"/>
        <v>1.1590476190476191</v>
      </c>
      <c r="DP120" s="545">
        <f t="shared" si="398"/>
        <v>100</v>
      </c>
      <c r="DQ120" s="460">
        <f t="shared" si="399"/>
        <v>278.33333333333331</v>
      </c>
      <c r="DS120" s="460">
        <f t="shared" si="400"/>
        <v>100</v>
      </c>
      <c r="DT120" s="460">
        <f t="shared" si="401"/>
        <v>278.33333333333331</v>
      </c>
      <c r="DV120" s="5">
        <f t="shared" si="402"/>
        <v>3.5928143712574854</v>
      </c>
      <c r="DW120" s="5">
        <f t="shared" si="403"/>
        <v>0.63157894736842113</v>
      </c>
      <c r="DX120" s="5">
        <f t="shared" si="404"/>
        <v>2.9612354238890641</v>
      </c>
      <c r="DY120" s="173">
        <f t="shared" si="405"/>
        <v>0.17578947368421052</v>
      </c>
      <c r="EA120" s="5">
        <f t="shared" si="406"/>
        <v>0.39473684210526327</v>
      </c>
      <c r="EB120" s="5">
        <f t="shared" si="407"/>
        <v>0.19736842105263164</v>
      </c>
      <c r="EC120" s="5">
        <f t="shared" si="408"/>
        <v>0.20780599465888167</v>
      </c>
      <c r="ED120" s="5"/>
      <c r="EE120" s="173">
        <f t="shared" si="409"/>
        <v>0.24206712132809399</v>
      </c>
      <c r="EF120" s="173">
        <f t="shared" si="410"/>
        <v>0.52415345282203685</v>
      </c>
      <c r="EG120" s="173">
        <f t="shared" si="411"/>
        <v>0.12872592150188258</v>
      </c>
      <c r="EH120" s="173"/>
      <c r="EI120" s="528">
        <f t="shared" si="412"/>
        <v>1.1719298245614035E-3</v>
      </c>
      <c r="EJ120" s="528">
        <f t="shared" si="413"/>
        <v>0.1887935</v>
      </c>
      <c r="EK120" s="528">
        <f t="shared" si="414"/>
        <v>3.200833333333334E-2</v>
      </c>
      <c r="EL120" s="528">
        <f t="shared" si="415"/>
        <v>0.174706027125</v>
      </c>
      <c r="EM120">
        <f t="shared" si="416"/>
        <v>8.5500000000000003E-3</v>
      </c>
      <c r="EN120" s="460">
        <f t="shared" si="417"/>
        <v>40.558333333333344</v>
      </c>
      <c r="EP120" s="460">
        <f t="shared" si="439"/>
        <v>405.22979028289473</v>
      </c>
      <c r="EQ120" s="173">
        <f t="shared" si="418"/>
        <v>6.9999999999999993E-2</v>
      </c>
      <c r="ER120" s="173">
        <f t="shared" si="419"/>
        <v>1.1093749999999999E-2</v>
      </c>
      <c r="ES120" s="528"/>
      <c r="EU120" s="460">
        <f t="shared" si="420"/>
        <v>81.093749999999986</v>
      </c>
      <c r="EV120" s="528">
        <f t="shared" si="421"/>
        <v>1.7578947368421052E-3</v>
      </c>
      <c r="EW120" s="528">
        <f t="shared" si="422"/>
        <v>8.2421052631578961E-3</v>
      </c>
      <c r="EX120" s="528">
        <f t="shared" si="423"/>
        <v>8.2851814332544197E-5</v>
      </c>
      <c r="EY120" s="528">
        <f t="shared" si="424"/>
        <v>6.4622395994044179E-2</v>
      </c>
      <c r="EZ120" s="528"/>
      <c r="FA120" s="625">
        <f t="shared" si="425"/>
        <v>1.3916666666666665E-3</v>
      </c>
      <c r="FB120" s="460">
        <f t="shared" si="426"/>
        <v>76.096914475043391</v>
      </c>
      <c r="FC120" s="173">
        <f t="shared" si="427"/>
        <v>0.56242045475793812</v>
      </c>
      <c r="FD120" s="5">
        <f t="shared" si="428"/>
        <v>1.8</v>
      </c>
      <c r="FE120" s="173">
        <f t="shared" si="429"/>
        <v>0.7619304160589967</v>
      </c>
      <c r="FF120" s="5">
        <f t="shared" si="430"/>
        <v>76.193041605899666</v>
      </c>
      <c r="FG120">
        <f t="shared" si="431"/>
        <v>10</v>
      </c>
      <c r="FI120" s="562">
        <f t="shared" si="432"/>
        <v>-50</v>
      </c>
      <c r="FJ120">
        <f t="shared" si="433"/>
        <v>-50</v>
      </c>
    </row>
    <row r="121" spans="5:166">
      <c r="E121" s="170">
        <v>11</v>
      </c>
      <c r="F121" s="217">
        <f t="shared" si="434"/>
        <v>0.11</v>
      </c>
      <c r="G121" s="217">
        <f t="shared" si="313"/>
        <v>2.75E-2</v>
      </c>
      <c r="H121" s="217">
        <f t="shared" si="314"/>
        <v>1.76</v>
      </c>
      <c r="I121" s="217">
        <f t="shared" si="315"/>
        <v>0.22</v>
      </c>
      <c r="J121" s="541">
        <f t="shared" si="316"/>
        <v>18.966307696403316</v>
      </c>
      <c r="K121" s="443">
        <f t="shared" si="317"/>
        <v>16.714864658887183</v>
      </c>
      <c r="L121" s="172">
        <f t="shared" si="318"/>
        <v>35.681172355290499</v>
      </c>
      <c r="M121" s="443"/>
      <c r="N121" s="217">
        <f t="shared" si="319"/>
        <v>0.46845054563934041</v>
      </c>
      <c r="O121" s="172">
        <f t="shared" si="320"/>
        <v>19.743949309208343</v>
      </c>
      <c r="P121" s="172">
        <f t="shared" si="321"/>
        <v>2.7764928716074233</v>
      </c>
      <c r="Q121" s="217">
        <f t="shared" si="322"/>
        <v>1.2339968318255214</v>
      </c>
      <c r="R121" s="217">
        <f t="shared" si="323"/>
        <v>2.4679936636510429</v>
      </c>
      <c r="S121" s="217">
        <f t="shared" si="324"/>
        <v>16</v>
      </c>
      <c r="T121" s="217">
        <f t="shared" si="325"/>
        <v>0.44570616861824014</v>
      </c>
      <c r="U121" s="217">
        <f t="shared" si="326"/>
        <v>0.28199869521431109</v>
      </c>
      <c r="V121" s="217">
        <f t="shared" si="327"/>
        <v>0.31998308885948012</v>
      </c>
      <c r="W121" s="197">
        <f t="shared" si="328"/>
        <v>350</v>
      </c>
      <c r="X121" s="443">
        <f t="shared" si="435"/>
        <v>350</v>
      </c>
      <c r="Z121" s="217">
        <f t="shared" si="329"/>
        <v>2.1154231402723225</v>
      </c>
      <c r="AA121" s="173">
        <f t="shared" si="330"/>
        <v>1.5187127267447416</v>
      </c>
      <c r="AB121" s="173">
        <f t="shared" si="331"/>
        <v>0.49975645153496262</v>
      </c>
      <c r="AC121" s="173"/>
      <c r="AD121" s="173">
        <f t="shared" si="332"/>
        <v>0.71792385070971421</v>
      </c>
      <c r="AE121" s="545">
        <f t="shared" si="333"/>
        <v>306.43918541293164</v>
      </c>
      <c r="AF121" s="528">
        <f t="shared" si="334"/>
        <v>0.12563667387419999</v>
      </c>
      <c r="AH121" s="173">
        <f t="shared" si="335"/>
        <v>0.97100831245522445</v>
      </c>
      <c r="AI121" s="173">
        <f t="shared" si="336"/>
        <v>1</v>
      </c>
      <c r="AJ121" s="173">
        <f t="shared" si="337"/>
        <v>1.1751081059502466</v>
      </c>
      <c r="AL121" s="545">
        <f t="shared" si="338"/>
        <v>110</v>
      </c>
      <c r="AM121" s="460">
        <f t="shared" si="339"/>
        <v>306.43918541293164</v>
      </c>
      <c r="AO121" s="460">
        <f t="shared" si="340"/>
        <v>110</v>
      </c>
      <c r="AP121" s="460">
        <f t="shared" si="341"/>
        <v>306.43918541293164</v>
      </c>
      <c r="AR121" s="5">
        <f t="shared" si="275"/>
        <v>3.2632902304987015</v>
      </c>
      <c r="AS121" s="5">
        <f t="shared" si="440"/>
        <v>0.63270090267889234</v>
      </c>
      <c r="AT121" s="5">
        <f t="shared" si="441"/>
        <v>2.6305893278198091</v>
      </c>
      <c r="AU121" s="173">
        <f t="shared" si="442"/>
        <v>0.19388434922694631</v>
      </c>
      <c r="AW121" s="5">
        <f t="shared" si="342"/>
        <v>0.43498187059173843</v>
      </c>
      <c r="AX121" s="5">
        <f t="shared" si="343"/>
        <v>0.21749093529586921</v>
      </c>
      <c r="AY121" s="5">
        <f t="shared" si="344"/>
        <v>0.20342376294643988</v>
      </c>
      <c r="AZ121" s="5"/>
      <c r="BA121" s="173">
        <f t="shared" si="345"/>
        <v>0.25422060579147021</v>
      </c>
      <c r="BB121" s="173">
        <f t="shared" si="346"/>
        <v>0.51836783940012254</v>
      </c>
      <c r="BC121" s="173">
        <f t="shared" si="347"/>
        <v>0.12730504291150069</v>
      </c>
      <c r="BD121" s="173"/>
      <c r="BE121" s="528">
        <f t="shared" si="348"/>
        <v>1.292562328179642E-3</v>
      </c>
      <c r="BF121" s="528">
        <f t="shared" si="349"/>
        <v>0.19954749638818889</v>
      </c>
      <c r="BG121" s="528">
        <f t="shared" si="350"/>
        <v>0.1336764572578675</v>
      </c>
      <c r="BH121" s="528">
        <f t="shared" si="351"/>
        <v>0.19214485705529508</v>
      </c>
      <c r="BI121">
        <f t="shared" si="352"/>
        <v>8.5348384633814924E-3</v>
      </c>
      <c r="BJ121" s="460">
        <f t="shared" si="436"/>
        <v>142.211295721249</v>
      </c>
      <c r="BK121">
        <f t="shared" si="353"/>
        <v>0.39345474259155283</v>
      </c>
      <c r="BL121" s="460">
        <f t="shared" si="437"/>
        <v>535.19621149291265</v>
      </c>
      <c r="BM121" s="173">
        <f t="shared" si="354"/>
        <v>6.8337499999999995E-2</v>
      </c>
      <c r="BN121" s="173">
        <f t="shared" si="355"/>
        <v>1.7084374999999999E-2</v>
      </c>
      <c r="BO121" s="528"/>
      <c r="BQ121" s="460">
        <f t="shared" si="356"/>
        <v>85.421875</v>
      </c>
      <c r="BR121" s="528">
        <f t="shared" si="357"/>
        <v>1.9388434922694628E-3</v>
      </c>
      <c r="BS121" s="528">
        <f t="shared" si="358"/>
        <v>8.0611565077305363E-3</v>
      </c>
      <c r="BT121" s="528">
        <f t="shared" si="359"/>
        <v>8.1032869753495156E-5</v>
      </c>
      <c r="BU121" s="528">
        <f t="shared" si="360"/>
        <v>8.2192227859906083E-2</v>
      </c>
      <c r="BV121" s="528"/>
      <c r="BW121" s="625">
        <f t="shared" si="361"/>
        <v>1.5321959270646582E-3</v>
      </c>
      <c r="BX121" s="460">
        <f t="shared" si="362"/>
        <v>93.805456656724246</v>
      </c>
      <c r="BY121" s="173">
        <f t="shared" si="363"/>
        <v>0.71442354314963696</v>
      </c>
      <c r="BZ121" s="5">
        <f t="shared" si="364"/>
        <v>1.98</v>
      </c>
      <c r="CA121" s="173">
        <f t="shared" si="365"/>
        <v>0.73485106119785681</v>
      </c>
      <c r="CB121" s="5">
        <f t="shared" si="366"/>
        <v>73.485106119785684</v>
      </c>
      <c r="CC121">
        <f t="shared" si="367"/>
        <v>11</v>
      </c>
      <c r="CE121" s="562">
        <f t="shared" si="368"/>
        <v>-50</v>
      </c>
      <c r="CF121">
        <f t="shared" si="369"/>
        <v>-50</v>
      </c>
      <c r="CG121" s="173">
        <f t="shared" si="370"/>
        <v>0.22200307622566526</v>
      </c>
      <c r="CH121" s="173">
        <f t="shared" si="371"/>
        <v>7.8477274638780237E-2</v>
      </c>
      <c r="CI121" s="170">
        <v>11</v>
      </c>
      <c r="CJ121" s="217">
        <f t="shared" si="438"/>
        <v>0.11</v>
      </c>
      <c r="CK121" s="217">
        <f t="shared" si="372"/>
        <v>2.75E-2</v>
      </c>
      <c r="CL121" s="217">
        <f t="shared" si="373"/>
        <v>1.76</v>
      </c>
      <c r="CM121" s="217">
        <f t="shared" si="374"/>
        <v>0.22</v>
      </c>
      <c r="CN121" s="541">
        <f t="shared" si="375"/>
        <v>19</v>
      </c>
      <c r="CO121" s="443">
        <f t="shared" si="376"/>
        <v>16.7</v>
      </c>
      <c r="CP121" s="443">
        <f t="shared" si="377"/>
        <v>35.700000000000003</v>
      </c>
      <c r="CQ121" s="443"/>
      <c r="CR121" s="217">
        <f t="shared" si="378"/>
        <v>0.4632768361581921</v>
      </c>
      <c r="CS121" s="172">
        <f t="shared" si="379"/>
        <v>19.560577526679221</v>
      </c>
      <c r="CT121" s="172">
        <f t="shared" si="380"/>
        <v>2.7507062146892656</v>
      </c>
      <c r="CU121" s="217">
        <f t="shared" si="381"/>
        <v>1.2225360954174513</v>
      </c>
      <c r="CV121" s="217">
        <f t="shared" si="382"/>
        <v>2.4450721908349027</v>
      </c>
      <c r="CW121" s="217">
        <f t="shared" si="383"/>
        <v>16</v>
      </c>
      <c r="CX121" s="217">
        <f t="shared" si="384"/>
        <v>0.44988446726572523</v>
      </c>
      <c r="CY121" s="217">
        <f t="shared" si="385"/>
        <v>0.28413755827308967</v>
      </c>
      <c r="CZ121" s="217">
        <f t="shared" si="386"/>
        <v>0.32327027587956308</v>
      </c>
      <c r="DA121" s="197">
        <f t="shared" si="387"/>
        <v>350</v>
      </c>
      <c r="DB121" s="443">
        <f t="shared" si="388"/>
        <v>350</v>
      </c>
      <c r="DD121" s="217">
        <f t="shared" si="389"/>
        <v>2.1161798052554355</v>
      </c>
      <c r="DE121" s="173">
        <f t="shared" si="390"/>
        <v>1.5206082432973189</v>
      </c>
      <c r="DF121" s="173">
        <f t="shared" si="391"/>
        <v>0.50055918207100247</v>
      </c>
      <c r="DG121" s="173"/>
      <c r="DH121" s="173">
        <f t="shared" si="392"/>
        <v>0.71856287425149712</v>
      </c>
      <c r="DI121" s="545">
        <f t="shared" si="393"/>
        <v>306.16666666666663</v>
      </c>
      <c r="DJ121" s="528">
        <f t="shared" si="394"/>
        <v>0.125748502994012</v>
      </c>
      <c r="DL121" s="173">
        <f t="shared" si="395"/>
        <v>0.97100831245522445</v>
      </c>
      <c r="DM121" s="173">
        <f t="shared" si="396"/>
        <v>1</v>
      </c>
      <c r="DN121" s="173">
        <f t="shared" si="397"/>
        <v>1.174952380952381</v>
      </c>
      <c r="DP121" s="545">
        <f t="shared" si="398"/>
        <v>110</v>
      </c>
      <c r="DQ121" s="460">
        <f t="shared" si="399"/>
        <v>306.16666666666663</v>
      </c>
      <c r="DS121" s="460">
        <f t="shared" si="400"/>
        <v>110</v>
      </c>
      <c r="DT121" s="460">
        <f t="shared" si="401"/>
        <v>306.16666666666663</v>
      </c>
      <c r="DV121" s="5">
        <f t="shared" si="402"/>
        <v>3.2661948829613503</v>
      </c>
      <c r="DW121" s="5">
        <f t="shared" si="403"/>
        <v>0.63157894736842113</v>
      </c>
      <c r="DX121" s="5">
        <f t="shared" si="404"/>
        <v>2.6346159355929291</v>
      </c>
      <c r="DY121" s="173">
        <f t="shared" si="405"/>
        <v>0.19336842105263158</v>
      </c>
      <c r="EA121" s="5">
        <f t="shared" si="406"/>
        <v>0.43421052631578955</v>
      </c>
      <c r="EB121" s="5">
        <f t="shared" si="407"/>
        <v>0.21710526315789477</v>
      </c>
      <c r="EC121" s="5">
        <f t="shared" si="408"/>
        <v>0.20337386169489274</v>
      </c>
      <c r="ED121" s="5"/>
      <c r="EE121" s="173">
        <f t="shared" si="409"/>
        <v>0.25388213869998261</v>
      </c>
      <c r="EF121" s="173">
        <f t="shared" si="410"/>
        <v>0.51853369512738134</v>
      </c>
      <c r="EG121" s="173">
        <f t="shared" si="411"/>
        <v>0.12734577512687159</v>
      </c>
      <c r="EH121" s="173"/>
      <c r="EI121" s="528">
        <f t="shared" si="412"/>
        <v>1.2891228070175443E-3</v>
      </c>
      <c r="EJ121" s="528">
        <f t="shared" si="413"/>
        <v>0.20767285000000002</v>
      </c>
      <c r="EK121" s="528">
        <f t="shared" si="414"/>
        <v>3.5209166666666666E-2</v>
      </c>
      <c r="EL121" s="528">
        <f t="shared" si="415"/>
        <v>0.1921766298375</v>
      </c>
      <c r="EM121">
        <f t="shared" si="416"/>
        <v>8.5500000000000003E-3</v>
      </c>
      <c r="EN121" s="460">
        <f t="shared" si="417"/>
        <v>43.759166666666665</v>
      </c>
      <c r="EP121" s="460">
        <f t="shared" si="439"/>
        <v>444.89776931118422</v>
      </c>
      <c r="EQ121" s="173">
        <f t="shared" si="418"/>
        <v>7.6999999999999999E-2</v>
      </c>
      <c r="ER121" s="173">
        <f t="shared" si="419"/>
        <v>1.2203124999999999E-2</v>
      </c>
      <c r="ES121" s="528"/>
      <c r="EU121" s="460">
        <f t="shared" si="420"/>
        <v>89.203125</v>
      </c>
      <c r="EV121" s="528">
        <f t="shared" si="421"/>
        <v>1.9336842105263162E-3</v>
      </c>
      <c r="EW121" s="528">
        <f t="shared" si="422"/>
        <v>8.0663157894736819E-3</v>
      </c>
      <c r="EX121" s="528">
        <f t="shared" si="423"/>
        <v>8.1084732213318743E-5</v>
      </c>
      <c r="EY121" s="528">
        <f t="shared" si="424"/>
        <v>8.200961425729579E-2</v>
      </c>
      <c r="EZ121" s="528"/>
      <c r="FA121" s="625">
        <f t="shared" si="425"/>
        <v>1.5308333333333333E-3</v>
      </c>
      <c r="FB121" s="460">
        <f t="shared" si="426"/>
        <v>93.621532322842441</v>
      </c>
      <c r="FC121" s="173">
        <f t="shared" si="427"/>
        <v>0.62772242663402678</v>
      </c>
      <c r="FD121" s="5">
        <f t="shared" si="428"/>
        <v>1.98</v>
      </c>
      <c r="FE121" s="173">
        <f t="shared" si="429"/>
        <v>0.75928326564868609</v>
      </c>
      <c r="FF121" s="5">
        <f t="shared" si="430"/>
        <v>75.928326564868613</v>
      </c>
      <c r="FG121">
        <f t="shared" si="431"/>
        <v>11</v>
      </c>
      <c r="FI121" s="562">
        <f t="shared" si="432"/>
        <v>-50</v>
      </c>
      <c r="FJ121">
        <f t="shared" si="433"/>
        <v>-50</v>
      </c>
    </row>
    <row r="122" spans="5:166">
      <c r="E122" s="170">
        <v>12</v>
      </c>
      <c r="F122" s="217">
        <f t="shared" si="434"/>
        <v>0.12</v>
      </c>
      <c r="G122" s="217">
        <f t="shared" si="313"/>
        <v>0.03</v>
      </c>
      <c r="H122" s="217">
        <f t="shared" si="314"/>
        <v>1.92</v>
      </c>
      <c r="I122" s="217">
        <f t="shared" si="315"/>
        <v>0.24</v>
      </c>
      <c r="J122" s="541">
        <f t="shared" si="316"/>
        <v>18.966307696403316</v>
      </c>
      <c r="K122" s="443">
        <f t="shared" si="317"/>
        <v>16.714864658887183</v>
      </c>
      <c r="L122" s="172">
        <f t="shared" si="318"/>
        <v>35.681172355290499</v>
      </c>
      <c r="M122" s="443"/>
      <c r="N122" s="217">
        <f t="shared" si="319"/>
        <v>0.46845054563934041</v>
      </c>
      <c r="O122" s="172">
        <f t="shared" si="320"/>
        <v>19.743949309208343</v>
      </c>
      <c r="P122" s="172">
        <f t="shared" si="321"/>
        <v>2.7764928716074233</v>
      </c>
      <c r="Q122" s="217">
        <f t="shared" si="322"/>
        <v>1.2339968318255214</v>
      </c>
      <c r="R122" s="217">
        <f t="shared" si="323"/>
        <v>2.4679936636510429</v>
      </c>
      <c r="S122" s="217">
        <f t="shared" si="324"/>
        <v>16</v>
      </c>
      <c r="T122" s="217">
        <f t="shared" si="325"/>
        <v>0.48622491121989836</v>
      </c>
      <c r="U122" s="217">
        <f t="shared" si="326"/>
        <v>0.30763494023379395</v>
      </c>
      <c r="V122" s="217">
        <f t="shared" si="327"/>
        <v>0.34907246057397834</v>
      </c>
      <c r="W122" s="197">
        <f t="shared" si="328"/>
        <v>350</v>
      </c>
      <c r="X122" s="443">
        <f t="shared" si="435"/>
        <v>350</v>
      </c>
      <c r="Z122" s="217">
        <f t="shared" si="329"/>
        <v>2.1154231402723225</v>
      </c>
      <c r="AA122" s="173">
        <f t="shared" si="330"/>
        <v>1.5187127267447416</v>
      </c>
      <c r="AB122" s="173">
        <f t="shared" si="331"/>
        <v>0.49975645153496262</v>
      </c>
      <c r="AC122" s="173"/>
      <c r="AD122" s="173">
        <f t="shared" si="332"/>
        <v>0.71792385070971421</v>
      </c>
      <c r="AE122" s="545">
        <f t="shared" si="333"/>
        <v>334.2972931777436</v>
      </c>
      <c r="AF122" s="528">
        <f t="shared" si="334"/>
        <v>0.12563667387419999</v>
      </c>
      <c r="AH122" s="173">
        <f t="shared" si="335"/>
        <v>1.0141851056742199</v>
      </c>
      <c r="AI122" s="173">
        <f t="shared" si="336"/>
        <v>1.0141851056742199</v>
      </c>
      <c r="AJ122" s="173">
        <f t="shared" si="337"/>
        <v>1.1910270246729964</v>
      </c>
      <c r="AL122" s="545">
        <f t="shared" si="338"/>
        <v>120</v>
      </c>
      <c r="AM122" s="460">
        <f t="shared" si="339"/>
        <v>334.2972931777436</v>
      </c>
      <c r="AO122" s="460">
        <f t="shared" si="340"/>
        <v>120</v>
      </c>
      <c r="AP122" s="460">
        <f t="shared" si="341"/>
        <v>334.2972931777436</v>
      </c>
      <c r="AR122" s="5">
        <f t="shared" si="275"/>
        <v>2.991349377957143</v>
      </c>
      <c r="AS122" s="5">
        <f t="shared" si="440"/>
        <v>0.64167583184356669</v>
      </c>
      <c r="AT122" s="5">
        <f t="shared" si="441"/>
        <v>2.3496735461135763</v>
      </c>
      <c r="AU122" s="173">
        <f t="shared" si="442"/>
        <v>0.21451049368288133</v>
      </c>
      <c r="AW122" s="5">
        <f t="shared" si="342"/>
        <v>0.48125687388267507</v>
      </c>
      <c r="AX122" s="5">
        <f t="shared" si="343"/>
        <v>0.24062843694133754</v>
      </c>
      <c r="AY122" s="5">
        <f t="shared" si="344"/>
        <v>0.19821874315023641</v>
      </c>
      <c r="AZ122" s="5"/>
      <c r="BA122" s="173">
        <f t="shared" si="345"/>
        <v>0.27119449658314948</v>
      </c>
      <c r="BB122" s="173">
        <f t="shared" si="346"/>
        <v>0.51895152748609863</v>
      </c>
      <c r="BC122" s="173">
        <f t="shared" si="347"/>
        <v>0.12744838983849774</v>
      </c>
      <c r="BD122" s="173"/>
      <c r="BE122" s="528">
        <f t="shared" si="348"/>
        <v>1.4709290995397577E-3</v>
      </c>
      <c r="BF122" s="528">
        <f t="shared" si="349"/>
        <v>0.22077610768525235</v>
      </c>
      <c r="BG122" s="528">
        <f t="shared" si="350"/>
        <v>0.14582886246312818</v>
      </c>
      <c r="BH122" s="528">
        <f t="shared" si="351"/>
        <v>0.20961257133304917</v>
      </c>
      <c r="BI122">
        <f t="shared" si="352"/>
        <v>8.5348384633814924E-3</v>
      </c>
      <c r="BJ122" s="460">
        <f t="shared" si="436"/>
        <v>154.36370092650967</v>
      </c>
      <c r="BK122">
        <f t="shared" si="353"/>
        <v>0.43240788239640893</v>
      </c>
      <c r="BL122" s="460">
        <f t="shared" si="437"/>
        <v>586.22330904435103</v>
      </c>
      <c r="BM122" s="173">
        <f t="shared" si="354"/>
        <v>7.4549999999999991E-2</v>
      </c>
      <c r="BN122" s="173">
        <f t="shared" si="355"/>
        <v>1.8637499999999998E-2</v>
      </c>
      <c r="BO122" s="528"/>
      <c r="BQ122" s="460">
        <f t="shared" si="356"/>
        <v>93.187499999999986</v>
      </c>
      <c r="BR122" s="528">
        <f t="shared" si="357"/>
        <v>2.2063936493096361E-3</v>
      </c>
      <c r="BS122" s="528">
        <f t="shared" si="358"/>
        <v>8.0793206364046504E-3</v>
      </c>
      <c r="BT122" s="528">
        <f t="shared" si="359"/>
        <v>8.1215460362128478E-5</v>
      </c>
      <c r="BU122" s="528">
        <f t="shared" si="360"/>
        <v>0.10582669303201656</v>
      </c>
      <c r="BV122" s="528"/>
      <c r="BW122" s="625">
        <f t="shared" si="361"/>
        <v>1.7192432220569673E-3</v>
      </c>
      <c r="BX122" s="460">
        <f t="shared" si="362"/>
        <v>117.91286600014995</v>
      </c>
      <c r="BY122" s="173">
        <f t="shared" si="363"/>
        <v>0.79732367504450086</v>
      </c>
      <c r="BZ122" s="5">
        <f t="shared" si="364"/>
        <v>2.16</v>
      </c>
      <c r="CA122" s="173">
        <f t="shared" si="365"/>
        <v>0.73039012206450382</v>
      </c>
      <c r="CB122" s="5">
        <f t="shared" si="366"/>
        <v>73.03901220645038</v>
      </c>
      <c r="CC122">
        <f t="shared" si="367"/>
        <v>12</v>
      </c>
      <c r="CE122" s="562">
        <f t="shared" si="368"/>
        <v>-50</v>
      </c>
      <c r="CF122">
        <f t="shared" si="369"/>
        <v>-50</v>
      </c>
      <c r="CG122" s="173">
        <f t="shared" si="370"/>
        <v>0.24218517406436207</v>
      </c>
      <c r="CH122" s="173">
        <f t="shared" si="371"/>
        <v>8.56115723332148E-2</v>
      </c>
      <c r="CI122" s="170">
        <v>12</v>
      </c>
      <c r="CJ122" s="217">
        <f t="shared" si="438"/>
        <v>0.12</v>
      </c>
      <c r="CK122" s="217">
        <f t="shared" si="372"/>
        <v>0.03</v>
      </c>
      <c r="CL122" s="217">
        <f t="shared" si="373"/>
        <v>1.92</v>
      </c>
      <c r="CM122" s="217">
        <f t="shared" si="374"/>
        <v>0.24</v>
      </c>
      <c r="CN122" s="541">
        <f t="shared" si="375"/>
        <v>19</v>
      </c>
      <c r="CO122" s="443">
        <f t="shared" si="376"/>
        <v>16.7</v>
      </c>
      <c r="CP122" s="443">
        <f t="shared" si="377"/>
        <v>35.700000000000003</v>
      </c>
      <c r="CQ122" s="443"/>
      <c r="CR122" s="217">
        <f t="shared" si="378"/>
        <v>0.4632768361581921</v>
      </c>
      <c r="CS122" s="172">
        <f t="shared" si="379"/>
        <v>19.560577526679221</v>
      </c>
      <c r="CT122" s="172">
        <f t="shared" si="380"/>
        <v>2.7507062146892656</v>
      </c>
      <c r="CU122" s="217">
        <f t="shared" si="381"/>
        <v>1.2225360954174513</v>
      </c>
      <c r="CV122" s="217">
        <f t="shared" si="382"/>
        <v>2.4450721908349027</v>
      </c>
      <c r="CW122" s="217">
        <f t="shared" si="383"/>
        <v>16</v>
      </c>
      <c r="CX122" s="217">
        <f t="shared" si="384"/>
        <v>0.49078305519897303</v>
      </c>
      <c r="CY122" s="217">
        <f t="shared" si="385"/>
        <v>0.30996824538882506</v>
      </c>
      <c r="CZ122" s="217">
        <f t="shared" si="386"/>
        <v>0.35265848277770517</v>
      </c>
      <c r="DA122" s="197">
        <f t="shared" si="387"/>
        <v>350</v>
      </c>
      <c r="DB122" s="443">
        <f t="shared" si="388"/>
        <v>350</v>
      </c>
      <c r="DD122" s="217">
        <f t="shared" si="389"/>
        <v>2.1161798052554355</v>
      </c>
      <c r="DE122" s="173">
        <f t="shared" si="390"/>
        <v>1.5206082432973189</v>
      </c>
      <c r="DF122" s="173">
        <f t="shared" si="391"/>
        <v>0.50055918207100247</v>
      </c>
      <c r="DG122" s="173"/>
      <c r="DH122" s="173">
        <f t="shared" si="392"/>
        <v>0.71856287425149712</v>
      </c>
      <c r="DI122" s="545">
        <f t="shared" si="393"/>
        <v>333.99999999999994</v>
      </c>
      <c r="DJ122" s="528">
        <f t="shared" si="394"/>
        <v>0.125748502994012</v>
      </c>
      <c r="DL122" s="173">
        <f t="shared" si="395"/>
        <v>1.0141851056742199</v>
      </c>
      <c r="DM122" s="173">
        <f t="shared" si="396"/>
        <v>1.0141851056742199</v>
      </c>
      <c r="DN122" s="173">
        <f t="shared" si="397"/>
        <v>1.1908571428571428</v>
      </c>
      <c r="DP122" s="545">
        <f t="shared" si="398"/>
        <v>120</v>
      </c>
      <c r="DQ122" s="460">
        <f t="shared" si="399"/>
        <v>333.99999999999994</v>
      </c>
      <c r="DS122" s="460">
        <f t="shared" si="400"/>
        <v>120</v>
      </c>
      <c r="DT122" s="460">
        <f t="shared" si="401"/>
        <v>333.99999999999994</v>
      </c>
      <c r="DV122" s="5">
        <f t="shared" si="402"/>
        <v>2.9940119760479047</v>
      </c>
      <c r="DW122" s="5">
        <f t="shared" si="403"/>
        <v>0.64053796147845476</v>
      </c>
      <c r="DX122" s="5">
        <f t="shared" si="404"/>
        <v>2.3534740145694499</v>
      </c>
      <c r="DY122" s="173">
        <f t="shared" si="405"/>
        <v>0.21393967913380385</v>
      </c>
      <c r="EA122" s="5">
        <f t="shared" si="406"/>
        <v>0.48040347110884107</v>
      </c>
      <c r="EB122" s="5">
        <f t="shared" si="407"/>
        <v>0.24020173555442054</v>
      </c>
      <c r="EC122" s="5">
        <f t="shared" si="408"/>
        <v>0.19818728543742734</v>
      </c>
      <c r="ED122" s="5"/>
      <c r="EE122" s="173">
        <f t="shared" si="409"/>
        <v>0.27083343060189208</v>
      </c>
      <c r="EF122" s="173">
        <f t="shared" si="410"/>
        <v>0.51914005405627583</v>
      </c>
      <c r="EG122" s="173">
        <f t="shared" si="411"/>
        <v>0.12749468974617362</v>
      </c>
      <c r="EH122" s="173"/>
      <c r="EI122" s="528">
        <f t="shared" si="412"/>
        <v>1.4670149426317977E-3</v>
      </c>
      <c r="EJ122" s="528">
        <f t="shared" si="413"/>
        <v>0.22976586689772699</v>
      </c>
      <c r="EK122" s="528">
        <f t="shared" si="414"/>
        <v>3.841E-2</v>
      </c>
      <c r="EL122" s="528">
        <f t="shared" si="415"/>
        <v>0.20964723254999998</v>
      </c>
      <c r="EM122">
        <f t="shared" si="416"/>
        <v>8.5500000000000003E-3</v>
      </c>
      <c r="EN122" s="460">
        <f t="shared" si="417"/>
        <v>46.96</v>
      </c>
      <c r="EP122" s="460">
        <f t="shared" si="439"/>
        <v>487.84011439035874</v>
      </c>
      <c r="EQ122" s="173">
        <f t="shared" si="418"/>
        <v>8.3999999999999991E-2</v>
      </c>
      <c r="ER122" s="173">
        <f t="shared" si="419"/>
        <v>1.33125E-2</v>
      </c>
      <c r="ES122" s="528"/>
      <c r="EU122" s="460">
        <f t="shared" si="420"/>
        <v>97.3125</v>
      </c>
      <c r="EV122" s="528">
        <f t="shared" si="421"/>
        <v>2.2005224139476963E-3</v>
      </c>
      <c r="EW122" s="528">
        <f t="shared" si="422"/>
        <v>8.0851918717665897E-3</v>
      </c>
      <c r="EX122" s="528">
        <f t="shared" si="423"/>
        <v>8.1274479567365333E-5</v>
      </c>
      <c r="EY122" s="528">
        <f t="shared" si="424"/>
        <v>0.10559156868790157</v>
      </c>
      <c r="EZ122" s="528"/>
      <c r="FA122" s="625">
        <f t="shared" si="425"/>
        <v>1.7177142857142857E-3</v>
      </c>
      <c r="FB122" s="460">
        <f t="shared" si="426"/>
        <v>117.6762717388975</v>
      </c>
      <c r="FC122" s="173">
        <f t="shared" si="427"/>
        <v>0.70282888612925631</v>
      </c>
      <c r="FD122" s="5">
        <f t="shared" si="428"/>
        <v>2.16</v>
      </c>
      <c r="FE122" s="173">
        <f t="shared" si="429"/>
        <v>0.75449846495033457</v>
      </c>
      <c r="FF122" s="5">
        <f t="shared" si="430"/>
        <v>75.449846495033455</v>
      </c>
      <c r="FG122">
        <f t="shared" si="431"/>
        <v>12</v>
      </c>
      <c r="FI122" s="562">
        <f t="shared" si="432"/>
        <v>-50</v>
      </c>
      <c r="FJ122">
        <f t="shared" si="433"/>
        <v>-50</v>
      </c>
    </row>
    <row r="123" spans="5:166">
      <c r="E123" s="170">
        <v>13</v>
      </c>
      <c r="F123" s="217">
        <f t="shared" si="434"/>
        <v>0.13</v>
      </c>
      <c r="G123" s="217">
        <f t="shared" si="313"/>
        <v>3.2500000000000001E-2</v>
      </c>
      <c r="H123" s="217">
        <f t="shared" si="314"/>
        <v>2.08</v>
      </c>
      <c r="I123" s="217">
        <f t="shared" si="315"/>
        <v>0.26</v>
      </c>
      <c r="J123" s="541">
        <f t="shared" si="316"/>
        <v>18.96574287047229</v>
      </c>
      <c r="K123" s="443">
        <f t="shared" si="317"/>
        <v>16.715113853626015</v>
      </c>
      <c r="L123" s="172">
        <f t="shared" si="318"/>
        <v>35.680856724098305</v>
      </c>
      <c r="M123" s="443"/>
      <c r="N123" s="217">
        <f t="shared" si="319"/>
        <v>0.46846167352077289</v>
      </c>
      <c r="O123" s="172">
        <f t="shared" si="320"/>
        <v>19.74383032148026</v>
      </c>
      <c r="P123" s="172">
        <f t="shared" si="321"/>
        <v>2.7764761389581616</v>
      </c>
      <c r="Q123" s="217">
        <f t="shared" si="322"/>
        <v>1.2339893950925163</v>
      </c>
      <c r="R123" s="217">
        <f t="shared" si="323"/>
        <v>2.4679787901850325</v>
      </c>
      <c r="S123" s="217">
        <f t="shared" si="324"/>
        <v>16</v>
      </c>
      <c r="T123" s="217">
        <f t="shared" si="325"/>
        <v>0.52674682828312902</v>
      </c>
      <c r="U123" s="217">
        <f t="shared" si="326"/>
        <v>0.33328311907247438</v>
      </c>
      <c r="V123" s="217">
        <f t="shared" si="327"/>
        <v>0.37815847350787501</v>
      </c>
      <c r="W123" s="197">
        <f t="shared" si="328"/>
        <v>350</v>
      </c>
      <c r="X123" s="443">
        <f t="shared" si="435"/>
        <v>350</v>
      </c>
      <c r="Z123" s="217">
        <f t="shared" si="329"/>
        <v>2.1154103915871705</v>
      </c>
      <c r="AA123" s="173">
        <f t="shared" si="330"/>
        <v>1.5186809327977915</v>
      </c>
      <c r="AB123" s="173">
        <f t="shared" si="331"/>
        <v>0.49974297749378266</v>
      </c>
      <c r="AC123" s="173"/>
      <c r="AD123" s="173">
        <f t="shared" si="332"/>
        <v>0.71791314765091097</v>
      </c>
      <c r="AE123" s="545">
        <f t="shared" si="333"/>
        <v>362.16080016189704</v>
      </c>
      <c r="AF123" s="528">
        <f t="shared" si="334"/>
        <v>0.12563480083890941</v>
      </c>
      <c r="AH123" s="173">
        <f t="shared" si="335"/>
        <v>1.0555973258234952</v>
      </c>
      <c r="AI123" s="173">
        <f t="shared" si="336"/>
        <v>1.0555973258234952</v>
      </c>
      <c r="AJ123" s="173">
        <f t="shared" si="337"/>
        <v>1.2411832043137001</v>
      </c>
      <c r="AL123" s="545">
        <f t="shared" si="338"/>
        <v>130</v>
      </c>
      <c r="AM123" s="460">
        <f t="shared" si="339"/>
        <v>350</v>
      </c>
      <c r="AO123" s="460">
        <f t="shared" si="340"/>
        <v>130</v>
      </c>
      <c r="AP123" s="460">
        <f t="shared" si="341"/>
        <v>350</v>
      </c>
      <c r="AR123" s="5">
        <f t="shared" si="275"/>
        <v>2.8571428571428572</v>
      </c>
      <c r="AS123" s="5">
        <f t="shared" si="440"/>
        <v>0.66789727122175735</v>
      </c>
      <c r="AT123" s="5">
        <f t="shared" si="441"/>
        <v>2.1892455859210997</v>
      </c>
      <c r="AU123" s="173">
        <f t="shared" si="442"/>
        <v>0.23376404492761507</v>
      </c>
      <c r="AW123" s="5">
        <f t="shared" si="342"/>
        <v>0.54266653286767785</v>
      </c>
      <c r="AX123" s="5">
        <f t="shared" si="343"/>
        <v>0.27133326643383893</v>
      </c>
      <c r="AY123" s="5">
        <f t="shared" si="344"/>
        <v>0.20008139806840106</v>
      </c>
      <c r="AZ123" s="5"/>
      <c r="BA123" s="173">
        <f t="shared" si="345"/>
        <v>0.29466361373408229</v>
      </c>
      <c r="BB123" s="173">
        <f t="shared" si="346"/>
        <v>0.53348095202147849</v>
      </c>
      <c r="BC123" s="173">
        <f t="shared" si="347"/>
        <v>0.13101664556998072</v>
      </c>
      <c r="BD123" s="173"/>
      <c r="BE123" s="528">
        <f t="shared" si="348"/>
        <v>1.7365329051765692E-3</v>
      </c>
      <c r="BF123" s="528">
        <f t="shared" si="349"/>
        <v>0.24058274071095334</v>
      </c>
      <c r="BG123" s="528">
        <f t="shared" si="350"/>
        <v>0.15267423010730194</v>
      </c>
      <c r="BH123" s="528">
        <f t="shared" si="351"/>
        <v>0.2194546696155007</v>
      </c>
      <c r="BI123">
        <f t="shared" si="352"/>
        <v>8.5345842917125304E-3</v>
      </c>
      <c r="BJ123" s="460">
        <f t="shared" si="436"/>
        <v>161.20881439901447</v>
      </c>
      <c r="BK123">
        <f t="shared" si="353"/>
        <v>0.46243360732334532</v>
      </c>
      <c r="BL123" s="460">
        <f t="shared" si="437"/>
        <v>622.98275763064498</v>
      </c>
      <c r="BM123" s="173">
        <f t="shared" si="354"/>
        <v>8.0762499999999987E-2</v>
      </c>
      <c r="BN123" s="173">
        <f t="shared" si="355"/>
        <v>2.0190624999999997E-2</v>
      </c>
      <c r="BO123" s="528"/>
      <c r="BQ123" s="460">
        <f t="shared" si="356"/>
        <v>100.95312499999997</v>
      </c>
      <c r="BR123" s="528">
        <f t="shared" si="357"/>
        <v>2.6047993577648534E-3</v>
      </c>
      <c r="BS123" s="528">
        <f t="shared" si="358"/>
        <v>8.5380577850922915E-3</v>
      </c>
      <c r="BT123" s="528">
        <f t="shared" si="359"/>
        <v>8.5826807082049739E-5</v>
      </c>
      <c r="BU123" s="528">
        <f t="shared" si="360"/>
        <v>0.13118549506258462</v>
      </c>
      <c r="BV123" s="528"/>
      <c r="BW123" s="625">
        <f t="shared" si="361"/>
        <v>1.9500000000000003E-3</v>
      </c>
      <c r="BX123" s="460">
        <f t="shared" si="362"/>
        <v>144.36417901252383</v>
      </c>
      <c r="BY123" s="173">
        <f t="shared" si="363"/>
        <v>0.86830006164316875</v>
      </c>
      <c r="BZ123" s="5">
        <f t="shared" si="364"/>
        <v>2.34</v>
      </c>
      <c r="CA123" s="173">
        <f t="shared" si="365"/>
        <v>0.7293582130848264</v>
      </c>
      <c r="CB123" s="5">
        <f t="shared" si="366"/>
        <v>72.935821308482645</v>
      </c>
      <c r="CC123">
        <f t="shared" si="367"/>
        <v>13</v>
      </c>
      <c r="CE123" s="562">
        <f t="shared" si="368"/>
        <v>-50</v>
      </c>
      <c r="CF123">
        <f t="shared" si="369"/>
        <v>-50</v>
      </c>
      <c r="CG123" s="173">
        <f t="shared" si="370"/>
        <v>0.25804140337096787</v>
      </c>
      <c r="CH123" s="173">
        <f t="shared" si="371"/>
        <v>9.1216691339606831E-2</v>
      </c>
      <c r="CI123" s="170">
        <v>13</v>
      </c>
      <c r="CJ123" s="217">
        <f t="shared" si="438"/>
        <v>0.13</v>
      </c>
      <c r="CK123" s="217">
        <f t="shared" si="372"/>
        <v>3.2500000000000001E-2</v>
      </c>
      <c r="CL123" s="217">
        <f t="shared" si="373"/>
        <v>2.08</v>
      </c>
      <c r="CM123" s="217">
        <f t="shared" si="374"/>
        <v>0.26</v>
      </c>
      <c r="CN123" s="541">
        <f t="shared" si="375"/>
        <v>19</v>
      </c>
      <c r="CO123" s="443">
        <f t="shared" si="376"/>
        <v>16.7</v>
      </c>
      <c r="CP123" s="443">
        <f t="shared" si="377"/>
        <v>35.700000000000003</v>
      </c>
      <c r="CQ123" s="443"/>
      <c r="CR123" s="217">
        <f t="shared" si="378"/>
        <v>0.4632768361581921</v>
      </c>
      <c r="CS123" s="172">
        <f t="shared" si="379"/>
        <v>19.560577526679221</v>
      </c>
      <c r="CT123" s="172">
        <f t="shared" si="380"/>
        <v>2.7507062146892656</v>
      </c>
      <c r="CU123" s="217">
        <f t="shared" si="381"/>
        <v>1.2225360954174513</v>
      </c>
      <c r="CV123" s="217">
        <f t="shared" si="382"/>
        <v>2.4450721908349027</v>
      </c>
      <c r="CW123" s="217">
        <f t="shared" si="383"/>
        <v>16</v>
      </c>
      <c r="CX123" s="217">
        <f t="shared" si="384"/>
        <v>0.53168164313222066</v>
      </c>
      <c r="CY123" s="217">
        <f t="shared" si="385"/>
        <v>0.33579893250456039</v>
      </c>
      <c r="CZ123" s="217">
        <f t="shared" si="386"/>
        <v>0.38204668967584721</v>
      </c>
      <c r="DA123" s="197">
        <f t="shared" si="387"/>
        <v>350</v>
      </c>
      <c r="DB123" s="443">
        <f t="shared" si="388"/>
        <v>350</v>
      </c>
      <c r="DD123" s="217">
        <f t="shared" si="389"/>
        <v>2.1161798052554355</v>
      </c>
      <c r="DE123" s="173">
        <f t="shared" si="390"/>
        <v>1.5206082432973189</v>
      </c>
      <c r="DF123" s="173">
        <f t="shared" si="391"/>
        <v>0.50055918207100247</v>
      </c>
      <c r="DG123" s="173"/>
      <c r="DH123" s="173">
        <f t="shared" si="392"/>
        <v>0.71856287425149712</v>
      </c>
      <c r="DI123" s="545">
        <f t="shared" si="393"/>
        <v>361.83333333333331</v>
      </c>
      <c r="DJ123" s="528">
        <f t="shared" si="394"/>
        <v>0.125748502994012</v>
      </c>
      <c r="DL123" s="173">
        <f t="shared" si="395"/>
        <v>1.0555973258234952</v>
      </c>
      <c r="DM123" s="173">
        <f t="shared" si="396"/>
        <v>1.0555973258234952</v>
      </c>
      <c r="DN123" s="173">
        <f t="shared" si="397"/>
        <v>1.2411832043137001</v>
      </c>
      <c r="DP123" s="545">
        <f t="shared" si="398"/>
        <v>130</v>
      </c>
      <c r="DQ123" s="460">
        <f t="shared" si="399"/>
        <v>350</v>
      </c>
      <c r="DS123" s="460">
        <f t="shared" si="400"/>
        <v>130</v>
      </c>
      <c r="DT123" s="460">
        <f t="shared" si="401"/>
        <v>350</v>
      </c>
      <c r="DV123" s="5">
        <f t="shared" si="402"/>
        <v>2.8571428571428572</v>
      </c>
      <c r="DW123" s="5">
        <f t="shared" si="403"/>
        <v>0.66669304788852324</v>
      </c>
      <c r="DX123" s="5">
        <f t="shared" si="404"/>
        <v>2.1904498092543339</v>
      </c>
      <c r="DY123" s="173">
        <f t="shared" si="405"/>
        <v>0.23334256676098314</v>
      </c>
      <c r="EA123" s="5">
        <f t="shared" si="406"/>
        <v>0.54168810140942514</v>
      </c>
      <c r="EB123" s="5">
        <f t="shared" si="407"/>
        <v>0.27084405070471257</v>
      </c>
      <c r="EC123" s="5">
        <f t="shared" si="408"/>
        <v>0.19983050891443044</v>
      </c>
      <c r="ED123" s="5"/>
      <c r="EE123" s="173">
        <f t="shared" si="409"/>
        <v>0.29439785363604132</v>
      </c>
      <c r="EF123" s="173">
        <f t="shared" si="410"/>
        <v>0.53362765595784423</v>
      </c>
      <c r="EG123" s="173">
        <f t="shared" si="411"/>
        <v>0.13105267433082349</v>
      </c>
      <c r="EH123" s="173"/>
      <c r="EI123" s="528">
        <f t="shared" si="412"/>
        <v>1.7334019245101601E-3</v>
      </c>
      <c r="EJ123" s="528">
        <f t="shared" si="413"/>
        <v>0.25060408313712695</v>
      </c>
      <c r="EK123" s="528">
        <f t="shared" si="414"/>
        <v>4.0250000000000001E-2</v>
      </c>
      <c r="EL123" s="528">
        <f t="shared" si="415"/>
        <v>0.21969021375000006</v>
      </c>
      <c r="EM123">
        <f t="shared" si="416"/>
        <v>8.5500000000000003E-3</v>
      </c>
      <c r="EN123" s="460">
        <f t="shared" si="417"/>
        <v>48.800000000000004</v>
      </c>
      <c r="EP123" s="460">
        <f t="shared" si="439"/>
        <v>520.82769881163711</v>
      </c>
      <c r="EQ123" s="173">
        <f t="shared" si="418"/>
        <v>9.0999999999999998E-2</v>
      </c>
      <c r="ER123" s="173">
        <f t="shared" si="419"/>
        <v>1.4421874999999999E-2</v>
      </c>
      <c r="ES123" s="528"/>
      <c r="EU123" s="460">
        <f t="shared" si="420"/>
        <v>105.421875</v>
      </c>
      <c r="EV123" s="528">
        <f t="shared" si="421"/>
        <v>2.6001028867652402E-3</v>
      </c>
      <c r="EW123" s="528">
        <f t="shared" si="422"/>
        <v>8.5427542560919008E-3</v>
      </c>
      <c r="EX123" s="528">
        <f t="shared" si="423"/>
        <v>8.5874017246304412E-5</v>
      </c>
      <c r="EY123" s="528">
        <f t="shared" si="424"/>
        <v>0.13118549506258462</v>
      </c>
      <c r="EZ123" s="528"/>
      <c r="FA123" s="625">
        <f t="shared" si="425"/>
        <v>1.9500000000000003E-3</v>
      </c>
      <c r="FB123" s="460">
        <f t="shared" si="426"/>
        <v>144.36422622268807</v>
      </c>
      <c r="FC123" s="173">
        <f t="shared" si="427"/>
        <v>0.77061380003432522</v>
      </c>
      <c r="FD123" s="5">
        <f t="shared" si="428"/>
        <v>2.34</v>
      </c>
      <c r="FE123" s="173">
        <f t="shared" si="429"/>
        <v>0.75226310639211413</v>
      </c>
      <c r="FF123" s="5">
        <f t="shared" si="430"/>
        <v>75.22631063921142</v>
      </c>
      <c r="FG123">
        <f t="shared" si="431"/>
        <v>13</v>
      </c>
      <c r="FI123" s="562">
        <f t="shared" si="432"/>
        <v>-50</v>
      </c>
      <c r="FJ123">
        <f t="shared" si="433"/>
        <v>-50</v>
      </c>
    </row>
    <row r="124" spans="5:166">
      <c r="E124" s="170">
        <v>14</v>
      </c>
      <c r="F124" s="217">
        <f t="shared" si="434"/>
        <v>0.14000000000000001</v>
      </c>
      <c r="G124" s="217">
        <f t="shared" si="313"/>
        <v>3.5000000000000003E-2</v>
      </c>
      <c r="H124" s="217">
        <f t="shared" si="314"/>
        <v>2.2400000000000002</v>
      </c>
      <c r="I124" s="217">
        <f t="shared" si="315"/>
        <v>0.28000000000000003</v>
      </c>
      <c r="J124" s="541">
        <f t="shared" si="316"/>
        <v>18.964449696605541</v>
      </c>
      <c r="K124" s="443">
        <f t="shared" si="317"/>
        <v>16.715684387141359</v>
      </c>
      <c r="L124" s="172">
        <f t="shared" si="318"/>
        <v>35.6801340837469</v>
      </c>
      <c r="M124" s="443"/>
      <c r="N124" s="217">
        <f t="shared" si="319"/>
        <v>0.46848715164318083</v>
      </c>
      <c r="O124" s="172">
        <f t="shared" si="320"/>
        <v>19.743557824095813</v>
      </c>
      <c r="P124" s="172">
        <f t="shared" si="321"/>
        <v>2.7764378190134735</v>
      </c>
      <c r="Q124" s="217">
        <f t="shared" si="322"/>
        <v>1.2339723640059883</v>
      </c>
      <c r="R124" s="217">
        <f t="shared" si="323"/>
        <v>2.4679447280119766</v>
      </c>
      <c r="S124" s="217">
        <f t="shared" si="324"/>
        <v>16</v>
      </c>
      <c r="T124" s="217">
        <f t="shared" si="325"/>
        <v>0.56727364438495897</v>
      </c>
      <c r="U124" s="217">
        <f t="shared" si="326"/>
        <v>0.35894971072310883</v>
      </c>
      <c r="V124" s="217">
        <f t="shared" si="327"/>
        <v>0.40723930740496944</v>
      </c>
      <c r="W124" s="197">
        <f t="shared" si="328"/>
        <v>350</v>
      </c>
      <c r="X124" s="443">
        <f t="shared" si="435"/>
        <v>350</v>
      </c>
      <c r="Z124" s="217">
        <f t="shared" si="329"/>
        <v>2.1153811954388368</v>
      </c>
      <c r="AA124" s="173">
        <f t="shared" si="330"/>
        <v>1.5186081381623404</v>
      </c>
      <c r="AB124" s="173">
        <f t="shared" si="331"/>
        <v>0.49971212646584412</v>
      </c>
      <c r="AC124" s="173"/>
      <c r="AD124" s="173">
        <f t="shared" si="332"/>
        <v>0.71788864410667341</v>
      </c>
      <c r="AE124" s="545">
        <f t="shared" si="333"/>
        <v>390.03263569996506</v>
      </c>
      <c r="AF124" s="528">
        <f t="shared" si="334"/>
        <v>0.12563051271866785</v>
      </c>
      <c r="AH124" s="173">
        <f t="shared" si="335"/>
        <v>1.0954451150103324</v>
      </c>
      <c r="AI124" s="173">
        <f t="shared" si="336"/>
        <v>1.0954451150103324</v>
      </c>
      <c r="AJ124" s="173">
        <f t="shared" si="337"/>
        <v>1.2707000851928387</v>
      </c>
      <c r="AL124" s="545">
        <f t="shared" si="338"/>
        <v>140</v>
      </c>
      <c r="AM124" s="460">
        <f t="shared" si="339"/>
        <v>350</v>
      </c>
      <c r="AO124" s="460">
        <f t="shared" si="340"/>
        <v>140</v>
      </c>
      <c r="AP124" s="460">
        <f t="shared" si="341"/>
        <v>350</v>
      </c>
      <c r="AR124" s="5">
        <f t="shared" si="275"/>
        <v>2.8571428571428572</v>
      </c>
      <c r="AS124" s="5">
        <f t="shared" si="440"/>
        <v>0.69315701696721954</v>
      </c>
      <c r="AT124" s="5">
        <f t="shared" si="441"/>
        <v>2.1639858401756378</v>
      </c>
      <c r="AU124" s="173">
        <f t="shared" si="442"/>
        <v>0.24260495593852682</v>
      </c>
      <c r="AW124" s="5">
        <f t="shared" si="342"/>
        <v>0.60651238984631717</v>
      </c>
      <c r="AX124" s="5">
        <f t="shared" si="343"/>
        <v>0.30325619492315858</v>
      </c>
      <c r="AY124" s="5">
        <f t="shared" si="344"/>
        <v>0.21300065647133148</v>
      </c>
      <c r="AZ124" s="5"/>
      <c r="BA124" s="173">
        <f t="shared" si="345"/>
        <v>0.31151562139868805</v>
      </c>
      <c r="BB124" s="173">
        <f t="shared" si="346"/>
        <v>0.55041622216699726</v>
      </c>
      <c r="BC124" s="173">
        <f t="shared" si="347"/>
        <v>0.13517574867924786</v>
      </c>
      <c r="BD124" s="173"/>
      <c r="BE124" s="528">
        <f t="shared" si="348"/>
        <v>1.9408396475082152E-3</v>
      </c>
      <c r="BF124" s="528">
        <f t="shared" si="349"/>
        <v>0.24965945258639496</v>
      </c>
      <c r="BG124" s="528">
        <f t="shared" si="350"/>
        <v>0.15266382005767462</v>
      </c>
      <c r="BH124" s="528">
        <f t="shared" si="351"/>
        <v>0.21944578052436287</v>
      </c>
      <c r="BI124">
        <f t="shared" si="352"/>
        <v>8.534002363472494E-3</v>
      </c>
      <c r="BJ124" s="460">
        <f t="shared" si="436"/>
        <v>161.19782242114709</v>
      </c>
      <c r="BK124">
        <f t="shared" si="353"/>
        <v>0.47178766127658811</v>
      </c>
      <c r="BL124" s="460">
        <f t="shared" si="437"/>
        <v>632.24389517941302</v>
      </c>
      <c r="BM124" s="173">
        <f t="shared" si="354"/>
        <v>8.6974999999999997E-2</v>
      </c>
      <c r="BN124" s="173">
        <f t="shared" si="355"/>
        <v>2.1743749999999999E-2</v>
      </c>
      <c r="BO124" s="528"/>
      <c r="BQ124" s="460">
        <f t="shared" si="356"/>
        <v>108.71875</v>
      </c>
      <c r="BR124" s="528">
        <f t="shared" si="357"/>
        <v>2.9112594712623228E-3</v>
      </c>
      <c r="BS124" s="528">
        <f t="shared" si="358"/>
        <v>9.0887405287376783E-3</v>
      </c>
      <c r="BT124" s="528">
        <f t="shared" si="359"/>
        <v>9.1362415154975905E-5</v>
      </c>
      <c r="BU124" s="528">
        <f t="shared" si="360"/>
        <v>0.1439185161957138</v>
      </c>
      <c r="BV124" s="528"/>
      <c r="BW124" s="625">
        <f t="shared" si="361"/>
        <v>2.1000000000000007E-3</v>
      </c>
      <c r="BX124" s="460">
        <f t="shared" si="362"/>
        <v>158.10987861086878</v>
      </c>
      <c r="BY124" s="173">
        <f t="shared" si="363"/>
        <v>0.8990725237902818</v>
      </c>
      <c r="BZ124" s="5">
        <f t="shared" si="364"/>
        <v>2.5200000000000005</v>
      </c>
      <c r="CA124" s="173">
        <f t="shared" si="365"/>
        <v>0.73704198506044072</v>
      </c>
      <c r="CB124" s="5">
        <f t="shared" si="366"/>
        <v>73.704198506044065</v>
      </c>
      <c r="CC124">
        <f t="shared" si="367"/>
        <v>14.000000000000002</v>
      </c>
      <c r="CE124" s="562">
        <f t="shared" si="368"/>
        <v>-50</v>
      </c>
      <c r="CF124">
        <f t="shared" si="369"/>
        <v>-50</v>
      </c>
      <c r="CG124" s="173">
        <f t="shared" si="370"/>
        <v>0.26778221948660214</v>
      </c>
      <c r="CH124" s="173">
        <f t="shared" si="371"/>
        <v>9.4660034172998217E-2</v>
      </c>
      <c r="CI124" s="170">
        <v>14</v>
      </c>
      <c r="CJ124" s="217">
        <f t="shared" si="438"/>
        <v>0.14000000000000001</v>
      </c>
      <c r="CK124" s="217">
        <f t="shared" si="372"/>
        <v>3.5000000000000003E-2</v>
      </c>
      <c r="CL124" s="217">
        <f t="shared" si="373"/>
        <v>2.2400000000000002</v>
      </c>
      <c r="CM124" s="217">
        <f t="shared" si="374"/>
        <v>0.28000000000000003</v>
      </c>
      <c r="CN124" s="541">
        <f t="shared" si="375"/>
        <v>19</v>
      </c>
      <c r="CO124" s="443">
        <f t="shared" si="376"/>
        <v>16.7</v>
      </c>
      <c r="CP124" s="443">
        <f t="shared" si="377"/>
        <v>35.700000000000003</v>
      </c>
      <c r="CQ124" s="443"/>
      <c r="CR124" s="217">
        <f t="shared" si="378"/>
        <v>0.4632768361581921</v>
      </c>
      <c r="CS124" s="172">
        <f t="shared" si="379"/>
        <v>19.560577526679221</v>
      </c>
      <c r="CT124" s="172">
        <f t="shared" si="380"/>
        <v>2.7507062146892656</v>
      </c>
      <c r="CU124" s="217">
        <f t="shared" si="381"/>
        <v>1.2225360954174513</v>
      </c>
      <c r="CV124" s="217">
        <f t="shared" si="382"/>
        <v>2.4450721908349027</v>
      </c>
      <c r="CW124" s="217">
        <f t="shared" si="383"/>
        <v>16</v>
      </c>
      <c r="CX124" s="217">
        <f t="shared" si="384"/>
        <v>0.57258023106546863</v>
      </c>
      <c r="CY124" s="217">
        <f t="shared" si="385"/>
        <v>0.36162961962029599</v>
      </c>
      <c r="CZ124" s="217">
        <f t="shared" si="386"/>
        <v>0.41143489657398952</v>
      </c>
      <c r="DA124" s="197">
        <f t="shared" si="387"/>
        <v>350</v>
      </c>
      <c r="DB124" s="443">
        <f t="shared" si="388"/>
        <v>350</v>
      </c>
      <c r="DD124" s="217">
        <f t="shared" si="389"/>
        <v>2.1161798052554355</v>
      </c>
      <c r="DE124" s="173">
        <f t="shared" si="390"/>
        <v>1.5206082432973189</v>
      </c>
      <c r="DF124" s="173">
        <f t="shared" si="391"/>
        <v>0.50055918207100247</v>
      </c>
      <c r="DG124" s="173"/>
      <c r="DH124" s="173">
        <f t="shared" si="392"/>
        <v>0.71856287425149712</v>
      </c>
      <c r="DI124" s="545">
        <f t="shared" si="393"/>
        <v>389.66666666666663</v>
      </c>
      <c r="DJ124" s="528">
        <f t="shared" si="394"/>
        <v>0.125748502994012</v>
      </c>
      <c r="DL124" s="173">
        <f t="shared" si="395"/>
        <v>1.0954451150103324</v>
      </c>
      <c r="DM124" s="173">
        <f t="shared" si="396"/>
        <v>1.0954451150103324</v>
      </c>
      <c r="DN124" s="173">
        <f t="shared" si="397"/>
        <v>1.2707000851928387</v>
      </c>
      <c r="DP124" s="545">
        <f t="shared" si="398"/>
        <v>140</v>
      </c>
      <c r="DQ124" s="460">
        <f t="shared" si="399"/>
        <v>350</v>
      </c>
      <c r="DS124" s="460">
        <f t="shared" si="400"/>
        <v>140</v>
      </c>
      <c r="DT124" s="460">
        <f t="shared" si="401"/>
        <v>350</v>
      </c>
      <c r="DV124" s="5">
        <f t="shared" si="402"/>
        <v>2.8571428571428572</v>
      </c>
      <c r="DW124" s="5">
        <f t="shared" si="403"/>
        <v>0.69186007263810467</v>
      </c>
      <c r="DX124" s="5">
        <f t="shared" si="404"/>
        <v>2.1652827845047526</v>
      </c>
      <c r="DY124" s="173">
        <f t="shared" si="405"/>
        <v>0.24215102542333664</v>
      </c>
      <c r="EA124" s="5">
        <f t="shared" si="406"/>
        <v>0.6053775635583416</v>
      </c>
      <c r="EB124" s="5">
        <f t="shared" si="407"/>
        <v>0.3026887817791708</v>
      </c>
      <c r="EC124" s="5">
        <f t="shared" si="408"/>
        <v>0.21272953672327391</v>
      </c>
      <c r="ED124" s="5"/>
      <c r="EE124" s="173">
        <f t="shared" si="409"/>
        <v>0.3112240513992045</v>
      </c>
      <c r="EF124" s="173">
        <f t="shared" si="410"/>
        <v>0.5505811382808764</v>
      </c>
      <c r="EG124" s="173">
        <f t="shared" si="411"/>
        <v>0.13521625013662697</v>
      </c>
      <c r="EH124" s="173"/>
      <c r="EI124" s="528">
        <f t="shared" si="412"/>
        <v>1.9372082033866939E-3</v>
      </c>
      <c r="EJ124" s="528">
        <f t="shared" si="413"/>
        <v>0.26006414752902801</v>
      </c>
      <c r="EK124" s="528">
        <f t="shared" si="414"/>
        <v>4.0250000000000001E-2</v>
      </c>
      <c r="EL124" s="528">
        <f t="shared" si="415"/>
        <v>0.21969021375000006</v>
      </c>
      <c r="EM124">
        <f t="shared" si="416"/>
        <v>8.5500000000000003E-3</v>
      </c>
      <c r="EN124" s="460">
        <f t="shared" si="417"/>
        <v>48.800000000000004</v>
      </c>
      <c r="EP124" s="460">
        <f t="shared" si="439"/>
        <v>530.49156948241466</v>
      </c>
      <c r="EQ124" s="173">
        <f t="shared" si="418"/>
        <v>9.8000000000000004E-2</v>
      </c>
      <c r="ER124" s="173">
        <f t="shared" si="419"/>
        <v>1.553125E-2</v>
      </c>
      <c r="ES124" s="528"/>
      <c r="EU124" s="460">
        <f t="shared" si="420"/>
        <v>113.53125</v>
      </c>
      <c r="EV124" s="528">
        <f t="shared" si="421"/>
        <v>2.9058123050800409E-3</v>
      </c>
      <c r="EW124" s="528">
        <f t="shared" si="422"/>
        <v>9.0941876949199654E-3</v>
      </c>
      <c r="EX124" s="528">
        <f t="shared" si="423"/>
        <v>9.1417171505054376E-5</v>
      </c>
      <c r="EY124" s="528">
        <f t="shared" si="424"/>
        <v>0.1439185161957138</v>
      </c>
      <c r="EZ124" s="528"/>
      <c r="FA124" s="625">
        <f t="shared" si="425"/>
        <v>2.1000000000000007E-3</v>
      </c>
      <c r="FB124" s="460">
        <f t="shared" si="426"/>
        <v>158.10993336721884</v>
      </c>
      <c r="FC124" s="173">
        <f t="shared" si="427"/>
        <v>0.80213275284963359</v>
      </c>
      <c r="FD124" s="5">
        <f t="shared" si="428"/>
        <v>2.5200000000000005</v>
      </c>
      <c r="FE124" s="173">
        <f t="shared" si="429"/>
        <v>0.75854885625458945</v>
      </c>
      <c r="FF124" s="5">
        <f t="shared" si="430"/>
        <v>75.854885625458948</v>
      </c>
      <c r="FG124">
        <f t="shared" si="431"/>
        <v>14.000000000000002</v>
      </c>
      <c r="FI124" s="562">
        <f t="shared" si="432"/>
        <v>-50</v>
      </c>
      <c r="FJ124">
        <f t="shared" si="433"/>
        <v>-50</v>
      </c>
    </row>
    <row r="125" spans="5:166">
      <c r="E125" s="170">
        <v>15</v>
      </c>
      <c r="F125" s="217">
        <f t="shared" si="434"/>
        <v>0.15</v>
      </c>
      <c r="G125" s="217">
        <f t="shared" si="313"/>
        <v>3.7499999999999999E-2</v>
      </c>
      <c r="H125" s="217">
        <f t="shared" si="314"/>
        <v>2.4</v>
      </c>
      <c r="I125" s="217">
        <f t="shared" si="315"/>
        <v>0.3</v>
      </c>
      <c r="J125" s="541">
        <f t="shared" si="316"/>
        <v>18.963201940004968</v>
      </c>
      <c r="K125" s="443">
        <f t="shared" si="317"/>
        <v>16.716234883078464</v>
      </c>
      <c r="L125" s="172">
        <f t="shared" si="318"/>
        <v>35.679436823083435</v>
      </c>
      <c r="M125" s="443"/>
      <c r="N125" s="217">
        <f t="shared" si="319"/>
        <v>0.46851173593254708</v>
      </c>
      <c r="O125" s="172">
        <f t="shared" si="320"/>
        <v>19.743294799447046</v>
      </c>
      <c r="P125" s="172">
        <f t="shared" si="321"/>
        <v>2.776400831172241</v>
      </c>
      <c r="Q125" s="217">
        <f t="shared" si="322"/>
        <v>1.2339559249654404</v>
      </c>
      <c r="R125" s="217">
        <f t="shared" si="323"/>
        <v>2.4679118499308808</v>
      </c>
      <c r="S125" s="217">
        <f t="shared" si="324"/>
        <v>16</v>
      </c>
      <c r="T125" s="217">
        <f t="shared" si="325"/>
        <v>0.60780128757111418</v>
      </c>
      <c r="U125" s="217">
        <f t="shared" si="326"/>
        <v>0.38461940520006188</v>
      </c>
      <c r="V125" s="217">
        <f t="shared" si="327"/>
        <v>0.43631927296239192</v>
      </c>
      <c r="W125" s="197">
        <f t="shared" si="328"/>
        <v>350</v>
      </c>
      <c r="X125" s="443">
        <f t="shared" si="435"/>
        <v>350</v>
      </c>
      <c r="Z125" s="217">
        <f t="shared" si="329"/>
        <v>2.1153530142264696</v>
      </c>
      <c r="AA125" s="173">
        <f t="shared" si="330"/>
        <v>1.5185378973355794</v>
      </c>
      <c r="AB125" s="173">
        <f t="shared" si="331"/>
        <v>0.49968235618714668</v>
      </c>
      <c r="AC125" s="173"/>
      <c r="AD125" s="173">
        <f t="shared" si="332"/>
        <v>0.7178650027314093</v>
      </c>
      <c r="AE125" s="545">
        <f t="shared" si="333"/>
        <v>417.90587207696154</v>
      </c>
      <c r="AF125" s="528">
        <f t="shared" si="334"/>
        <v>0.12562637547799663</v>
      </c>
      <c r="AH125" s="173">
        <f t="shared" si="335"/>
        <v>1.1338934190276817</v>
      </c>
      <c r="AI125" s="173">
        <f t="shared" si="336"/>
        <v>1.1338934190276817</v>
      </c>
      <c r="AJ125" s="173">
        <f t="shared" si="337"/>
        <v>1.2991803103908752</v>
      </c>
      <c r="AL125" s="545">
        <f t="shared" si="338"/>
        <v>150</v>
      </c>
      <c r="AM125" s="460">
        <f t="shared" si="339"/>
        <v>350</v>
      </c>
      <c r="AO125" s="460">
        <f t="shared" si="340"/>
        <v>150</v>
      </c>
      <c r="AP125" s="460">
        <f t="shared" si="341"/>
        <v>350</v>
      </c>
      <c r="AR125" s="5">
        <f t="shared" si="275"/>
        <v>2.8571428571428572</v>
      </c>
      <c r="AS125" s="5">
        <f t="shared" si="440"/>
        <v>0.71753288666020587</v>
      </c>
      <c r="AT125" s="5">
        <f t="shared" si="441"/>
        <v>2.1396099704826512</v>
      </c>
      <c r="AU125" s="173">
        <f t="shared" si="442"/>
        <v>0.25113651033107204</v>
      </c>
      <c r="AW125" s="5">
        <f t="shared" si="342"/>
        <v>0.67268708124394305</v>
      </c>
      <c r="AX125" s="5">
        <f t="shared" si="343"/>
        <v>0.33634354062197153</v>
      </c>
      <c r="AY125" s="5">
        <f t="shared" si="344"/>
        <v>0.22565914524897901</v>
      </c>
      <c r="AZ125" s="5"/>
      <c r="BA125" s="173">
        <f t="shared" si="345"/>
        <v>0.32807001234344918</v>
      </c>
      <c r="BB125" s="173">
        <f t="shared" si="346"/>
        <v>0.5665169861287459</v>
      </c>
      <c r="BC125" s="173">
        <f t="shared" si="347"/>
        <v>0.13912990688750082</v>
      </c>
      <c r="BD125" s="173"/>
      <c r="BE125" s="528">
        <f t="shared" si="348"/>
        <v>2.1525986599806178E-3</v>
      </c>
      <c r="BF125" s="528">
        <f t="shared" si="349"/>
        <v>0.25841703461056892</v>
      </c>
      <c r="BG125" s="528">
        <f t="shared" si="350"/>
        <v>0.15265377561704002</v>
      </c>
      <c r="BH125" s="528">
        <f t="shared" si="351"/>
        <v>0.2194372037956378</v>
      </c>
      <c r="BI125">
        <f t="shared" si="352"/>
        <v>8.5334408730022345E-3</v>
      </c>
      <c r="BJ125" s="460">
        <f t="shared" si="436"/>
        <v>161.18721649004226</v>
      </c>
      <c r="BK125">
        <f t="shared" si="353"/>
        <v>0.4808339648138657</v>
      </c>
      <c r="BL125" s="460">
        <f t="shared" si="437"/>
        <v>641.19405355622962</v>
      </c>
      <c r="BM125" s="173">
        <f t="shared" si="354"/>
        <v>9.3187499999999993E-2</v>
      </c>
      <c r="BN125" s="173">
        <f t="shared" si="355"/>
        <v>2.3296874999999998E-2</v>
      </c>
      <c r="BO125" s="528"/>
      <c r="BQ125" s="460">
        <f t="shared" si="356"/>
        <v>116.48437499999999</v>
      </c>
      <c r="BR125" s="528">
        <f t="shared" si="357"/>
        <v>3.228897989970927E-3</v>
      </c>
      <c r="BS125" s="528">
        <f t="shared" si="358"/>
        <v>9.6282448671719291E-3</v>
      </c>
      <c r="BT125" s="528">
        <f t="shared" si="359"/>
        <v>9.6785654952623239E-5</v>
      </c>
      <c r="BU125" s="528">
        <f t="shared" si="360"/>
        <v>0.15688112752187858</v>
      </c>
      <c r="BV125" s="528"/>
      <c r="BW125" s="625">
        <f t="shared" si="361"/>
        <v>2.2500000000000003E-3</v>
      </c>
      <c r="BX125" s="460">
        <f t="shared" si="362"/>
        <v>172.08505603397407</v>
      </c>
      <c r="BY125" s="173">
        <f t="shared" si="363"/>
        <v>0.92976348459020364</v>
      </c>
      <c r="BZ125" s="5">
        <f t="shared" si="364"/>
        <v>2.6999999999999997</v>
      </c>
      <c r="CA125" s="173">
        <f t="shared" si="365"/>
        <v>0.74385011901259657</v>
      </c>
      <c r="CB125" s="5">
        <f t="shared" si="366"/>
        <v>74.385011901259659</v>
      </c>
      <c r="CC125">
        <f t="shared" si="367"/>
        <v>15</v>
      </c>
      <c r="CE125" s="562">
        <f t="shared" si="368"/>
        <v>-50</v>
      </c>
      <c r="CF125">
        <f t="shared" si="369"/>
        <v>-50</v>
      </c>
      <c r="CG125" s="173">
        <f t="shared" si="370"/>
        <v>0.27718093060793869</v>
      </c>
      <c r="CH125" s="173">
        <f t="shared" si="371"/>
        <v>9.7982444143434572E-2</v>
      </c>
      <c r="CI125" s="170">
        <v>15</v>
      </c>
      <c r="CJ125" s="217">
        <f t="shared" si="438"/>
        <v>0.15</v>
      </c>
      <c r="CK125" s="217">
        <f t="shared" si="372"/>
        <v>3.7499999999999999E-2</v>
      </c>
      <c r="CL125" s="217">
        <f t="shared" si="373"/>
        <v>2.4</v>
      </c>
      <c r="CM125" s="217">
        <f t="shared" si="374"/>
        <v>0.3</v>
      </c>
      <c r="CN125" s="541">
        <f t="shared" si="375"/>
        <v>19</v>
      </c>
      <c r="CO125" s="443">
        <f t="shared" si="376"/>
        <v>16.7</v>
      </c>
      <c r="CP125" s="443">
        <f t="shared" si="377"/>
        <v>35.700000000000003</v>
      </c>
      <c r="CQ125" s="443"/>
      <c r="CR125" s="217">
        <f t="shared" si="378"/>
        <v>0.4632768361581921</v>
      </c>
      <c r="CS125" s="172">
        <f t="shared" si="379"/>
        <v>19.560577526679221</v>
      </c>
      <c r="CT125" s="172">
        <f t="shared" si="380"/>
        <v>2.7507062146892656</v>
      </c>
      <c r="CU125" s="217">
        <f t="shared" si="381"/>
        <v>1.2225360954174513</v>
      </c>
      <c r="CV125" s="217">
        <f t="shared" si="382"/>
        <v>2.4450721908349027</v>
      </c>
      <c r="CW125" s="217">
        <f t="shared" si="383"/>
        <v>16</v>
      </c>
      <c r="CX125" s="217">
        <f t="shared" si="384"/>
        <v>0.61347881899871615</v>
      </c>
      <c r="CY125" s="217">
        <f t="shared" si="385"/>
        <v>0.38746030673603127</v>
      </c>
      <c r="CZ125" s="217">
        <f t="shared" si="386"/>
        <v>0.44082310347213138</v>
      </c>
      <c r="DA125" s="197">
        <f t="shared" si="387"/>
        <v>350</v>
      </c>
      <c r="DB125" s="443">
        <f t="shared" si="388"/>
        <v>350</v>
      </c>
      <c r="DD125" s="217">
        <f t="shared" si="389"/>
        <v>2.1161798052554355</v>
      </c>
      <c r="DE125" s="173">
        <f t="shared" si="390"/>
        <v>1.5206082432973189</v>
      </c>
      <c r="DF125" s="173">
        <f t="shared" si="391"/>
        <v>0.50055918207100247</v>
      </c>
      <c r="DG125" s="173"/>
      <c r="DH125" s="173">
        <f t="shared" si="392"/>
        <v>0.71856287425149712</v>
      </c>
      <c r="DI125" s="545">
        <f t="shared" si="393"/>
        <v>417.49999999999994</v>
      </c>
      <c r="DJ125" s="528">
        <f t="shared" si="394"/>
        <v>0.125748502994012</v>
      </c>
      <c r="DL125" s="173">
        <f t="shared" si="395"/>
        <v>1.1338934190276817</v>
      </c>
      <c r="DM125" s="173">
        <f t="shared" si="396"/>
        <v>1.1338934190276817</v>
      </c>
      <c r="DN125" s="173">
        <f t="shared" si="397"/>
        <v>1.2991803103908752</v>
      </c>
      <c r="DP125" s="545">
        <f t="shared" si="398"/>
        <v>150</v>
      </c>
      <c r="DQ125" s="460">
        <f t="shared" si="399"/>
        <v>350</v>
      </c>
      <c r="DS125" s="460">
        <f t="shared" si="400"/>
        <v>150</v>
      </c>
      <c r="DT125" s="460">
        <f t="shared" si="401"/>
        <v>350</v>
      </c>
      <c r="DV125" s="5">
        <f t="shared" si="402"/>
        <v>2.8571428571428572</v>
      </c>
      <c r="DW125" s="5">
        <f t="shared" si="403"/>
        <v>0.7161432120174831</v>
      </c>
      <c r="DX125" s="5">
        <f t="shared" si="404"/>
        <v>2.1409996451253743</v>
      </c>
      <c r="DY125" s="173">
        <f t="shared" si="405"/>
        <v>0.2506501242061191</v>
      </c>
      <c r="EA125" s="5">
        <f t="shared" si="406"/>
        <v>0.67138426126639039</v>
      </c>
      <c r="EB125" s="5">
        <f t="shared" si="407"/>
        <v>0.3356921306331952</v>
      </c>
      <c r="EC125" s="5">
        <f t="shared" si="408"/>
        <v>0.2253683836974078</v>
      </c>
      <c r="ED125" s="5"/>
      <c r="EE125" s="173">
        <f t="shared" si="409"/>
        <v>0.32775216521424</v>
      </c>
      <c r="EF125" s="173">
        <f t="shared" si="410"/>
        <v>0.5667009323874509</v>
      </c>
      <c r="EG125" s="173">
        <f t="shared" si="411"/>
        <v>0.13917508192456512</v>
      </c>
      <c r="EH125" s="173"/>
      <c r="EI125" s="528">
        <f t="shared" si="412"/>
        <v>2.1484296360524493E-3</v>
      </c>
      <c r="EJ125" s="528">
        <f t="shared" si="413"/>
        <v>0.2691919671442668</v>
      </c>
      <c r="EK125" s="528">
        <f t="shared" si="414"/>
        <v>4.0250000000000001E-2</v>
      </c>
      <c r="EL125" s="528">
        <f t="shared" si="415"/>
        <v>0.21969021375000006</v>
      </c>
      <c r="EM125">
        <f t="shared" si="416"/>
        <v>8.5500000000000003E-3</v>
      </c>
      <c r="EN125" s="460">
        <f t="shared" si="417"/>
        <v>48.800000000000004</v>
      </c>
      <c r="EP125" s="460">
        <f t="shared" si="439"/>
        <v>539.83061053031918</v>
      </c>
      <c r="EQ125" s="173">
        <f t="shared" si="418"/>
        <v>0.105</v>
      </c>
      <c r="ER125" s="173">
        <f t="shared" si="419"/>
        <v>1.6640624999999999E-2</v>
      </c>
      <c r="ES125" s="528"/>
      <c r="EU125" s="460">
        <f t="shared" si="420"/>
        <v>121.640625</v>
      </c>
      <c r="EV125" s="528">
        <f t="shared" si="421"/>
        <v>3.2226444540786737E-3</v>
      </c>
      <c r="EW125" s="528">
        <f t="shared" si="422"/>
        <v>9.6344984030641862E-3</v>
      </c>
      <c r="EX125" s="528">
        <f t="shared" si="423"/>
        <v>9.6848517143547066E-5</v>
      </c>
      <c r="EY125" s="528">
        <f t="shared" si="424"/>
        <v>0.15688112752187858</v>
      </c>
      <c r="EZ125" s="528"/>
      <c r="FA125" s="625">
        <f t="shared" si="425"/>
        <v>2.2500000000000003E-3</v>
      </c>
      <c r="FB125" s="460">
        <f t="shared" si="426"/>
        <v>172.08511889616497</v>
      </c>
      <c r="FC125" s="173">
        <f t="shared" si="427"/>
        <v>0.83355635442648413</v>
      </c>
      <c r="FD125" s="5">
        <f t="shared" si="428"/>
        <v>2.6999999999999997</v>
      </c>
      <c r="FE125" s="173">
        <f t="shared" si="429"/>
        <v>0.7641027138615496</v>
      </c>
      <c r="FF125" s="5">
        <f t="shared" si="430"/>
        <v>76.41027138615496</v>
      </c>
      <c r="FG125">
        <f t="shared" si="431"/>
        <v>15</v>
      </c>
      <c r="FI125" s="562">
        <f t="shared" si="432"/>
        <v>-50</v>
      </c>
      <c r="FJ125">
        <f t="shared" si="433"/>
        <v>-50</v>
      </c>
    </row>
    <row r="126" spans="5:166">
      <c r="E126" s="170">
        <v>16</v>
      </c>
      <c r="F126" s="217">
        <f t="shared" si="434"/>
        <v>0.16</v>
      </c>
      <c r="G126" s="217">
        <f t="shared" si="313"/>
        <v>0.04</v>
      </c>
      <c r="H126" s="217">
        <f t="shared" si="314"/>
        <v>2.56</v>
      </c>
      <c r="I126" s="217">
        <f t="shared" si="315"/>
        <v>0.32</v>
      </c>
      <c r="J126" s="541">
        <f t="shared" si="316"/>
        <v>18.961995127057733</v>
      </c>
      <c r="K126" s="443">
        <f t="shared" si="317"/>
        <v>16.716767315144139</v>
      </c>
      <c r="L126" s="172">
        <f t="shared" si="318"/>
        <v>35.678762442201872</v>
      </c>
      <c r="M126" s="443"/>
      <c r="N126" s="217">
        <f t="shared" si="319"/>
        <v>0.4685355144317187</v>
      </c>
      <c r="O126" s="172">
        <f t="shared" si="320"/>
        <v>19.743040314461641</v>
      </c>
      <c r="P126" s="172">
        <f t="shared" si="321"/>
        <v>2.7763650442211683</v>
      </c>
      <c r="Q126" s="217">
        <f t="shared" si="322"/>
        <v>1.2339400196538526</v>
      </c>
      <c r="R126" s="217">
        <f t="shared" si="323"/>
        <v>2.4678800393077052</v>
      </c>
      <c r="S126" s="217">
        <f t="shared" si="324"/>
        <v>16</v>
      </c>
      <c r="T126" s="217">
        <f t="shared" si="325"/>
        <v>0.64832973017960593</v>
      </c>
      <c r="U126" s="217">
        <f t="shared" si="326"/>
        <v>0.41029209795828381</v>
      </c>
      <c r="V126" s="217">
        <f t="shared" si="327"/>
        <v>0.46539840003080102</v>
      </c>
      <c r="W126" s="197">
        <f t="shared" si="328"/>
        <v>350</v>
      </c>
      <c r="X126" s="443">
        <f t="shared" si="435"/>
        <v>350</v>
      </c>
      <c r="Z126" s="217">
        <f t="shared" si="329"/>
        <v>2.1153257479780327</v>
      </c>
      <c r="AA126" s="173">
        <f t="shared" si="330"/>
        <v>1.5184699587665178</v>
      </c>
      <c r="AB126" s="173">
        <f t="shared" si="331"/>
        <v>0.499653560203771</v>
      </c>
      <c r="AC126" s="173"/>
      <c r="AD126" s="173">
        <f t="shared" si="332"/>
        <v>0.7178421386010978</v>
      </c>
      <c r="AE126" s="545">
        <f t="shared" si="333"/>
        <v>445.78046173717706</v>
      </c>
      <c r="AF126" s="528">
        <f t="shared" si="334"/>
        <v>0.12562237425519213</v>
      </c>
      <c r="AH126" s="173">
        <f t="shared" si="335"/>
        <v>1.1710800875382397</v>
      </c>
      <c r="AI126" s="173">
        <f t="shared" si="336"/>
        <v>1.1710800875382397</v>
      </c>
      <c r="AJ126" s="173">
        <f t="shared" si="337"/>
        <v>1.3267259907690663</v>
      </c>
      <c r="AL126" s="545">
        <f t="shared" si="338"/>
        <v>160</v>
      </c>
      <c r="AM126" s="460">
        <f t="shared" si="339"/>
        <v>350</v>
      </c>
      <c r="AO126" s="460">
        <f t="shared" si="340"/>
        <v>160</v>
      </c>
      <c r="AP126" s="460">
        <f t="shared" si="341"/>
        <v>350</v>
      </c>
      <c r="AR126" s="5">
        <f t="shared" si="275"/>
        <v>2.8571428571428572</v>
      </c>
      <c r="AS126" s="5">
        <f t="shared" si="440"/>
        <v>0.74111194293083993</v>
      </c>
      <c r="AT126" s="5">
        <f t="shared" si="441"/>
        <v>2.1160309142120175</v>
      </c>
      <c r="AU126" s="173">
        <f t="shared" si="442"/>
        <v>0.25938918002579398</v>
      </c>
      <c r="AW126" s="5">
        <f t="shared" si="342"/>
        <v>0.74111194293084004</v>
      </c>
      <c r="AX126" s="5">
        <f t="shared" si="343"/>
        <v>0.37055597146542002</v>
      </c>
      <c r="AY126" s="5">
        <f t="shared" si="344"/>
        <v>0.23806562829513583</v>
      </c>
      <c r="AZ126" s="5"/>
      <c r="BA126" s="173">
        <f t="shared" si="345"/>
        <v>0.34435143511960908</v>
      </c>
      <c r="BB126" s="173">
        <f t="shared" si="346"/>
        <v>0.58186333986076377</v>
      </c>
      <c r="BC126" s="173">
        <f t="shared" si="347"/>
        <v>0.14289879081874637</v>
      </c>
      <c r="BD126" s="173"/>
      <c r="BE126" s="528">
        <f t="shared" si="348"/>
        <v>2.3715582173786868E-3</v>
      </c>
      <c r="BF126" s="528">
        <f t="shared" si="349"/>
        <v>0.26688692115899604</v>
      </c>
      <c r="BG126" s="528">
        <f t="shared" si="350"/>
        <v>0.15264406077281475</v>
      </c>
      <c r="BH126" s="528">
        <f t="shared" si="351"/>
        <v>0.21942890866154452</v>
      </c>
      <c r="BI126">
        <f t="shared" si="352"/>
        <v>8.5328978071759799E-3</v>
      </c>
      <c r="BJ126" s="460">
        <f t="shared" si="436"/>
        <v>161.17695857999072</v>
      </c>
      <c r="BK126">
        <f t="shared" si="353"/>
        <v>0.48960359168146728</v>
      </c>
      <c r="BL126" s="460">
        <f t="shared" si="437"/>
        <v>649.86434661791009</v>
      </c>
      <c r="BM126" s="173">
        <f t="shared" si="354"/>
        <v>9.9399999999999988E-2</v>
      </c>
      <c r="BN126" s="173">
        <f t="shared" si="355"/>
        <v>2.4849999999999997E-2</v>
      </c>
      <c r="BO126" s="528"/>
      <c r="BQ126" s="460">
        <f t="shared" si="356"/>
        <v>124.24999999999999</v>
      </c>
      <c r="BR126" s="528">
        <f t="shared" si="357"/>
        <v>3.5573373260680305E-3</v>
      </c>
      <c r="BS126" s="528">
        <f t="shared" si="358"/>
        <v>1.0156948388217681E-2</v>
      </c>
      <c r="BT126" s="528">
        <f t="shared" si="359"/>
        <v>1.0210032208729916E-4</v>
      </c>
      <c r="BU126" s="528">
        <f t="shared" si="360"/>
        <v>0.17006173538407826</v>
      </c>
      <c r="BV126" s="528"/>
      <c r="BW126" s="625">
        <f t="shared" si="361"/>
        <v>2.3999999999999989E-3</v>
      </c>
      <c r="BX126" s="460">
        <f t="shared" si="362"/>
        <v>186.27812142045124</v>
      </c>
      <c r="BY126" s="173">
        <f t="shared" si="363"/>
        <v>0.96039246803836131</v>
      </c>
      <c r="BZ126" s="5">
        <f t="shared" si="364"/>
        <v>2.88</v>
      </c>
      <c r="CA126" s="173">
        <f t="shared" si="365"/>
        <v>0.74992335391988685</v>
      </c>
      <c r="CB126" s="5">
        <f t="shared" si="366"/>
        <v>74.992335391988689</v>
      </c>
      <c r="CC126">
        <f t="shared" si="367"/>
        <v>16</v>
      </c>
      <c r="CE126" s="562">
        <f t="shared" si="368"/>
        <v>-50</v>
      </c>
      <c r="CF126">
        <f t="shared" si="369"/>
        <v>-50</v>
      </c>
      <c r="CG126" s="173">
        <f t="shared" si="370"/>
        <v>0.28627123416821876</v>
      </c>
      <c r="CH126" s="173">
        <f t="shared" si="371"/>
        <v>0.10119583317019214</v>
      </c>
      <c r="CI126" s="170">
        <v>16</v>
      </c>
      <c r="CJ126" s="217">
        <f t="shared" si="438"/>
        <v>0.16</v>
      </c>
      <c r="CK126" s="217">
        <f t="shared" si="372"/>
        <v>0.04</v>
      </c>
      <c r="CL126" s="217">
        <f t="shared" si="373"/>
        <v>2.56</v>
      </c>
      <c r="CM126" s="217">
        <f t="shared" si="374"/>
        <v>0.32</v>
      </c>
      <c r="CN126" s="541">
        <f t="shared" si="375"/>
        <v>19</v>
      </c>
      <c r="CO126" s="443">
        <f t="shared" si="376"/>
        <v>16.7</v>
      </c>
      <c r="CP126" s="443">
        <f t="shared" si="377"/>
        <v>35.700000000000003</v>
      </c>
      <c r="CQ126" s="443"/>
      <c r="CR126" s="217">
        <f t="shared" si="378"/>
        <v>0.4632768361581921</v>
      </c>
      <c r="CS126" s="172">
        <f t="shared" si="379"/>
        <v>19.560577526679221</v>
      </c>
      <c r="CT126" s="172">
        <f t="shared" si="380"/>
        <v>2.7507062146892656</v>
      </c>
      <c r="CU126" s="217">
        <f t="shared" si="381"/>
        <v>1.2225360954174513</v>
      </c>
      <c r="CV126" s="217">
        <f t="shared" si="382"/>
        <v>2.4450721908349027</v>
      </c>
      <c r="CW126" s="217">
        <f t="shared" si="383"/>
        <v>16</v>
      </c>
      <c r="CX126" s="217">
        <f t="shared" si="384"/>
        <v>0.654377406931964</v>
      </c>
      <c r="CY126" s="217">
        <f t="shared" si="385"/>
        <v>0.41329099385176671</v>
      </c>
      <c r="CZ126" s="217">
        <f t="shared" si="386"/>
        <v>0.47021131037027353</v>
      </c>
      <c r="DA126" s="197">
        <f t="shared" si="387"/>
        <v>350</v>
      </c>
      <c r="DB126" s="443">
        <f t="shared" si="388"/>
        <v>350</v>
      </c>
      <c r="DD126" s="217">
        <f t="shared" si="389"/>
        <v>2.1161798052554355</v>
      </c>
      <c r="DE126" s="173">
        <f t="shared" si="390"/>
        <v>1.5206082432973189</v>
      </c>
      <c r="DF126" s="173">
        <f t="shared" si="391"/>
        <v>0.50055918207100247</v>
      </c>
      <c r="DG126" s="173"/>
      <c r="DH126" s="173">
        <f t="shared" si="392"/>
        <v>0.71856287425149712</v>
      </c>
      <c r="DI126" s="545">
        <f t="shared" si="393"/>
        <v>445.33333333333331</v>
      </c>
      <c r="DJ126" s="528">
        <f t="shared" si="394"/>
        <v>0.125748502994012</v>
      </c>
      <c r="DL126" s="173">
        <f t="shared" si="395"/>
        <v>1.1710800875382397</v>
      </c>
      <c r="DM126" s="173">
        <f t="shared" si="396"/>
        <v>1.1710800875382397</v>
      </c>
      <c r="DN126" s="173">
        <f t="shared" si="397"/>
        <v>1.3267259907690663</v>
      </c>
      <c r="DP126" s="545">
        <f t="shared" si="398"/>
        <v>160</v>
      </c>
      <c r="DQ126" s="460">
        <f t="shared" si="399"/>
        <v>350</v>
      </c>
      <c r="DS126" s="460">
        <f t="shared" si="400"/>
        <v>160</v>
      </c>
      <c r="DT126" s="460">
        <f t="shared" si="401"/>
        <v>350</v>
      </c>
      <c r="DV126" s="5">
        <f t="shared" si="402"/>
        <v>2.8571428571428572</v>
      </c>
      <c r="DW126" s="5">
        <f t="shared" si="403"/>
        <v>0.73962952897151979</v>
      </c>
      <c r="DX126" s="5">
        <f t="shared" si="404"/>
        <v>2.1175133281713374</v>
      </c>
      <c r="DY126" s="173">
        <f t="shared" si="405"/>
        <v>0.25887033514003194</v>
      </c>
      <c r="EA126" s="5">
        <f t="shared" si="406"/>
        <v>0.73962952897151979</v>
      </c>
      <c r="EB126" s="5">
        <f t="shared" si="407"/>
        <v>0.36981476448575989</v>
      </c>
      <c r="EC126" s="5">
        <f t="shared" si="408"/>
        <v>0.23775588246134308</v>
      </c>
      <c r="ED126" s="5"/>
      <c r="EE126" s="173">
        <f t="shared" si="409"/>
        <v>0.34400686713413603</v>
      </c>
      <c r="EF126" s="173">
        <f t="shared" si="410"/>
        <v>0.58206712027687491</v>
      </c>
      <c r="EG126" s="173">
        <f t="shared" si="411"/>
        <v>0.1429488368915266</v>
      </c>
      <c r="EH126" s="173"/>
      <c r="EI126" s="528">
        <f t="shared" si="412"/>
        <v>2.3668144927088625E-3</v>
      </c>
      <c r="EJ126" s="528">
        <f t="shared" si="413"/>
        <v>0.27802026818201586</v>
      </c>
      <c r="EK126" s="528">
        <f t="shared" si="414"/>
        <v>4.0250000000000001E-2</v>
      </c>
      <c r="EL126" s="528">
        <f t="shared" si="415"/>
        <v>0.21969021375000006</v>
      </c>
      <c r="EM126">
        <f t="shared" si="416"/>
        <v>8.5500000000000003E-3</v>
      </c>
      <c r="EN126" s="460">
        <f t="shared" si="417"/>
        <v>48.800000000000004</v>
      </c>
      <c r="EP126" s="460">
        <f t="shared" si="439"/>
        <v>548.8772964247247</v>
      </c>
      <c r="EQ126" s="173">
        <f t="shared" si="418"/>
        <v>0.11199999999999999</v>
      </c>
      <c r="ER126" s="173">
        <f t="shared" si="419"/>
        <v>1.7749999999999998E-2</v>
      </c>
      <c r="ES126" s="528"/>
      <c r="EU126" s="460">
        <f t="shared" si="420"/>
        <v>129.74999999999997</v>
      </c>
      <c r="EV126" s="528">
        <f t="shared" si="421"/>
        <v>3.5502217390632937E-3</v>
      </c>
      <c r="EW126" s="528">
        <f t="shared" si="422"/>
        <v>1.0164063975222419E-2</v>
      </c>
      <c r="EX126" s="528">
        <f t="shared" si="423"/>
        <v>1.0217184984320138E-4</v>
      </c>
      <c r="EY126" s="528">
        <f t="shared" si="424"/>
        <v>0.17006173538407826</v>
      </c>
      <c r="EZ126" s="528"/>
      <c r="FA126" s="625">
        <f t="shared" si="425"/>
        <v>2.3999999999999989E-3</v>
      </c>
      <c r="FB126" s="460">
        <f t="shared" si="426"/>
        <v>186.27819294820716</v>
      </c>
      <c r="FC126" s="173">
        <f t="shared" si="427"/>
        <v>0.86490548937293177</v>
      </c>
      <c r="FD126" s="5">
        <f t="shared" si="428"/>
        <v>2.88</v>
      </c>
      <c r="FE126" s="173">
        <f t="shared" si="429"/>
        <v>0.76904477514123959</v>
      </c>
      <c r="FF126" s="5">
        <f t="shared" si="430"/>
        <v>76.904477514123954</v>
      </c>
      <c r="FG126">
        <f t="shared" si="431"/>
        <v>16</v>
      </c>
      <c r="FI126" s="562">
        <f t="shared" si="432"/>
        <v>-50</v>
      </c>
      <c r="FJ126">
        <f t="shared" si="433"/>
        <v>-50</v>
      </c>
    </row>
    <row r="127" spans="5:166">
      <c r="E127" s="170">
        <v>17</v>
      </c>
      <c r="F127" s="217">
        <f t="shared" si="434"/>
        <v>0.17</v>
      </c>
      <c r="G127" s="217">
        <f t="shared" si="313"/>
        <v>4.2500000000000003E-2</v>
      </c>
      <c r="H127" s="217">
        <f t="shared" si="314"/>
        <v>2.72</v>
      </c>
      <c r="I127" s="217">
        <f t="shared" si="315"/>
        <v>0.34</v>
      </c>
      <c r="J127" s="541">
        <f t="shared" si="316"/>
        <v>18.960825473642714</v>
      </c>
      <c r="K127" s="443">
        <f t="shared" si="317"/>
        <v>16.717283352849325</v>
      </c>
      <c r="L127" s="172">
        <f t="shared" si="318"/>
        <v>35.678108826492036</v>
      </c>
      <c r="M127" s="443"/>
      <c r="N127" s="217">
        <f t="shared" si="319"/>
        <v>0.46855856161401288</v>
      </c>
      <c r="O127" s="172">
        <f t="shared" si="320"/>
        <v>19.742793579876363</v>
      </c>
      <c r="P127" s="172">
        <f t="shared" si="321"/>
        <v>2.7763303471701137</v>
      </c>
      <c r="Q127" s="217">
        <f t="shared" si="322"/>
        <v>1.2339245987422727</v>
      </c>
      <c r="R127" s="217">
        <f t="shared" si="323"/>
        <v>2.4678491974845453</v>
      </c>
      <c r="S127" s="217">
        <f t="shared" si="324"/>
        <v>16</v>
      </c>
      <c r="T127" s="217">
        <f t="shared" si="325"/>
        <v>0.68885894718882867</v>
      </c>
      <c r="U127" s="217">
        <f t="shared" si="326"/>
        <v>0.43596769443170436</v>
      </c>
      <c r="V127" s="217">
        <f t="shared" si="327"/>
        <v>0.49447671561163192</v>
      </c>
      <c r="W127" s="197">
        <f t="shared" si="328"/>
        <v>350</v>
      </c>
      <c r="X127" s="443">
        <f t="shared" si="435"/>
        <v>350</v>
      </c>
      <c r="Z127" s="217">
        <f t="shared" si="329"/>
        <v>2.1152993121296104</v>
      </c>
      <c r="AA127" s="173">
        <f t="shared" si="330"/>
        <v>1.5184041096742491</v>
      </c>
      <c r="AB127" s="173">
        <f t="shared" si="331"/>
        <v>0.49962564846891072</v>
      </c>
      <c r="AC127" s="173"/>
      <c r="AD127" s="173">
        <f t="shared" si="332"/>
        <v>0.71781997988056467</v>
      </c>
      <c r="AE127" s="545">
        <f t="shared" si="333"/>
        <v>473.65636166406421</v>
      </c>
      <c r="AF127" s="528">
        <f t="shared" si="334"/>
        <v>0.12561849647909881</v>
      </c>
      <c r="AH127" s="173">
        <f t="shared" si="335"/>
        <v>1.2071217242444348</v>
      </c>
      <c r="AI127" s="173">
        <f t="shared" si="336"/>
        <v>1.2071217242444348</v>
      </c>
      <c r="AJ127" s="173">
        <f t="shared" si="337"/>
        <v>1.353423499440322</v>
      </c>
      <c r="AL127" s="545">
        <f t="shared" si="338"/>
        <v>170</v>
      </c>
      <c r="AM127" s="460">
        <f t="shared" si="339"/>
        <v>350</v>
      </c>
      <c r="AO127" s="460">
        <f t="shared" si="340"/>
        <v>170</v>
      </c>
      <c r="AP127" s="460">
        <f t="shared" si="341"/>
        <v>350</v>
      </c>
      <c r="AR127" s="5">
        <f t="shared" si="275"/>
        <v>2.8571428571428572</v>
      </c>
      <c r="AS127" s="5">
        <f t="shared" si="440"/>
        <v>0.76396782993806545</v>
      </c>
      <c r="AT127" s="5">
        <f t="shared" si="441"/>
        <v>2.0931750272047918</v>
      </c>
      <c r="AU127" s="173">
        <f t="shared" si="442"/>
        <v>0.26738874047832289</v>
      </c>
      <c r="AW127" s="5">
        <f t="shared" si="342"/>
        <v>0.81171581930919467</v>
      </c>
      <c r="AX127" s="5">
        <f t="shared" si="343"/>
        <v>0.40585790965459734</v>
      </c>
      <c r="AY127" s="5">
        <f t="shared" si="344"/>
        <v>0.25022803296510093</v>
      </c>
      <c r="AZ127" s="5"/>
      <c r="BA127" s="173">
        <f t="shared" si="345"/>
        <v>0.36038109147050312</v>
      </c>
      <c r="BB127" s="173">
        <f t="shared" si="346"/>
        <v>0.59652305456270061</v>
      </c>
      <c r="BC127" s="173">
        <f t="shared" si="347"/>
        <v>0.14649904428231028</v>
      </c>
      <c r="BD127" s="173"/>
      <c r="BE127" s="528">
        <f t="shared" si="348"/>
        <v>2.5974906217894229E-3</v>
      </c>
      <c r="BF127" s="528">
        <f t="shared" si="349"/>
        <v>0.27509570181120496</v>
      </c>
      <c r="BG127" s="528">
        <f t="shared" si="350"/>
        <v>0.15263464506282387</v>
      </c>
      <c r="BH127" s="528">
        <f t="shared" si="351"/>
        <v>0.21942086909635963</v>
      </c>
      <c r="BI127">
        <f t="shared" si="352"/>
        <v>8.5323714631392218E-3</v>
      </c>
      <c r="BJ127" s="460">
        <f t="shared" si="436"/>
        <v>161.16701652596311</v>
      </c>
      <c r="BK127">
        <f t="shared" si="353"/>
        <v>0.49812280734780823</v>
      </c>
      <c r="BL127" s="460">
        <f t="shared" si="437"/>
        <v>658.28107805531715</v>
      </c>
      <c r="BM127" s="173">
        <f t="shared" si="354"/>
        <v>0.10561249999999998</v>
      </c>
      <c r="BN127" s="173">
        <f t="shared" si="355"/>
        <v>2.6403124999999996E-2</v>
      </c>
      <c r="BO127" s="528"/>
      <c r="BQ127" s="460">
        <f t="shared" si="356"/>
        <v>132.01562499999997</v>
      </c>
      <c r="BR127" s="528">
        <f t="shared" si="357"/>
        <v>3.896235932684134E-3</v>
      </c>
      <c r="BS127" s="528">
        <f t="shared" si="358"/>
        <v>1.0675192638744441E-2</v>
      </c>
      <c r="BT127" s="528">
        <f t="shared" si="359"/>
        <v>1.0730984987815155E-4</v>
      </c>
      <c r="BU127" s="528">
        <f t="shared" si="360"/>
        <v>0.18345002695153451</v>
      </c>
      <c r="BV127" s="528"/>
      <c r="BW127" s="625">
        <f t="shared" si="361"/>
        <v>2.5500000000000006E-3</v>
      </c>
      <c r="BX127" s="460">
        <f t="shared" si="362"/>
        <v>200.67876537284124</v>
      </c>
      <c r="BY127" s="173">
        <f t="shared" si="363"/>
        <v>0.99097546842815842</v>
      </c>
      <c r="BZ127" s="5">
        <f t="shared" si="364"/>
        <v>3.06</v>
      </c>
      <c r="CA127" s="173">
        <f t="shared" si="365"/>
        <v>0.75537361898351052</v>
      </c>
      <c r="CB127" s="5">
        <f t="shared" si="366"/>
        <v>75.537361898351051</v>
      </c>
      <c r="CC127">
        <f t="shared" si="367"/>
        <v>17</v>
      </c>
      <c r="CE127" s="562">
        <f t="shared" si="368"/>
        <v>-50</v>
      </c>
      <c r="CF127">
        <f t="shared" si="369"/>
        <v>-50</v>
      </c>
      <c r="CG127" s="173">
        <f t="shared" si="370"/>
        <v>0.29508163401287335</v>
      </c>
      <c r="CH127" s="173">
        <f t="shared" si="371"/>
        <v>0.10431027725827137</v>
      </c>
      <c r="CI127" s="170">
        <v>17</v>
      </c>
      <c r="CJ127" s="217">
        <f t="shared" si="438"/>
        <v>0.17</v>
      </c>
      <c r="CK127" s="217">
        <f t="shared" si="372"/>
        <v>4.2500000000000003E-2</v>
      </c>
      <c r="CL127" s="217">
        <f t="shared" si="373"/>
        <v>2.72</v>
      </c>
      <c r="CM127" s="217">
        <f t="shared" si="374"/>
        <v>0.34</v>
      </c>
      <c r="CN127" s="541">
        <f t="shared" si="375"/>
        <v>19</v>
      </c>
      <c r="CO127" s="443">
        <f t="shared" si="376"/>
        <v>16.7</v>
      </c>
      <c r="CP127" s="443">
        <f t="shared" si="377"/>
        <v>35.700000000000003</v>
      </c>
      <c r="CQ127" s="443"/>
      <c r="CR127" s="217">
        <f t="shared" si="378"/>
        <v>0.4632768361581921</v>
      </c>
      <c r="CS127" s="172">
        <f t="shared" si="379"/>
        <v>19.560577526679221</v>
      </c>
      <c r="CT127" s="172">
        <f t="shared" si="380"/>
        <v>2.7507062146892656</v>
      </c>
      <c r="CU127" s="217">
        <f t="shared" si="381"/>
        <v>1.2225360954174513</v>
      </c>
      <c r="CV127" s="217">
        <f t="shared" si="382"/>
        <v>2.4450721908349027</v>
      </c>
      <c r="CW127" s="217">
        <f t="shared" si="383"/>
        <v>16</v>
      </c>
      <c r="CX127" s="217">
        <f t="shared" si="384"/>
        <v>0.69527599486521174</v>
      </c>
      <c r="CY127" s="217">
        <f t="shared" si="385"/>
        <v>0.43912168096750215</v>
      </c>
      <c r="CZ127" s="217">
        <f t="shared" si="386"/>
        <v>0.49959951726841562</v>
      </c>
      <c r="DA127" s="197">
        <f t="shared" si="387"/>
        <v>350</v>
      </c>
      <c r="DB127" s="443">
        <f t="shared" si="388"/>
        <v>350</v>
      </c>
      <c r="DD127" s="217">
        <f t="shared" si="389"/>
        <v>2.1161798052554355</v>
      </c>
      <c r="DE127" s="173">
        <f t="shared" si="390"/>
        <v>1.5206082432973189</v>
      </c>
      <c r="DF127" s="173">
        <f t="shared" si="391"/>
        <v>0.50055918207100247</v>
      </c>
      <c r="DG127" s="173"/>
      <c r="DH127" s="173">
        <f t="shared" si="392"/>
        <v>0.71856287425149712</v>
      </c>
      <c r="DI127" s="545">
        <f t="shared" si="393"/>
        <v>473.16666666666663</v>
      </c>
      <c r="DJ127" s="528">
        <f t="shared" si="394"/>
        <v>0.125748502994012</v>
      </c>
      <c r="DL127" s="173">
        <f t="shared" si="395"/>
        <v>1.2071217242444348</v>
      </c>
      <c r="DM127" s="173">
        <f t="shared" si="396"/>
        <v>1.2071217242444348</v>
      </c>
      <c r="DN127" s="173">
        <f t="shared" si="397"/>
        <v>1.353423499440322</v>
      </c>
      <c r="DP127" s="545">
        <f t="shared" si="398"/>
        <v>170</v>
      </c>
      <c r="DQ127" s="460">
        <f t="shared" si="399"/>
        <v>350</v>
      </c>
      <c r="DS127" s="460">
        <f t="shared" si="400"/>
        <v>170</v>
      </c>
      <c r="DT127" s="460">
        <f t="shared" si="401"/>
        <v>350</v>
      </c>
      <c r="DV127" s="5">
        <f t="shared" si="402"/>
        <v>2.8571428571428572</v>
      </c>
      <c r="DW127" s="5">
        <f t="shared" si="403"/>
        <v>0.76239266794385352</v>
      </c>
      <c r="DX127" s="5">
        <f t="shared" si="404"/>
        <v>2.0947501891990035</v>
      </c>
      <c r="DY127" s="173">
        <f t="shared" si="405"/>
        <v>0.26683743378034874</v>
      </c>
      <c r="EA127" s="5">
        <f t="shared" si="406"/>
        <v>0.81004220969034446</v>
      </c>
      <c r="EB127" s="5">
        <f t="shared" si="407"/>
        <v>0.40502110484517223</v>
      </c>
      <c r="EC127" s="5">
        <f t="shared" si="408"/>
        <v>0.24990002257110919</v>
      </c>
      <c r="ED127" s="5"/>
      <c r="EE127" s="173">
        <f t="shared" si="409"/>
        <v>0.36000937980899211</v>
      </c>
      <c r="EF127" s="173">
        <f t="shared" si="410"/>
        <v>0.59674746096136067</v>
      </c>
      <c r="EG127" s="173">
        <f t="shared" si="411"/>
        <v>0.14655415585374593</v>
      </c>
      <c r="EH127" s="173"/>
      <c r="EI127" s="528">
        <f t="shared" si="412"/>
        <v>2.5921350710091029E-3</v>
      </c>
      <c r="EJ127" s="528">
        <f t="shared" si="413"/>
        <v>0.28657673294425007</v>
      </c>
      <c r="EK127" s="528">
        <f t="shared" si="414"/>
        <v>4.0250000000000001E-2</v>
      </c>
      <c r="EL127" s="528">
        <f t="shared" si="415"/>
        <v>0.21969021375000006</v>
      </c>
      <c r="EM127">
        <f t="shared" si="416"/>
        <v>8.5500000000000003E-3</v>
      </c>
      <c r="EN127" s="460">
        <f t="shared" si="417"/>
        <v>48.800000000000004</v>
      </c>
      <c r="EP127" s="460">
        <f t="shared" si="439"/>
        <v>557.65908176525909</v>
      </c>
      <c r="EQ127" s="173">
        <f t="shared" si="418"/>
        <v>0.11899999999999999</v>
      </c>
      <c r="ER127" s="173">
        <f t="shared" si="419"/>
        <v>1.8859375000000001E-2</v>
      </c>
      <c r="ES127" s="528"/>
      <c r="EU127" s="460">
        <f t="shared" si="420"/>
        <v>137.859375</v>
      </c>
      <c r="EV127" s="528">
        <f t="shared" si="421"/>
        <v>3.8882026065136543E-3</v>
      </c>
      <c r="EW127" s="528">
        <f t="shared" si="422"/>
        <v>1.068322596491492E-2</v>
      </c>
      <c r="EX127" s="528">
        <f t="shared" si="423"/>
        <v>1.0739060299002026E-4</v>
      </c>
      <c r="EY127" s="528">
        <f t="shared" si="424"/>
        <v>0.18345002695153451</v>
      </c>
      <c r="EZ127" s="528"/>
      <c r="FA127" s="625">
        <f t="shared" si="425"/>
        <v>2.5500000000000006E-3</v>
      </c>
      <c r="FB127" s="460">
        <f t="shared" si="426"/>
        <v>200.6788461259531</v>
      </c>
      <c r="FC127" s="173">
        <f t="shared" si="427"/>
        <v>0.89619730289121224</v>
      </c>
      <c r="FD127" s="5">
        <f t="shared" si="428"/>
        <v>3.06</v>
      </c>
      <c r="FE127" s="173">
        <f t="shared" si="429"/>
        <v>0.77347001823284556</v>
      </c>
      <c r="FF127" s="5">
        <f t="shared" si="430"/>
        <v>77.347001823284558</v>
      </c>
      <c r="FG127">
        <f t="shared" si="431"/>
        <v>17</v>
      </c>
      <c r="FI127" s="562">
        <f t="shared" si="432"/>
        <v>-50</v>
      </c>
      <c r="FJ127">
        <f t="shared" si="433"/>
        <v>-50</v>
      </c>
    </row>
    <row r="128" spans="5:166">
      <c r="E128" s="170">
        <v>18</v>
      </c>
      <c r="F128" s="217">
        <f t="shared" si="434"/>
        <v>0.18</v>
      </c>
      <c r="G128" s="217">
        <f t="shared" si="313"/>
        <v>4.4999999999999998E-2</v>
      </c>
      <c r="H128" s="217">
        <f t="shared" si="314"/>
        <v>2.88</v>
      </c>
      <c r="I128" s="217">
        <f t="shared" si="315"/>
        <v>0.36</v>
      </c>
      <c r="J128" s="541">
        <f t="shared" si="316"/>
        <v>18.959689744936583</v>
      </c>
      <c r="K128" s="443">
        <f t="shared" si="317"/>
        <v>16.717784423361067</v>
      </c>
      <c r="L128" s="172">
        <f t="shared" si="318"/>
        <v>35.67747416829765</v>
      </c>
      <c r="M128" s="443"/>
      <c r="N128" s="217">
        <f t="shared" si="319"/>
        <v>0.46858094114230159</v>
      </c>
      <c r="O128" s="172">
        <f t="shared" si="320"/>
        <v>19.742553920996507</v>
      </c>
      <c r="P128" s="172">
        <f t="shared" si="321"/>
        <v>2.7762966451401336</v>
      </c>
      <c r="Q128" s="217">
        <f t="shared" si="322"/>
        <v>1.2339096200622817</v>
      </c>
      <c r="R128" s="217">
        <f t="shared" si="323"/>
        <v>2.4678192401245633</v>
      </c>
      <c r="S128" s="217">
        <f t="shared" si="324"/>
        <v>16</v>
      </c>
      <c r="T128" s="217">
        <f t="shared" si="325"/>
        <v>0.72938891582235366</v>
      </c>
      <c r="U128" s="217">
        <f t="shared" si="326"/>
        <v>0.46164610853960575</v>
      </c>
      <c r="V128" s="217">
        <f t="shared" si="327"/>
        <v>0.52355424428355812</v>
      </c>
      <c r="W128" s="197">
        <f t="shared" si="328"/>
        <v>350</v>
      </c>
      <c r="X128" s="443">
        <f t="shared" si="435"/>
        <v>350</v>
      </c>
      <c r="Z128" s="217">
        <f t="shared" si="329"/>
        <v>2.1152736343924832</v>
      </c>
      <c r="AA128" s="173">
        <f t="shared" si="330"/>
        <v>1.5183401681648527</v>
      </c>
      <c r="AB128" s="173">
        <f t="shared" si="331"/>
        <v>0.49959854400682518</v>
      </c>
      <c r="AC128" s="173"/>
      <c r="AD128" s="173">
        <f t="shared" si="332"/>
        <v>0.71779846516213375</v>
      </c>
      <c r="AE128" s="545">
        <f t="shared" si="333"/>
        <v>501.53353270083193</v>
      </c>
      <c r="AF128" s="528">
        <f t="shared" si="334"/>
        <v>0.1256147314033734</v>
      </c>
      <c r="AH128" s="173">
        <f t="shared" si="335"/>
        <v>1.2421180068162376</v>
      </c>
      <c r="AI128" s="173">
        <f t="shared" si="336"/>
        <v>1.2421180068162376</v>
      </c>
      <c r="AJ128" s="173">
        <f t="shared" si="337"/>
        <v>1.3793466717157314</v>
      </c>
      <c r="AL128" s="545">
        <f t="shared" si="338"/>
        <v>180</v>
      </c>
      <c r="AM128" s="460">
        <f t="shared" si="339"/>
        <v>350</v>
      </c>
      <c r="AO128" s="460">
        <f t="shared" si="340"/>
        <v>180</v>
      </c>
      <c r="AP128" s="460">
        <f t="shared" si="341"/>
        <v>350</v>
      </c>
      <c r="AR128" s="5">
        <f t="shared" si="275"/>
        <v>2.8571428571428572</v>
      </c>
      <c r="AS128" s="5">
        <f t="shared" si="440"/>
        <v>0.78616350174060867</v>
      </c>
      <c r="AT128" s="5">
        <f t="shared" si="441"/>
        <v>2.0709793554022484</v>
      </c>
      <c r="AU128" s="173">
        <f t="shared" si="442"/>
        <v>0.27515722560921302</v>
      </c>
      <c r="AW128" s="5">
        <f t="shared" si="342"/>
        <v>0.88443393945818471</v>
      </c>
      <c r="AX128" s="5">
        <f t="shared" si="343"/>
        <v>0.44221696972909236</v>
      </c>
      <c r="AY128" s="5">
        <f t="shared" si="344"/>
        <v>0.26215357528689459</v>
      </c>
      <c r="AZ128" s="5"/>
      <c r="BA128" s="173">
        <f t="shared" si="345"/>
        <v>0.37617739208159434</v>
      </c>
      <c r="BB128" s="173">
        <f t="shared" si="346"/>
        <v>0.6105540794822395</v>
      </c>
      <c r="BC128" s="173">
        <f t="shared" si="347"/>
        <v>0.14994489893166763</v>
      </c>
      <c r="BD128" s="173"/>
      <c r="BE128" s="528">
        <f t="shared" si="348"/>
        <v>2.8301886062661913E-3</v>
      </c>
      <c r="BF128" s="528">
        <f t="shared" si="349"/>
        <v>0.28306610644007052</v>
      </c>
      <c r="BG128" s="528">
        <f t="shared" si="350"/>
        <v>0.1526255024467395</v>
      </c>
      <c r="BH128" s="528">
        <f t="shared" si="351"/>
        <v>0.21941306285221801</v>
      </c>
      <c r="BI128">
        <f t="shared" si="352"/>
        <v>8.5318603852214611E-3</v>
      </c>
      <c r="BJ128" s="460">
        <f t="shared" si="436"/>
        <v>161.15736283196097</v>
      </c>
      <c r="BK128">
        <f t="shared" si="353"/>
        <v>0.50641404837354154</v>
      </c>
      <c r="BL128" s="460">
        <f t="shared" si="437"/>
        <v>666.4667207305157</v>
      </c>
      <c r="BM128" s="173">
        <f t="shared" si="354"/>
        <v>0.11182499999999999</v>
      </c>
      <c r="BN128" s="173">
        <f t="shared" si="355"/>
        <v>2.7956249999999998E-2</v>
      </c>
      <c r="BO128" s="528"/>
      <c r="BQ128" s="460">
        <f t="shared" si="356"/>
        <v>139.78125</v>
      </c>
      <c r="BR128" s="528">
        <f t="shared" si="357"/>
        <v>4.2452829093992872E-3</v>
      </c>
      <c r="BS128" s="528">
        <f t="shared" si="358"/>
        <v>1.1183288519172144E-2</v>
      </c>
      <c r="BT128" s="528">
        <f t="shared" si="359"/>
        <v>1.1241736357814011E-4</v>
      </c>
      <c r="BU128" s="528">
        <f t="shared" si="360"/>
        <v>0.19703676092622247</v>
      </c>
      <c r="BV128" s="528"/>
      <c r="BW128" s="625">
        <f t="shared" si="361"/>
        <v>2.7000000000000001E-3</v>
      </c>
      <c r="BX128" s="460">
        <f t="shared" si="362"/>
        <v>215.27774971837204</v>
      </c>
      <c r="BY128" s="173">
        <f t="shared" si="363"/>
        <v>1.0215257204488877</v>
      </c>
      <c r="BZ128" s="5">
        <f t="shared" si="364"/>
        <v>3.2399999999999998</v>
      </c>
      <c r="CA128" s="173">
        <f t="shared" si="365"/>
        <v>0.76029108177216753</v>
      </c>
      <c r="CB128" s="5">
        <f t="shared" si="366"/>
        <v>76.029108177216756</v>
      </c>
      <c r="CC128">
        <f t="shared" si="367"/>
        <v>18</v>
      </c>
      <c r="CE128" s="562">
        <f t="shared" si="368"/>
        <v>-50</v>
      </c>
      <c r="CF128">
        <f t="shared" si="369"/>
        <v>-50</v>
      </c>
      <c r="CG128" s="173">
        <f t="shared" si="370"/>
        <v>0.30363649640848434</v>
      </c>
      <c r="CH128" s="173">
        <f t="shared" si="371"/>
        <v>0.10733438979369814</v>
      </c>
      <c r="CI128" s="170">
        <v>18</v>
      </c>
      <c r="CJ128" s="217">
        <f t="shared" si="438"/>
        <v>0.18</v>
      </c>
      <c r="CK128" s="217">
        <f t="shared" si="372"/>
        <v>4.4999999999999998E-2</v>
      </c>
      <c r="CL128" s="217">
        <f t="shared" si="373"/>
        <v>2.88</v>
      </c>
      <c r="CM128" s="217">
        <f t="shared" si="374"/>
        <v>0.36</v>
      </c>
      <c r="CN128" s="541">
        <f t="shared" si="375"/>
        <v>19</v>
      </c>
      <c r="CO128" s="443">
        <f t="shared" si="376"/>
        <v>16.7</v>
      </c>
      <c r="CP128" s="443">
        <f t="shared" si="377"/>
        <v>35.700000000000003</v>
      </c>
      <c r="CQ128" s="443"/>
      <c r="CR128" s="217">
        <f t="shared" si="378"/>
        <v>0.4632768361581921</v>
      </c>
      <c r="CS128" s="172">
        <f t="shared" si="379"/>
        <v>19.560577526679221</v>
      </c>
      <c r="CT128" s="172">
        <f t="shared" si="380"/>
        <v>2.7507062146892656</v>
      </c>
      <c r="CU128" s="217">
        <f t="shared" si="381"/>
        <v>1.2225360954174513</v>
      </c>
      <c r="CV128" s="217">
        <f t="shared" si="382"/>
        <v>2.4450721908349027</v>
      </c>
      <c r="CW128" s="217">
        <f t="shared" si="383"/>
        <v>16</v>
      </c>
      <c r="CX128" s="217">
        <f t="shared" si="384"/>
        <v>0.73617458279845949</v>
      </c>
      <c r="CY128" s="217">
        <f t="shared" si="385"/>
        <v>0.46495236808323759</v>
      </c>
      <c r="CZ128" s="217">
        <f t="shared" si="386"/>
        <v>0.5289877241665577</v>
      </c>
      <c r="DA128" s="197">
        <f t="shared" si="387"/>
        <v>350</v>
      </c>
      <c r="DB128" s="443">
        <f t="shared" si="388"/>
        <v>350</v>
      </c>
      <c r="DD128" s="217">
        <f t="shared" si="389"/>
        <v>2.1161798052554355</v>
      </c>
      <c r="DE128" s="173">
        <f t="shared" si="390"/>
        <v>1.5206082432973189</v>
      </c>
      <c r="DF128" s="173">
        <f t="shared" si="391"/>
        <v>0.50055918207100247</v>
      </c>
      <c r="DG128" s="173"/>
      <c r="DH128" s="173">
        <f t="shared" si="392"/>
        <v>0.71856287425149712</v>
      </c>
      <c r="DI128" s="545">
        <f t="shared" si="393"/>
        <v>500.99999999999994</v>
      </c>
      <c r="DJ128" s="528">
        <f t="shared" si="394"/>
        <v>0.125748502994012</v>
      </c>
      <c r="DL128" s="173">
        <f t="shared" si="395"/>
        <v>1.2421180068162376</v>
      </c>
      <c r="DM128" s="173">
        <f t="shared" si="396"/>
        <v>1.2421180068162376</v>
      </c>
      <c r="DN128" s="173">
        <f t="shared" si="397"/>
        <v>1.3793466717157314</v>
      </c>
      <c r="DP128" s="545">
        <f t="shared" si="398"/>
        <v>180</v>
      </c>
      <c r="DQ128" s="460">
        <f t="shared" si="399"/>
        <v>350</v>
      </c>
      <c r="DS128" s="460">
        <f t="shared" si="400"/>
        <v>180</v>
      </c>
      <c r="DT128" s="460">
        <f t="shared" si="401"/>
        <v>350</v>
      </c>
      <c r="DV128" s="5">
        <f t="shared" si="402"/>
        <v>2.8571428571428572</v>
      </c>
      <c r="DW128" s="5">
        <f t="shared" si="403"/>
        <v>0.78449558325236057</v>
      </c>
      <c r="DX128" s="5">
        <f t="shared" si="404"/>
        <v>2.0726472738904969</v>
      </c>
      <c r="DY128" s="173">
        <f t="shared" si="405"/>
        <v>0.27457345413832618</v>
      </c>
      <c r="EA128" s="5">
        <f t="shared" si="406"/>
        <v>0.88255753115890556</v>
      </c>
      <c r="EB128" s="5">
        <f t="shared" si="407"/>
        <v>0.44127876557945278</v>
      </c>
      <c r="EC128" s="5">
        <f t="shared" si="408"/>
        <v>0.26180807670195744</v>
      </c>
      <c r="ED128" s="5"/>
      <c r="EE128" s="173">
        <f t="shared" si="409"/>
        <v>0.3757781326599845</v>
      </c>
      <c r="EF128" s="173">
        <f t="shared" si="410"/>
        <v>0.61079989300939586</v>
      </c>
      <c r="EG128" s="173">
        <f t="shared" si="411"/>
        <v>0.15000526784201337</v>
      </c>
      <c r="EH128" s="173"/>
      <c r="EI128" s="528">
        <f t="shared" si="412"/>
        <v>2.8241840997084984E-3</v>
      </c>
      <c r="EJ128" s="528">
        <f t="shared" si="413"/>
        <v>0.29488502540820893</v>
      </c>
      <c r="EK128" s="528">
        <f t="shared" si="414"/>
        <v>4.0250000000000001E-2</v>
      </c>
      <c r="EL128" s="528">
        <f t="shared" si="415"/>
        <v>0.21969021375000006</v>
      </c>
      <c r="EM128">
        <f t="shared" si="416"/>
        <v>8.5500000000000003E-3</v>
      </c>
      <c r="EN128" s="460">
        <f t="shared" si="417"/>
        <v>48.800000000000004</v>
      </c>
      <c r="EP128" s="460">
        <f t="shared" si="439"/>
        <v>566.19942325791737</v>
      </c>
      <c r="EQ128" s="173">
        <f t="shared" si="418"/>
        <v>0.126</v>
      </c>
      <c r="ER128" s="173">
        <f t="shared" si="419"/>
        <v>1.9968749999999997E-2</v>
      </c>
      <c r="ES128" s="528"/>
      <c r="EU128" s="460">
        <f t="shared" si="420"/>
        <v>145.96875</v>
      </c>
      <c r="EV128" s="528">
        <f t="shared" si="421"/>
        <v>4.2362761495627474E-3</v>
      </c>
      <c r="EW128" s="528">
        <f t="shared" si="422"/>
        <v>1.1192295279008682E-2</v>
      </c>
      <c r="EX128" s="528">
        <f t="shared" si="423"/>
        <v>1.1250790190177086E-4</v>
      </c>
      <c r="EY128" s="528">
        <f t="shared" si="424"/>
        <v>0.19703676092622247</v>
      </c>
      <c r="EZ128" s="528"/>
      <c r="FA128" s="625">
        <f t="shared" si="425"/>
        <v>2.7000000000000001E-3</v>
      </c>
      <c r="FB128" s="460">
        <f t="shared" si="426"/>
        <v>215.27784025669567</v>
      </c>
      <c r="FC128" s="173">
        <f t="shared" si="427"/>
        <v>0.92744601351461309</v>
      </c>
      <c r="FD128" s="5">
        <f t="shared" si="428"/>
        <v>3.2399999999999998</v>
      </c>
      <c r="FE128" s="173">
        <f t="shared" si="429"/>
        <v>0.7774545823732335</v>
      </c>
      <c r="FF128" s="5">
        <f t="shared" si="430"/>
        <v>77.745458237323348</v>
      </c>
      <c r="FG128">
        <f t="shared" si="431"/>
        <v>18</v>
      </c>
      <c r="FI128" s="562">
        <f t="shared" si="432"/>
        <v>-50</v>
      </c>
      <c r="FJ128">
        <f t="shared" si="433"/>
        <v>-50</v>
      </c>
    </row>
    <row r="129" spans="5:166">
      <c r="E129" s="170">
        <v>19</v>
      </c>
      <c r="F129" s="217">
        <f t="shared" si="434"/>
        <v>0.19</v>
      </c>
      <c r="G129" s="217">
        <f t="shared" si="313"/>
        <v>4.7500000000000001E-2</v>
      </c>
      <c r="H129" s="217">
        <f t="shared" si="314"/>
        <v>3.04</v>
      </c>
      <c r="I129" s="217">
        <f t="shared" si="315"/>
        <v>0.38</v>
      </c>
      <c r="J129" s="541">
        <f t="shared" si="316"/>
        <v>18.958585149870636</v>
      </c>
      <c r="K129" s="443">
        <f t="shared" si="317"/>
        <v>16.718271758066948</v>
      </c>
      <c r="L129" s="172">
        <f t="shared" si="318"/>
        <v>35.676856907937584</v>
      </c>
      <c r="M129" s="443"/>
      <c r="N129" s="217">
        <f t="shared" si="319"/>
        <v>0.46860270794615244</v>
      </c>
      <c r="O129" s="172">
        <f t="shared" si="320"/>
        <v>19.742320755682428</v>
      </c>
      <c r="P129" s="172">
        <f t="shared" si="321"/>
        <v>2.7762638562678417</v>
      </c>
      <c r="Q129" s="217">
        <f t="shared" si="322"/>
        <v>1.2338950472301518</v>
      </c>
      <c r="R129" s="217">
        <f t="shared" si="323"/>
        <v>2.4677900944603035</v>
      </c>
      <c r="S129" s="217">
        <f t="shared" si="324"/>
        <v>16</v>
      </c>
      <c r="T129" s="217">
        <f t="shared" si="325"/>
        <v>0.76991961523191166</v>
      </c>
      <c r="U129" s="217">
        <f t="shared" si="326"/>
        <v>0.48732726148849681</v>
      </c>
      <c r="V129" s="217">
        <f t="shared" si="327"/>
        <v>0.55263100854458214</v>
      </c>
      <c r="W129" s="197">
        <f t="shared" si="328"/>
        <v>350</v>
      </c>
      <c r="X129" s="443">
        <f t="shared" si="435"/>
        <v>350</v>
      </c>
      <c r="Z129" s="217">
        <f t="shared" si="329"/>
        <v>2.1152486523945457</v>
      </c>
      <c r="AA129" s="173">
        <f t="shared" si="330"/>
        <v>1.5182779772967072</v>
      </c>
      <c r="AB129" s="173">
        <f t="shared" si="331"/>
        <v>0.49957218040133855</v>
      </c>
      <c r="AC129" s="173"/>
      <c r="AD129" s="173">
        <f t="shared" si="332"/>
        <v>0.71777754146206685</v>
      </c>
      <c r="AE129" s="545">
        <f t="shared" si="333"/>
        <v>529.41193900545341</v>
      </c>
      <c r="AF129" s="528">
        <f t="shared" si="334"/>
        <v>0.1256110697558617</v>
      </c>
      <c r="AH129" s="173">
        <f t="shared" si="335"/>
        <v>1.2761549390929883</v>
      </c>
      <c r="AI129" s="173">
        <f t="shared" si="336"/>
        <v>1.2761549390929883</v>
      </c>
      <c r="AJ129" s="173">
        <f t="shared" si="337"/>
        <v>1.4045592141429544</v>
      </c>
      <c r="AL129" s="545">
        <f t="shared" si="338"/>
        <v>190</v>
      </c>
      <c r="AM129" s="460">
        <f t="shared" si="339"/>
        <v>350</v>
      </c>
      <c r="AO129" s="460">
        <f t="shared" si="340"/>
        <v>190</v>
      </c>
      <c r="AP129" s="460">
        <f t="shared" si="341"/>
        <v>350</v>
      </c>
      <c r="AR129" s="5">
        <f t="shared" si="275"/>
        <v>2.8571428571428572</v>
      </c>
      <c r="AS129" s="5">
        <f t="shared" si="440"/>
        <v>0.80775327631557736</v>
      </c>
      <c r="AT129" s="5">
        <f t="shared" si="441"/>
        <v>2.0493895808272797</v>
      </c>
      <c r="AU129" s="173">
        <f t="shared" si="442"/>
        <v>0.28271364671045207</v>
      </c>
      <c r="AW129" s="5">
        <f t="shared" si="342"/>
        <v>0.95920701562474808</v>
      </c>
      <c r="AX129" s="5">
        <f t="shared" si="343"/>
        <v>0.47960350781237404</v>
      </c>
      <c r="AY129" s="5">
        <f t="shared" si="344"/>
        <v>0.27384886040038708</v>
      </c>
      <c r="AZ129" s="5"/>
      <c r="BA129" s="173">
        <f t="shared" si="345"/>
        <v>0.39175645814709897</v>
      </c>
      <c r="BB129" s="173">
        <f t="shared" si="346"/>
        <v>0.62400642653516247</v>
      </c>
      <c r="BC129" s="173">
        <f t="shared" si="347"/>
        <v>0.15324863710495901</v>
      </c>
      <c r="BD129" s="173"/>
      <c r="BE129" s="528">
        <f t="shared" si="348"/>
        <v>3.069462449999194E-3</v>
      </c>
      <c r="BF129" s="528">
        <f t="shared" si="349"/>
        <v>0.29081774682359168</v>
      </c>
      <c r="BG129" s="528">
        <f t="shared" si="350"/>
        <v>0.15261661045645863</v>
      </c>
      <c r="BH129" s="528">
        <f t="shared" si="351"/>
        <v>0.21940547073322705</v>
      </c>
      <c r="BI129">
        <f t="shared" si="352"/>
        <v>8.5313633174417865E-3</v>
      </c>
      <c r="BJ129" s="460">
        <f t="shared" si="436"/>
        <v>161.14797377390042</v>
      </c>
      <c r="BK129">
        <f t="shared" si="353"/>
        <v>0.51449665948315715</v>
      </c>
      <c r="BL129" s="460">
        <f t="shared" si="437"/>
        <v>674.44065378071832</v>
      </c>
      <c r="BM129" s="173">
        <f t="shared" si="354"/>
        <v>0.11803749999999998</v>
      </c>
      <c r="BN129" s="173">
        <f t="shared" si="355"/>
        <v>2.9509374999999994E-2</v>
      </c>
      <c r="BO129" s="528"/>
      <c r="BQ129" s="460">
        <f t="shared" si="356"/>
        <v>147.54687499999997</v>
      </c>
      <c r="BR129" s="528">
        <f t="shared" si="357"/>
        <v>4.6041936749987907E-3</v>
      </c>
      <c r="BS129" s="528">
        <f t="shared" si="358"/>
        <v>1.1681520610715493E-2</v>
      </c>
      <c r="BT129" s="528">
        <f t="shared" si="359"/>
        <v>1.1742572387263709E-4</v>
      </c>
      <c r="BU129" s="528">
        <f t="shared" si="360"/>
        <v>0.21081360229550203</v>
      </c>
      <c r="BV129" s="528"/>
      <c r="BW129" s="625">
        <f t="shared" si="361"/>
        <v>2.8500000000000001E-3</v>
      </c>
      <c r="BX129" s="460">
        <f t="shared" si="362"/>
        <v>230.06674230508895</v>
      </c>
      <c r="BY129" s="173">
        <f t="shared" si="363"/>
        <v>1.0520542710858072</v>
      </c>
      <c r="BZ129" s="5">
        <f t="shared" si="364"/>
        <v>3.42</v>
      </c>
      <c r="CA129" s="173">
        <f t="shared" si="365"/>
        <v>0.76474921650931349</v>
      </c>
      <c r="CB129" s="5">
        <f t="shared" si="366"/>
        <v>76.47492165093135</v>
      </c>
      <c r="CC129">
        <f t="shared" si="367"/>
        <v>19</v>
      </c>
      <c r="CE129" s="562">
        <f t="shared" si="368"/>
        <v>-50</v>
      </c>
      <c r="CF129">
        <f t="shared" si="369"/>
        <v>-50</v>
      </c>
      <c r="CG129" s="173">
        <f t="shared" si="370"/>
        <v>0.31195684504548338</v>
      </c>
      <c r="CH129" s="173">
        <f t="shared" si="371"/>
        <v>0.11027560257406718</v>
      </c>
      <c r="CI129" s="170">
        <v>19</v>
      </c>
      <c r="CJ129" s="217">
        <f t="shared" si="438"/>
        <v>0.19</v>
      </c>
      <c r="CK129" s="217">
        <f t="shared" si="372"/>
        <v>4.7500000000000001E-2</v>
      </c>
      <c r="CL129" s="217">
        <f t="shared" si="373"/>
        <v>3.04</v>
      </c>
      <c r="CM129" s="217">
        <f t="shared" si="374"/>
        <v>0.38</v>
      </c>
      <c r="CN129" s="541">
        <f t="shared" si="375"/>
        <v>19</v>
      </c>
      <c r="CO129" s="443">
        <f t="shared" si="376"/>
        <v>16.7</v>
      </c>
      <c r="CP129" s="443">
        <f t="shared" si="377"/>
        <v>35.700000000000003</v>
      </c>
      <c r="CQ129" s="443"/>
      <c r="CR129" s="217">
        <f t="shared" si="378"/>
        <v>0.4632768361581921</v>
      </c>
      <c r="CS129" s="172">
        <f t="shared" si="379"/>
        <v>19.560577526679221</v>
      </c>
      <c r="CT129" s="172">
        <f t="shared" si="380"/>
        <v>2.7507062146892656</v>
      </c>
      <c r="CU129" s="217">
        <f t="shared" si="381"/>
        <v>1.2225360954174513</v>
      </c>
      <c r="CV129" s="217">
        <f t="shared" si="382"/>
        <v>2.4450721908349027</v>
      </c>
      <c r="CW129" s="217">
        <f t="shared" si="383"/>
        <v>16</v>
      </c>
      <c r="CX129" s="217">
        <f t="shared" si="384"/>
        <v>0.77707317073170723</v>
      </c>
      <c r="CY129" s="217">
        <f t="shared" si="385"/>
        <v>0.49078305519897308</v>
      </c>
      <c r="CZ129" s="217">
        <f t="shared" si="386"/>
        <v>0.55837593106469996</v>
      </c>
      <c r="DA129" s="197">
        <f t="shared" si="387"/>
        <v>350</v>
      </c>
      <c r="DB129" s="443">
        <f t="shared" si="388"/>
        <v>350</v>
      </c>
      <c r="DD129" s="217">
        <f t="shared" si="389"/>
        <v>2.1161798052554355</v>
      </c>
      <c r="DE129" s="173">
        <f t="shared" si="390"/>
        <v>1.5206082432973189</v>
      </c>
      <c r="DF129" s="173">
        <f t="shared" si="391"/>
        <v>0.50055918207100247</v>
      </c>
      <c r="DG129" s="173"/>
      <c r="DH129" s="173">
        <f t="shared" si="392"/>
        <v>0.71856287425149712</v>
      </c>
      <c r="DI129" s="545">
        <f t="shared" si="393"/>
        <v>528.83333333333326</v>
      </c>
      <c r="DJ129" s="528">
        <f t="shared" si="394"/>
        <v>0.125748502994012</v>
      </c>
      <c r="DL129" s="173">
        <f t="shared" si="395"/>
        <v>1.2761549390929883</v>
      </c>
      <c r="DM129" s="173">
        <f t="shared" si="396"/>
        <v>1.2761549390929883</v>
      </c>
      <c r="DN129" s="173">
        <f t="shared" si="397"/>
        <v>1.4045592141429544</v>
      </c>
      <c r="DP129" s="545">
        <f t="shared" si="398"/>
        <v>190</v>
      </c>
      <c r="DQ129" s="460">
        <f t="shared" si="399"/>
        <v>350</v>
      </c>
      <c r="DS129" s="460">
        <f t="shared" si="400"/>
        <v>190</v>
      </c>
      <c r="DT129" s="460">
        <f t="shared" si="401"/>
        <v>350</v>
      </c>
      <c r="DV129" s="5">
        <f t="shared" si="402"/>
        <v>2.8571428571428572</v>
      </c>
      <c r="DW129" s="5">
        <f t="shared" si="403"/>
        <v>0.80599259311136107</v>
      </c>
      <c r="DX129" s="5">
        <f t="shared" si="404"/>
        <v>2.051150264031496</v>
      </c>
      <c r="DY129" s="173">
        <f t="shared" si="405"/>
        <v>0.28209740758897639</v>
      </c>
      <c r="EA129" s="5">
        <f t="shared" si="406"/>
        <v>0.9571162043197412</v>
      </c>
      <c r="EB129" s="5">
        <f t="shared" si="407"/>
        <v>0.4785581021598706</v>
      </c>
      <c r="EC129" s="5">
        <f t="shared" si="408"/>
        <v>0.2734867018708661</v>
      </c>
      <c r="ED129" s="5"/>
      <c r="EE129" s="173">
        <f t="shared" si="409"/>
        <v>0.39132926378071781</v>
      </c>
      <c r="EF129" s="173">
        <f t="shared" si="410"/>
        <v>0.62427441895850921</v>
      </c>
      <c r="EG129" s="173">
        <f t="shared" si="411"/>
        <v>0.15331445289128093</v>
      </c>
      <c r="EH129" s="173"/>
      <c r="EI129" s="528">
        <f t="shared" si="412"/>
        <v>3.0627718538231725E-3</v>
      </c>
      <c r="EJ129" s="528">
        <f t="shared" si="413"/>
        <v>0.30296556331537089</v>
      </c>
      <c r="EK129" s="528">
        <f t="shared" si="414"/>
        <v>4.0250000000000001E-2</v>
      </c>
      <c r="EL129" s="528">
        <f t="shared" si="415"/>
        <v>0.21969021375000006</v>
      </c>
      <c r="EM129">
        <f t="shared" si="416"/>
        <v>8.5500000000000003E-3</v>
      </c>
      <c r="EN129" s="460">
        <f t="shared" si="417"/>
        <v>48.800000000000004</v>
      </c>
      <c r="EP129" s="460">
        <f t="shared" si="439"/>
        <v>574.51854891919402</v>
      </c>
      <c r="EQ129" s="173">
        <f t="shared" si="418"/>
        <v>0.13299999999999998</v>
      </c>
      <c r="ER129" s="173">
        <f t="shared" si="419"/>
        <v>2.1078125E-2</v>
      </c>
      <c r="ES129" s="528"/>
      <c r="EU129" s="460">
        <f t="shared" si="420"/>
        <v>154.07812499999997</v>
      </c>
      <c r="EV129" s="528">
        <f t="shared" si="421"/>
        <v>4.5941577807347587E-3</v>
      </c>
      <c r="EW129" s="528">
        <f t="shared" si="422"/>
        <v>1.1691556504979527E-2</v>
      </c>
      <c r="EX129" s="528">
        <f t="shared" si="423"/>
        <v>1.1752660732676401E-4</v>
      </c>
      <c r="EY129" s="528">
        <f t="shared" si="424"/>
        <v>0.21081360229550203</v>
      </c>
      <c r="EZ129" s="528"/>
      <c r="FA129" s="625">
        <f t="shared" si="425"/>
        <v>2.8500000000000001E-3</v>
      </c>
      <c r="FB129" s="460">
        <f t="shared" si="426"/>
        <v>230.06684318854306</v>
      </c>
      <c r="FC129" s="173">
        <f t="shared" si="427"/>
        <v>0.95866351710773723</v>
      </c>
      <c r="FD129" s="5">
        <f t="shared" si="428"/>
        <v>3.42</v>
      </c>
      <c r="FE129" s="173">
        <f t="shared" si="429"/>
        <v>0.78106024512681238</v>
      </c>
      <c r="FF129" s="5">
        <f t="shared" si="430"/>
        <v>78.106024512681245</v>
      </c>
      <c r="FG129">
        <f t="shared" si="431"/>
        <v>19</v>
      </c>
      <c r="FI129" s="562">
        <f t="shared" si="432"/>
        <v>-50</v>
      </c>
      <c r="FJ129">
        <f t="shared" si="433"/>
        <v>-50</v>
      </c>
    </row>
    <row r="130" spans="5:166">
      <c r="E130" s="170">
        <v>20</v>
      </c>
      <c r="F130" s="217">
        <f t="shared" si="434"/>
        <v>0.2</v>
      </c>
      <c r="G130" s="217">
        <f t="shared" si="313"/>
        <v>0.05</v>
      </c>
      <c r="H130" s="217">
        <f t="shared" si="314"/>
        <v>3.2</v>
      </c>
      <c r="I130" s="217">
        <f t="shared" si="315"/>
        <v>0.4</v>
      </c>
      <c r="J130" s="541">
        <f t="shared" si="316"/>
        <v>18.957509260312424</v>
      </c>
      <c r="K130" s="443">
        <f t="shared" si="317"/>
        <v>16.718746428231228</v>
      </c>
      <c r="L130" s="172">
        <f t="shared" si="318"/>
        <v>35.676255688543648</v>
      </c>
      <c r="M130" s="443"/>
      <c r="N130" s="217">
        <f t="shared" si="319"/>
        <v>0.46862390981237273</v>
      </c>
      <c r="O130" s="172">
        <f t="shared" si="320"/>
        <v>19.742093577493044</v>
      </c>
      <c r="P130" s="172">
        <f t="shared" si="321"/>
        <v>2.7762319093349594</v>
      </c>
      <c r="Q130" s="217">
        <f t="shared" si="322"/>
        <v>1.2338808485933153</v>
      </c>
      <c r="R130" s="217">
        <f t="shared" si="323"/>
        <v>2.4677616971866305</v>
      </c>
      <c r="S130" s="217">
        <f t="shared" si="324"/>
        <v>16</v>
      </c>
      <c r="T130" s="217">
        <f t="shared" si="325"/>
        <v>0.81045102623972887</v>
      </c>
      <c r="U130" s="217">
        <f t="shared" si="326"/>
        <v>0.51301108079830482</v>
      </c>
      <c r="V130" s="217">
        <f t="shared" si="327"/>
        <v>0.58170702909007843</v>
      </c>
      <c r="W130" s="197">
        <f t="shared" si="328"/>
        <v>350</v>
      </c>
      <c r="X130" s="443">
        <f t="shared" si="435"/>
        <v>350</v>
      </c>
      <c r="Z130" s="217">
        <f t="shared" si="329"/>
        <v>2.1152243118742544</v>
      </c>
      <c r="AA130" s="173">
        <f t="shared" si="330"/>
        <v>1.518217400536078</v>
      </c>
      <c r="AB130" s="173">
        <f t="shared" si="331"/>
        <v>0.49954649987269134</v>
      </c>
      <c r="AC130" s="173"/>
      <c r="AD130" s="173">
        <f t="shared" si="332"/>
        <v>0.71775716268636225</v>
      </c>
      <c r="AE130" s="545">
        <f t="shared" si="333"/>
        <v>557.29154760770768</v>
      </c>
      <c r="AF130" s="528">
        <f t="shared" si="334"/>
        <v>0.12560750347011337</v>
      </c>
      <c r="AH130" s="173">
        <f t="shared" si="335"/>
        <v>1.3093073414159542</v>
      </c>
      <c r="AI130" s="173">
        <f t="shared" si="336"/>
        <v>1.3093073414159542</v>
      </c>
      <c r="AJ130" s="173">
        <f t="shared" si="337"/>
        <v>1.429116549197003</v>
      </c>
      <c r="AL130" s="545">
        <f t="shared" si="338"/>
        <v>200</v>
      </c>
      <c r="AM130" s="460">
        <f t="shared" si="339"/>
        <v>350</v>
      </c>
      <c r="AO130" s="460">
        <f t="shared" si="340"/>
        <v>200</v>
      </c>
      <c r="AP130" s="460">
        <f t="shared" si="341"/>
        <v>350</v>
      </c>
      <c r="AR130" s="5">
        <f t="shared" si="275"/>
        <v>2.8571428571428572</v>
      </c>
      <c r="AS130" s="5">
        <f t="shared" si="440"/>
        <v>0.82878440839714607</v>
      </c>
      <c r="AT130" s="5">
        <f t="shared" si="441"/>
        <v>2.0283584487457111</v>
      </c>
      <c r="AU130" s="173">
        <f t="shared" si="442"/>
        <v>0.29007454293900109</v>
      </c>
      <c r="AW130" s="5">
        <f t="shared" si="342"/>
        <v>1.0359805104964326</v>
      </c>
      <c r="AX130" s="5">
        <f t="shared" si="343"/>
        <v>0.51799025524821629</v>
      </c>
      <c r="AY130" s="5">
        <f t="shared" si="344"/>
        <v>0.28531996419200245</v>
      </c>
      <c r="AZ130" s="5"/>
      <c r="BA130" s="173">
        <f t="shared" si="345"/>
        <v>0.40713251120418914</v>
      </c>
      <c r="BB130" s="173">
        <f t="shared" si="346"/>
        <v>0.63692361374747453</v>
      </c>
      <c r="BC130" s="173">
        <f t="shared" si="347"/>
        <v>0.15642094631739448</v>
      </c>
      <c r="BD130" s="173"/>
      <c r="BE130" s="528">
        <f t="shared" si="348"/>
        <v>3.3151376335885841E-3</v>
      </c>
      <c r="BF130" s="528">
        <f t="shared" si="349"/>
        <v>0.29836768452476403</v>
      </c>
      <c r="BG130" s="528">
        <f t="shared" si="350"/>
        <v>0.15260794954551501</v>
      </c>
      <c r="BH130" s="528">
        <f t="shared" si="351"/>
        <v>0.21939807603962988</v>
      </c>
      <c r="BI130">
        <f t="shared" si="352"/>
        <v>8.5308791671405912E-3</v>
      </c>
      <c r="BJ130" s="460">
        <f t="shared" si="436"/>
        <v>161.13882871265562</v>
      </c>
      <c r="BK130">
        <f t="shared" si="353"/>
        <v>0.52238745778883322</v>
      </c>
      <c r="BL130" s="460">
        <f t="shared" si="437"/>
        <v>682.2197269106382</v>
      </c>
      <c r="BM130" s="173">
        <f t="shared" si="354"/>
        <v>0.12424999999999999</v>
      </c>
      <c r="BN130" s="173">
        <f t="shared" si="355"/>
        <v>3.1062499999999996E-2</v>
      </c>
      <c r="BO130" s="528"/>
      <c r="BQ130" s="460">
        <f t="shared" si="356"/>
        <v>155.3125</v>
      </c>
      <c r="BR130" s="528">
        <f t="shared" si="357"/>
        <v>4.9727064503828763E-3</v>
      </c>
      <c r="BS130" s="528">
        <f t="shared" si="358"/>
        <v>1.2170150692474263E-2</v>
      </c>
      <c r="BT130" s="528">
        <f t="shared" si="359"/>
        <v>1.2233756223414604E-4</v>
      </c>
      <c r="BU130" s="528">
        <f t="shared" si="360"/>
        <v>0.22477299000744716</v>
      </c>
      <c r="BV130" s="528"/>
      <c r="BW130" s="625">
        <f t="shared" si="361"/>
        <v>2.9999999999999996E-3</v>
      </c>
      <c r="BX130" s="460">
        <f t="shared" si="362"/>
        <v>245.03818471253842</v>
      </c>
      <c r="BY130" s="173">
        <f t="shared" si="363"/>
        <v>1.0825704116231765</v>
      </c>
      <c r="BZ130" s="5">
        <f t="shared" si="364"/>
        <v>3.6</v>
      </c>
      <c r="CA130" s="173">
        <f t="shared" si="365"/>
        <v>0.76880851402981643</v>
      </c>
      <c r="CB130" s="5">
        <f t="shared" si="366"/>
        <v>76.880851402981648</v>
      </c>
      <c r="CC130">
        <f t="shared" si="367"/>
        <v>20</v>
      </c>
      <c r="CE130" s="562">
        <f t="shared" si="368"/>
        <v>-50</v>
      </c>
      <c r="CF130">
        <f t="shared" si="369"/>
        <v>-50</v>
      </c>
      <c r="CG130" s="173">
        <f t="shared" si="370"/>
        <v>0.32006096980144882</v>
      </c>
      <c r="CH130" s="173">
        <f t="shared" si="371"/>
        <v>0.11314038100413883</v>
      </c>
      <c r="CI130" s="170">
        <v>20</v>
      </c>
      <c r="CJ130" s="217">
        <f t="shared" si="438"/>
        <v>0.2</v>
      </c>
      <c r="CK130" s="217">
        <f t="shared" si="372"/>
        <v>0.05</v>
      </c>
      <c r="CL130" s="217">
        <f t="shared" si="373"/>
        <v>3.2</v>
      </c>
      <c r="CM130" s="217">
        <f t="shared" si="374"/>
        <v>0.4</v>
      </c>
      <c r="CN130" s="541">
        <f t="shared" si="375"/>
        <v>19</v>
      </c>
      <c r="CO130" s="443">
        <f t="shared" si="376"/>
        <v>16.7</v>
      </c>
      <c r="CP130" s="443">
        <f t="shared" si="377"/>
        <v>35.700000000000003</v>
      </c>
      <c r="CQ130" s="443"/>
      <c r="CR130" s="217">
        <f t="shared" si="378"/>
        <v>0.4632768361581921</v>
      </c>
      <c r="CS130" s="172">
        <f t="shared" si="379"/>
        <v>19.560577526679221</v>
      </c>
      <c r="CT130" s="172">
        <f t="shared" si="380"/>
        <v>2.7507062146892656</v>
      </c>
      <c r="CU130" s="217">
        <f t="shared" si="381"/>
        <v>1.2225360954174513</v>
      </c>
      <c r="CV130" s="217">
        <f t="shared" si="382"/>
        <v>2.4450721908349027</v>
      </c>
      <c r="CW130" s="217">
        <f t="shared" si="383"/>
        <v>16</v>
      </c>
      <c r="CX130" s="217">
        <f t="shared" si="384"/>
        <v>0.81797175866495497</v>
      </c>
      <c r="CY130" s="217">
        <f t="shared" si="385"/>
        <v>0.51661374231470847</v>
      </c>
      <c r="CZ130" s="217">
        <f t="shared" si="386"/>
        <v>0.58776413796284199</v>
      </c>
      <c r="DA130" s="197">
        <f t="shared" si="387"/>
        <v>350</v>
      </c>
      <c r="DB130" s="443">
        <f t="shared" si="388"/>
        <v>350</v>
      </c>
      <c r="DD130" s="217">
        <f t="shared" si="389"/>
        <v>2.1161798052554355</v>
      </c>
      <c r="DE130" s="173">
        <f t="shared" si="390"/>
        <v>1.5206082432973189</v>
      </c>
      <c r="DF130" s="173">
        <f t="shared" si="391"/>
        <v>0.50055918207100247</v>
      </c>
      <c r="DG130" s="173"/>
      <c r="DH130" s="173">
        <f t="shared" si="392"/>
        <v>0.71856287425149712</v>
      </c>
      <c r="DI130" s="545">
        <f t="shared" si="393"/>
        <v>556.66666666666663</v>
      </c>
      <c r="DJ130" s="528">
        <f t="shared" si="394"/>
        <v>0.125748502994012</v>
      </c>
      <c r="DL130" s="173">
        <f t="shared" si="395"/>
        <v>1.3093073414159542</v>
      </c>
      <c r="DM130" s="173">
        <f t="shared" si="396"/>
        <v>1.3093073414159542</v>
      </c>
      <c r="DN130" s="173">
        <f t="shared" si="397"/>
        <v>1.429116549197003</v>
      </c>
      <c r="DP130" s="545">
        <f t="shared" si="398"/>
        <v>200</v>
      </c>
      <c r="DQ130" s="460">
        <f t="shared" si="399"/>
        <v>350</v>
      </c>
      <c r="DS130" s="460">
        <f t="shared" si="400"/>
        <v>200</v>
      </c>
      <c r="DT130" s="460">
        <f t="shared" si="401"/>
        <v>350</v>
      </c>
      <c r="DV130" s="5">
        <f t="shared" si="402"/>
        <v>2.8571428571428572</v>
      </c>
      <c r="DW130" s="5">
        <f t="shared" si="403"/>
        <v>0.82693095247323423</v>
      </c>
      <c r="DX130" s="5">
        <f t="shared" si="404"/>
        <v>2.0302119046696232</v>
      </c>
      <c r="DY130" s="173">
        <f t="shared" si="405"/>
        <v>0.28942583336563199</v>
      </c>
      <c r="EA130" s="5">
        <f t="shared" si="406"/>
        <v>1.0336636905915428</v>
      </c>
      <c r="EB130" s="5">
        <f t="shared" si="407"/>
        <v>0.51683184529577142</v>
      </c>
      <c r="EC130" s="5">
        <f t="shared" si="408"/>
        <v>0.28494202170801725</v>
      </c>
      <c r="ED130" s="5"/>
      <c r="EE130" s="173">
        <f t="shared" si="409"/>
        <v>0.40667701003947443</v>
      </c>
      <c r="EF130" s="173">
        <f t="shared" si="410"/>
        <v>0.63721454858934645</v>
      </c>
      <c r="EG130" s="173">
        <f t="shared" si="411"/>
        <v>0.15649239649179536</v>
      </c>
      <c r="EH130" s="173"/>
      <c r="EI130" s="528">
        <f t="shared" si="412"/>
        <v>3.307723809892936E-3</v>
      </c>
      <c r="EJ130" s="528">
        <f t="shared" si="413"/>
        <v>0.31083610938885464</v>
      </c>
      <c r="EK130" s="528">
        <f t="shared" si="414"/>
        <v>4.0250000000000001E-2</v>
      </c>
      <c r="EL130" s="528">
        <f t="shared" si="415"/>
        <v>0.21969021375000006</v>
      </c>
      <c r="EM130">
        <f t="shared" si="416"/>
        <v>8.5500000000000003E-3</v>
      </c>
      <c r="EN130" s="460">
        <f t="shared" si="417"/>
        <v>48.800000000000004</v>
      </c>
      <c r="EP130" s="460">
        <f t="shared" si="439"/>
        <v>582.6340469487476</v>
      </c>
      <c r="EQ130" s="173">
        <f t="shared" si="418"/>
        <v>0.13999999999999999</v>
      </c>
      <c r="ER130" s="173">
        <f t="shared" si="419"/>
        <v>2.2187499999999999E-2</v>
      </c>
      <c r="ES130" s="528"/>
      <c r="EU130" s="460">
        <f t="shared" si="420"/>
        <v>162.18749999999997</v>
      </c>
      <c r="EV130" s="528">
        <f t="shared" si="421"/>
        <v>4.9615857148394031E-3</v>
      </c>
      <c r="EW130" s="528">
        <f t="shared" si="422"/>
        <v>1.2181271428017736E-2</v>
      </c>
      <c r="EX130" s="528">
        <f t="shared" si="423"/>
        <v>1.2244935079872642E-4</v>
      </c>
      <c r="EY130" s="528">
        <f t="shared" si="424"/>
        <v>0.22477299000744716</v>
      </c>
      <c r="EZ130" s="528"/>
      <c r="FA130" s="625">
        <f t="shared" si="425"/>
        <v>2.9999999999999996E-3</v>
      </c>
      <c r="FB130" s="460">
        <f t="shared" si="426"/>
        <v>245.03829650110305</v>
      </c>
      <c r="FC130" s="173">
        <f t="shared" si="427"/>
        <v>0.98985984344985056</v>
      </c>
      <c r="FD130" s="5">
        <f t="shared" si="428"/>
        <v>3.6</v>
      </c>
      <c r="FE130" s="173">
        <f t="shared" si="429"/>
        <v>0.78433767539493149</v>
      </c>
      <c r="FF130" s="5">
        <f t="shared" si="430"/>
        <v>78.433767539493147</v>
      </c>
      <c r="FG130">
        <f t="shared" si="431"/>
        <v>20</v>
      </c>
      <c r="FI130" s="562">
        <f t="shared" si="432"/>
        <v>-50</v>
      </c>
      <c r="FJ130">
        <f t="shared" si="433"/>
        <v>-50</v>
      </c>
    </row>
    <row r="131" spans="5:166">
      <c r="E131" s="170">
        <v>21</v>
      </c>
      <c r="F131" s="217">
        <f t="shared" si="434"/>
        <v>0.21</v>
      </c>
      <c r="G131" s="217">
        <f t="shared" si="313"/>
        <v>5.2499999999999998E-2</v>
      </c>
      <c r="H131" s="217">
        <f t="shared" si="314"/>
        <v>3.36</v>
      </c>
      <c r="I131" s="217">
        <f t="shared" si="315"/>
        <v>0.42</v>
      </c>
      <c r="J131" s="541">
        <f t="shared" si="316"/>
        <v>18.956459948241221</v>
      </c>
      <c r="K131" s="443">
        <f t="shared" si="317"/>
        <v>16.719209372712299</v>
      </c>
      <c r="L131" s="172">
        <f t="shared" si="318"/>
        <v>35.675669320953517</v>
      </c>
      <c r="M131" s="443"/>
      <c r="N131" s="217">
        <f t="shared" si="319"/>
        <v>0.46864458862142627</v>
      </c>
      <c r="O131" s="172">
        <f t="shared" si="320"/>
        <v>19.741871942582335</v>
      </c>
      <c r="P131" s="172">
        <f t="shared" si="321"/>
        <v>2.7762007419256407</v>
      </c>
      <c r="Q131" s="217">
        <f t="shared" si="322"/>
        <v>1.233866996411396</v>
      </c>
      <c r="R131" s="217">
        <f t="shared" si="323"/>
        <v>2.4677339928227919</v>
      </c>
      <c r="S131" s="217">
        <f t="shared" si="324"/>
        <v>16</v>
      </c>
      <c r="T131" s="217">
        <f t="shared" si="325"/>
        <v>0.85098313112664614</v>
      </c>
      <c r="U131" s="217">
        <f t="shared" si="326"/>
        <v>0.53869749950159884</v>
      </c>
      <c r="V131" s="217">
        <f t="shared" si="327"/>
        <v>0.61078232504143393</v>
      </c>
      <c r="W131" s="197">
        <f t="shared" si="328"/>
        <v>350</v>
      </c>
      <c r="X131" s="443">
        <f t="shared" si="435"/>
        <v>350</v>
      </c>
      <c r="Z131" s="217">
        <f t="shared" si="329"/>
        <v>2.1152005652766785</v>
      </c>
      <c r="AA131" s="173">
        <f t="shared" si="330"/>
        <v>1.5181583182244964</v>
      </c>
      <c r="AB131" s="173">
        <f t="shared" si="331"/>
        <v>0.49952145178256929</v>
      </c>
      <c r="AC131" s="173"/>
      <c r="AD131" s="173">
        <f t="shared" si="332"/>
        <v>0.71773728843813633</v>
      </c>
      <c r="AE131" s="545">
        <f t="shared" si="333"/>
        <v>585.17232804493051</v>
      </c>
      <c r="AF131" s="528">
        <f t="shared" si="334"/>
        <v>0.12560402547667385</v>
      </c>
      <c r="AH131" s="173">
        <f t="shared" si="335"/>
        <v>1.3416407864998738</v>
      </c>
      <c r="AI131" s="173">
        <f t="shared" si="336"/>
        <v>1.3416407864998738</v>
      </c>
      <c r="AJ131" s="173">
        <f t="shared" si="337"/>
        <v>1.4530672492591656</v>
      </c>
      <c r="AL131" s="545">
        <f t="shared" si="338"/>
        <v>210</v>
      </c>
      <c r="AM131" s="460">
        <f t="shared" si="339"/>
        <v>350</v>
      </c>
      <c r="AO131" s="460">
        <f t="shared" si="340"/>
        <v>210</v>
      </c>
      <c r="AP131" s="460">
        <f t="shared" si="341"/>
        <v>350</v>
      </c>
      <c r="AR131" s="5">
        <f t="shared" si="275"/>
        <v>2.8571428571428572</v>
      </c>
      <c r="AS131" s="5">
        <f t="shared" si="440"/>
        <v>0.84929831212985596</v>
      </c>
      <c r="AT131" s="5">
        <f t="shared" si="441"/>
        <v>2.0078445450130014</v>
      </c>
      <c r="AU131" s="173">
        <f t="shared" si="442"/>
        <v>0.2972544092454496</v>
      </c>
      <c r="AW131" s="5">
        <f t="shared" si="342"/>
        <v>1.1147040346704358</v>
      </c>
      <c r="AX131" s="5">
        <f t="shared" si="343"/>
        <v>0.55735201733521789</v>
      </c>
      <c r="AY131" s="5">
        <f t="shared" si="344"/>
        <v>0.29657250042395217</v>
      </c>
      <c r="AZ131" s="5"/>
      <c r="BA131" s="173">
        <f t="shared" si="345"/>
        <v>0.42231818046026592</v>
      </c>
      <c r="BB131" s="173">
        <f t="shared" si="346"/>
        <v>0.64934378756767219</v>
      </c>
      <c r="BC131" s="173">
        <f t="shared" si="347"/>
        <v>0.15947119488794301</v>
      </c>
      <c r="BD131" s="173"/>
      <c r="BE131" s="528">
        <f t="shared" si="348"/>
        <v>3.5670529109453949E-3</v>
      </c>
      <c r="BF131" s="528">
        <f t="shared" si="349"/>
        <v>0.30573087233562696</v>
      </c>
      <c r="BG131" s="528">
        <f t="shared" si="350"/>
        <v>0.15259950258334185</v>
      </c>
      <c r="BH131" s="528">
        <f t="shared" si="351"/>
        <v>0.2193908641357219</v>
      </c>
      <c r="BI131">
        <f t="shared" si="352"/>
        <v>8.5304069767085499E-3</v>
      </c>
      <c r="BJ131" s="460">
        <f t="shared" si="436"/>
        <v>161.12990956005038</v>
      </c>
      <c r="BK131">
        <f t="shared" si="353"/>
        <v>0.53010117125307044</v>
      </c>
      <c r="BL131" s="460">
        <f t="shared" si="437"/>
        <v>689.81869894234455</v>
      </c>
      <c r="BM131" s="173">
        <f t="shared" si="354"/>
        <v>0.13046249999999998</v>
      </c>
      <c r="BN131" s="173">
        <f t="shared" si="355"/>
        <v>3.2615624999999995E-2</v>
      </c>
      <c r="BO131" s="528"/>
      <c r="BQ131" s="460">
        <f t="shared" si="356"/>
        <v>163.07812499999997</v>
      </c>
      <c r="BR131" s="528">
        <f t="shared" si="357"/>
        <v>5.3505793664180915E-3</v>
      </c>
      <c r="BS131" s="528">
        <f t="shared" si="358"/>
        <v>1.2649420633581905E-2</v>
      </c>
      <c r="BT131" s="528">
        <f t="shared" si="359"/>
        <v>1.271553099949415E-4</v>
      </c>
      <c r="BU131" s="528">
        <f t="shared" si="360"/>
        <v>0.23890802967584152</v>
      </c>
      <c r="BV131" s="528"/>
      <c r="BW131" s="625">
        <f t="shared" si="361"/>
        <v>3.1500000000000005E-3</v>
      </c>
      <c r="BX131" s="460">
        <f t="shared" si="362"/>
        <v>260.18518498583643</v>
      </c>
      <c r="BY131" s="173">
        <f t="shared" si="363"/>
        <v>1.1130820089281812</v>
      </c>
      <c r="BZ131" s="5">
        <f t="shared" si="364"/>
        <v>3.78</v>
      </c>
      <c r="CA131" s="173">
        <f t="shared" si="365"/>
        <v>0.77251924106377301</v>
      </c>
      <c r="CB131" s="5">
        <f t="shared" si="366"/>
        <v>77.251924106377302</v>
      </c>
      <c r="CC131">
        <f t="shared" si="367"/>
        <v>21</v>
      </c>
      <c r="CE131" s="562">
        <f t="shared" si="368"/>
        <v>-50</v>
      </c>
      <c r="CF131">
        <f t="shared" si="369"/>
        <v>-50</v>
      </c>
      <c r="CG131" s="173">
        <f t="shared" si="370"/>
        <v>0.32796489996607275</v>
      </c>
      <c r="CH131" s="173">
        <f t="shared" si="371"/>
        <v>0.11593439137913211</v>
      </c>
      <c r="CI131" s="170">
        <v>21</v>
      </c>
      <c r="CJ131" s="217">
        <f t="shared" si="438"/>
        <v>0.21</v>
      </c>
      <c r="CK131" s="217">
        <f t="shared" si="372"/>
        <v>5.2499999999999998E-2</v>
      </c>
      <c r="CL131" s="217">
        <f t="shared" si="373"/>
        <v>3.36</v>
      </c>
      <c r="CM131" s="217">
        <f t="shared" si="374"/>
        <v>0.42</v>
      </c>
      <c r="CN131" s="541">
        <f t="shared" si="375"/>
        <v>19</v>
      </c>
      <c r="CO131" s="443">
        <f t="shared" si="376"/>
        <v>16.7</v>
      </c>
      <c r="CP131" s="443">
        <f t="shared" si="377"/>
        <v>35.700000000000003</v>
      </c>
      <c r="CQ131" s="443"/>
      <c r="CR131" s="217">
        <f t="shared" si="378"/>
        <v>0.4632768361581921</v>
      </c>
      <c r="CS131" s="172">
        <f t="shared" si="379"/>
        <v>19.560577526679221</v>
      </c>
      <c r="CT131" s="172">
        <f t="shared" si="380"/>
        <v>2.7507062146892656</v>
      </c>
      <c r="CU131" s="217">
        <f t="shared" si="381"/>
        <v>1.2225360954174513</v>
      </c>
      <c r="CV131" s="217">
        <f t="shared" si="382"/>
        <v>2.4450721908349027</v>
      </c>
      <c r="CW131" s="217">
        <f t="shared" si="383"/>
        <v>16</v>
      </c>
      <c r="CX131" s="217">
        <f t="shared" si="384"/>
        <v>0.85887034659820272</v>
      </c>
      <c r="CY131" s="217">
        <f t="shared" si="385"/>
        <v>0.5424444294304438</v>
      </c>
      <c r="CZ131" s="217">
        <f t="shared" si="386"/>
        <v>0.61715234486098403</v>
      </c>
      <c r="DA131" s="197">
        <f t="shared" si="387"/>
        <v>350</v>
      </c>
      <c r="DB131" s="443">
        <f t="shared" si="388"/>
        <v>350</v>
      </c>
      <c r="DD131" s="217">
        <f t="shared" si="389"/>
        <v>2.1161798052554355</v>
      </c>
      <c r="DE131" s="173">
        <f t="shared" si="390"/>
        <v>1.5206082432973189</v>
      </c>
      <c r="DF131" s="173">
        <f t="shared" si="391"/>
        <v>0.50055918207100247</v>
      </c>
      <c r="DG131" s="173"/>
      <c r="DH131" s="173">
        <f t="shared" si="392"/>
        <v>0.71856287425149712</v>
      </c>
      <c r="DI131" s="545">
        <f t="shared" si="393"/>
        <v>584.49999999999989</v>
      </c>
      <c r="DJ131" s="528">
        <f t="shared" si="394"/>
        <v>0.125748502994012</v>
      </c>
      <c r="DL131" s="173">
        <f t="shared" si="395"/>
        <v>1.3416407864998738</v>
      </c>
      <c r="DM131" s="173">
        <f t="shared" si="396"/>
        <v>1.3416407864998738</v>
      </c>
      <c r="DN131" s="173">
        <f t="shared" si="397"/>
        <v>1.4530672492591656</v>
      </c>
      <c r="DP131" s="545">
        <f t="shared" si="398"/>
        <v>210</v>
      </c>
      <c r="DQ131" s="460">
        <f t="shared" si="399"/>
        <v>350</v>
      </c>
      <c r="DS131" s="460">
        <f t="shared" si="400"/>
        <v>210</v>
      </c>
      <c r="DT131" s="460">
        <f t="shared" si="401"/>
        <v>350</v>
      </c>
      <c r="DV131" s="5">
        <f t="shared" si="402"/>
        <v>2.8571428571428572</v>
      </c>
      <c r="DW131" s="5">
        <f t="shared" si="403"/>
        <v>0.84735207568413073</v>
      </c>
      <c r="DX131" s="5">
        <f t="shared" si="404"/>
        <v>2.0097907814587264</v>
      </c>
      <c r="DY131" s="173">
        <f t="shared" si="405"/>
        <v>0.29657322648944573</v>
      </c>
      <c r="EA131" s="5">
        <f t="shared" si="406"/>
        <v>1.1121495993354216</v>
      </c>
      <c r="EB131" s="5">
        <f t="shared" si="407"/>
        <v>0.55607479966771078</v>
      </c>
      <c r="EC131" s="5">
        <f t="shared" si="408"/>
        <v>0.29617969410970696</v>
      </c>
      <c r="ED131" s="5"/>
      <c r="EE131" s="173">
        <f t="shared" si="409"/>
        <v>0.42183401462384168</v>
      </c>
      <c r="EF131" s="173">
        <f t="shared" si="410"/>
        <v>0.64965842110014438</v>
      </c>
      <c r="EG131" s="173">
        <f t="shared" si="411"/>
        <v>0.15954846518194721</v>
      </c>
      <c r="EH131" s="173"/>
      <c r="EI131" s="528">
        <f t="shared" si="412"/>
        <v>3.5588787178733494E-3</v>
      </c>
      <c r="EJ131" s="528">
        <f t="shared" si="413"/>
        <v>0.31851223091900255</v>
      </c>
      <c r="EK131" s="528">
        <f t="shared" si="414"/>
        <v>4.0250000000000001E-2</v>
      </c>
      <c r="EL131" s="528">
        <f t="shared" si="415"/>
        <v>0.21969021375000006</v>
      </c>
      <c r="EM131">
        <f t="shared" si="416"/>
        <v>8.5500000000000003E-3</v>
      </c>
      <c r="EN131" s="460">
        <f t="shared" si="417"/>
        <v>48.800000000000004</v>
      </c>
      <c r="EP131" s="460">
        <f t="shared" si="439"/>
        <v>590.56132338687598</v>
      </c>
      <c r="EQ131" s="173">
        <f t="shared" si="418"/>
        <v>0.14699999999999999</v>
      </c>
      <c r="ER131" s="173">
        <f t="shared" si="419"/>
        <v>2.3296874999999998E-2</v>
      </c>
      <c r="ES131" s="528"/>
      <c r="EU131" s="460">
        <f t="shared" si="420"/>
        <v>170.296875</v>
      </c>
      <c r="EV131" s="528">
        <f t="shared" si="421"/>
        <v>5.3383180768100235E-3</v>
      </c>
      <c r="EW131" s="528">
        <f t="shared" si="422"/>
        <v>1.2661681923189975E-2</v>
      </c>
      <c r="EX131" s="528">
        <f t="shared" si="423"/>
        <v>1.272785637095751E-4</v>
      </c>
      <c r="EY131" s="528">
        <f t="shared" si="424"/>
        <v>0.23890802967584152</v>
      </c>
      <c r="EZ131" s="528"/>
      <c r="FA131" s="625">
        <f t="shared" si="425"/>
        <v>3.1500000000000005E-3</v>
      </c>
      <c r="FB131" s="460">
        <f t="shared" si="426"/>
        <v>260.18530823955103</v>
      </c>
      <c r="FC131" s="173">
        <f t="shared" si="427"/>
        <v>1.021043506626427</v>
      </c>
      <c r="FD131" s="5">
        <f t="shared" si="428"/>
        <v>3.78</v>
      </c>
      <c r="FE131" s="173">
        <f t="shared" si="429"/>
        <v>0.78732883690448185</v>
      </c>
      <c r="FF131" s="5">
        <f t="shared" si="430"/>
        <v>78.73288369044819</v>
      </c>
      <c r="FG131">
        <f t="shared" si="431"/>
        <v>21</v>
      </c>
      <c r="FI131" s="562">
        <f t="shared" si="432"/>
        <v>-50</v>
      </c>
      <c r="FJ131">
        <f t="shared" si="433"/>
        <v>-50</v>
      </c>
    </row>
    <row r="132" spans="5:166">
      <c r="E132" s="170">
        <v>22</v>
      </c>
      <c r="F132" s="217">
        <f t="shared" si="434"/>
        <v>0.22</v>
      </c>
      <c r="G132" s="217">
        <f t="shared" si="313"/>
        <v>5.5E-2</v>
      </c>
      <c r="H132" s="217">
        <f t="shared" si="314"/>
        <v>3.52</v>
      </c>
      <c r="I132" s="217">
        <f t="shared" si="315"/>
        <v>0.44</v>
      </c>
      <c r="J132" s="541">
        <f t="shared" si="316"/>
        <v>18.955435336250375</v>
      </c>
      <c r="K132" s="443">
        <f t="shared" si="317"/>
        <v>16.719661419800499</v>
      </c>
      <c r="L132" s="172">
        <f t="shared" si="318"/>
        <v>35.675096756050877</v>
      </c>
      <c r="M132" s="443"/>
      <c r="N132" s="217">
        <f t="shared" si="319"/>
        <v>0.46866478132157174</v>
      </c>
      <c r="O132" s="172">
        <f t="shared" si="320"/>
        <v>19.741655459375504</v>
      </c>
      <c r="P132" s="172">
        <f t="shared" si="321"/>
        <v>2.7761702989746802</v>
      </c>
      <c r="Q132" s="217">
        <f t="shared" si="322"/>
        <v>1.233853466210969</v>
      </c>
      <c r="R132" s="217">
        <f t="shared" si="323"/>
        <v>2.4677069324219381</v>
      </c>
      <c r="S132" s="217">
        <f t="shared" si="324"/>
        <v>16</v>
      </c>
      <c r="T132" s="217">
        <f t="shared" si="325"/>
        <v>0.89151591345606174</v>
      </c>
      <c r="U132" s="217">
        <f t="shared" si="326"/>
        <v>0.56438645547820898</v>
      </c>
      <c r="V132" s="217">
        <f t="shared" si="327"/>
        <v>0.63985691413602752</v>
      </c>
      <c r="W132" s="197">
        <f t="shared" si="328"/>
        <v>350</v>
      </c>
      <c r="X132" s="443">
        <f t="shared" si="435"/>
        <v>350</v>
      </c>
      <c r="Z132" s="217">
        <f t="shared" si="329"/>
        <v>2.1151773706473755</v>
      </c>
      <c r="AA132" s="173">
        <f t="shared" si="330"/>
        <v>1.5181006247955091</v>
      </c>
      <c r="AB132" s="173">
        <f t="shared" si="331"/>
        <v>0.49949699145626036</v>
      </c>
      <c r="AC132" s="173"/>
      <c r="AD132" s="173">
        <f t="shared" si="332"/>
        <v>0.71771788307799278</v>
      </c>
      <c r="AE132" s="545">
        <f t="shared" si="333"/>
        <v>613.05425205935148</v>
      </c>
      <c r="AF132" s="528">
        <f t="shared" si="334"/>
        <v>0.12560062953864873</v>
      </c>
      <c r="AH132" s="173">
        <f t="shared" si="335"/>
        <v>1.3732131246511903</v>
      </c>
      <c r="AI132" s="173">
        <f t="shared" si="336"/>
        <v>1.3732131246511903</v>
      </c>
      <c r="AJ132" s="173">
        <f t="shared" si="337"/>
        <v>1.4764541664082891</v>
      </c>
      <c r="AL132" s="545">
        <f t="shared" si="338"/>
        <v>220</v>
      </c>
      <c r="AM132" s="460">
        <f t="shared" si="339"/>
        <v>350</v>
      </c>
      <c r="AO132" s="460">
        <f t="shared" si="340"/>
        <v>220</v>
      </c>
      <c r="AP132" s="460">
        <f t="shared" si="341"/>
        <v>350</v>
      </c>
      <c r="AR132" s="5">
        <f t="shared" si="275"/>
        <v>2.8571428571428572</v>
      </c>
      <c r="AS132" s="5">
        <f t="shared" si="440"/>
        <v>0.86933152436233896</v>
      </c>
      <c r="AT132" s="5">
        <f t="shared" si="441"/>
        <v>1.9878113327805182</v>
      </c>
      <c r="AU132" s="173">
        <f t="shared" si="442"/>
        <v>0.30426603352681864</v>
      </c>
      <c r="AW132" s="5">
        <f t="shared" si="342"/>
        <v>1.1953308459982159</v>
      </c>
      <c r="AX132" s="5">
        <f t="shared" si="343"/>
        <v>0.59766542299910796</v>
      </c>
      <c r="AY132" s="5">
        <f t="shared" si="344"/>
        <v>0.30761167651326976</v>
      </c>
      <c r="AZ132" s="5"/>
      <c r="BA132" s="173">
        <f t="shared" si="345"/>
        <v>0.43732474816743971</v>
      </c>
      <c r="BB132" s="173">
        <f t="shared" si="346"/>
        <v>0.66130060729725171</v>
      </c>
      <c r="BC132" s="173">
        <f t="shared" si="347"/>
        <v>0.16240764914506034</v>
      </c>
      <c r="BD132" s="173"/>
      <c r="BE132" s="528">
        <f t="shared" si="348"/>
        <v>3.8250587071942915E-3</v>
      </c>
      <c r="BF132" s="528">
        <f t="shared" si="349"/>
        <v>0.31292050207849742</v>
      </c>
      <c r="BG132" s="528">
        <f t="shared" si="350"/>
        <v>0.15259125445681554</v>
      </c>
      <c r="BH132" s="528">
        <f t="shared" si="351"/>
        <v>0.21938382210942534</v>
      </c>
      <c r="BI132">
        <f t="shared" si="352"/>
        <v>8.5299459013126692E-3</v>
      </c>
      <c r="BJ132" s="460">
        <f t="shared" si="436"/>
        <v>161.12120035812822</v>
      </c>
      <c r="BK132">
        <f t="shared" si="353"/>
        <v>0.53765078403120181</v>
      </c>
      <c r="BL132" s="460">
        <f t="shared" si="437"/>
        <v>697.25058325324517</v>
      </c>
      <c r="BM132" s="173">
        <f t="shared" si="354"/>
        <v>0.13667499999999999</v>
      </c>
      <c r="BN132" s="173">
        <f t="shared" si="355"/>
        <v>3.4168749999999998E-2</v>
      </c>
      <c r="BO132" s="528"/>
      <c r="BQ132" s="460">
        <f t="shared" si="356"/>
        <v>170.84375</v>
      </c>
      <c r="BR132" s="528">
        <f t="shared" si="357"/>
        <v>5.7375880607914371E-3</v>
      </c>
      <c r="BS132" s="528">
        <f t="shared" si="358"/>
        <v>1.3119554796351416E-2</v>
      </c>
      <c r="BT132" s="528">
        <f t="shared" si="359"/>
        <v>1.3188122250412508E-4</v>
      </c>
      <c r="BU132" s="528">
        <f t="shared" si="360"/>
        <v>0.2532124056033746</v>
      </c>
      <c r="BV132" s="528"/>
      <c r="BW132" s="625">
        <f t="shared" si="361"/>
        <v>3.2999999999999995E-3</v>
      </c>
      <c r="BX132" s="460">
        <f t="shared" si="362"/>
        <v>275.50142968302163</v>
      </c>
      <c r="BY132" s="173">
        <f t="shared" si="363"/>
        <v>1.1435957629362667</v>
      </c>
      <c r="BZ132" s="5">
        <f t="shared" si="364"/>
        <v>3.96</v>
      </c>
      <c r="CA132" s="173">
        <f t="shared" si="365"/>
        <v>0.77592352214856486</v>
      </c>
      <c r="CB132" s="5">
        <f t="shared" si="366"/>
        <v>77.59235221485649</v>
      </c>
      <c r="CC132">
        <f t="shared" si="367"/>
        <v>22</v>
      </c>
      <c r="CE132" s="562">
        <f t="shared" si="368"/>
        <v>-50</v>
      </c>
      <c r="CF132">
        <f t="shared" si="369"/>
        <v>-50</v>
      </c>
      <c r="CG132" s="173">
        <f t="shared" si="370"/>
        <v>0.33568277708167915</v>
      </c>
      <c r="CH132" s="173">
        <f t="shared" si="371"/>
        <v>0.11866263268248295</v>
      </c>
      <c r="CI132" s="170">
        <v>22</v>
      </c>
      <c r="CJ132" s="217">
        <f t="shared" si="438"/>
        <v>0.22</v>
      </c>
      <c r="CK132" s="217">
        <f t="shared" si="372"/>
        <v>5.5E-2</v>
      </c>
      <c r="CL132" s="217">
        <f t="shared" si="373"/>
        <v>3.52</v>
      </c>
      <c r="CM132" s="217">
        <f t="shared" si="374"/>
        <v>0.44</v>
      </c>
      <c r="CN132" s="541">
        <f t="shared" si="375"/>
        <v>19</v>
      </c>
      <c r="CO132" s="443">
        <f t="shared" si="376"/>
        <v>16.7</v>
      </c>
      <c r="CP132" s="443">
        <f t="shared" si="377"/>
        <v>35.700000000000003</v>
      </c>
      <c r="CQ132" s="443"/>
      <c r="CR132" s="217">
        <f t="shared" si="378"/>
        <v>0.4632768361581921</v>
      </c>
      <c r="CS132" s="172">
        <f t="shared" si="379"/>
        <v>19.560577526679221</v>
      </c>
      <c r="CT132" s="172">
        <f t="shared" si="380"/>
        <v>2.7507062146892656</v>
      </c>
      <c r="CU132" s="217">
        <f t="shared" si="381"/>
        <v>1.2225360954174513</v>
      </c>
      <c r="CV132" s="217">
        <f t="shared" si="382"/>
        <v>2.4450721908349027</v>
      </c>
      <c r="CW132" s="217">
        <f t="shared" si="383"/>
        <v>16</v>
      </c>
      <c r="CX132" s="217">
        <f t="shared" si="384"/>
        <v>0.89976893453145046</v>
      </c>
      <c r="CY132" s="217">
        <f t="shared" si="385"/>
        <v>0.56827511654617935</v>
      </c>
      <c r="CZ132" s="217">
        <f t="shared" si="386"/>
        <v>0.64654055175912617</v>
      </c>
      <c r="DA132" s="197">
        <f t="shared" si="387"/>
        <v>350</v>
      </c>
      <c r="DB132" s="443">
        <f t="shared" si="388"/>
        <v>350</v>
      </c>
      <c r="DD132" s="217">
        <f t="shared" si="389"/>
        <v>2.1161798052554355</v>
      </c>
      <c r="DE132" s="173">
        <f t="shared" si="390"/>
        <v>1.5206082432973189</v>
      </c>
      <c r="DF132" s="173">
        <f t="shared" si="391"/>
        <v>0.50055918207100247</v>
      </c>
      <c r="DG132" s="173"/>
      <c r="DH132" s="173">
        <f t="shared" si="392"/>
        <v>0.71856287425149712</v>
      </c>
      <c r="DI132" s="545">
        <f t="shared" si="393"/>
        <v>612.33333333333326</v>
      </c>
      <c r="DJ132" s="528">
        <f t="shared" si="394"/>
        <v>0.125748502994012</v>
      </c>
      <c r="DL132" s="173">
        <f t="shared" si="395"/>
        <v>1.3732131246511903</v>
      </c>
      <c r="DM132" s="173">
        <f t="shared" si="396"/>
        <v>1.3732131246511903</v>
      </c>
      <c r="DN132" s="173">
        <f t="shared" si="397"/>
        <v>1.4764541664082891</v>
      </c>
      <c r="DP132" s="545">
        <f t="shared" si="398"/>
        <v>220</v>
      </c>
      <c r="DQ132" s="460">
        <f t="shared" si="399"/>
        <v>350</v>
      </c>
      <c r="DS132" s="460">
        <f t="shared" si="400"/>
        <v>220</v>
      </c>
      <c r="DT132" s="460">
        <f t="shared" si="401"/>
        <v>350</v>
      </c>
      <c r="DV132" s="5">
        <f t="shared" si="402"/>
        <v>2.8571428571428572</v>
      </c>
      <c r="DW132" s="5">
        <f t="shared" si="403"/>
        <v>0.86729249977969913</v>
      </c>
      <c r="DX132" s="5">
        <f t="shared" si="404"/>
        <v>1.9898503573631581</v>
      </c>
      <c r="DY132" s="173">
        <f t="shared" si="405"/>
        <v>0.30355237492289466</v>
      </c>
      <c r="EA132" s="5">
        <f t="shared" si="406"/>
        <v>1.1925271871970862</v>
      </c>
      <c r="EB132" s="5">
        <f t="shared" si="407"/>
        <v>0.59626359359854308</v>
      </c>
      <c r="EC132" s="5">
        <f t="shared" si="408"/>
        <v>0.30720496745255771</v>
      </c>
      <c r="ED132" s="5"/>
      <c r="EE132" s="173">
        <f t="shared" si="409"/>
        <v>0.43681157259341669</v>
      </c>
      <c r="EF132" s="173">
        <f t="shared" si="410"/>
        <v>0.66163968942309881</v>
      </c>
      <c r="EG132" s="173">
        <f t="shared" si="411"/>
        <v>0.16249092372596691</v>
      </c>
      <c r="EH132" s="173"/>
      <c r="EI132" s="528">
        <f t="shared" si="412"/>
        <v>3.8160869990306744E-3</v>
      </c>
      <c r="EJ132" s="528">
        <f t="shared" si="413"/>
        <v>0.32600766185781582</v>
      </c>
      <c r="EK132" s="528">
        <f t="shared" si="414"/>
        <v>4.0250000000000001E-2</v>
      </c>
      <c r="EL132" s="528">
        <f t="shared" si="415"/>
        <v>0.21969021375000006</v>
      </c>
      <c r="EM132">
        <f t="shared" si="416"/>
        <v>8.5500000000000003E-3</v>
      </c>
      <c r="EN132" s="460">
        <f t="shared" si="417"/>
        <v>48.800000000000004</v>
      </c>
      <c r="EP132" s="460">
        <f t="shared" si="439"/>
        <v>598.31396260684653</v>
      </c>
      <c r="EQ132" s="173">
        <f t="shared" si="418"/>
        <v>0.154</v>
      </c>
      <c r="ER132" s="173">
        <f t="shared" si="419"/>
        <v>2.4406249999999997E-2</v>
      </c>
      <c r="ES132" s="528"/>
      <c r="EU132" s="460">
        <f t="shared" si="420"/>
        <v>178.40625</v>
      </c>
      <c r="EV132" s="528">
        <f t="shared" si="421"/>
        <v>5.7241304985460118E-3</v>
      </c>
      <c r="EW132" s="528">
        <f t="shared" si="422"/>
        <v>1.3133012358596839E-2</v>
      </c>
      <c r="EX132" s="528">
        <f t="shared" si="423"/>
        <v>1.3201650146658998E-4</v>
      </c>
      <c r="EY132" s="528">
        <f t="shared" si="424"/>
        <v>0.2532124056033746</v>
      </c>
      <c r="EZ132" s="528"/>
      <c r="FA132" s="625">
        <f t="shared" si="425"/>
        <v>3.2999999999999995E-3</v>
      </c>
      <c r="FB132" s="460">
        <f t="shared" si="426"/>
        <v>275.50156496198406</v>
      </c>
      <c r="FC132" s="173">
        <f t="shared" si="427"/>
        <v>1.0522217775688307</v>
      </c>
      <c r="FD132" s="5">
        <f t="shared" si="428"/>
        <v>3.96</v>
      </c>
      <c r="FE132" s="173">
        <f t="shared" si="429"/>
        <v>0.79006879099447802</v>
      </c>
      <c r="FF132" s="5">
        <f t="shared" si="430"/>
        <v>79.006879099447801</v>
      </c>
      <c r="FG132">
        <f t="shared" si="431"/>
        <v>22</v>
      </c>
      <c r="FI132" s="562">
        <f t="shared" si="432"/>
        <v>-50</v>
      </c>
      <c r="FJ132">
        <f t="shared" si="433"/>
        <v>-50</v>
      </c>
    </row>
    <row r="133" spans="5:166">
      <c r="E133" s="170">
        <v>23</v>
      </c>
      <c r="F133" s="217">
        <f t="shared" si="434"/>
        <v>0.23</v>
      </c>
      <c r="G133" s="217">
        <f t="shared" si="313"/>
        <v>5.7500000000000002E-2</v>
      </c>
      <c r="H133" s="217">
        <f t="shared" si="314"/>
        <v>3.68</v>
      </c>
      <c r="I133" s="217">
        <f t="shared" si="315"/>
        <v>0.46</v>
      </c>
      <c r="J133" s="541">
        <f t="shared" si="316"/>
        <v>18.954433758075993</v>
      </c>
      <c r="K133" s="443">
        <f t="shared" si="317"/>
        <v>16.720103304632392</v>
      </c>
      <c r="L133" s="172">
        <f t="shared" si="318"/>
        <v>35.674537062708382</v>
      </c>
      <c r="M133" s="443"/>
      <c r="N133" s="217">
        <f t="shared" si="319"/>
        <v>0.46868452070567712</v>
      </c>
      <c r="O133" s="172">
        <f t="shared" si="320"/>
        <v>19.741443780336343</v>
      </c>
      <c r="P133" s="172">
        <f t="shared" si="321"/>
        <v>2.7761405316097982</v>
      </c>
      <c r="Q133" s="217">
        <f t="shared" si="322"/>
        <v>1.2338402362710215</v>
      </c>
      <c r="R133" s="217">
        <f t="shared" si="323"/>
        <v>2.4676804725420429</v>
      </c>
      <c r="S133" s="217">
        <f t="shared" si="324"/>
        <v>16</v>
      </c>
      <c r="T133" s="217">
        <f t="shared" si="325"/>
        <v>0.93204935792626786</v>
      </c>
      <c r="U133" s="217">
        <f t="shared" si="326"/>
        <v>0.59007789089714957</v>
      </c>
      <c r="V133" s="217">
        <f t="shared" si="327"/>
        <v>0.66893081288657263</v>
      </c>
      <c r="W133" s="197">
        <f t="shared" si="328"/>
        <v>350</v>
      </c>
      <c r="X133" s="443">
        <f t="shared" si="435"/>
        <v>350</v>
      </c>
      <c r="Z133" s="217">
        <f t="shared" si="329"/>
        <v>2.1151546907503218</v>
      </c>
      <c r="AA133" s="173">
        <f t="shared" si="330"/>
        <v>1.5180442265552083</v>
      </c>
      <c r="AB133" s="173">
        <f t="shared" si="331"/>
        <v>0.49947307924339668</v>
      </c>
      <c r="AC133" s="173"/>
      <c r="AD133" s="173">
        <f t="shared" si="332"/>
        <v>0.71769891497472615</v>
      </c>
      <c r="AE133" s="545">
        <f t="shared" si="333"/>
        <v>640.93729334424165</v>
      </c>
      <c r="AF133" s="528">
        <f t="shared" si="334"/>
        <v>0.12559731012057709</v>
      </c>
      <c r="AH133" s="173">
        <f t="shared" si="335"/>
        <v>1.4040757000349275</v>
      </c>
      <c r="AI133" s="173">
        <f t="shared" si="336"/>
        <v>1.4040757000349275</v>
      </c>
      <c r="AJ133" s="173">
        <f t="shared" si="337"/>
        <v>1.4993153333592055</v>
      </c>
      <c r="AL133" s="545">
        <f t="shared" si="338"/>
        <v>230</v>
      </c>
      <c r="AM133" s="460">
        <f t="shared" si="339"/>
        <v>350</v>
      </c>
      <c r="AO133" s="460">
        <f t="shared" si="340"/>
        <v>230</v>
      </c>
      <c r="AP133" s="460">
        <f t="shared" si="341"/>
        <v>350</v>
      </c>
      <c r="AR133" s="5">
        <f t="shared" si="275"/>
        <v>2.8571428571428572</v>
      </c>
      <c r="AS133" s="5">
        <f t="shared" si="440"/>
        <v>0.88891647281419039</v>
      </c>
      <c r="AT133" s="5">
        <f t="shared" si="441"/>
        <v>1.9682263843286667</v>
      </c>
      <c r="AU133" s="173">
        <f t="shared" si="442"/>
        <v>0.31112076548496664</v>
      </c>
      <c r="AW133" s="5">
        <f t="shared" si="342"/>
        <v>1.2778174296703988</v>
      </c>
      <c r="AX133" s="5">
        <f t="shared" si="343"/>
        <v>0.6389087148351994</v>
      </c>
      <c r="AY133" s="5">
        <f t="shared" si="344"/>
        <v>0.31844234031538082</v>
      </c>
      <c r="AZ133" s="5"/>
      <c r="BA133" s="173">
        <f t="shared" si="345"/>
        <v>0.45216234777706099</v>
      </c>
      <c r="BB133" s="173">
        <f t="shared" si="346"/>
        <v>0.6728239505216751</v>
      </c>
      <c r="BC133" s="173">
        <f t="shared" si="347"/>
        <v>0.16523764667223489</v>
      </c>
      <c r="BD133" s="173"/>
      <c r="BE133" s="528">
        <f t="shared" si="348"/>
        <v>4.0890157749452769E-3</v>
      </c>
      <c r="BF133" s="528">
        <f t="shared" si="349"/>
        <v>0.31994828195586633</v>
      </c>
      <c r="BG133" s="528">
        <f t="shared" si="350"/>
        <v>0.15258319175251173</v>
      </c>
      <c r="BH133" s="528">
        <f t="shared" si="351"/>
        <v>0.21937693850082071</v>
      </c>
      <c r="BI133">
        <f t="shared" si="352"/>
        <v>8.5294951911341968E-3</v>
      </c>
      <c r="BJ133" s="460">
        <f t="shared" si="436"/>
        <v>161.11268694364591</v>
      </c>
      <c r="BK133">
        <f t="shared" si="353"/>
        <v>0.545047811773132</v>
      </c>
      <c r="BL133" s="460">
        <f t="shared" si="437"/>
        <v>704.52692317527828</v>
      </c>
      <c r="BM133" s="173">
        <f t="shared" si="354"/>
        <v>0.1428875</v>
      </c>
      <c r="BN133" s="173">
        <f t="shared" si="355"/>
        <v>3.5721875E-2</v>
      </c>
      <c r="BO133" s="528"/>
      <c r="BQ133" s="460">
        <f t="shared" si="356"/>
        <v>178.60937500000003</v>
      </c>
      <c r="BR133" s="528">
        <f t="shared" si="357"/>
        <v>6.1335236624179158E-3</v>
      </c>
      <c r="BS133" s="528">
        <f t="shared" si="358"/>
        <v>1.3580762051867805E-2</v>
      </c>
      <c r="BT133" s="528">
        <f t="shared" si="359"/>
        <v>1.365173993888917E-4</v>
      </c>
      <c r="BU133" s="528">
        <f t="shared" si="360"/>
        <v>0.26768030791751679</v>
      </c>
      <c r="BV133" s="528"/>
      <c r="BW133" s="625">
        <f t="shared" si="361"/>
        <v>3.4500000000000004E-3</v>
      </c>
      <c r="BX133" s="460">
        <f t="shared" si="362"/>
        <v>290.9811110311914</v>
      </c>
      <c r="BY133" s="173">
        <f t="shared" si="363"/>
        <v>1.1741174092064697</v>
      </c>
      <c r="BZ133" s="5">
        <f t="shared" si="364"/>
        <v>4.1400000000000006</v>
      </c>
      <c r="CA133" s="173">
        <f t="shared" si="365"/>
        <v>0.77905693103950546</v>
      </c>
      <c r="CB133" s="5">
        <f t="shared" si="366"/>
        <v>77.90569310395054</v>
      </c>
      <c r="CC133">
        <f t="shared" si="367"/>
        <v>23</v>
      </c>
      <c r="CE133" s="562">
        <f t="shared" si="368"/>
        <v>-50</v>
      </c>
      <c r="CF133">
        <f t="shared" si="369"/>
        <v>-50</v>
      </c>
      <c r="CG133" s="173">
        <f t="shared" si="370"/>
        <v>0.34322715226039519</v>
      </c>
      <c r="CH133" s="173">
        <f t="shared" si="371"/>
        <v>0.12132954168637561</v>
      </c>
      <c r="CI133" s="170">
        <v>23</v>
      </c>
      <c r="CJ133" s="217">
        <f t="shared" si="438"/>
        <v>0.23</v>
      </c>
      <c r="CK133" s="217">
        <f t="shared" si="372"/>
        <v>5.7500000000000002E-2</v>
      </c>
      <c r="CL133" s="217">
        <f t="shared" si="373"/>
        <v>3.68</v>
      </c>
      <c r="CM133" s="217">
        <f t="shared" si="374"/>
        <v>0.46</v>
      </c>
      <c r="CN133" s="541">
        <f t="shared" si="375"/>
        <v>19</v>
      </c>
      <c r="CO133" s="443">
        <f t="shared" si="376"/>
        <v>16.7</v>
      </c>
      <c r="CP133" s="443">
        <f t="shared" si="377"/>
        <v>35.700000000000003</v>
      </c>
      <c r="CQ133" s="443"/>
      <c r="CR133" s="217">
        <f t="shared" si="378"/>
        <v>0.4632768361581921</v>
      </c>
      <c r="CS133" s="172">
        <f t="shared" si="379"/>
        <v>19.560577526679221</v>
      </c>
      <c r="CT133" s="172">
        <f t="shared" si="380"/>
        <v>2.7507062146892656</v>
      </c>
      <c r="CU133" s="217">
        <f t="shared" si="381"/>
        <v>1.2225360954174513</v>
      </c>
      <c r="CV133" s="217">
        <f t="shared" si="382"/>
        <v>2.4450721908349027</v>
      </c>
      <c r="CW133" s="217">
        <f t="shared" si="383"/>
        <v>16</v>
      </c>
      <c r="CX133" s="217">
        <f t="shared" si="384"/>
        <v>0.94066752246469842</v>
      </c>
      <c r="CY133" s="217">
        <f t="shared" si="385"/>
        <v>0.59410580366191479</v>
      </c>
      <c r="CZ133" s="217">
        <f t="shared" si="386"/>
        <v>0.67592875865726831</v>
      </c>
      <c r="DA133" s="197">
        <f t="shared" si="387"/>
        <v>350</v>
      </c>
      <c r="DB133" s="443">
        <f t="shared" si="388"/>
        <v>350</v>
      </c>
      <c r="DD133" s="217">
        <f t="shared" si="389"/>
        <v>2.1161798052554355</v>
      </c>
      <c r="DE133" s="173">
        <f t="shared" si="390"/>
        <v>1.5206082432973189</v>
      </c>
      <c r="DF133" s="173">
        <f t="shared" si="391"/>
        <v>0.50055918207100247</v>
      </c>
      <c r="DG133" s="173"/>
      <c r="DH133" s="173">
        <f t="shared" si="392"/>
        <v>0.71856287425149712</v>
      </c>
      <c r="DI133" s="545">
        <f t="shared" si="393"/>
        <v>640.16666666666663</v>
      </c>
      <c r="DJ133" s="528">
        <f t="shared" si="394"/>
        <v>0.125748502994012</v>
      </c>
      <c r="DL133" s="173">
        <f t="shared" si="395"/>
        <v>1.4040757000349275</v>
      </c>
      <c r="DM133" s="173">
        <f t="shared" si="396"/>
        <v>1.4040757000349275</v>
      </c>
      <c r="DN133" s="173">
        <f t="shared" si="397"/>
        <v>1.4993153333592055</v>
      </c>
      <c r="DP133" s="545">
        <f t="shared" si="398"/>
        <v>230</v>
      </c>
      <c r="DQ133" s="460">
        <f t="shared" si="399"/>
        <v>350</v>
      </c>
      <c r="DS133" s="460">
        <f t="shared" si="400"/>
        <v>230</v>
      </c>
      <c r="DT133" s="460">
        <f t="shared" si="401"/>
        <v>350</v>
      </c>
      <c r="DV133" s="5">
        <f t="shared" si="402"/>
        <v>2.8571428571428572</v>
      </c>
      <c r="DW133" s="5">
        <f t="shared" si="403"/>
        <v>0.88678465265363848</v>
      </c>
      <c r="DX133" s="5">
        <f t="shared" si="404"/>
        <v>1.9703582044892187</v>
      </c>
      <c r="DY133" s="173">
        <f t="shared" si="405"/>
        <v>0.31037462842877345</v>
      </c>
      <c r="EA133" s="5">
        <f t="shared" si="406"/>
        <v>1.2747529381896052</v>
      </c>
      <c r="EB133" s="5">
        <f t="shared" si="407"/>
        <v>0.63737646909480261</v>
      </c>
      <c r="EC133" s="5">
        <f t="shared" si="408"/>
        <v>0.31802272774211948</v>
      </c>
      <c r="ED133" s="5"/>
      <c r="EE133" s="173">
        <f t="shared" si="409"/>
        <v>0.45161982918195354</v>
      </c>
      <c r="EF133" s="173">
        <f t="shared" si="410"/>
        <v>0.67318822555992497</v>
      </c>
      <c r="EG133" s="173">
        <f t="shared" si="411"/>
        <v>0.16532710833604039</v>
      </c>
      <c r="EH133" s="173"/>
      <c r="EI133" s="528">
        <f t="shared" si="412"/>
        <v>4.0792094022067378E-3</v>
      </c>
      <c r="EJ133" s="528">
        <f t="shared" si="413"/>
        <v>0.33333459156679202</v>
      </c>
      <c r="EK133" s="528">
        <f t="shared" si="414"/>
        <v>4.0250000000000001E-2</v>
      </c>
      <c r="EL133" s="528">
        <f t="shared" si="415"/>
        <v>0.21969021375000006</v>
      </c>
      <c r="EM133">
        <f t="shared" si="416"/>
        <v>8.5500000000000003E-3</v>
      </c>
      <c r="EN133" s="460">
        <f t="shared" si="417"/>
        <v>48.800000000000004</v>
      </c>
      <c r="EP133" s="460">
        <f t="shared" si="439"/>
        <v>605.90401471899884</v>
      </c>
      <c r="EQ133" s="173">
        <f t="shared" si="418"/>
        <v>0.161</v>
      </c>
      <c r="ER133" s="173">
        <f t="shared" si="419"/>
        <v>2.5515625E-2</v>
      </c>
      <c r="ES133" s="528"/>
      <c r="EU133" s="460">
        <f t="shared" si="420"/>
        <v>186.51562500000003</v>
      </c>
      <c r="EV133" s="528">
        <f t="shared" si="421"/>
        <v>6.1188141033101063E-3</v>
      </c>
      <c r="EW133" s="528">
        <f t="shared" si="422"/>
        <v>1.3595471610975612E-2</v>
      </c>
      <c r="EX133" s="528">
        <f t="shared" si="423"/>
        <v>1.3666526375378417E-4</v>
      </c>
      <c r="EY133" s="528">
        <f t="shared" si="424"/>
        <v>0.26768030791751679</v>
      </c>
      <c r="EZ133" s="528"/>
      <c r="FA133" s="625">
        <f t="shared" si="425"/>
        <v>3.4500000000000004E-3</v>
      </c>
      <c r="FB133" s="460">
        <f t="shared" si="426"/>
        <v>290.98125889555632</v>
      </c>
      <c r="FC133" s="173">
        <f t="shared" si="427"/>
        <v>1.0834008986145551</v>
      </c>
      <c r="FD133" s="5">
        <f t="shared" si="428"/>
        <v>4.1400000000000006</v>
      </c>
      <c r="FE133" s="173">
        <f t="shared" si="429"/>
        <v>0.7925870673832609</v>
      </c>
      <c r="FF133" s="5">
        <f t="shared" si="430"/>
        <v>79.258706738326083</v>
      </c>
      <c r="FG133">
        <f t="shared" si="431"/>
        <v>23</v>
      </c>
      <c r="FI133" s="562">
        <f t="shared" si="432"/>
        <v>-50</v>
      </c>
      <c r="FJ133">
        <f t="shared" si="433"/>
        <v>-50</v>
      </c>
    </row>
    <row r="134" spans="5:166">
      <c r="E134" s="170">
        <v>24</v>
      </c>
      <c r="F134" s="217">
        <f t="shared" si="434"/>
        <v>0.24</v>
      </c>
      <c r="G134" s="217">
        <f t="shared" si="313"/>
        <v>0.06</v>
      </c>
      <c r="H134" s="217">
        <f t="shared" si="314"/>
        <v>3.84</v>
      </c>
      <c r="I134" s="217">
        <f t="shared" si="315"/>
        <v>0.48</v>
      </c>
      <c r="J134" s="541">
        <f t="shared" si="316"/>
        <v>18.953453726776068</v>
      </c>
      <c r="K134" s="443">
        <f t="shared" si="317"/>
        <v>16.720535683229791</v>
      </c>
      <c r="L134" s="172">
        <f t="shared" si="318"/>
        <v>35.673989410005859</v>
      </c>
      <c r="M134" s="443"/>
      <c r="N134" s="217">
        <f t="shared" si="319"/>
        <v>0.46870383603746896</v>
      </c>
      <c r="O134" s="172">
        <f t="shared" si="320"/>
        <v>19.741236595330236</v>
      </c>
      <c r="P134" s="172">
        <f t="shared" si="321"/>
        <v>2.7761113962183144</v>
      </c>
      <c r="Q134" s="217">
        <f t="shared" si="322"/>
        <v>1.2338272872081397</v>
      </c>
      <c r="R134" s="217">
        <f t="shared" si="323"/>
        <v>2.4676545744162794</v>
      </c>
      <c r="S134" s="217">
        <f t="shared" si="324"/>
        <v>16</v>
      </c>
      <c r="T134" s="217">
        <f t="shared" si="325"/>
        <v>0.97258345024555037</v>
      </c>
      <c r="U134" s="217">
        <f t="shared" si="326"/>
        <v>0.61577175174457299</v>
      </c>
      <c r="V134" s="217">
        <f t="shared" si="327"/>
        <v>0.69800403671589784</v>
      </c>
      <c r="W134" s="197">
        <f t="shared" si="328"/>
        <v>350</v>
      </c>
      <c r="X134" s="443">
        <f t="shared" si="435"/>
        <v>350</v>
      </c>
      <c r="Z134" s="217">
        <f t="shared" si="329"/>
        <v>2.1151324923568104</v>
      </c>
      <c r="AA134" s="173">
        <f t="shared" si="330"/>
        <v>1.5179890398929454</v>
      </c>
      <c r="AB134" s="173">
        <f t="shared" si="331"/>
        <v>0.49944967976074689</v>
      </c>
      <c r="AC134" s="173"/>
      <c r="AD134" s="173">
        <f t="shared" si="332"/>
        <v>0.71768035590125556</v>
      </c>
      <c r="AE134" s="545">
        <f t="shared" si="333"/>
        <v>668.82142732919158</v>
      </c>
      <c r="AF134" s="528">
        <f t="shared" si="334"/>
        <v>0.12559406228271974</v>
      </c>
      <c r="AH134" s="173">
        <f t="shared" si="335"/>
        <v>1.4342743312012725</v>
      </c>
      <c r="AI134" s="173">
        <f t="shared" si="336"/>
        <v>1.4342743312012725</v>
      </c>
      <c r="AJ134" s="173">
        <f t="shared" si="337"/>
        <v>1.5216846897787204</v>
      </c>
      <c r="AL134" s="545">
        <f t="shared" si="338"/>
        <v>240</v>
      </c>
      <c r="AM134" s="460">
        <f t="shared" si="339"/>
        <v>350</v>
      </c>
      <c r="AO134" s="460">
        <f t="shared" si="340"/>
        <v>240</v>
      </c>
      <c r="AP134" s="460">
        <f t="shared" si="341"/>
        <v>350</v>
      </c>
      <c r="AR134" s="5">
        <f t="shared" ref="AR134:AR197" si="443">1/AM134*1000</f>
        <v>2.8571428571428572</v>
      </c>
      <c r="AS134" s="5">
        <f t="shared" si="440"/>
        <v>0.90808209535449469</v>
      </c>
      <c r="AT134" s="5">
        <f t="shared" si="441"/>
        <v>1.9490607617883624</v>
      </c>
      <c r="AU134" s="173">
        <f t="shared" si="442"/>
        <v>0.31782873337407314</v>
      </c>
      <c r="AW134" s="5">
        <f t="shared" si="342"/>
        <v>1.362123143031742</v>
      </c>
      <c r="AX134" s="5">
        <f t="shared" si="343"/>
        <v>0.68106157151587099</v>
      </c>
      <c r="AY134" s="5">
        <f t="shared" si="344"/>
        <v>0.32906901969595043</v>
      </c>
      <c r="AZ134" s="5"/>
      <c r="BA134" s="173">
        <f t="shared" si="345"/>
        <v>0.46684012561591015</v>
      </c>
      <c r="BB134" s="173">
        <f t="shared" si="346"/>
        <v>0.68394048193480039</v>
      </c>
      <c r="BC134" s="173">
        <f t="shared" si="347"/>
        <v>0.16796773600457596</v>
      </c>
      <c r="BD134" s="173"/>
      <c r="BE134" s="528">
        <f t="shared" si="348"/>
        <v>4.3587940577015753E-3</v>
      </c>
      <c r="BF134" s="528">
        <f t="shared" si="349"/>
        <v>0.3268246601435526</v>
      </c>
      <c r="BG134" s="528">
        <f t="shared" si="350"/>
        <v>0.15257530250054735</v>
      </c>
      <c r="BH134" s="528">
        <f t="shared" si="351"/>
        <v>0.21937020308329563</v>
      </c>
      <c r="BI134">
        <f t="shared" si="352"/>
        <v>8.5290541770492306E-3</v>
      </c>
      <c r="BJ134" s="460">
        <f t="shared" si="436"/>
        <v>161.1043566775966</v>
      </c>
      <c r="BK134">
        <f t="shared" si="353"/>
        <v>0.55230252349482245</v>
      </c>
      <c r="BL134" s="460">
        <f t="shared" si="437"/>
        <v>711.65801396214636</v>
      </c>
      <c r="BM134" s="173">
        <f t="shared" si="354"/>
        <v>0.14909999999999998</v>
      </c>
      <c r="BN134" s="173">
        <f t="shared" si="355"/>
        <v>3.7274999999999996E-2</v>
      </c>
      <c r="BO134" s="528"/>
      <c r="BQ134" s="460">
        <f t="shared" si="356"/>
        <v>186.37499999999997</v>
      </c>
      <c r="BR134" s="528">
        <f t="shared" si="357"/>
        <v>6.538191086552363E-3</v>
      </c>
      <c r="BS134" s="528">
        <f t="shared" si="358"/>
        <v>1.4033237484876211E-2</v>
      </c>
      <c r="BT134" s="528">
        <f t="shared" si="359"/>
        <v>1.410658016925146E-4</v>
      </c>
      <c r="BU134" s="528">
        <f t="shared" si="360"/>
        <v>0.28230637167362993</v>
      </c>
      <c r="BV134" s="528"/>
      <c r="BW134" s="625">
        <f t="shared" si="361"/>
        <v>3.6000000000000003E-3</v>
      </c>
      <c r="BX134" s="460">
        <f t="shared" si="362"/>
        <v>306.61886604675101</v>
      </c>
      <c r="BY134" s="173">
        <f t="shared" si="363"/>
        <v>1.2046518800088974</v>
      </c>
      <c r="BZ134" s="5">
        <f t="shared" si="364"/>
        <v>4.32</v>
      </c>
      <c r="CA134" s="173">
        <f t="shared" si="365"/>
        <v>0.78194972168871613</v>
      </c>
      <c r="CB134" s="5">
        <f t="shared" si="366"/>
        <v>78.194972168871615</v>
      </c>
      <c r="CC134">
        <f t="shared" si="367"/>
        <v>24</v>
      </c>
      <c r="CE134" s="562">
        <f t="shared" si="368"/>
        <v>-50</v>
      </c>
      <c r="CF134">
        <f t="shared" si="369"/>
        <v>-50</v>
      </c>
      <c r="CG134" s="173">
        <f t="shared" si="370"/>
        <v>0.35060922587446658</v>
      </c>
      <c r="CH134" s="173">
        <f t="shared" si="371"/>
        <v>0.12393907768139167</v>
      </c>
      <c r="CI134" s="170">
        <v>24</v>
      </c>
      <c r="CJ134" s="217">
        <f t="shared" si="438"/>
        <v>0.24</v>
      </c>
      <c r="CK134" s="217">
        <f t="shared" si="372"/>
        <v>0.06</v>
      </c>
      <c r="CL134" s="217">
        <f t="shared" si="373"/>
        <v>3.84</v>
      </c>
      <c r="CM134" s="217">
        <f t="shared" si="374"/>
        <v>0.48</v>
      </c>
      <c r="CN134" s="541">
        <f t="shared" si="375"/>
        <v>19</v>
      </c>
      <c r="CO134" s="443">
        <f t="shared" si="376"/>
        <v>16.7</v>
      </c>
      <c r="CP134" s="443">
        <f t="shared" si="377"/>
        <v>35.700000000000003</v>
      </c>
      <c r="CQ134" s="443"/>
      <c r="CR134" s="217">
        <f t="shared" si="378"/>
        <v>0.4632768361581921</v>
      </c>
      <c r="CS134" s="172">
        <f t="shared" si="379"/>
        <v>19.560577526679221</v>
      </c>
      <c r="CT134" s="172">
        <f t="shared" si="380"/>
        <v>2.7507062146892656</v>
      </c>
      <c r="CU134" s="217">
        <f t="shared" si="381"/>
        <v>1.2225360954174513</v>
      </c>
      <c r="CV134" s="217">
        <f t="shared" si="382"/>
        <v>2.4450721908349027</v>
      </c>
      <c r="CW134" s="217">
        <f t="shared" si="383"/>
        <v>16</v>
      </c>
      <c r="CX134" s="217">
        <f t="shared" si="384"/>
        <v>0.98156611039794606</v>
      </c>
      <c r="CY134" s="217">
        <f t="shared" si="385"/>
        <v>0.61993649077765012</v>
      </c>
      <c r="CZ134" s="217">
        <f t="shared" si="386"/>
        <v>0.70531696555541035</v>
      </c>
      <c r="DA134" s="197">
        <f t="shared" si="387"/>
        <v>350</v>
      </c>
      <c r="DB134" s="443">
        <f t="shared" si="388"/>
        <v>350</v>
      </c>
      <c r="DD134" s="217">
        <f t="shared" si="389"/>
        <v>2.1161798052554355</v>
      </c>
      <c r="DE134" s="173">
        <f t="shared" si="390"/>
        <v>1.5206082432973189</v>
      </c>
      <c r="DF134" s="173">
        <f t="shared" si="391"/>
        <v>0.50055918207100247</v>
      </c>
      <c r="DG134" s="173"/>
      <c r="DH134" s="173">
        <f t="shared" si="392"/>
        <v>0.71856287425149712</v>
      </c>
      <c r="DI134" s="545">
        <f t="shared" si="393"/>
        <v>667.99999999999989</v>
      </c>
      <c r="DJ134" s="528">
        <f t="shared" si="394"/>
        <v>0.125748502994012</v>
      </c>
      <c r="DL134" s="173">
        <f t="shared" si="395"/>
        <v>1.4342743312012725</v>
      </c>
      <c r="DM134" s="173">
        <f t="shared" si="396"/>
        <v>1.4342743312012725</v>
      </c>
      <c r="DN134" s="173">
        <f t="shared" si="397"/>
        <v>1.5216846897787204</v>
      </c>
      <c r="DP134" s="545">
        <f t="shared" si="398"/>
        <v>240</v>
      </c>
      <c r="DQ134" s="460">
        <f t="shared" si="399"/>
        <v>350</v>
      </c>
      <c r="DS134" s="460">
        <f t="shared" si="400"/>
        <v>240</v>
      </c>
      <c r="DT134" s="460">
        <f t="shared" si="401"/>
        <v>350</v>
      </c>
      <c r="DV134" s="5">
        <f t="shared" si="402"/>
        <v>2.8571428571428572</v>
      </c>
      <c r="DW134" s="5">
        <f t="shared" si="403"/>
        <v>0.90585747233764569</v>
      </c>
      <c r="DX134" s="5">
        <f t="shared" si="404"/>
        <v>1.9512853848052116</v>
      </c>
      <c r="DY134" s="173">
        <f t="shared" si="405"/>
        <v>0.31705011531817601</v>
      </c>
      <c r="EA134" s="5">
        <f t="shared" si="406"/>
        <v>1.3587862085064684</v>
      </c>
      <c r="EB134" s="5">
        <f t="shared" si="407"/>
        <v>0.67939310425323418</v>
      </c>
      <c r="EC134" s="5">
        <f t="shared" si="408"/>
        <v>0.3286375384935093</v>
      </c>
      <c r="ED134" s="5"/>
      <c r="EE134" s="173">
        <f t="shared" si="409"/>
        <v>0.46626794159692669</v>
      </c>
      <c r="EF134" s="173">
        <f t="shared" si="410"/>
        <v>0.68433068932589225</v>
      </c>
      <c r="EG134" s="173">
        <f t="shared" si="411"/>
        <v>0.16806356634915293</v>
      </c>
      <c r="EH134" s="173"/>
      <c r="EI134" s="528">
        <f t="shared" si="412"/>
        <v>4.3481158672207011E-3</v>
      </c>
      <c r="EJ134" s="528">
        <f t="shared" si="413"/>
        <v>0.34050389759883809</v>
      </c>
      <c r="EK134" s="528">
        <f t="shared" si="414"/>
        <v>4.0250000000000001E-2</v>
      </c>
      <c r="EL134" s="528">
        <f t="shared" si="415"/>
        <v>0.21969021375000006</v>
      </c>
      <c r="EM134">
        <f t="shared" si="416"/>
        <v>8.5500000000000003E-3</v>
      </c>
      <c r="EN134" s="460">
        <f t="shared" si="417"/>
        <v>48.800000000000004</v>
      </c>
      <c r="EP134" s="460">
        <f t="shared" si="439"/>
        <v>613.34222721605875</v>
      </c>
      <c r="EQ134" s="173">
        <f t="shared" si="418"/>
        <v>0.16799999999999998</v>
      </c>
      <c r="ER134" s="173">
        <f t="shared" si="419"/>
        <v>2.6624999999999999E-2</v>
      </c>
      <c r="ES134" s="528"/>
      <c r="EU134" s="460">
        <f t="shared" si="420"/>
        <v>194.625</v>
      </c>
      <c r="EV134" s="528">
        <f t="shared" si="421"/>
        <v>6.5221738008310508E-3</v>
      </c>
      <c r="EW134" s="528">
        <f t="shared" si="422"/>
        <v>1.4049254770597524E-2</v>
      </c>
      <c r="EX134" s="528">
        <f t="shared" si="423"/>
        <v>1.4122681166998065E-4</v>
      </c>
      <c r="EY134" s="528">
        <f t="shared" si="424"/>
        <v>0.28230637167362993</v>
      </c>
      <c r="EZ134" s="528"/>
      <c r="FA134" s="625">
        <f t="shared" si="425"/>
        <v>3.6000000000000003E-3</v>
      </c>
      <c r="FB134" s="460">
        <f t="shared" si="426"/>
        <v>306.6190270567285</v>
      </c>
      <c r="FC134" s="173">
        <f t="shared" si="427"/>
        <v>1.1145862542727873</v>
      </c>
      <c r="FD134" s="5">
        <f t="shared" si="428"/>
        <v>4.32</v>
      </c>
      <c r="FE134" s="173">
        <f t="shared" si="429"/>
        <v>0.79490871942708141</v>
      </c>
      <c r="FF134" s="5">
        <f t="shared" si="430"/>
        <v>79.490871942708139</v>
      </c>
      <c r="FG134">
        <f t="shared" si="431"/>
        <v>24</v>
      </c>
      <c r="FI134" s="562">
        <f t="shared" si="432"/>
        <v>-50</v>
      </c>
      <c r="FJ134">
        <f t="shared" si="433"/>
        <v>-50</v>
      </c>
    </row>
    <row r="135" spans="5:166">
      <c r="E135" s="170">
        <v>25</v>
      </c>
      <c r="F135" s="217">
        <f t="shared" si="434"/>
        <v>0.25</v>
      </c>
      <c r="G135" s="217">
        <f t="shared" si="313"/>
        <v>6.25E-2</v>
      </c>
      <c r="H135" s="217">
        <f t="shared" si="314"/>
        <v>4</v>
      </c>
      <c r="I135" s="217">
        <f t="shared" si="315"/>
        <v>0.5</v>
      </c>
      <c r="J135" s="541">
        <f t="shared" si="316"/>
        <v>18.952493908822166</v>
      </c>
      <c r="K135" s="443">
        <f t="shared" si="317"/>
        <v>16.720959143930173</v>
      </c>
      <c r="L135" s="172">
        <f t="shared" si="318"/>
        <v>35.673453052752336</v>
      </c>
      <c r="M135" s="443"/>
      <c r="N135" s="217">
        <f t="shared" si="319"/>
        <v>0.46872275356142151</v>
      </c>
      <c r="O135" s="172">
        <f t="shared" si="320"/>
        <v>19.741033626220435</v>
      </c>
      <c r="P135" s="172">
        <f t="shared" si="321"/>
        <v>2.7760828536872486</v>
      </c>
      <c r="Q135" s="217">
        <f t="shared" si="322"/>
        <v>1.2338146016387772</v>
      </c>
      <c r="R135" s="217">
        <f t="shared" si="323"/>
        <v>2.4676292032775544</v>
      </c>
      <c r="S135" s="217">
        <f t="shared" si="324"/>
        <v>16</v>
      </c>
      <c r="T135" s="217">
        <f t="shared" si="325"/>
        <v>1.0131181770257258</v>
      </c>
      <c r="U135" s="217">
        <f t="shared" si="326"/>
        <v>0.6414679874214112</v>
      </c>
      <c r="V135" s="217">
        <f t="shared" si="327"/>
        <v>0.72707660007182895</v>
      </c>
      <c r="W135" s="197">
        <f t="shared" si="328"/>
        <v>350</v>
      </c>
      <c r="X135" s="443">
        <f t="shared" si="435"/>
        <v>350</v>
      </c>
      <c r="Z135" s="217">
        <f t="shared" si="329"/>
        <v>2.1151107456664744</v>
      </c>
      <c r="AA135" s="173">
        <f t="shared" si="330"/>
        <v>1.5179349898245098</v>
      </c>
      <c r="AB135" s="173">
        <f t="shared" si="331"/>
        <v>0.49942676127570351</v>
      </c>
      <c r="AC135" s="173"/>
      <c r="AD135" s="173">
        <f t="shared" si="332"/>
        <v>0.71766218054280018</v>
      </c>
      <c r="AE135" s="545">
        <f t="shared" si="333"/>
        <v>696.70663099709043</v>
      </c>
      <c r="AF135" s="528">
        <f t="shared" si="334"/>
        <v>0.12559088159499004</v>
      </c>
      <c r="AH135" s="173">
        <f t="shared" si="335"/>
        <v>1.4638501094227998</v>
      </c>
      <c r="AI135" s="173">
        <f t="shared" si="336"/>
        <v>1.4638501094227998</v>
      </c>
      <c r="AJ135" s="173">
        <f t="shared" si="337"/>
        <v>1.5435926736465184</v>
      </c>
      <c r="AL135" s="545">
        <f t="shared" si="338"/>
        <v>250</v>
      </c>
      <c r="AM135" s="460">
        <f t="shared" si="339"/>
        <v>350</v>
      </c>
      <c r="AO135" s="460">
        <f t="shared" si="340"/>
        <v>250</v>
      </c>
      <c r="AP135" s="460">
        <f t="shared" si="341"/>
        <v>350</v>
      </c>
      <c r="AR135" s="5">
        <f t="shared" si="443"/>
        <v>2.8571428571428572</v>
      </c>
      <c r="AS135" s="5">
        <f t="shared" si="440"/>
        <v>0.92685434421359891</v>
      </c>
      <c r="AT135" s="5">
        <f t="shared" si="441"/>
        <v>1.9302885129292582</v>
      </c>
      <c r="AU135" s="173">
        <f t="shared" si="442"/>
        <v>0.3243990204747596</v>
      </c>
      <c r="AW135" s="5">
        <f t="shared" si="342"/>
        <v>1.4482099128337482</v>
      </c>
      <c r="AX135" s="5">
        <f t="shared" si="343"/>
        <v>0.72410495641687411</v>
      </c>
      <c r="AY135" s="5">
        <f t="shared" si="344"/>
        <v>0.33949595626053397</v>
      </c>
      <c r="AZ135" s="5"/>
      <c r="BA135" s="173">
        <f t="shared" si="345"/>
        <v>0.48136637403686572</v>
      </c>
      <c r="BB135" s="173">
        <f t="shared" si="346"/>
        <v>0.69467411657000344</v>
      </c>
      <c r="BC135" s="173">
        <f t="shared" si="347"/>
        <v>0.17060379039292731</v>
      </c>
      <c r="BD135" s="173"/>
      <c r="BE135" s="528">
        <f t="shared" si="348"/>
        <v>4.6342717210679941E-3</v>
      </c>
      <c r="BF135" s="528">
        <f t="shared" si="349"/>
        <v>0.33355900683853351</v>
      </c>
      <c r="BG135" s="528">
        <f t="shared" si="350"/>
        <v>0.15256757596601844</v>
      </c>
      <c r="BH135" s="528">
        <f t="shared" si="351"/>
        <v>0.2193636066853562</v>
      </c>
      <c r="BI135">
        <f t="shared" si="352"/>
        <v>8.5286222589699753E-3</v>
      </c>
      <c r="BJ135" s="460">
        <f t="shared" si="436"/>
        <v>161.0961982249884</v>
      </c>
      <c r="BK135">
        <f t="shared" si="353"/>
        <v>0.55942412216697746</v>
      </c>
      <c r="BL135" s="460">
        <f t="shared" si="437"/>
        <v>718.65308346994618</v>
      </c>
      <c r="BM135" s="173">
        <f t="shared" si="354"/>
        <v>0.15531249999999999</v>
      </c>
      <c r="BN135" s="173">
        <f t="shared" si="355"/>
        <v>3.8828124999999998E-2</v>
      </c>
      <c r="BO135" s="528"/>
      <c r="BQ135" s="460">
        <f t="shared" si="356"/>
        <v>194.14062499999997</v>
      </c>
      <c r="BR135" s="528">
        <f t="shared" si="357"/>
        <v>6.9514075816019911E-3</v>
      </c>
      <c r="BS135" s="528">
        <f t="shared" si="358"/>
        <v>1.447716384696944E-2</v>
      </c>
      <c r="BT135" s="528">
        <f t="shared" si="359"/>
        <v>1.4552826648216939E-4</v>
      </c>
      <c r="BU135" s="528">
        <f t="shared" si="360"/>
        <v>0.2970856255393598</v>
      </c>
      <c r="BV135" s="528"/>
      <c r="BW135" s="625">
        <f t="shared" si="361"/>
        <v>3.7500000000000003E-3</v>
      </c>
      <c r="BX135" s="460">
        <f t="shared" si="362"/>
        <v>322.40972523441337</v>
      </c>
      <c r="BY135" s="173">
        <f t="shared" si="363"/>
        <v>1.2352034337043594</v>
      </c>
      <c r="BZ135" s="5">
        <f t="shared" si="364"/>
        <v>4.5</v>
      </c>
      <c r="CA135" s="173">
        <f t="shared" si="365"/>
        <v>0.7846277908041801</v>
      </c>
      <c r="CB135" s="5">
        <f t="shared" si="366"/>
        <v>78.462779080418017</v>
      </c>
      <c r="CC135">
        <f t="shared" si="367"/>
        <v>25</v>
      </c>
      <c r="CE135" s="562">
        <f t="shared" si="368"/>
        <v>-50</v>
      </c>
      <c r="CF135">
        <f t="shared" si="369"/>
        <v>-50</v>
      </c>
      <c r="CG135" s="173">
        <f t="shared" si="370"/>
        <v>0.35783904271027339</v>
      </c>
      <c r="CH135" s="173">
        <f t="shared" si="371"/>
        <v>0.12649479146274015</v>
      </c>
      <c r="CI135" s="170">
        <v>25</v>
      </c>
      <c r="CJ135" s="217">
        <f t="shared" si="438"/>
        <v>0.25</v>
      </c>
      <c r="CK135" s="217">
        <f t="shared" si="372"/>
        <v>6.25E-2</v>
      </c>
      <c r="CL135" s="217">
        <f t="shared" si="373"/>
        <v>4</v>
      </c>
      <c r="CM135" s="217">
        <f t="shared" si="374"/>
        <v>0.5</v>
      </c>
      <c r="CN135" s="541">
        <f t="shared" si="375"/>
        <v>19</v>
      </c>
      <c r="CO135" s="443">
        <f t="shared" si="376"/>
        <v>16.7</v>
      </c>
      <c r="CP135" s="443">
        <f t="shared" si="377"/>
        <v>35.700000000000003</v>
      </c>
      <c r="CQ135" s="443"/>
      <c r="CR135" s="217">
        <f t="shared" si="378"/>
        <v>0.4632768361581921</v>
      </c>
      <c r="CS135" s="172">
        <f t="shared" si="379"/>
        <v>19.560577526679221</v>
      </c>
      <c r="CT135" s="172">
        <f t="shared" si="380"/>
        <v>2.7507062146892656</v>
      </c>
      <c r="CU135" s="217">
        <f t="shared" si="381"/>
        <v>1.2225360954174513</v>
      </c>
      <c r="CV135" s="217">
        <f t="shared" si="382"/>
        <v>2.4450721908349027</v>
      </c>
      <c r="CW135" s="217">
        <f t="shared" si="383"/>
        <v>16</v>
      </c>
      <c r="CX135" s="217">
        <f t="shared" si="384"/>
        <v>1.0224646983311938</v>
      </c>
      <c r="CY135" s="217">
        <f t="shared" si="385"/>
        <v>0.64576717789338567</v>
      </c>
      <c r="CZ135" s="217">
        <f t="shared" si="386"/>
        <v>0.73470517245355249</v>
      </c>
      <c r="DA135" s="197">
        <f t="shared" si="387"/>
        <v>350</v>
      </c>
      <c r="DB135" s="443">
        <f t="shared" si="388"/>
        <v>350</v>
      </c>
      <c r="DD135" s="217">
        <f t="shared" si="389"/>
        <v>2.1161798052554355</v>
      </c>
      <c r="DE135" s="173">
        <f t="shared" si="390"/>
        <v>1.5206082432973189</v>
      </c>
      <c r="DF135" s="173">
        <f t="shared" si="391"/>
        <v>0.50055918207100247</v>
      </c>
      <c r="DG135" s="173"/>
      <c r="DH135" s="173">
        <f t="shared" si="392"/>
        <v>0.71856287425149712</v>
      </c>
      <c r="DI135" s="545">
        <f t="shared" si="393"/>
        <v>695.83333333333326</v>
      </c>
      <c r="DJ135" s="528">
        <f t="shared" si="394"/>
        <v>0.125748502994012</v>
      </c>
      <c r="DL135" s="173">
        <f t="shared" si="395"/>
        <v>1.4638501094227998</v>
      </c>
      <c r="DM135" s="173">
        <f t="shared" si="396"/>
        <v>1.4638501094227998</v>
      </c>
      <c r="DN135" s="173">
        <f t="shared" si="397"/>
        <v>1.5435926736465184</v>
      </c>
      <c r="DP135" s="545">
        <f t="shared" si="398"/>
        <v>250</v>
      </c>
      <c r="DQ135" s="460">
        <f t="shared" si="399"/>
        <v>350</v>
      </c>
      <c r="DS135" s="460">
        <f t="shared" si="400"/>
        <v>250</v>
      </c>
      <c r="DT135" s="460">
        <f t="shared" si="401"/>
        <v>350</v>
      </c>
      <c r="DV135" s="5">
        <f t="shared" si="402"/>
        <v>2.8571428571428572</v>
      </c>
      <c r="DW135" s="5">
        <f t="shared" si="403"/>
        <v>0.92453691121439974</v>
      </c>
      <c r="DX135" s="5">
        <f t="shared" si="404"/>
        <v>1.9326059459284575</v>
      </c>
      <c r="DY135" s="173">
        <f t="shared" si="405"/>
        <v>0.32358791892503991</v>
      </c>
      <c r="EA135" s="5">
        <f t="shared" si="406"/>
        <v>1.4445889237724996</v>
      </c>
      <c r="EB135" s="5">
        <f t="shared" si="407"/>
        <v>0.72229446188624979</v>
      </c>
      <c r="EC135" s="5">
        <f t="shared" si="408"/>
        <v>0.33905367472429071</v>
      </c>
      <c r="ED135" s="5"/>
      <c r="EE135" s="173">
        <f t="shared" si="409"/>
        <v>0.4807642122741666</v>
      </c>
      <c r="EF135" s="173">
        <f t="shared" si="410"/>
        <v>0.69509099151270437</v>
      </c>
      <c r="EG135" s="173">
        <f t="shared" si="411"/>
        <v>0.17070616997444354</v>
      </c>
      <c r="EH135" s="173"/>
      <c r="EI135" s="528">
        <f t="shared" si="412"/>
        <v>4.6226845560719985E-3</v>
      </c>
      <c r="EJ135" s="528">
        <f t="shared" si="413"/>
        <v>0.34752533522751983</v>
      </c>
      <c r="EK135" s="528">
        <f t="shared" si="414"/>
        <v>4.0250000000000001E-2</v>
      </c>
      <c r="EL135" s="528">
        <f t="shared" si="415"/>
        <v>0.21969021375000006</v>
      </c>
      <c r="EM135">
        <f t="shared" si="416"/>
        <v>8.5500000000000003E-3</v>
      </c>
      <c r="EN135" s="460">
        <f t="shared" si="417"/>
        <v>48.800000000000004</v>
      </c>
      <c r="EP135" s="460">
        <f t="shared" si="439"/>
        <v>620.6382335335918</v>
      </c>
      <c r="EQ135" s="173">
        <f t="shared" si="418"/>
        <v>0.17499999999999999</v>
      </c>
      <c r="ER135" s="173">
        <f t="shared" si="419"/>
        <v>2.7734374999999999E-2</v>
      </c>
      <c r="ES135" s="528"/>
      <c r="EU135" s="460">
        <f t="shared" si="420"/>
        <v>202.734375</v>
      </c>
      <c r="EV135" s="528">
        <f t="shared" si="421"/>
        <v>6.9340268341079982E-3</v>
      </c>
      <c r="EW135" s="528">
        <f t="shared" si="422"/>
        <v>1.4494544594463433E-2</v>
      </c>
      <c r="EX135" s="528">
        <f t="shared" si="423"/>
        <v>1.4570298233671804E-4</v>
      </c>
      <c r="EY135" s="528">
        <f t="shared" si="424"/>
        <v>0.2970856255393598</v>
      </c>
      <c r="EZ135" s="528"/>
      <c r="FA135" s="625">
        <f t="shared" si="425"/>
        <v>3.7500000000000003E-3</v>
      </c>
      <c r="FB135" s="460">
        <f t="shared" si="426"/>
        <v>322.40989995026791</v>
      </c>
      <c r="FC135" s="173">
        <f t="shared" si="427"/>
        <v>1.1457825084838598</v>
      </c>
      <c r="FD135" s="5">
        <f t="shared" si="428"/>
        <v>4.5</v>
      </c>
      <c r="FE135" s="173">
        <f t="shared" si="429"/>
        <v>0.79705514571946334</v>
      </c>
      <c r="FF135" s="5">
        <f t="shared" si="430"/>
        <v>79.705514571946338</v>
      </c>
      <c r="FG135">
        <f t="shared" si="431"/>
        <v>25</v>
      </c>
      <c r="FI135" s="562">
        <f t="shared" si="432"/>
        <v>-50</v>
      </c>
      <c r="FJ135">
        <f t="shared" si="433"/>
        <v>-50</v>
      </c>
    </row>
    <row r="136" spans="5:166">
      <c r="E136" s="170">
        <v>26</v>
      </c>
      <c r="F136" s="217">
        <f t="shared" si="434"/>
        <v>0.26</v>
      </c>
      <c r="G136" s="217">
        <f t="shared" si="313"/>
        <v>6.5000000000000002E-2</v>
      </c>
      <c r="H136" s="217">
        <f t="shared" si="314"/>
        <v>4.16</v>
      </c>
      <c r="I136" s="217">
        <f t="shared" si="315"/>
        <v>0.52</v>
      </c>
      <c r="J136" s="541">
        <f t="shared" si="316"/>
        <v>18.951553102813939</v>
      </c>
      <c r="K136" s="443">
        <f t="shared" si="317"/>
        <v>16.72137421677763</v>
      </c>
      <c r="L136" s="172">
        <f t="shared" si="318"/>
        <v>35.672927319591565</v>
      </c>
      <c r="M136" s="443"/>
      <c r="N136" s="217">
        <f t="shared" si="319"/>
        <v>0.46874129692166455</v>
      </c>
      <c r="O136" s="172">
        <f t="shared" si="320"/>
        <v>19.740834622428448</v>
      </c>
      <c r="P136" s="172">
        <f t="shared" si="321"/>
        <v>2.7760548687790005</v>
      </c>
      <c r="Q136" s="217">
        <f t="shared" si="322"/>
        <v>1.233802163901778</v>
      </c>
      <c r="R136" s="217">
        <f t="shared" si="323"/>
        <v>2.467604327803556</v>
      </c>
      <c r="S136" s="217">
        <f t="shared" si="324"/>
        <v>16</v>
      </c>
      <c r="T136" s="217">
        <f t="shared" si="325"/>
        <v>1.0536535256907622</v>
      </c>
      <c r="U136" s="217">
        <f t="shared" si="326"/>
        <v>0.66716655039801354</v>
      </c>
      <c r="V136" s="217">
        <f t="shared" si="327"/>
        <v>0.75614851652579884</v>
      </c>
      <c r="W136" s="197">
        <f t="shared" si="328"/>
        <v>350</v>
      </c>
      <c r="X136" s="443">
        <f t="shared" si="435"/>
        <v>350</v>
      </c>
      <c r="Z136" s="217">
        <f t="shared" si="329"/>
        <v>2.1150894238316189</v>
      </c>
      <c r="AA136" s="173">
        <f t="shared" si="330"/>
        <v>1.517882008795244</v>
      </c>
      <c r="AB136" s="173">
        <f t="shared" si="331"/>
        <v>0.49940429519977314</v>
      </c>
      <c r="AC136" s="173"/>
      <c r="AD136" s="173">
        <f t="shared" si="332"/>
        <v>0.71764436609280757</v>
      </c>
      <c r="AE136" s="545">
        <f t="shared" si="333"/>
        <v>724.59288272703066</v>
      </c>
      <c r="AF136" s="528">
        <f t="shared" si="334"/>
        <v>0.12558776406624134</v>
      </c>
      <c r="AH136" s="173">
        <f t="shared" si="335"/>
        <v>1.4928400545843576</v>
      </c>
      <c r="AI136" s="173">
        <f t="shared" si="336"/>
        <v>1.4928400545843576</v>
      </c>
      <c r="AJ136" s="173">
        <f t="shared" si="337"/>
        <v>1.5650667070995241</v>
      </c>
      <c r="AL136" s="545">
        <f t="shared" si="338"/>
        <v>260</v>
      </c>
      <c r="AM136" s="460">
        <f t="shared" si="339"/>
        <v>350</v>
      </c>
      <c r="AO136" s="460">
        <f t="shared" si="340"/>
        <v>260</v>
      </c>
      <c r="AP136" s="460">
        <f t="shared" si="341"/>
        <v>350</v>
      </c>
      <c r="AR136" s="5">
        <f t="shared" si="443"/>
        <v>2.8571428571428572</v>
      </c>
      <c r="AS136" s="5">
        <f t="shared" si="440"/>
        <v>0.94525660022831581</v>
      </c>
      <c r="AT136" s="5">
        <f t="shared" si="441"/>
        <v>1.9118862569145414</v>
      </c>
      <c r="AU136" s="173">
        <f t="shared" si="442"/>
        <v>0.33083981007991053</v>
      </c>
      <c r="AW136" s="5">
        <f t="shared" si="342"/>
        <v>1.5360419753710133</v>
      </c>
      <c r="AX136" s="5">
        <f t="shared" si="343"/>
        <v>0.76802098768550664</v>
      </c>
      <c r="AY136" s="5">
        <f t="shared" si="344"/>
        <v>0.34972713430645602</v>
      </c>
      <c r="AZ136" s="5"/>
      <c r="BA136" s="173">
        <f t="shared" si="345"/>
        <v>0.49574864201464236</v>
      </c>
      <c r="BB136" s="173">
        <f t="shared" si="346"/>
        <v>0.70504640045728939</v>
      </c>
      <c r="BC136" s="173">
        <f t="shared" si="347"/>
        <v>0.17315110128877548</v>
      </c>
      <c r="BD136" s="173"/>
      <c r="BE136" s="528">
        <f t="shared" si="348"/>
        <v>4.9153343211872404E-3</v>
      </c>
      <c r="BF136" s="528">
        <f t="shared" si="349"/>
        <v>0.34015976382397556</v>
      </c>
      <c r="BG136" s="528">
        <f t="shared" si="350"/>
        <v>0.15256000247765222</v>
      </c>
      <c r="BH136" s="528">
        <f t="shared" si="351"/>
        <v>0.21935714104423512</v>
      </c>
      <c r="BI136">
        <f t="shared" si="352"/>
        <v>8.528198896266272E-3</v>
      </c>
      <c r="BJ136" s="460">
        <f t="shared" si="436"/>
        <v>161.08820137391848</v>
      </c>
      <c r="BK136">
        <f t="shared" si="353"/>
        <v>0.56642089303416909</v>
      </c>
      <c r="BL136" s="460">
        <f t="shared" si="437"/>
        <v>725.52044056331647</v>
      </c>
      <c r="BM136" s="173">
        <f t="shared" si="354"/>
        <v>0.16152499999999997</v>
      </c>
      <c r="BN136" s="173">
        <f t="shared" si="355"/>
        <v>4.0381249999999994E-2</v>
      </c>
      <c r="BO136" s="528"/>
      <c r="BQ136" s="460">
        <f t="shared" si="356"/>
        <v>201.90624999999994</v>
      </c>
      <c r="BR136" s="528">
        <f t="shared" si="357"/>
        <v>7.3730014817808597E-3</v>
      </c>
      <c r="BS136" s="528">
        <f t="shared" si="358"/>
        <v>1.4912712803933414E-2</v>
      </c>
      <c r="BT136" s="528">
        <f t="shared" si="359"/>
        <v>1.4990651938757892E-4</v>
      </c>
      <c r="BU136" s="528">
        <f t="shared" si="360"/>
        <v>0.31201344822715982</v>
      </c>
      <c r="BV136" s="528"/>
      <c r="BW136" s="625">
        <f t="shared" si="361"/>
        <v>3.899999999999999E-3</v>
      </c>
      <c r="BX136" s="460">
        <f t="shared" si="362"/>
        <v>338.3490690322617</v>
      </c>
      <c r="BY136" s="173">
        <f t="shared" si="363"/>
        <v>1.2657757595955781</v>
      </c>
      <c r="BZ136" s="5">
        <f t="shared" si="364"/>
        <v>4.68</v>
      </c>
      <c r="CA136" s="173">
        <f t="shared" si="365"/>
        <v>0.78711343804838108</v>
      </c>
      <c r="CB136" s="5">
        <f t="shared" si="366"/>
        <v>78.711343804838108</v>
      </c>
      <c r="CC136">
        <f t="shared" si="367"/>
        <v>26</v>
      </c>
      <c r="CE136" s="562">
        <f t="shared" si="368"/>
        <v>-50</v>
      </c>
      <c r="CF136">
        <f t="shared" si="369"/>
        <v>-50</v>
      </c>
      <c r="CG136" s="173">
        <f t="shared" si="370"/>
        <v>0.36492565230100932</v>
      </c>
      <c r="CH136" s="173">
        <f t="shared" si="371"/>
        <v>0.12899988200727242</v>
      </c>
      <c r="CI136" s="170">
        <v>26</v>
      </c>
      <c r="CJ136" s="217">
        <f t="shared" si="438"/>
        <v>0.26</v>
      </c>
      <c r="CK136" s="217">
        <f t="shared" si="372"/>
        <v>6.5000000000000002E-2</v>
      </c>
      <c r="CL136" s="217">
        <f t="shared" si="373"/>
        <v>4.16</v>
      </c>
      <c r="CM136" s="217">
        <f t="shared" si="374"/>
        <v>0.52</v>
      </c>
      <c r="CN136" s="541">
        <f t="shared" si="375"/>
        <v>19</v>
      </c>
      <c r="CO136" s="443">
        <f t="shared" si="376"/>
        <v>16.7</v>
      </c>
      <c r="CP136" s="443">
        <f t="shared" si="377"/>
        <v>35.700000000000003</v>
      </c>
      <c r="CQ136" s="443"/>
      <c r="CR136" s="217">
        <f t="shared" si="378"/>
        <v>0.4632768361581921</v>
      </c>
      <c r="CS136" s="172">
        <f t="shared" si="379"/>
        <v>19.560577526679221</v>
      </c>
      <c r="CT136" s="172">
        <f t="shared" si="380"/>
        <v>2.7507062146892656</v>
      </c>
      <c r="CU136" s="217">
        <f t="shared" si="381"/>
        <v>1.2225360954174513</v>
      </c>
      <c r="CV136" s="217">
        <f t="shared" si="382"/>
        <v>2.4450721908349027</v>
      </c>
      <c r="CW136" s="217">
        <f t="shared" si="383"/>
        <v>16</v>
      </c>
      <c r="CX136" s="217">
        <f t="shared" si="384"/>
        <v>1.0633632862644413</v>
      </c>
      <c r="CY136" s="217">
        <f t="shared" si="385"/>
        <v>0.67159786500912078</v>
      </c>
      <c r="CZ136" s="217">
        <f t="shared" si="386"/>
        <v>0.76409337935169441</v>
      </c>
      <c r="DA136" s="197">
        <f t="shared" si="387"/>
        <v>350</v>
      </c>
      <c r="DB136" s="443">
        <f t="shared" si="388"/>
        <v>350</v>
      </c>
      <c r="DD136" s="217">
        <f t="shared" si="389"/>
        <v>2.1161798052554355</v>
      </c>
      <c r="DE136" s="173">
        <f t="shared" si="390"/>
        <v>1.5206082432973189</v>
      </c>
      <c r="DF136" s="173">
        <f t="shared" si="391"/>
        <v>0.50055918207100247</v>
      </c>
      <c r="DG136" s="173"/>
      <c r="DH136" s="173">
        <f t="shared" si="392"/>
        <v>0.71856287425149712</v>
      </c>
      <c r="DI136" s="545">
        <f t="shared" si="393"/>
        <v>723.66666666666663</v>
      </c>
      <c r="DJ136" s="528">
        <f t="shared" si="394"/>
        <v>0.125748502994012</v>
      </c>
      <c r="DL136" s="173">
        <f t="shared" si="395"/>
        <v>1.4928400545843576</v>
      </c>
      <c r="DM136" s="173">
        <f t="shared" si="396"/>
        <v>1.4928400545843576</v>
      </c>
      <c r="DN136" s="173">
        <f t="shared" si="397"/>
        <v>1.5650667070995241</v>
      </c>
      <c r="DP136" s="545">
        <f t="shared" si="398"/>
        <v>260</v>
      </c>
      <c r="DQ136" s="460">
        <f t="shared" si="399"/>
        <v>350</v>
      </c>
      <c r="DS136" s="460">
        <f t="shared" si="400"/>
        <v>260</v>
      </c>
      <c r="DT136" s="460">
        <f t="shared" si="401"/>
        <v>350</v>
      </c>
      <c r="DV136" s="5">
        <f t="shared" si="402"/>
        <v>2.8571428571428572</v>
      </c>
      <c r="DW136" s="5">
        <f t="shared" si="403"/>
        <v>0.94284635026380492</v>
      </c>
      <c r="DX136" s="5">
        <f t="shared" si="404"/>
        <v>1.9142965068790523</v>
      </c>
      <c r="DY136" s="173">
        <f t="shared" si="405"/>
        <v>0.32999622259233169</v>
      </c>
      <c r="EA136" s="5">
        <f t="shared" si="406"/>
        <v>1.5321253191786832</v>
      </c>
      <c r="EB136" s="5">
        <f t="shared" si="407"/>
        <v>0.76606265958934161</v>
      </c>
      <c r="EC136" s="5">
        <f t="shared" si="408"/>
        <v>0.34927515213231825</v>
      </c>
      <c r="ED136" s="5"/>
      <c r="EE136" s="173">
        <f t="shared" si="409"/>
        <v>0.4951161995618697</v>
      </c>
      <c r="EF136" s="173">
        <f t="shared" si="410"/>
        <v>0.70549067448730574</v>
      </c>
      <c r="EG136" s="173">
        <f t="shared" si="411"/>
        <v>0.17326020976379419</v>
      </c>
      <c r="EH136" s="173"/>
      <c r="EI136" s="528">
        <f t="shared" si="412"/>
        <v>4.9028010213717837E-3</v>
      </c>
      <c r="EJ136" s="528">
        <f t="shared" si="413"/>
        <v>0.35440769315859949</v>
      </c>
      <c r="EK136" s="528">
        <f t="shared" si="414"/>
        <v>4.0250000000000001E-2</v>
      </c>
      <c r="EL136" s="528">
        <f t="shared" si="415"/>
        <v>0.21969021375000006</v>
      </c>
      <c r="EM136">
        <f t="shared" si="416"/>
        <v>8.5500000000000003E-3</v>
      </c>
      <c r="EN136" s="460">
        <f t="shared" si="417"/>
        <v>48.800000000000004</v>
      </c>
      <c r="EP136" s="460">
        <f t="shared" si="439"/>
        <v>627.80070792997128</v>
      </c>
      <c r="EQ136" s="173">
        <f t="shared" si="418"/>
        <v>0.182</v>
      </c>
      <c r="ER136" s="173">
        <f t="shared" si="419"/>
        <v>2.8843749999999998E-2</v>
      </c>
      <c r="ES136" s="528"/>
      <c r="EU136" s="460">
        <f t="shared" si="420"/>
        <v>210.84375</v>
      </c>
      <c r="EV136" s="528">
        <f t="shared" si="421"/>
        <v>7.3542015320576751E-3</v>
      </c>
      <c r="EW136" s="528">
        <f t="shared" si="422"/>
        <v>1.4931512753656607E-2</v>
      </c>
      <c r="EX136" s="528">
        <f t="shared" si="423"/>
        <v>1.5009550143696985E-4</v>
      </c>
      <c r="EY136" s="528">
        <f t="shared" si="424"/>
        <v>0.31201344822715982</v>
      </c>
      <c r="EZ136" s="528"/>
      <c r="FA136" s="625">
        <f t="shared" si="425"/>
        <v>3.899999999999999E-3</v>
      </c>
      <c r="FB136" s="460">
        <f t="shared" si="426"/>
        <v>338.34925801431109</v>
      </c>
      <c r="FC136" s="173">
        <f t="shared" si="427"/>
        <v>1.1769937159442823</v>
      </c>
      <c r="FD136" s="5">
        <f t="shared" si="428"/>
        <v>4.68</v>
      </c>
      <c r="FE136" s="173">
        <f t="shared" si="429"/>
        <v>0.79904473642507168</v>
      </c>
      <c r="FF136" s="5">
        <f t="shared" si="430"/>
        <v>79.90447364250717</v>
      </c>
      <c r="FG136">
        <f t="shared" si="431"/>
        <v>26</v>
      </c>
      <c r="FI136" s="562">
        <f t="shared" si="432"/>
        <v>-50</v>
      </c>
      <c r="FJ136">
        <f t="shared" si="433"/>
        <v>-50</v>
      </c>
    </row>
    <row r="137" spans="5:166">
      <c r="E137" s="170">
        <v>27</v>
      </c>
      <c r="F137" s="217">
        <f t="shared" si="434"/>
        <v>0.27</v>
      </c>
      <c r="G137" s="217">
        <f t="shared" si="313"/>
        <v>6.7500000000000004E-2</v>
      </c>
      <c r="H137" s="217">
        <f t="shared" si="314"/>
        <v>4.32</v>
      </c>
      <c r="I137" s="217">
        <f t="shared" si="315"/>
        <v>0.54</v>
      </c>
      <c r="J137" s="541">
        <f t="shared" si="316"/>
        <v>18.950630221846595</v>
      </c>
      <c r="K137" s="443">
        <f t="shared" si="317"/>
        <v>16.721781381302126</v>
      </c>
      <c r="L137" s="172">
        <f t="shared" si="318"/>
        <v>35.672411603148717</v>
      </c>
      <c r="M137" s="443"/>
      <c r="N137" s="217">
        <f t="shared" si="319"/>
        <v>0.46875948750900082</v>
      </c>
      <c r="O137" s="172">
        <f t="shared" si="320"/>
        <v>19.740639357256427</v>
      </c>
      <c r="P137" s="172">
        <f t="shared" si="321"/>
        <v>2.7760274096141853</v>
      </c>
      <c r="Q137" s="217">
        <f t="shared" si="322"/>
        <v>1.2337899598285267</v>
      </c>
      <c r="R137" s="217">
        <f t="shared" si="323"/>
        <v>2.4675799196570534</v>
      </c>
      <c r="S137" s="217">
        <f t="shared" si="324"/>
        <v>16</v>
      </c>
      <c r="T137" s="217">
        <f t="shared" si="325"/>
        <v>1.0941894843978341</v>
      </c>
      <c r="U137" s="217">
        <f t="shared" si="326"/>
        <v>0.69286739591579471</v>
      </c>
      <c r="V137" s="217">
        <f t="shared" si="327"/>
        <v>0.78521979885803028</v>
      </c>
      <c r="W137" s="197">
        <f t="shared" si="328"/>
        <v>350</v>
      </c>
      <c r="X137" s="443">
        <f t="shared" si="435"/>
        <v>350</v>
      </c>
      <c r="Z137" s="217">
        <f t="shared" si="329"/>
        <v>2.1150685025631879</v>
      </c>
      <c r="AA137" s="173">
        <f t="shared" si="330"/>
        <v>1.517830035688569</v>
      </c>
      <c r="AB137" s="173">
        <f t="shared" si="331"/>
        <v>0.49938225566899463</v>
      </c>
      <c r="AC137" s="173"/>
      <c r="AD137" s="173">
        <f t="shared" si="332"/>
        <v>0.7176268919182317</v>
      </c>
      <c r="AE137" s="545">
        <f t="shared" si="333"/>
        <v>752.4801621585957</v>
      </c>
      <c r="AF137" s="528">
        <f t="shared" si="334"/>
        <v>0.12558470608569056</v>
      </c>
      <c r="AH137" s="173">
        <f t="shared" si="335"/>
        <v>1.5212776585113299</v>
      </c>
      <c r="AI137" s="173">
        <f t="shared" si="336"/>
        <v>1.5212776585113299</v>
      </c>
      <c r="AJ137" s="173">
        <f t="shared" si="337"/>
        <v>1.5861315988972813</v>
      </c>
      <c r="AL137" s="545">
        <f t="shared" si="338"/>
        <v>270</v>
      </c>
      <c r="AM137" s="460">
        <f t="shared" si="339"/>
        <v>350</v>
      </c>
      <c r="AO137" s="460">
        <f t="shared" si="340"/>
        <v>270</v>
      </c>
      <c r="AP137" s="460">
        <f t="shared" si="341"/>
        <v>350</v>
      </c>
      <c r="AR137" s="5">
        <f t="shared" si="443"/>
        <v>2.8571428571428572</v>
      </c>
      <c r="AS137" s="5">
        <f t="shared" si="440"/>
        <v>0.96331001599571686</v>
      </c>
      <c r="AT137" s="5">
        <f t="shared" si="441"/>
        <v>1.8938328411471403</v>
      </c>
      <c r="AU137" s="173">
        <f t="shared" si="442"/>
        <v>0.33715850559850091</v>
      </c>
      <c r="AW137" s="5">
        <f t="shared" si="342"/>
        <v>1.6255856519927723</v>
      </c>
      <c r="AX137" s="5">
        <f t="shared" si="343"/>
        <v>0.81279282599638614</v>
      </c>
      <c r="AY137" s="5">
        <f t="shared" si="344"/>
        <v>0.3597663058334617</v>
      </c>
      <c r="AZ137" s="5"/>
      <c r="BA137" s="173">
        <f t="shared" si="345"/>
        <v>0.50999382772622215</v>
      </c>
      <c r="BB137" s="173">
        <f t="shared" si="346"/>
        <v>0.71507682601922429</v>
      </c>
      <c r="BC137" s="173">
        <f t="shared" si="347"/>
        <v>0.17561445580178006</v>
      </c>
      <c r="BD137" s="173"/>
      <c r="BE137" s="528">
        <f t="shared" si="348"/>
        <v>5.2018740863768714E-3</v>
      </c>
      <c r="BF137" s="528">
        <f t="shared" si="349"/>
        <v>0.34663456836641543</v>
      </c>
      <c r="BG137" s="528">
        <f t="shared" si="350"/>
        <v>0.15255257328586511</v>
      </c>
      <c r="BH137" s="528">
        <f t="shared" si="351"/>
        <v>0.21935079868462115</v>
      </c>
      <c r="BI137">
        <f t="shared" si="352"/>
        <v>8.5277835998309667E-3</v>
      </c>
      <c r="BJ137" s="460">
        <f t="shared" si="436"/>
        <v>161.08035688569609</v>
      </c>
      <c r="BK137">
        <f t="shared" si="353"/>
        <v>0.57330032644090467</v>
      </c>
      <c r="BL137" s="460">
        <f t="shared" si="437"/>
        <v>732.26759802310949</v>
      </c>
      <c r="BM137" s="173">
        <f t="shared" si="354"/>
        <v>0.16773749999999998</v>
      </c>
      <c r="BN137" s="173">
        <f t="shared" si="355"/>
        <v>4.1934374999999996E-2</v>
      </c>
      <c r="BO137" s="528"/>
      <c r="BQ137" s="460">
        <f t="shared" si="356"/>
        <v>209.67187499999997</v>
      </c>
      <c r="BR137" s="528">
        <f t="shared" si="357"/>
        <v>7.8028111295653062E-3</v>
      </c>
      <c r="BS137" s="528">
        <f t="shared" si="358"/>
        <v>1.5340046013291839E-2</v>
      </c>
      <c r="BT137" s="528">
        <f t="shared" si="359"/>
        <v>1.5420218543277681E-4</v>
      </c>
      <c r="BU137" s="528">
        <f t="shared" si="360"/>
        <v>0.3270855312500478</v>
      </c>
      <c r="BV137" s="528"/>
      <c r="BW137" s="625">
        <f t="shared" si="361"/>
        <v>4.0499999999999998E-3</v>
      </c>
      <c r="BX137" s="460">
        <f t="shared" si="362"/>
        <v>354.43259057833768</v>
      </c>
      <c r="BY137" s="173">
        <f t="shared" si="363"/>
        <v>1.2963720636014473</v>
      </c>
      <c r="BZ137" s="5">
        <f t="shared" si="364"/>
        <v>4.8600000000000003</v>
      </c>
      <c r="CA137" s="173">
        <f t="shared" si="365"/>
        <v>0.78942597195090969</v>
      </c>
      <c r="CB137" s="5">
        <f t="shared" si="366"/>
        <v>78.942597195090968</v>
      </c>
      <c r="CC137">
        <f t="shared" si="367"/>
        <v>27</v>
      </c>
      <c r="CE137" s="562">
        <f t="shared" si="368"/>
        <v>-50</v>
      </c>
      <c r="CF137">
        <f t="shared" si="369"/>
        <v>-50</v>
      </c>
      <c r="CG137" s="173">
        <f t="shared" si="370"/>
        <v>0.37187724174360182</v>
      </c>
      <c r="CH137" s="173">
        <f t="shared" si="371"/>
        <v>0.13145724342377751</v>
      </c>
      <c r="CI137" s="170">
        <v>27</v>
      </c>
      <c r="CJ137" s="217">
        <f t="shared" si="438"/>
        <v>0.27</v>
      </c>
      <c r="CK137" s="217">
        <f t="shared" si="372"/>
        <v>6.7500000000000004E-2</v>
      </c>
      <c r="CL137" s="217">
        <f t="shared" si="373"/>
        <v>4.32</v>
      </c>
      <c r="CM137" s="217">
        <f t="shared" si="374"/>
        <v>0.54</v>
      </c>
      <c r="CN137" s="541">
        <f t="shared" si="375"/>
        <v>19</v>
      </c>
      <c r="CO137" s="443">
        <f t="shared" si="376"/>
        <v>16.7</v>
      </c>
      <c r="CP137" s="443">
        <f t="shared" si="377"/>
        <v>35.700000000000003</v>
      </c>
      <c r="CQ137" s="443"/>
      <c r="CR137" s="217">
        <f t="shared" si="378"/>
        <v>0.4632768361581921</v>
      </c>
      <c r="CS137" s="172">
        <f t="shared" si="379"/>
        <v>19.560577526679221</v>
      </c>
      <c r="CT137" s="172">
        <f t="shared" si="380"/>
        <v>2.7507062146892656</v>
      </c>
      <c r="CU137" s="217">
        <f t="shared" si="381"/>
        <v>1.2225360954174513</v>
      </c>
      <c r="CV137" s="217">
        <f t="shared" si="382"/>
        <v>2.4450721908349027</v>
      </c>
      <c r="CW137" s="217">
        <f t="shared" si="383"/>
        <v>16</v>
      </c>
      <c r="CX137" s="217">
        <f t="shared" si="384"/>
        <v>1.1042618741976893</v>
      </c>
      <c r="CY137" s="217">
        <f t="shared" si="385"/>
        <v>0.69742855212485633</v>
      </c>
      <c r="CZ137" s="217">
        <f t="shared" si="386"/>
        <v>0.79348158624983667</v>
      </c>
      <c r="DA137" s="197">
        <f t="shared" si="387"/>
        <v>350</v>
      </c>
      <c r="DB137" s="443">
        <f t="shared" si="388"/>
        <v>350</v>
      </c>
      <c r="DD137" s="217">
        <f t="shared" si="389"/>
        <v>2.1161798052554355</v>
      </c>
      <c r="DE137" s="173">
        <f t="shared" si="390"/>
        <v>1.5206082432973189</v>
      </c>
      <c r="DF137" s="173">
        <f t="shared" si="391"/>
        <v>0.50055918207100247</v>
      </c>
      <c r="DG137" s="173"/>
      <c r="DH137" s="173">
        <f t="shared" si="392"/>
        <v>0.71856287425149712</v>
      </c>
      <c r="DI137" s="545">
        <f t="shared" si="393"/>
        <v>751.5</v>
      </c>
      <c r="DJ137" s="528">
        <f t="shared" si="394"/>
        <v>0.125748502994012</v>
      </c>
      <c r="DL137" s="173">
        <f t="shared" si="395"/>
        <v>1.5212776585113299</v>
      </c>
      <c r="DM137" s="173">
        <f t="shared" si="396"/>
        <v>1.5212776585113299</v>
      </c>
      <c r="DN137" s="173">
        <f t="shared" si="397"/>
        <v>1.5861315988972813</v>
      </c>
      <c r="DP137" s="545">
        <f t="shared" si="398"/>
        <v>270</v>
      </c>
      <c r="DQ137" s="460">
        <f t="shared" si="399"/>
        <v>350</v>
      </c>
      <c r="DS137" s="460">
        <f t="shared" si="400"/>
        <v>270</v>
      </c>
      <c r="DT137" s="460">
        <f t="shared" si="401"/>
        <v>350</v>
      </c>
      <c r="DV137" s="5">
        <f t="shared" si="402"/>
        <v>2.8571428571428572</v>
      </c>
      <c r="DW137" s="5">
        <f t="shared" si="403"/>
        <v>0.96080694221768215</v>
      </c>
      <c r="DX137" s="5">
        <f t="shared" si="404"/>
        <v>1.8963359149251751</v>
      </c>
      <c r="DY137" s="173">
        <f t="shared" si="405"/>
        <v>0.33628242977618872</v>
      </c>
      <c r="EA137" s="5">
        <f t="shared" si="406"/>
        <v>1.6213617149923385</v>
      </c>
      <c r="EB137" s="5">
        <f t="shared" si="407"/>
        <v>0.81068085749616925</v>
      </c>
      <c r="EC137" s="5">
        <f t="shared" si="408"/>
        <v>0.35930575230161205</v>
      </c>
      <c r="ED137" s="5"/>
      <c r="EE137" s="173">
        <f t="shared" si="409"/>
        <v>0.50933081037649219</v>
      </c>
      <c r="EF137" s="173">
        <f t="shared" si="410"/>
        <v>0.71554922753769867</v>
      </c>
      <c r="EG137" s="173">
        <f t="shared" si="411"/>
        <v>0.17573047205705244</v>
      </c>
      <c r="EH137" s="173"/>
      <c r="EI137" s="528">
        <f t="shared" si="412"/>
        <v>5.1883574879754849E-3</v>
      </c>
      <c r="EJ137" s="528">
        <f t="shared" si="413"/>
        <v>0.36115892251888232</v>
      </c>
      <c r="EK137" s="528">
        <f t="shared" si="414"/>
        <v>4.0250000000000001E-2</v>
      </c>
      <c r="EL137" s="528">
        <f t="shared" si="415"/>
        <v>0.21969021375000006</v>
      </c>
      <c r="EM137">
        <f t="shared" si="416"/>
        <v>8.5500000000000003E-3</v>
      </c>
      <c r="EN137" s="460">
        <f t="shared" si="417"/>
        <v>48.800000000000004</v>
      </c>
      <c r="EP137" s="460">
        <f t="shared" si="439"/>
        <v>634.83749375685784</v>
      </c>
      <c r="EQ137" s="173">
        <f t="shared" si="418"/>
        <v>0.189</v>
      </c>
      <c r="ER137" s="173">
        <f t="shared" si="419"/>
        <v>2.9953125000000001E-2</v>
      </c>
      <c r="ES137" s="528"/>
      <c r="EU137" s="460">
        <f t="shared" si="420"/>
        <v>218.953125</v>
      </c>
      <c r="EV137" s="528">
        <f t="shared" si="421"/>
        <v>7.7825362319632269E-3</v>
      </c>
      <c r="EW137" s="528">
        <f t="shared" si="422"/>
        <v>1.5360320910893918E-2</v>
      </c>
      <c r="EX137" s="528">
        <f t="shared" si="423"/>
        <v>1.5440599404697246E-4</v>
      </c>
      <c r="EY137" s="528">
        <f t="shared" si="424"/>
        <v>0.3270855312500478</v>
      </c>
      <c r="EZ137" s="528"/>
      <c r="FA137" s="625">
        <f t="shared" si="425"/>
        <v>4.0499999999999998E-3</v>
      </c>
      <c r="FB137" s="460">
        <f t="shared" si="426"/>
        <v>354.43279438695191</v>
      </c>
      <c r="FC137" s="173">
        <f t="shared" si="427"/>
        <v>1.2082234131438099</v>
      </c>
      <c r="FD137" s="5">
        <f t="shared" si="428"/>
        <v>4.8600000000000003</v>
      </c>
      <c r="FE137" s="173">
        <f t="shared" si="429"/>
        <v>0.80089338660030374</v>
      </c>
      <c r="FF137" s="5">
        <f t="shared" si="430"/>
        <v>80.089338660030378</v>
      </c>
      <c r="FG137">
        <f t="shared" si="431"/>
        <v>27</v>
      </c>
      <c r="FI137" s="562">
        <f t="shared" si="432"/>
        <v>-50</v>
      </c>
      <c r="FJ137">
        <f t="shared" si="433"/>
        <v>-50</v>
      </c>
    </row>
    <row r="138" spans="5:166">
      <c r="E138" s="170">
        <v>28</v>
      </c>
      <c r="F138" s="217">
        <f t="shared" si="434"/>
        <v>0.28000000000000003</v>
      </c>
      <c r="G138" s="217">
        <f t="shared" si="313"/>
        <v>7.0000000000000007E-2</v>
      </c>
      <c r="H138" s="217">
        <f t="shared" si="314"/>
        <v>4.4800000000000004</v>
      </c>
      <c r="I138" s="217">
        <f t="shared" si="315"/>
        <v>0.56000000000000005</v>
      </c>
      <c r="J138" s="541">
        <f t="shared" si="316"/>
        <v>18.949724278793077</v>
      </c>
      <c r="K138" s="443">
        <f t="shared" si="317"/>
        <v>16.72218107301282</v>
      </c>
      <c r="L138" s="172">
        <f t="shared" si="318"/>
        <v>35.671905351805897</v>
      </c>
      <c r="M138" s="443"/>
      <c r="N138" s="217">
        <f t="shared" si="319"/>
        <v>0.46877734475055888</v>
      </c>
      <c r="O138" s="172">
        <f t="shared" si="320"/>
        <v>19.740447624817374</v>
      </c>
      <c r="P138" s="172">
        <f t="shared" si="321"/>
        <v>2.7760004472399431</v>
      </c>
      <c r="Q138" s="217">
        <f t="shared" si="322"/>
        <v>1.2337779765510859</v>
      </c>
      <c r="R138" s="217">
        <f t="shared" si="323"/>
        <v>2.4675559531021718</v>
      </c>
      <c r="S138" s="217">
        <f t="shared" si="324"/>
        <v>16</v>
      </c>
      <c r="T138" s="217">
        <f t="shared" si="325"/>
        <v>1.1347260419687284</v>
      </c>
      <c r="U138" s="217">
        <f t="shared" si="326"/>
        <v>0.7185704817279801</v>
      </c>
      <c r="V138" s="217">
        <f t="shared" si="327"/>
        <v>0.81429045913156295</v>
      </c>
      <c r="W138" s="197">
        <f t="shared" si="328"/>
        <v>350</v>
      </c>
      <c r="X138" s="443">
        <f t="shared" si="435"/>
        <v>350</v>
      </c>
      <c r="Z138" s="217">
        <f t="shared" si="329"/>
        <v>2.1150479598018617</v>
      </c>
      <c r="AA138" s="173">
        <f t="shared" si="330"/>
        <v>1.5177790149984032</v>
      </c>
      <c r="AB138" s="173">
        <f t="shared" si="331"/>
        <v>0.49936061919371472</v>
      </c>
      <c r="AC138" s="173"/>
      <c r="AD138" s="173">
        <f t="shared" si="332"/>
        <v>0.71760973928013871</v>
      </c>
      <c r="AE138" s="545">
        <f t="shared" si="333"/>
        <v>780.36845007393174</v>
      </c>
      <c r="AF138" s="528">
        <f t="shared" si="334"/>
        <v>0.12558170437402427</v>
      </c>
      <c r="AH138" s="173">
        <f t="shared" si="335"/>
        <v>1.5491933384829668</v>
      </c>
      <c r="AI138" s="173">
        <f t="shared" si="336"/>
        <v>1.5491933384829668</v>
      </c>
      <c r="AJ138" s="173">
        <f t="shared" si="337"/>
        <v>1.6068098803577531</v>
      </c>
      <c r="AL138" s="545">
        <f t="shared" si="338"/>
        <v>280</v>
      </c>
      <c r="AM138" s="460">
        <f t="shared" si="339"/>
        <v>350</v>
      </c>
      <c r="AO138" s="460">
        <f t="shared" si="340"/>
        <v>280</v>
      </c>
      <c r="AP138" s="460">
        <f t="shared" si="341"/>
        <v>350</v>
      </c>
      <c r="AR138" s="5">
        <f t="shared" si="443"/>
        <v>2.8571428571428572</v>
      </c>
      <c r="AS138" s="5">
        <f t="shared" si="440"/>
        <v>0.98103380230182602</v>
      </c>
      <c r="AT138" s="5">
        <f t="shared" si="441"/>
        <v>1.8761090548410313</v>
      </c>
      <c r="AU138" s="173">
        <f t="shared" si="442"/>
        <v>0.34336183080563909</v>
      </c>
      <c r="AW138" s="5">
        <f t="shared" si="342"/>
        <v>1.7168091540281958</v>
      </c>
      <c r="AX138" s="5">
        <f t="shared" si="343"/>
        <v>0.85840457701409789</v>
      </c>
      <c r="AY138" s="5">
        <f t="shared" si="344"/>
        <v>0.36961701227732141</v>
      </c>
      <c r="AZ138" s="5"/>
      <c r="BA138" s="173">
        <f t="shared" si="345"/>
        <v>0.52410825660784177</v>
      </c>
      <c r="BB138" s="173">
        <f t="shared" si="346"/>
        <v>0.7247830953847425</v>
      </c>
      <c r="BC138" s="173">
        <f t="shared" si="347"/>
        <v>0.17799820136654704</v>
      </c>
      <c r="BD138" s="173"/>
      <c r="BE138" s="528">
        <f t="shared" si="348"/>
        <v>5.4937892928902266E-3</v>
      </c>
      <c r="BF138" s="528">
        <f t="shared" si="349"/>
        <v>0.35299035663210543</v>
      </c>
      <c r="BG138" s="528">
        <f t="shared" si="350"/>
        <v>0.15254528044428428</v>
      </c>
      <c r="BH138" s="528">
        <f t="shared" si="351"/>
        <v>0.21934457281743569</v>
      </c>
      <c r="BI138">
        <f t="shared" si="352"/>
        <v>8.527375925456885E-3</v>
      </c>
      <c r="BJ138" s="460">
        <f t="shared" si="436"/>
        <v>161.07265636974117</v>
      </c>
      <c r="BK138">
        <f t="shared" si="353"/>
        <v>0.58006922032135644</v>
      </c>
      <c r="BL138" s="460">
        <f t="shared" si="437"/>
        <v>738.90137511217256</v>
      </c>
      <c r="BM138" s="173">
        <f t="shared" si="354"/>
        <v>0.17394999999999999</v>
      </c>
      <c r="BN138" s="173">
        <f t="shared" si="355"/>
        <v>4.3487499999999998E-2</v>
      </c>
      <c r="BO138" s="528"/>
      <c r="BQ138" s="460">
        <f t="shared" si="356"/>
        <v>217.4375</v>
      </c>
      <c r="BR138" s="528">
        <f t="shared" si="357"/>
        <v>8.2406839393353391E-3</v>
      </c>
      <c r="BS138" s="528">
        <f t="shared" si="358"/>
        <v>1.5759316060664663E-2</v>
      </c>
      <c r="BT138" s="528">
        <f t="shared" si="359"/>
        <v>1.5841679844862914E-4</v>
      </c>
      <c r="BU138" s="528">
        <f t="shared" si="360"/>
        <v>0.34229784688115428</v>
      </c>
      <c r="BV138" s="528"/>
      <c r="BW138" s="625">
        <f t="shared" si="361"/>
        <v>4.2000000000000006E-3</v>
      </c>
      <c r="BX138" s="460">
        <f t="shared" si="362"/>
        <v>370.65626367960294</v>
      </c>
      <c r="BY138" s="173">
        <f t="shared" si="363"/>
        <v>1.3269951387917753</v>
      </c>
      <c r="BZ138" s="5">
        <f t="shared" si="364"/>
        <v>5.0400000000000009</v>
      </c>
      <c r="CA138" s="173">
        <f t="shared" si="365"/>
        <v>0.79158219696024601</v>
      </c>
      <c r="CB138" s="5">
        <f t="shared" si="366"/>
        <v>79.158219696024602</v>
      </c>
      <c r="CC138">
        <f t="shared" si="367"/>
        <v>28.000000000000004</v>
      </c>
      <c r="CE138" s="562">
        <f t="shared" si="368"/>
        <v>-50</v>
      </c>
      <c r="CF138">
        <f t="shared" si="369"/>
        <v>-50</v>
      </c>
      <c r="CG138" s="173">
        <f t="shared" si="370"/>
        <v>0.37870124656032161</v>
      </c>
      <c r="CH138" s="173">
        <f t="shared" si="371"/>
        <v>0.1338695041421547</v>
      </c>
      <c r="CI138" s="170">
        <v>28</v>
      </c>
      <c r="CJ138" s="217">
        <f t="shared" si="438"/>
        <v>0.28000000000000003</v>
      </c>
      <c r="CK138" s="217">
        <f t="shared" si="372"/>
        <v>7.0000000000000007E-2</v>
      </c>
      <c r="CL138" s="217">
        <f t="shared" si="373"/>
        <v>4.4800000000000004</v>
      </c>
      <c r="CM138" s="217">
        <f t="shared" si="374"/>
        <v>0.56000000000000005</v>
      </c>
      <c r="CN138" s="541">
        <f t="shared" si="375"/>
        <v>19</v>
      </c>
      <c r="CO138" s="443">
        <f t="shared" si="376"/>
        <v>16.7</v>
      </c>
      <c r="CP138" s="443">
        <f t="shared" si="377"/>
        <v>35.700000000000003</v>
      </c>
      <c r="CQ138" s="443"/>
      <c r="CR138" s="217">
        <f t="shared" si="378"/>
        <v>0.4632768361581921</v>
      </c>
      <c r="CS138" s="172">
        <f t="shared" si="379"/>
        <v>19.560577526679221</v>
      </c>
      <c r="CT138" s="172">
        <f t="shared" si="380"/>
        <v>2.7507062146892656</v>
      </c>
      <c r="CU138" s="217">
        <f t="shared" si="381"/>
        <v>1.2225360954174513</v>
      </c>
      <c r="CV138" s="217">
        <f t="shared" si="382"/>
        <v>2.4450721908349027</v>
      </c>
      <c r="CW138" s="217">
        <f t="shared" si="383"/>
        <v>16</v>
      </c>
      <c r="CX138" s="217">
        <f t="shared" si="384"/>
        <v>1.1451604621309373</v>
      </c>
      <c r="CY138" s="217">
        <f t="shared" si="385"/>
        <v>0.72325923924059199</v>
      </c>
      <c r="CZ138" s="217">
        <f t="shared" si="386"/>
        <v>0.82286979314797903</v>
      </c>
      <c r="DA138" s="197">
        <f t="shared" si="387"/>
        <v>350</v>
      </c>
      <c r="DB138" s="443">
        <f t="shared" si="388"/>
        <v>350</v>
      </c>
      <c r="DD138" s="217">
        <f t="shared" si="389"/>
        <v>2.1161798052554355</v>
      </c>
      <c r="DE138" s="173">
        <f t="shared" si="390"/>
        <v>1.5206082432973189</v>
      </c>
      <c r="DF138" s="173">
        <f t="shared" si="391"/>
        <v>0.50055918207100247</v>
      </c>
      <c r="DG138" s="173"/>
      <c r="DH138" s="173">
        <f t="shared" si="392"/>
        <v>0.71856287425149712</v>
      </c>
      <c r="DI138" s="545">
        <f t="shared" si="393"/>
        <v>779.33333333333326</v>
      </c>
      <c r="DJ138" s="528">
        <f t="shared" si="394"/>
        <v>0.125748502994012</v>
      </c>
      <c r="DL138" s="173">
        <f t="shared" si="395"/>
        <v>1.5491933384829668</v>
      </c>
      <c r="DM138" s="173">
        <f t="shared" si="396"/>
        <v>1.5491933384829668</v>
      </c>
      <c r="DN138" s="173">
        <f t="shared" si="397"/>
        <v>1.6068098803577531</v>
      </c>
      <c r="DP138" s="545">
        <f t="shared" si="398"/>
        <v>280</v>
      </c>
      <c r="DQ138" s="460">
        <f t="shared" si="399"/>
        <v>350</v>
      </c>
      <c r="DS138" s="460">
        <f t="shared" si="400"/>
        <v>280</v>
      </c>
      <c r="DT138" s="460">
        <f t="shared" si="401"/>
        <v>350</v>
      </c>
      <c r="DV138" s="5">
        <f t="shared" si="402"/>
        <v>2.8571428571428572</v>
      </c>
      <c r="DW138" s="5">
        <f t="shared" si="403"/>
        <v>0.9784378979892423</v>
      </c>
      <c r="DX138" s="5">
        <f t="shared" si="404"/>
        <v>1.8787049591536149</v>
      </c>
      <c r="DY138" s="173">
        <f t="shared" si="405"/>
        <v>0.34245326429623479</v>
      </c>
      <c r="EA138" s="5">
        <f t="shared" si="406"/>
        <v>1.7122663214811742</v>
      </c>
      <c r="EB138" s="5">
        <f t="shared" si="407"/>
        <v>0.8561331607405871</v>
      </c>
      <c r="EC138" s="5">
        <f t="shared" si="408"/>
        <v>0.36914904460562259</v>
      </c>
      <c r="ED138" s="5"/>
      <c r="EE138" s="173">
        <f t="shared" si="409"/>
        <v>0.52341437832465765</v>
      </c>
      <c r="EF138" s="173">
        <f t="shared" si="410"/>
        <v>0.72528435014345383</v>
      </c>
      <c r="EG138" s="173">
        <f t="shared" si="411"/>
        <v>0.17812130363817175</v>
      </c>
      <c r="EH138" s="173"/>
      <c r="EI138" s="528">
        <f t="shared" si="412"/>
        <v>5.4792522287397576E-3</v>
      </c>
      <c r="EJ138" s="528">
        <f t="shared" si="413"/>
        <v>0.36778624452254877</v>
      </c>
      <c r="EK138" s="528">
        <f t="shared" si="414"/>
        <v>4.0250000000000001E-2</v>
      </c>
      <c r="EL138" s="528">
        <f t="shared" si="415"/>
        <v>0.21969021375000006</v>
      </c>
      <c r="EM138">
        <f t="shared" si="416"/>
        <v>8.5500000000000003E-3</v>
      </c>
      <c r="EN138" s="460">
        <f t="shared" si="417"/>
        <v>48.800000000000004</v>
      </c>
      <c r="EP138" s="460">
        <f t="shared" si="439"/>
        <v>641.75571050128849</v>
      </c>
      <c r="EQ138" s="173">
        <f t="shared" si="418"/>
        <v>0.19600000000000001</v>
      </c>
      <c r="ER138" s="173">
        <f t="shared" si="419"/>
        <v>3.10625E-2</v>
      </c>
      <c r="ES138" s="528"/>
      <c r="EU138" s="460">
        <f t="shared" si="420"/>
        <v>227.0625</v>
      </c>
      <c r="EV138" s="528">
        <f t="shared" si="421"/>
        <v>8.2188783431096351E-3</v>
      </c>
      <c r="EW138" s="528">
        <f t="shared" si="422"/>
        <v>1.578112165689036E-2</v>
      </c>
      <c r="EX138" s="528">
        <f t="shared" si="423"/>
        <v>1.5863599404880889E-4</v>
      </c>
      <c r="EY138" s="528">
        <f t="shared" si="424"/>
        <v>0.34229784688115428</v>
      </c>
      <c r="EZ138" s="528"/>
      <c r="FA138" s="625">
        <f t="shared" si="425"/>
        <v>4.2000000000000006E-3</v>
      </c>
      <c r="FB138" s="460">
        <f t="shared" si="426"/>
        <v>370.6564828752031</v>
      </c>
      <c r="FC138" s="173">
        <f t="shared" si="427"/>
        <v>1.2394746933764917</v>
      </c>
      <c r="FD138" s="5">
        <f t="shared" si="428"/>
        <v>5.0400000000000009</v>
      </c>
      <c r="FE138" s="173">
        <f t="shared" si="429"/>
        <v>0.80261490747245567</v>
      </c>
      <c r="FF138" s="5">
        <f t="shared" si="430"/>
        <v>80.261490747245574</v>
      </c>
      <c r="FG138">
        <f t="shared" si="431"/>
        <v>28.000000000000004</v>
      </c>
      <c r="FI138" s="562">
        <f t="shared" si="432"/>
        <v>-50</v>
      </c>
      <c r="FJ138">
        <f t="shared" si="433"/>
        <v>-50</v>
      </c>
    </row>
    <row r="139" spans="5:166">
      <c r="E139" s="170">
        <v>29</v>
      </c>
      <c r="F139" s="217">
        <f t="shared" si="434"/>
        <v>0.28999999999999998</v>
      </c>
      <c r="G139" s="217">
        <f t="shared" si="313"/>
        <v>7.2499999999999995E-2</v>
      </c>
      <c r="H139" s="217">
        <f t="shared" si="314"/>
        <v>4.6399999999999997</v>
      </c>
      <c r="I139" s="217">
        <f t="shared" si="315"/>
        <v>0.57999999999999996</v>
      </c>
      <c r="J139" s="541">
        <f t="shared" si="316"/>
        <v>18.948834373932922</v>
      </c>
      <c r="K139" s="443">
        <f t="shared" si="317"/>
        <v>16.722573688856087</v>
      </c>
      <c r="L139" s="172">
        <f t="shared" si="318"/>
        <v>35.671408062789013</v>
      </c>
      <c r="M139" s="443"/>
      <c r="N139" s="217">
        <f t="shared" si="319"/>
        <v>0.46879488635326422</v>
      </c>
      <c r="O139" s="172">
        <f t="shared" si="320"/>
        <v>19.740259237454911</v>
      </c>
      <c r="P139" s="172">
        <f t="shared" si="321"/>
        <v>2.775973955267097</v>
      </c>
      <c r="Q139" s="217">
        <f t="shared" si="322"/>
        <v>1.2337662023409319</v>
      </c>
      <c r="R139" s="217">
        <f t="shared" si="323"/>
        <v>2.4675324046818639</v>
      </c>
      <c r="S139" s="217">
        <f t="shared" si="324"/>
        <v>16</v>
      </c>
      <c r="T139" s="217">
        <f t="shared" si="325"/>
        <v>1.1752631878299056</v>
      </c>
      <c r="U139" s="217">
        <f t="shared" si="326"/>
        <v>0.7442757678730868</v>
      </c>
      <c r="V139" s="217">
        <f t="shared" si="327"/>
        <v>0.84336050875692681</v>
      </c>
      <c r="W139" s="197">
        <f t="shared" si="328"/>
        <v>350</v>
      </c>
      <c r="X139" s="443">
        <f t="shared" si="435"/>
        <v>350</v>
      </c>
      <c r="Z139" s="217">
        <f t="shared" si="329"/>
        <v>2.115027775441598</v>
      </c>
      <c r="AA139" s="173">
        <f t="shared" si="330"/>
        <v>1.5177288961335309</v>
      </c>
      <c r="AB139" s="173">
        <f t="shared" si="331"/>
        <v>0.49933936436420306</v>
      </c>
      <c r="AC139" s="173"/>
      <c r="AD139" s="173">
        <f t="shared" si="332"/>
        <v>0.71759289109886193</v>
      </c>
      <c r="AE139" s="545">
        <f t="shared" si="333"/>
        <v>808.25772829471089</v>
      </c>
      <c r="AF139" s="528">
        <f t="shared" si="334"/>
        <v>0.12557875594230083</v>
      </c>
      <c r="AH139" s="173">
        <f t="shared" si="335"/>
        <v>1.5766148184367308</v>
      </c>
      <c r="AI139" s="173">
        <f t="shared" si="336"/>
        <v>1.5766148184367308</v>
      </c>
      <c r="AJ139" s="173">
        <f t="shared" si="337"/>
        <v>1.6271220877309116</v>
      </c>
      <c r="AL139" s="545">
        <f t="shared" si="338"/>
        <v>290</v>
      </c>
      <c r="AM139" s="460">
        <f t="shared" si="339"/>
        <v>350</v>
      </c>
      <c r="AO139" s="460">
        <f t="shared" si="340"/>
        <v>290</v>
      </c>
      <c r="AP139" s="460">
        <f t="shared" si="341"/>
        <v>350</v>
      </c>
      <c r="AR139" s="5">
        <f t="shared" si="443"/>
        <v>2.8571428571428572</v>
      </c>
      <c r="AS139" s="5">
        <f t="shared" si="440"/>
        <v>0.99844546888157559</v>
      </c>
      <c r="AT139" s="5">
        <f t="shared" si="441"/>
        <v>1.8586973882612816</v>
      </c>
      <c r="AU139" s="173">
        <f t="shared" si="442"/>
        <v>0.34945591410855142</v>
      </c>
      <c r="AW139" s="5">
        <f t="shared" si="342"/>
        <v>1.8096824123478554</v>
      </c>
      <c r="AX139" s="5">
        <f t="shared" si="343"/>
        <v>0.90484120617392771</v>
      </c>
      <c r="AY139" s="5">
        <f t="shared" si="344"/>
        <v>0.37928260349866566</v>
      </c>
      <c r="AZ139" s="5"/>
      <c r="BA139" s="173">
        <f t="shared" si="345"/>
        <v>0.53809774760321827</v>
      </c>
      <c r="BB139" s="173">
        <f t="shared" si="346"/>
        <v>0.73418134176494276</v>
      </c>
      <c r="BC139" s="173">
        <f t="shared" si="347"/>
        <v>0.18030630010991977</v>
      </c>
      <c r="BD139" s="173"/>
      <c r="BE139" s="528">
        <f t="shared" si="348"/>
        <v>5.7909837195131353E-3</v>
      </c>
      <c r="BF139" s="528">
        <f t="shared" si="349"/>
        <v>0.35923345061446982</v>
      </c>
      <c r="BG139" s="528">
        <f t="shared" si="350"/>
        <v>0.15253811671016004</v>
      </c>
      <c r="BH139" s="528">
        <f t="shared" si="351"/>
        <v>0.21933845725474882</v>
      </c>
      <c r="BI139">
        <f t="shared" si="352"/>
        <v>8.5269754682698144E-3</v>
      </c>
      <c r="BJ139" s="460">
        <f t="shared" si="436"/>
        <v>161.06509217842984</v>
      </c>
      <c r="BK139">
        <f t="shared" si="353"/>
        <v>0.58673376632057628</v>
      </c>
      <c r="BL139" s="460">
        <f t="shared" si="437"/>
        <v>745.42798376716166</v>
      </c>
      <c r="BM139" s="173">
        <f t="shared" si="354"/>
        <v>0.18016249999999998</v>
      </c>
      <c r="BN139" s="173">
        <f t="shared" si="355"/>
        <v>4.5040624999999994E-2</v>
      </c>
      <c r="BO139" s="528"/>
      <c r="BQ139" s="460">
        <f t="shared" si="356"/>
        <v>225.20312499999997</v>
      </c>
      <c r="BR139" s="528">
        <f t="shared" si="357"/>
        <v>8.6864755792697024E-3</v>
      </c>
      <c r="BS139" s="528">
        <f t="shared" si="358"/>
        <v>1.6170667277873151E-2</v>
      </c>
      <c r="BT139" s="528">
        <f t="shared" si="359"/>
        <v>1.625518092966423E-4</v>
      </c>
      <c r="BU139" s="528">
        <f t="shared" si="360"/>
        <v>0.35764662042896911</v>
      </c>
      <c r="BV139" s="528"/>
      <c r="BW139" s="625">
        <f t="shared" si="361"/>
        <v>4.3500000000000006E-3</v>
      </c>
      <c r="BX139" s="460">
        <f t="shared" si="362"/>
        <v>387.01631509540863</v>
      </c>
      <c r="BY139" s="173">
        <f t="shared" si="363"/>
        <v>1.3576474238625704</v>
      </c>
      <c r="BZ139" s="5">
        <f t="shared" si="364"/>
        <v>5.22</v>
      </c>
      <c r="CA139" s="173">
        <f t="shared" si="365"/>
        <v>0.79359680804154076</v>
      </c>
      <c r="CB139" s="5">
        <f t="shared" si="366"/>
        <v>79.359680804154081</v>
      </c>
      <c r="CC139">
        <f t="shared" si="367"/>
        <v>28.999999999999996</v>
      </c>
      <c r="CE139" s="562">
        <f t="shared" si="368"/>
        <v>-50</v>
      </c>
      <c r="CF139">
        <f t="shared" si="369"/>
        <v>-50</v>
      </c>
      <c r="CG139" s="173">
        <f t="shared" si="370"/>
        <v>0.38540444388441303</v>
      </c>
      <c r="CH139" s="173">
        <f t="shared" si="371"/>
        <v>0.1362390598541933</v>
      </c>
      <c r="CI139" s="170">
        <v>29</v>
      </c>
      <c r="CJ139" s="217">
        <f t="shared" si="438"/>
        <v>0.28999999999999998</v>
      </c>
      <c r="CK139" s="217">
        <f t="shared" si="372"/>
        <v>7.2499999999999995E-2</v>
      </c>
      <c r="CL139" s="217">
        <f t="shared" si="373"/>
        <v>4.6399999999999997</v>
      </c>
      <c r="CM139" s="217">
        <f t="shared" si="374"/>
        <v>0.57999999999999996</v>
      </c>
      <c r="CN139" s="541">
        <f t="shared" si="375"/>
        <v>19</v>
      </c>
      <c r="CO139" s="443">
        <f t="shared" si="376"/>
        <v>16.7</v>
      </c>
      <c r="CP139" s="443">
        <f t="shared" si="377"/>
        <v>35.700000000000003</v>
      </c>
      <c r="CQ139" s="443"/>
      <c r="CR139" s="217">
        <f t="shared" si="378"/>
        <v>0.4632768361581921</v>
      </c>
      <c r="CS139" s="172">
        <f t="shared" si="379"/>
        <v>19.560577526679221</v>
      </c>
      <c r="CT139" s="172">
        <f t="shared" si="380"/>
        <v>2.7507062146892656</v>
      </c>
      <c r="CU139" s="217">
        <f t="shared" si="381"/>
        <v>1.2225360954174513</v>
      </c>
      <c r="CV139" s="217">
        <f t="shared" si="382"/>
        <v>2.4450721908349027</v>
      </c>
      <c r="CW139" s="217">
        <f t="shared" si="383"/>
        <v>16</v>
      </c>
      <c r="CX139" s="217">
        <f t="shared" si="384"/>
        <v>1.1860590500641848</v>
      </c>
      <c r="CY139" s="217">
        <f t="shared" si="385"/>
        <v>0.74908992635632721</v>
      </c>
      <c r="CZ139" s="217">
        <f t="shared" si="386"/>
        <v>0.85225800004612084</v>
      </c>
      <c r="DA139" s="197">
        <f t="shared" si="387"/>
        <v>350</v>
      </c>
      <c r="DB139" s="443">
        <f t="shared" si="388"/>
        <v>350</v>
      </c>
      <c r="DD139" s="217">
        <f t="shared" si="389"/>
        <v>2.1161798052554355</v>
      </c>
      <c r="DE139" s="173">
        <f t="shared" si="390"/>
        <v>1.5206082432973189</v>
      </c>
      <c r="DF139" s="173">
        <f t="shared" si="391"/>
        <v>0.50055918207100247</v>
      </c>
      <c r="DG139" s="173"/>
      <c r="DH139" s="173">
        <f t="shared" si="392"/>
        <v>0.71856287425149712</v>
      </c>
      <c r="DI139" s="545">
        <f t="shared" si="393"/>
        <v>807.16666666666652</v>
      </c>
      <c r="DJ139" s="528">
        <f t="shared" si="394"/>
        <v>0.125748502994012</v>
      </c>
      <c r="DL139" s="173">
        <f t="shared" si="395"/>
        <v>1.5766148184367308</v>
      </c>
      <c r="DM139" s="173">
        <f t="shared" si="396"/>
        <v>1.5766148184367308</v>
      </c>
      <c r="DN139" s="173">
        <f t="shared" si="397"/>
        <v>1.6271220877309116</v>
      </c>
      <c r="DP139" s="545">
        <f t="shared" si="398"/>
        <v>290</v>
      </c>
      <c r="DQ139" s="460">
        <f t="shared" si="399"/>
        <v>350</v>
      </c>
      <c r="DS139" s="460">
        <f t="shared" si="400"/>
        <v>290</v>
      </c>
      <c r="DT139" s="460">
        <f t="shared" si="401"/>
        <v>350</v>
      </c>
      <c r="DV139" s="5">
        <f t="shared" si="402"/>
        <v>2.8571428571428572</v>
      </c>
      <c r="DW139" s="5">
        <f t="shared" si="403"/>
        <v>0.99575672743372479</v>
      </c>
      <c r="DX139" s="5">
        <f t="shared" si="404"/>
        <v>1.8613861297091323</v>
      </c>
      <c r="DY139" s="173">
        <f t="shared" si="405"/>
        <v>0.34851485460180365</v>
      </c>
      <c r="EA139" s="5">
        <f t="shared" si="406"/>
        <v>1.804809068473626</v>
      </c>
      <c r="EB139" s="5">
        <f t="shared" si="407"/>
        <v>0.90240453423681299</v>
      </c>
      <c r="EC139" s="5">
        <f t="shared" si="408"/>
        <v>0.37880840534431454</v>
      </c>
      <c r="ED139" s="5"/>
      <c r="EE139" s="173">
        <f t="shared" si="409"/>
        <v>0.53737273000756203</v>
      </c>
      <c r="EF139" s="173">
        <f t="shared" si="410"/>
        <v>0.73471217331390959</v>
      </c>
      <c r="EG139" s="173">
        <f t="shared" si="411"/>
        <v>0.18043666609326897</v>
      </c>
      <c r="EH139" s="173"/>
      <c r="EI139" s="528">
        <f t="shared" si="412"/>
        <v>5.7753890191156029E-3</v>
      </c>
      <c r="EJ139" s="528">
        <f t="shared" si="413"/>
        <v>0.37429624097097214</v>
      </c>
      <c r="EK139" s="528">
        <f t="shared" si="414"/>
        <v>4.0250000000000001E-2</v>
      </c>
      <c r="EL139" s="528">
        <f t="shared" si="415"/>
        <v>0.21969021375000006</v>
      </c>
      <c r="EM139">
        <f t="shared" si="416"/>
        <v>8.5500000000000003E-3</v>
      </c>
      <c r="EN139" s="460">
        <f t="shared" si="417"/>
        <v>48.800000000000004</v>
      </c>
      <c r="EP139" s="460">
        <f t="shared" si="439"/>
        <v>648.56184374008774</v>
      </c>
      <c r="EQ139" s="173">
        <f t="shared" si="418"/>
        <v>0.20299999999999999</v>
      </c>
      <c r="ER139" s="173">
        <f t="shared" si="419"/>
        <v>3.2171874999999996E-2</v>
      </c>
      <c r="ES139" s="528"/>
      <c r="EU139" s="460">
        <f t="shared" si="420"/>
        <v>235.17187499999997</v>
      </c>
      <c r="EV139" s="528">
        <f t="shared" si="421"/>
        <v>8.6630835286734039E-3</v>
      </c>
      <c r="EW139" s="528">
        <f t="shared" si="422"/>
        <v>1.619405932846945E-2</v>
      </c>
      <c r="EX139" s="528">
        <f t="shared" si="423"/>
        <v>1.627869523542692E-4</v>
      </c>
      <c r="EY139" s="528">
        <f t="shared" si="424"/>
        <v>0.35764662042896911</v>
      </c>
      <c r="EZ139" s="528"/>
      <c r="FA139" s="625">
        <f t="shared" si="425"/>
        <v>4.3500000000000006E-3</v>
      </c>
      <c r="FB139" s="460">
        <f t="shared" si="426"/>
        <v>387.01655023846627</v>
      </c>
      <c r="FC139" s="173">
        <f t="shared" si="427"/>
        <v>1.2707502689785539</v>
      </c>
      <c r="FD139" s="5">
        <f t="shared" si="428"/>
        <v>5.22</v>
      </c>
      <c r="FE139" s="173">
        <f t="shared" si="429"/>
        <v>0.80422135865373068</v>
      </c>
      <c r="FF139" s="5">
        <f t="shared" si="430"/>
        <v>80.422135865373065</v>
      </c>
      <c r="FG139">
        <f t="shared" si="431"/>
        <v>28.999999999999996</v>
      </c>
      <c r="FI139" s="562">
        <f t="shared" si="432"/>
        <v>-50</v>
      </c>
      <c r="FJ139">
        <f t="shared" si="433"/>
        <v>-50</v>
      </c>
    </row>
    <row r="140" spans="5:166">
      <c r="E140" s="170">
        <v>30</v>
      </c>
      <c r="F140" s="217">
        <f t="shared" si="434"/>
        <v>0.3</v>
      </c>
      <c r="G140" s="217">
        <f t="shared" si="313"/>
        <v>7.4999999999999997E-2</v>
      </c>
      <c r="H140" s="217">
        <f t="shared" si="314"/>
        <v>4.8</v>
      </c>
      <c r="I140" s="217">
        <f t="shared" si="315"/>
        <v>0.6</v>
      </c>
      <c r="J140" s="541">
        <f t="shared" si="316"/>
        <v>18.947959684486005</v>
      </c>
      <c r="K140" s="443">
        <f t="shared" si="317"/>
        <v>16.722959591833106</v>
      </c>
      <c r="L140" s="172">
        <f t="shared" si="318"/>
        <v>35.670919276319111</v>
      </c>
      <c r="M140" s="443"/>
      <c r="N140" s="217">
        <f t="shared" si="319"/>
        <v>0.46881212850981935</v>
      </c>
      <c r="O140" s="172">
        <f t="shared" si="320"/>
        <v>19.740074023560286</v>
      </c>
      <c r="P140" s="172">
        <f t="shared" si="321"/>
        <v>2.7759479095631652</v>
      </c>
      <c r="Q140" s="217">
        <f t="shared" si="322"/>
        <v>1.2337546264725179</v>
      </c>
      <c r="R140" s="217">
        <f t="shared" si="323"/>
        <v>2.4675092529450358</v>
      </c>
      <c r="S140" s="217">
        <f t="shared" si="324"/>
        <v>16</v>
      </c>
      <c r="T140" s="217">
        <f t="shared" si="325"/>
        <v>1.2158009119598732</v>
      </c>
      <c r="U140" s="217">
        <f t="shared" si="326"/>
        <v>0.76998321647601953</v>
      </c>
      <c r="V140" s="217">
        <f t="shared" si="327"/>
        <v>0.87242995854893535</v>
      </c>
      <c r="W140" s="197">
        <f t="shared" si="328"/>
        <v>350</v>
      </c>
      <c r="X140" s="443">
        <f t="shared" si="435"/>
        <v>350</v>
      </c>
      <c r="Z140" s="217">
        <f t="shared" si="329"/>
        <v>2.1150079310957448</v>
      </c>
      <c r="AA140" s="173">
        <f t="shared" si="330"/>
        <v>1.5176796328290876</v>
      </c>
      <c r="AB140" s="173">
        <f t="shared" si="331"/>
        <v>0.4993184716015997</v>
      </c>
      <c r="AC140" s="173"/>
      <c r="AD140" s="173">
        <f t="shared" si="332"/>
        <v>0.71757633175531743</v>
      </c>
      <c r="AE140" s="545">
        <f t="shared" si="333"/>
        <v>836.14797959165514</v>
      </c>
      <c r="AF140" s="528">
        <f t="shared" si="334"/>
        <v>0.12557585805718055</v>
      </c>
      <c r="AH140" s="173">
        <f t="shared" si="335"/>
        <v>1.6035674514745462</v>
      </c>
      <c r="AI140" s="173">
        <f t="shared" si="336"/>
        <v>1.6035674514745462</v>
      </c>
      <c r="AJ140" s="173">
        <f t="shared" si="337"/>
        <v>1.6470870010922565</v>
      </c>
      <c r="AL140" s="545">
        <f t="shared" si="338"/>
        <v>300</v>
      </c>
      <c r="AM140" s="460">
        <f t="shared" si="339"/>
        <v>350</v>
      </c>
      <c r="AO140" s="460">
        <f t="shared" si="340"/>
        <v>300</v>
      </c>
      <c r="AP140" s="460">
        <f t="shared" si="341"/>
        <v>350</v>
      </c>
      <c r="AR140" s="5">
        <f t="shared" si="443"/>
        <v>2.8571428571428572</v>
      </c>
      <c r="AS140" s="5">
        <f t="shared" si="440"/>
        <v>1.0155610281063647</v>
      </c>
      <c r="AT140" s="5">
        <f t="shared" si="441"/>
        <v>1.8415818290364925</v>
      </c>
      <c r="AU140" s="173">
        <f t="shared" si="442"/>
        <v>0.35544635983722767</v>
      </c>
      <c r="AW140" s="5">
        <f t="shared" si="342"/>
        <v>1.9041769276994338</v>
      </c>
      <c r="AX140" s="5">
        <f t="shared" si="343"/>
        <v>0.9520884638497169</v>
      </c>
      <c r="AY140" s="5">
        <f t="shared" si="344"/>
        <v>0.38876625445732221</v>
      </c>
      <c r="AZ140" s="5"/>
      <c r="BA140" s="173">
        <f t="shared" si="345"/>
        <v>0.55196766973429645</v>
      </c>
      <c r="BB140" s="173">
        <f t="shared" si="346"/>
        <v>0.74328631677903734</v>
      </c>
      <c r="BC140" s="173">
        <f t="shared" si="347"/>
        <v>0.18254237485602828</v>
      </c>
      <c r="BD140" s="173"/>
      <c r="BE140" s="528">
        <f t="shared" si="348"/>
        <v>6.093366168638187E-3</v>
      </c>
      <c r="BF140" s="528">
        <f t="shared" si="349"/>
        <v>0.36536963167641434</v>
      </c>
      <c r="BG140" s="528">
        <f t="shared" si="350"/>
        <v>0.15253107546011235</v>
      </c>
      <c r="BH140" s="528">
        <f t="shared" si="351"/>
        <v>0.21933244633779661</v>
      </c>
      <c r="BI140">
        <f t="shared" si="352"/>
        <v>8.5265818580187013E-3</v>
      </c>
      <c r="BJ140" s="460">
        <f t="shared" si="436"/>
        <v>161.05765731813105</v>
      </c>
      <c r="BK140">
        <f t="shared" si="353"/>
        <v>0.59329962263156344</v>
      </c>
      <c r="BL140" s="460">
        <f t="shared" si="437"/>
        <v>751.85310150098019</v>
      </c>
      <c r="BM140" s="173">
        <f t="shared" si="354"/>
        <v>0.18637499999999999</v>
      </c>
      <c r="BN140" s="173">
        <f t="shared" si="355"/>
        <v>4.6593749999999996E-2</v>
      </c>
      <c r="BO140" s="528"/>
      <c r="BQ140" s="460">
        <f t="shared" si="356"/>
        <v>232.96874999999997</v>
      </c>
      <c r="BR140" s="528">
        <f t="shared" si="357"/>
        <v>9.1400492529572792E-3</v>
      </c>
      <c r="BS140" s="528">
        <f t="shared" si="358"/>
        <v>1.6574236461328423E-2</v>
      </c>
      <c r="BT140" s="528">
        <f t="shared" si="359"/>
        <v>1.6660859309039375E-4</v>
      </c>
      <c r="BU140" s="528">
        <f t="shared" si="360"/>
        <v>0.37312830611733427</v>
      </c>
      <c r="BV140" s="528"/>
      <c r="BW140" s="625">
        <f t="shared" si="361"/>
        <v>4.4999999999999997E-3</v>
      </c>
      <c r="BX140" s="460">
        <f t="shared" si="362"/>
        <v>403.5092004247104</v>
      </c>
      <c r="BY140" s="173">
        <f t="shared" si="363"/>
        <v>1.3883310519256906</v>
      </c>
      <c r="BZ140" s="5">
        <f t="shared" si="364"/>
        <v>5.3999999999999995</v>
      </c>
      <c r="CA140" s="173">
        <f t="shared" si="365"/>
        <v>0.79548271271598436</v>
      </c>
      <c r="CB140" s="5">
        <f t="shared" si="366"/>
        <v>79.548271271598438</v>
      </c>
      <c r="CC140">
        <f t="shared" si="367"/>
        <v>30</v>
      </c>
      <c r="CE140" s="562">
        <f t="shared" si="368"/>
        <v>-50</v>
      </c>
      <c r="CF140">
        <f t="shared" si="369"/>
        <v>-50</v>
      </c>
      <c r="CG140" s="173">
        <f t="shared" si="370"/>
        <v>0.39199303129694268</v>
      </c>
      <c r="CH140" s="173">
        <f t="shared" si="371"/>
        <v>0.1385681013821094</v>
      </c>
      <c r="CI140" s="170">
        <v>30</v>
      </c>
      <c r="CJ140" s="217">
        <f t="shared" si="438"/>
        <v>0.3</v>
      </c>
      <c r="CK140" s="217">
        <f t="shared" si="372"/>
        <v>7.4999999999999997E-2</v>
      </c>
      <c r="CL140" s="217">
        <f t="shared" si="373"/>
        <v>4.8</v>
      </c>
      <c r="CM140" s="217">
        <f t="shared" si="374"/>
        <v>0.6</v>
      </c>
      <c r="CN140" s="541">
        <f t="shared" si="375"/>
        <v>19</v>
      </c>
      <c r="CO140" s="443">
        <f t="shared" si="376"/>
        <v>16.7</v>
      </c>
      <c r="CP140" s="443">
        <f t="shared" si="377"/>
        <v>35.700000000000003</v>
      </c>
      <c r="CQ140" s="443"/>
      <c r="CR140" s="217">
        <f t="shared" si="378"/>
        <v>0.4632768361581921</v>
      </c>
      <c r="CS140" s="172">
        <f t="shared" si="379"/>
        <v>19.560577526679221</v>
      </c>
      <c r="CT140" s="172">
        <f t="shared" si="380"/>
        <v>2.7507062146892656</v>
      </c>
      <c r="CU140" s="217">
        <f t="shared" si="381"/>
        <v>1.2225360954174513</v>
      </c>
      <c r="CV140" s="217">
        <f t="shared" si="382"/>
        <v>2.4450721908349027</v>
      </c>
      <c r="CW140" s="217">
        <f t="shared" si="383"/>
        <v>16</v>
      </c>
      <c r="CX140" s="217">
        <f t="shared" si="384"/>
        <v>1.2269576379974323</v>
      </c>
      <c r="CY140" s="217">
        <f t="shared" si="385"/>
        <v>0.77492061347206254</v>
      </c>
      <c r="CZ140" s="217">
        <f t="shared" si="386"/>
        <v>0.88164620694426277</v>
      </c>
      <c r="DA140" s="197">
        <f t="shared" si="387"/>
        <v>350</v>
      </c>
      <c r="DB140" s="443">
        <f t="shared" si="388"/>
        <v>350</v>
      </c>
      <c r="DD140" s="217">
        <f t="shared" si="389"/>
        <v>2.1161798052554355</v>
      </c>
      <c r="DE140" s="173">
        <f t="shared" si="390"/>
        <v>1.5206082432973189</v>
      </c>
      <c r="DF140" s="173">
        <f t="shared" si="391"/>
        <v>0.50055918207100247</v>
      </c>
      <c r="DG140" s="173"/>
      <c r="DH140" s="173">
        <f t="shared" si="392"/>
        <v>0.71856287425149712</v>
      </c>
      <c r="DI140" s="545">
        <f t="shared" si="393"/>
        <v>834.99999999999989</v>
      </c>
      <c r="DJ140" s="528">
        <f t="shared" si="394"/>
        <v>0.125748502994012</v>
      </c>
      <c r="DL140" s="173">
        <f t="shared" si="395"/>
        <v>1.6035674514745462</v>
      </c>
      <c r="DM140" s="173">
        <f t="shared" si="396"/>
        <v>1.6035674514745462</v>
      </c>
      <c r="DN140" s="173">
        <f t="shared" si="397"/>
        <v>1.6470870010922565</v>
      </c>
      <c r="DP140" s="545">
        <f t="shared" si="398"/>
        <v>300</v>
      </c>
      <c r="DQ140" s="460">
        <f t="shared" si="399"/>
        <v>350</v>
      </c>
      <c r="DS140" s="460">
        <f t="shared" si="400"/>
        <v>300</v>
      </c>
      <c r="DT140" s="460">
        <f t="shared" si="401"/>
        <v>350</v>
      </c>
      <c r="DV140" s="5">
        <f t="shared" si="402"/>
        <v>2.8571428571428572</v>
      </c>
      <c r="DW140" s="5">
        <f t="shared" si="403"/>
        <v>1.0127794430365555</v>
      </c>
      <c r="DX140" s="5">
        <f t="shared" si="404"/>
        <v>1.8443634141063017</v>
      </c>
      <c r="DY140" s="173">
        <f t="shared" si="405"/>
        <v>0.35447280506279444</v>
      </c>
      <c r="EA140" s="5">
        <f t="shared" si="406"/>
        <v>1.8989614556935417</v>
      </c>
      <c r="EB140" s="5">
        <f t="shared" si="407"/>
        <v>0.94948072784677084</v>
      </c>
      <c r="EC140" s="5">
        <f t="shared" si="408"/>
        <v>0.38828703454869501</v>
      </c>
      <c r="ED140" s="5"/>
      <c r="EE140" s="173">
        <f t="shared" si="409"/>
        <v>0.5512112416405951</v>
      </c>
      <c r="EF140" s="173">
        <f t="shared" si="410"/>
        <v>0.74384744688134163</v>
      </c>
      <c r="EG140" s="173">
        <f t="shared" si="411"/>
        <v>0.1826801818076236</v>
      </c>
      <c r="EH140" s="173"/>
      <c r="EI140" s="528">
        <f t="shared" si="412"/>
        <v>6.0766766582193302E-3</v>
      </c>
      <c r="EJ140" s="528">
        <f t="shared" si="413"/>
        <v>0.3806949308173147</v>
      </c>
      <c r="EK140" s="528">
        <f t="shared" si="414"/>
        <v>4.0250000000000001E-2</v>
      </c>
      <c r="EL140" s="528">
        <f t="shared" si="415"/>
        <v>0.21969021375000006</v>
      </c>
      <c r="EM140">
        <f t="shared" si="416"/>
        <v>8.5500000000000003E-3</v>
      </c>
      <c r="EN140" s="460">
        <f t="shared" si="417"/>
        <v>48.800000000000004</v>
      </c>
      <c r="EP140" s="460">
        <f t="shared" si="439"/>
        <v>655.26182122553405</v>
      </c>
      <c r="EQ140" s="173">
        <f t="shared" si="418"/>
        <v>0.21</v>
      </c>
      <c r="ER140" s="173">
        <f t="shared" si="419"/>
        <v>3.3281249999999998E-2</v>
      </c>
      <c r="ES140" s="528"/>
      <c r="EU140" s="460">
        <f t="shared" si="420"/>
        <v>243.28125</v>
      </c>
      <c r="EV140" s="528">
        <f t="shared" si="421"/>
        <v>9.115014987328994E-3</v>
      </c>
      <c r="EW140" s="528">
        <f t="shared" si="422"/>
        <v>1.6599270726956709E-2</v>
      </c>
      <c r="EX140" s="528">
        <f t="shared" si="423"/>
        <v>1.6686024412633206E-4</v>
      </c>
      <c r="EY140" s="528">
        <f t="shared" si="424"/>
        <v>0.37312830611733427</v>
      </c>
      <c r="EZ140" s="528"/>
      <c r="FA140" s="625">
        <f t="shared" si="425"/>
        <v>4.4999999999999997E-3</v>
      </c>
      <c r="FB140" s="460">
        <f t="shared" si="426"/>
        <v>403.50945207574631</v>
      </c>
      <c r="FC140" s="173">
        <f t="shared" si="427"/>
        <v>1.3020525233012803</v>
      </c>
      <c r="FD140" s="5">
        <f t="shared" si="428"/>
        <v>5.3999999999999995</v>
      </c>
      <c r="FE140" s="173">
        <f t="shared" si="429"/>
        <v>0.80572331852452883</v>
      </c>
      <c r="FF140" s="5">
        <f t="shared" si="430"/>
        <v>80.572331852452876</v>
      </c>
      <c r="FG140">
        <f t="shared" si="431"/>
        <v>30</v>
      </c>
      <c r="FI140" s="562">
        <f t="shared" si="432"/>
        <v>-50</v>
      </c>
      <c r="FJ140">
        <f t="shared" si="433"/>
        <v>-50</v>
      </c>
    </row>
    <row r="141" spans="5:166">
      <c r="E141" s="170">
        <v>31</v>
      </c>
      <c r="F141" s="217">
        <f t="shared" si="434"/>
        <v>0.31</v>
      </c>
      <c r="G141" s="217">
        <f t="shared" si="313"/>
        <v>7.7499999999999999E-2</v>
      </c>
      <c r="H141" s="217">
        <f t="shared" si="314"/>
        <v>4.96</v>
      </c>
      <c r="I141" s="217">
        <f t="shared" si="315"/>
        <v>0.62</v>
      </c>
      <c r="J141" s="541">
        <f t="shared" si="316"/>
        <v>18.947099455704539</v>
      </c>
      <c r="K141" s="443">
        <f t="shared" si="317"/>
        <v>16.723339114929967</v>
      </c>
      <c r="L141" s="172">
        <f t="shared" si="318"/>
        <v>35.670438570634502</v>
      </c>
      <c r="M141" s="443"/>
      <c r="N141" s="217">
        <f t="shared" si="319"/>
        <v>0.4688290860740178</v>
      </c>
      <c r="O141" s="172">
        <f t="shared" si="320"/>
        <v>19.739891825714398</v>
      </c>
      <c r="P141" s="172">
        <f t="shared" si="321"/>
        <v>2.7759222879910874</v>
      </c>
      <c r="Q141" s="217">
        <f t="shared" si="322"/>
        <v>1.2337432391071499</v>
      </c>
      <c r="R141" s="217">
        <f t="shared" si="323"/>
        <v>2.4674864782142998</v>
      </c>
      <c r="S141" s="217">
        <f t="shared" si="324"/>
        <v>16</v>
      </c>
      <c r="T141" s="217">
        <f t="shared" si="325"/>
        <v>1.2563392048427537</v>
      </c>
      <c r="U141" s="217">
        <f t="shared" si="326"/>
        <v>0.79569279157258999</v>
      </c>
      <c r="V141" s="217">
        <f t="shared" si="327"/>
        <v>0.9014988187767895</v>
      </c>
      <c r="W141" s="197">
        <f t="shared" si="328"/>
        <v>350</v>
      </c>
      <c r="X141" s="443">
        <f t="shared" si="435"/>
        <v>350</v>
      </c>
      <c r="Z141" s="217">
        <f t="shared" si="329"/>
        <v>2.1149884098979705</v>
      </c>
      <c r="AA141" s="173">
        <f t="shared" si="330"/>
        <v>1.5176311826456632</v>
      </c>
      <c r="AB141" s="173">
        <f t="shared" si="331"/>
        <v>0.49929792294593983</v>
      </c>
      <c r="AC141" s="173"/>
      <c r="AD141" s="173">
        <f t="shared" si="332"/>
        <v>0.71756004692190045</v>
      </c>
      <c r="AE141" s="545">
        <f t="shared" si="333"/>
        <v>864.03918760471504</v>
      </c>
      <c r="AF141" s="528">
        <f t="shared" si="334"/>
        <v>0.12557300821133258</v>
      </c>
      <c r="AH141" s="173">
        <f t="shared" si="335"/>
        <v>1.6300744943538186</v>
      </c>
      <c r="AI141" s="173">
        <f t="shared" si="336"/>
        <v>1.6300744943538186</v>
      </c>
      <c r="AJ141" s="173">
        <f t="shared" si="337"/>
        <v>1.6667218476694952</v>
      </c>
      <c r="AL141" s="545">
        <f t="shared" si="338"/>
        <v>310</v>
      </c>
      <c r="AM141" s="460">
        <f t="shared" si="339"/>
        <v>350</v>
      </c>
      <c r="AO141" s="460">
        <f t="shared" si="340"/>
        <v>310</v>
      </c>
      <c r="AP141" s="460">
        <f t="shared" si="341"/>
        <v>350</v>
      </c>
      <c r="AR141" s="5">
        <f t="shared" si="443"/>
        <v>2.8571428571428572</v>
      </c>
      <c r="AS141" s="5">
        <f t="shared" si="440"/>
        <v>1.0323951683462813</v>
      </c>
      <c r="AT141" s="5">
        <f t="shared" si="441"/>
        <v>1.8247476887965759</v>
      </c>
      <c r="AU141" s="173">
        <f t="shared" si="442"/>
        <v>0.36133830892119845</v>
      </c>
      <c r="AW141" s="5">
        <f t="shared" si="342"/>
        <v>2.0002656386709203</v>
      </c>
      <c r="AX141" s="5">
        <f t="shared" si="343"/>
        <v>1.0001328193354602</v>
      </c>
      <c r="AY141" s="5">
        <f t="shared" si="344"/>
        <v>0.3980709799227361</v>
      </c>
      <c r="AZ141" s="5"/>
      <c r="BA141" s="173">
        <f t="shared" si="345"/>
        <v>0.56572299068302612</v>
      </c>
      <c r="BB141" s="173">
        <f t="shared" si="346"/>
        <v>0.75211154992257545</v>
      </c>
      <c r="BC141" s="173">
        <f t="shared" si="347"/>
        <v>0.18470974828980896</v>
      </c>
      <c r="BD141" s="173"/>
      <c r="BE141" s="528">
        <f t="shared" si="348"/>
        <v>6.4008500437469449E-3</v>
      </c>
      <c r="BF141" s="528">
        <f t="shared" si="349"/>
        <v>0.37140420314354328</v>
      </c>
      <c r="BG141" s="528">
        <f t="shared" si="350"/>
        <v>0.15252415061842153</v>
      </c>
      <c r="BH141" s="528">
        <f t="shared" si="351"/>
        <v>0.21932653487571549</v>
      </c>
      <c r="BI141">
        <f t="shared" si="352"/>
        <v>8.5261947550670427E-3</v>
      </c>
      <c r="BJ141" s="460">
        <f t="shared" si="436"/>
        <v>161.0503453734886</v>
      </c>
      <c r="BK141">
        <f t="shared" si="353"/>
        <v>0.59977197596853671</v>
      </c>
      <c r="BL141" s="460">
        <f t="shared" si="437"/>
        <v>758.18193343649432</v>
      </c>
      <c r="BM141" s="173">
        <f t="shared" si="354"/>
        <v>0.19258749999999999</v>
      </c>
      <c r="BN141" s="173">
        <f t="shared" si="355"/>
        <v>4.8146874999999999E-2</v>
      </c>
      <c r="BO141" s="528"/>
      <c r="BQ141" s="460">
        <f t="shared" si="356"/>
        <v>240.734375</v>
      </c>
      <c r="BR141" s="528">
        <f t="shared" si="357"/>
        <v>9.6012750656204165E-3</v>
      </c>
      <c r="BS141" s="528">
        <f t="shared" si="358"/>
        <v>1.6970153505808161E-2</v>
      </c>
      <c r="BT141" s="528">
        <f t="shared" si="359"/>
        <v>1.7058845556642291E-4</v>
      </c>
      <c r="BU141" s="528">
        <f t="shared" si="360"/>
        <v>0.38873956599629</v>
      </c>
      <c r="BV141" s="528"/>
      <c r="BW141" s="625">
        <f t="shared" si="361"/>
        <v>4.6500000000000005E-3</v>
      </c>
      <c r="BX141" s="460">
        <f t="shared" si="362"/>
        <v>420.13158302328503</v>
      </c>
      <c r="BY141" s="173">
        <f t="shared" si="363"/>
        <v>1.4190478914597795</v>
      </c>
      <c r="BZ141" s="5">
        <f t="shared" si="364"/>
        <v>5.58</v>
      </c>
      <c r="CA141" s="173">
        <f t="shared" si="365"/>
        <v>0.79725129568104569</v>
      </c>
      <c r="CB141" s="5">
        <f t="shared" si="366"/>
        <v>79.725129568104563</v>
      </c>
      <c r="CC141">
        <f t="shared" si="367"/>
        <v>31</v>
      </c>
      <c r="CE141" s="562">
        <f t="shared" si="368"/>
        <v>-50</v>
      </c>
      <c r="CF141">
        <f t="shared" si="369"/>
        <v>-50</v>
      </c>
      <c r="CG141" s="173">
        <f t="shared" si="370"/>
        <v>0.39847269392629409</v>
      </c>
      <c r="CH141" s="173">
        <f t="shared" si="371"/>
        <v>0.140858638397972</v>
      </c>
      <c r="CI141" s="170">
        <v>31</v>
      </c>
      <c r="CJ141" s="217">
        <f t="shared" si="438"/>
        <v>0.31</v>
      </c>
      <c r="CK141" s="217">
        <f t="shared" si="372"/>
        <v>7.7499999999999999E-2</v>
      </c>
      <c r="CL141" s="217">
        <f t="shared" si="373"/>
        <v>4.96</v>
      </c>
      <c r="CM141" s="217">
        <f t="shared" si="374"/>
        <v>0.62</v>
      </c>
      <c r="CN141" s="541">
        <f t="shared" si="375"/>
        <v>19</v>
      </c>
      <c r="CO141" s="443">
        <f t="shared" si="376"/>
        <v>16.7</v>
      </c>
      <c r="CP141" s="443">
        <f t="shared" si="377"/>
        <v>35.700000000000003</v>
      </c>
      <c r="CQ141" s="443"/>
      <c r="CR141" s="217">
        <f t="shared" si="378"/>
        <v>0.4632768361581921</v>
      </c>
      <c r="CS141" s="172">
        <f t="shared" si="379"/>
        <v>19.560577526679221</v>
      </c>
      <c r="CT141" s="172">
        <f t="shared" si="380"/>
        <v>2.7507062146892656</v>
      </c>
      <c r="CU141" s="217">
        <f t="shared" si="381"/>
        <v>1.2225360954174513</v>
      </c>
      <c r="CV141" s="217">
        <f t="shared" si="382"/>
        <v>2.4450721908349027</v>
      </c>
      <c r="CW141" s="217">
        <f t="shared" si="383"/>
        <v>16</v>
      </c>
      <c r="CX141" s="217">
        <f t="shared" si="384"/>
        <v>1.2678562259306803</v>
      </c>
      <c r="CY141" s="217">
        <f t="shared" si="385"/>
        <v>0.80075130058779809</v>
      </c>
      <c r="CZ141" s="217">
        <f t="shared" si="386"/>
        <v>0.91103441384240502</v>
      </c>
      <c r="DA141" s="197">
        <f t="shared" si="387"/>
        <v>350</v>
      </c>
      <c r="DB141" s="443">
        <f t="shared" si="388"/>
        <v>350</v>
      </c>
      <c r="DD141" s="217">
        <f t="shared" si="389"/>
        <v>2.1161798052554355</v>
      </c>
      <c r="DE141" s="173">
        <f t="shared" si="390"/>
        <v>1.5206082432973189</v>
      </c>
      <c r="DF141" s="173">
        <f t="shared" si="391"/>
        <v>0.50055918207100247</v>
      </c>
      <c r="DG141" s="173"/>
      <c r="DH141" s="173">
        <f t="shared" si="392"/>
        <v>0.71856287425149712</v>
      </c>
      <c r="DI141" s="545">
        <f t="shared" si="393"/>
        <v>862.83333333333326</v>
      </c>
      <c r="DJ141" s="528">
        <f t="shared" si="394"/>
        <v>0.125748502994012</v>
      </c>
      <c r="DL141" s="173">
        <f t="shared" si="395"/>
        <v>1.6300744943538186</v>
      </c>
      <c r="DM141" s="173">
        <f t="shared" si="396"/>
        <v>1.6300744943538186</v>
      </c>
      <c r="DN141" s="173">
        <f t="shared" si="397"/>
        <v>1.6667218476694952</v>
      </c>
      <c r="DP141" s="545">
        <f t="shared" si="398"/>
        <v>310</v>
      </c>
      <c r="DQ141" s="460">
        <f t="shared" si="399"/>
        <v>350</v>
      </c>
      <c r="DS141" s="460">
        <f t="shared" si="400"/>
        <v>310</v>
      </c>
      <c r="DT141" s="460">
        <f t="shared" si="401"/>
        <v>350</v>
      </c>
      <c r="DV141" s="5">
        <f t="shared" si="402"/>
        <v>2.8571428571428572</v>
      </c>
      <c r="DW141" s="5">
        <f t="shared" si="403"/>
        <v>1.0295207332760958</v>
      </c>
      <c r="DX141" s="5">
        <f t="shared" si="404"/>
        <v>1.8276221238667614</v>
      </c>
      <c r="DY141" s="173">
        <f t="shared" si="405"/>
        <v>0.36033225664663354</v>
      </c>
      <c r="EA141" s="5">
        <f t="shared" si="406"/>
        <v>1.9946964207224358</v>
      </c>
      <c r="EB141" s="5">
        <f t="shared" si="407"/>
        <v>0.9973482103612179</v>
      </c>
      <c r="EC141" s="5">
        <f t="shared" si="408"/>
        <v>0.39758797080610242</v>
      </c>
      <c r="ED141" s="5"/>
      <c r="EE141" s="173">
        <f t="shared" si="409"/>
        <v>0.56493488767785416</v>
      </c>
      <c r="EF141" s="173">
        <f t="shared" si="410"/>
        <v>0.75270369894049016</v>
      </c>
      <c r="EG141" s="173">
        <f t="shared" si="411"/>
        <v>0.18485517312214977</v>
      </c>
      <c r="EH141" s="173"/>
      <c r="EI141" s="528">
        <f t="shared" si="412"/>
        <v>6.3830285463117942E-3</v>
      </c>
      <c r="EJ141" s="528">
        <f t="shared" si="413"/>
        <v>0.38698783533206832</v>
      </c>
      <c r="EK141" s="528">
        <f t="shared" si="414"/>
        <v>4.0250000000000001E-2</v>
      </c>
      <c r="EL141" s="528">
        <f t="shared" si="415"/>
        <v>0.21969021375000006</v>
      </c>
      <c r="EM141">
        <f t="shared" si="416"/>
        <v>8.5500000000000003E-3</v>
      </c>
      <c r="EN141" s="460">
        <f t="shared" si="417"/>
        <v>48.800000000000004</v>
      </c>
      <c r="EP141" s="460">
        <f t="shared" si="439"/>
        <v>661.86107762838014</v>
      </c>
      <c r="EQ141" s="173">
        <f t="shared" si="418"/>
        <v>0.217</v>
      </c>
      <c r="ER141" s="173">
        <f t="shared" si="419"/>
        <v>3.4390625000000001E-2</v>
      </c>
      <c r="ES141" s="528"/>
      <c r="EU141" s="460">
        <f t="shared" si="420"/>
        <v>251.39062499999997</v>
      </c>
      <c r="EV141" s="528">
        <f t="shared" si="421"/>
        <v>9.5745428194676917E-3</v>
      </c>
      <c r="EW141" s="528">
        <f t="shared" si="422"/>
        <v>1.6996885751960879E-2</v>
      </c>
      <c r="EX141" s="528">
        <f t="shared" si="423"/>
        <v>1.7085717515009983E-4</v>
      </c>
      <c r="EY141" s="528">
        <f t="shared" si="424"/>
        <v>0.38873956599629</v>
      </c>
      <c r="EZ141" s="528"/>
      <c r="FA141" s="625">
        <f t="shared" si="425"/>
        <v>4.6500000000000005E-3</v>
      </c>
      <c r="FB141" s="460">
        <f t="shared" si="426"/>
        <v>420.13185174286866</v>
      </c>
      <c r="FC141" s="173">
        <f t="shared" si="427"/>
        <v>1.3333835543712487</v>
      </c>
      <c r="FD141" s="5">
        <f t="shared" si="428"/>
        <v>5.58</v>
      </c>
      <c r="FE141" s="173">
        <f t="shared" si="429"/>
        <v>0.8071301058469168</v>
      </c>
      <c r="FF141" s="5">
        <f t="shared" si="430"/>
        <v>80.713010584691673</v>
      </c>
      <c r="FG141">
        <f t="shared" si="431"/>
        <v>31</v>
      </c>
      <c r="FI141" s="562">
        <f t="shared" si="432"/>
        <v>-50</v>
      </c>
      <c r="FJ141">
        <f t="shared" si="433"/>
        <v>-50</v>
      </c>
    </row>
    <row r="142" spans="5:166">
      <c r="E142" s="170">
        <v>32</v>
      </c>
      <c r="F142" s="217">
        <f t="shared" si="434"/>
        <v>0.32</v>
      </c>
      <c r="G142" s="217">
        <f t="shared" ref="G142:G173" si="444">IF(PLOT_TYPE=1, E142/100*Iout2, min_I*EXP(Q142*rr/100))</f>
        <v>0.08</v>
      </c>
      <c r="H142" s="217">
        <f t="shared" ref="H142:H173" si="445">F142*Vout</f>
        <v>5.12</v>
      </c>
      <c r="I142" s="217">
        <f t="shared" ref="I142:I173" si="446">Vout2*G142</f>
        <v>0.64</v>
      </c>
      <c r="J142" s="541">
        <f t="shared" ref="J142:J173" si="447">VIN_min-(F142/CG142/Nps+G142/CH142/(Nps/Nsec1sec2))*(Rdcr_pri+RON/1000)</f>
        <v>18.946252993248777</v>
      </c>
      <c r="K142" s="443">
        <f t="shared" ref="K142:K173" si="448">MAX((S142+Vfwd2+Rdcr_sec*F142/CG142)*Nps,(Vout2+Vfwd22+Rdcr_sec2*G142/CH142)*Nps/Nsec1sec2)</f>
        <v>16.723712564481424</v>
      </c>
      <c r="L142" s="172">
        <f t="shared" ref="L142:L173" si="449">MAX((Vout+Vfwd2+F142/CG142*Rdcr_sec)*Nps+J142, (Vout2+Vfwd22+G142/CH142*Rdcr_sec2)*Nps/Nsec1sec2+J142)</f>
        <v>35.669965557730201</v>
      </c>
      <c r="M142" s="443"/>
      <c r="N142" s="217">
        <f t="shared" ref="N142:N173" si="450">MAX((Vout+Vfwd2+F142/CG142*Rdcr_sec)*Nps/((Vout+Vfwd2+F142/CG142*Rdcr_sec)*Nps+J142), (Vout2+Vfwd22+G142/CH142*Rdcr_sec2)*Nps/Nsec1sec2/((Vout2+Vfwd22+G142/CH142*Rdcr_sec2)*Nps/Nsec1sec2+J142))</f>
        <v>0.46884577271079397</v>
      </c>
      <c r="O142" s="172">
        <f t="shared" ref="O142:O173" si="451">N142*J142*Isw_max*0.5*Efficiency*Pout/(Pout+Pout2)</f>
        <v>19.739712499097593</v>
      </c>
      <c r="P142" s="172">
        <f t="shared" ref="P142:P173" si="452">N142*J142*Isw_max*0.5*Efficiency*(Pout2/Pout_total)</f>
        <v>2.7758970701855992</v>
      </c>
      <c r="Q142" s="217">
        <f t="shared" si="322"/>
        <v>1.2337320311935995</v>
      </c>
      <c r="R142" s="217">
        <f t="shared" ref="R142:R173" si="453">O142/Vout2</f>
        <v>2.4674640623871991</v>
      </c>
      <c r="S142" s="217">
        <f t="shared" ref="S142:S173" si="454">MIN(Vout,O142/F142)</f>
        <v>16</v>
      </c>
      <c r="T142" s="217">
        <f t="shared" ref="T142:T173" si="455">MIN(2*(Vout*F142+Vout2*G142)/(Efficiency*J142*N142), Isw_max)</f>
        <v>1.2968780574271439</v>
      </c>
      <c r="U142" s="217">
        <f t="shared" si="326"/>
        <v>0.82140445895403247</v>
      </c>
      <c r="V142" s="217">
        <f t="shared" si="327"/>
        <v>0.93056709920847036</v>
      </c>
      <c r="W142" s="197">
        <f t="shared" si="328"/>
        <v>350</v>
      </c>
      <c r="X142" s="443">
        <f t="shared" si="435"/>
        <v>350</v>
      </c>
      <c r="Z142" s="217">
        <f t="shared" si="329"/>
        <v>2.1149691963318848</v>
      </c>
      <c r="AA142" s="173">
        <f t="shared" si="330"/>
        <v>1.5175835065405887</v>
      </c>
      <c r="AB142" s="173">
        <f t="shared" ref="AB142:AB173" si="456">0.5*AA142*Z142*Nps*W142/1000*(Pout/(Pout+Pout2))</f>
        <v>0.49927770187472681</v>
      </c>
      <c r="AC142" s="173"/>
      <c r="AD142" s="173">
        <f t="shared" si="332"/>
        <v>0.71754402341775125</v>
      </c>
      <c r="AE142" s="545">
        <f t="shared" ref="AE142:AE173" si="457">MAX(10, F142/(0.5*AD142/1000000*Isw_min*Nps)/1000*Pout_total/Pout)</f>
        <v>891.93133677234255</v>
      </c>
      <c r="AF142" s="528">
        <f t="shared" ref="AF142:AF173" si="458">0.5*AD142/1000000*Isw_min*Nps*W142*1000*(Pout/Pout_total)</f>
        <v>0.12557020409810649</v>
      </c>
      <c r="AH142" s="173">
        <f t="shared" ref="AH142:AH173" si="459">SQRT((H142+I142)/(0.5*L*Fsw_DCM))</f>
        <v>1.65615734242165</v>
      </c>
      <c r="AI142" s="173">
        <f t="shared" ref="AI142:AI173" si="460">MAX(IF(F142&gt;AB142,T142,AH142),Isw_min)</f>
        <v>1.65615734242165</v>
      </c>
      <c r="AJ142" s="173">
        <f t="shared" ref="AJ142:AJ173" si="461">IF(F142&gt;AF142, (AI142-Isw_min)/1.08*0.8+1.2, AE142*0.2/350+1)</f>
        <v>1.6860424758678889</v>
      </c>
      <c r="AL142" s="545">
        <f t="shared" ref="AL142:AL173" si="462">F142*1000</f>
        <v>320</v>
      </c>
      <c r="AM142" s="460">
        <f t="shared" ref="AM142:AM173" si="463">IF(F142&gt;AF142, X142, AE142)</f>
        <v>350</v>
      </c>
      <c r="AO142" s="460">
        <f t="shared" si="340"/>
        <v>320</v>
      </c>
      <c r="AP142" s="460">
        <f t="shared" si="341"/>
        <v>350</v>
      </c>
      <c r="AR142" s="5">
        <f t="shared" si="443"/>
        <v>2.8571428571428572</v>
      </c>
      <c r="AS142" s="5">
        <f t="shared" si="440"/>
        <v>1.0489614023491385</v>
      </c>
      <c r="AT142" s="5">
        <f t="shared" si="441"/>
        <v>1.8081814547937187</v>
      </c>
      <c r="AU142" s="173">
        <f t="shared" si="442"/>
        <v>0.36713649082219846</v>
      </c>
      <c r="AW142" s="5">
        <f t="shared" si="342"/>
        <v>2.097922804698277</v>
      </c>
      <c r="AX142" s="5">
        <f t="shared" si="343"/>
        <v>1.0489614023491385</v>
      </c>
      <c r="AY142" s="5">
        <f t="shared" si="344"/>
        <v>0.40719964750825904</v>
      </c>
      <c r="AZ142" s="5"/>
      <c r="BA142" s="173">
        <f t="shared" si="345"/>
        <v>0.57936831873319083</v>
      </c>
      <c r="BB142" s="173">
        <f t="shared" si="346"/>
        <v>0.76066948508139187</v>
      </c>
      <c r="BC142" s="173">
        <f t="shared" si="347"/>
        <v>0.18681147648322419</v>
      </c>
      <c r="BD142" s="173"/>
      <c r="BE142" s="528">
        <f t="shared" si="348"/>
        <v>6.7133529750344843E-3</v>
      </c>
      <c r="BF142" s="528">
        <f t="shared" ref="BF142:BF173" si="464">0.5*L142*AI142*AM142*1000*Tfall</f>
        <v>0.37734204387708881</v>
      </c>
      <c r="BG142" s="528">
        <f t="shared" ref="BG142:BG173" si="465">Qg*Vdd*AM142*1000*0+Qg*J142*AM142*1000</f>
        <v>0.15251733659565264</v>
      </c>
      <c r="BH142" s="528">
        <f t="shared" si="351"/>
        <v>0.21932071809310494</v>
      </c>
      <c r="BI142">
        <f t="shared" si="352"/>
        <v>8.5258138469619486E-3</v>
      </c>
      <c r="BJ142" s="460">
        <f t="shared" si="436"/>
        <v>161.04315044261458</v>
      </c>
      <c r="BK142">
        <f t="shared" ref="BK142:BK173" si="466">(BF142+BG142*0+BH142+BI142*0+BE142*(1+RdsonTC*(Ta-25)))/(1-BE142*RdsonTC*ThetaJA)</f>
        <v>0.60615559459240309</v>
      </c>
      <c r="BL142" s="460">
        <f t="shared" si="437"/>
        <v>764.41926538784276</v>
      </c>
      <c r="BM142" s="173">
        <f t="shared" ref="BM142:BM173" si="467">Vfwd2*F142*(1+Diode_TC/1000*(Ta-25))</f>
        <v>0.19879999999999998</v>
      </c>
      <c r="BN142" s="173">
        <f t="shared" ref="BN142:BN173" si="468">Vfwd2*G142*(1+Diode_TC/1000*(Ta-25))</f>
        <v>4.9699999999999994E-2</v>
      </c>
      <c r="BO142" s="528"/>
      <c r="BQ142" s="460">
        <f t="shared" si="356"/>
        <v>248.49999999999997</v>
      </c>
      <c r="BR142" s="528">
        <f t="shared" si="357"/>
        <v>1.0070029462551726E-2</v>
      </c>
      <c r="BS142" s="528">
        <f t="shared" si="358"/>
        <v>1.7358541966019696E-2</v>
      </c>
      <c r="BT142" s="528">
        <f t="shared" si="359"/>
        <v>1.7449263872921115E-4</v>
      </c>
      <c r="BU142" s="528">
        <f t="shared" si="360"/>
        <v>0.40447725141691182</v>
      </c>
      <c r="BV142" s="528"/>
      <c r="BW142" s="625">
        <f t="shared" ref="BW142:BW173" si="469">0.5*Lleak*0.000000001*AI142^2*AM142*1000</f>
        <v>4.7999999999999996E-3</v>
      </c>
      <c r="BX142" s="460">
        <f t="shared" si="362"/>
        <v>436.88031548421247</v>
      </c>
      <c r="BY142" s="173">
        <f t="shared" si="363"/>
        <v>1.449799580872055</v>
      </c>
      <c r="BZ142" s="5">
        <f t="shared" si="364"/>
        <v>5.76</v>
      </c>
      <c r="CA142" s="173">
        <f t="shared" si="365"/>
        <v>0.79891263763857689</v>
      </c>
      <c r="CB142" s="5">
        <f t="shared" si="366"/>
        <v>79.891263763857694</v>
      </c>
      <c r="CC142">
        <f t="shared" si="367"/>
        <v>32</v>
      </c>
      <c r="CE142" s="562">
        <f t="shared" ref="CE142:CE173" si="470">IF(ABS(F142-Ioutmax_Vinmin)&lt;Iout/200, AM142, -50)</f>
        <v>-50</v>
      </c>
      <c r="CF142">
        <f t="shared" ref="CF142:CF173" si="471">IF(ABS(F142-Ioutmax_Vinmin)&lt;Iout/200, (O142+P142)*CA142, -50)</f>
        <v>-50</v>
      </c>
      <c r="CG142" s="173">
        <f t="shared" si="370"/>
        <v>0.40484866187797919</v>
      </c>
      <c r="CH142" s="173">
        <f t="shared" ref="CH142:CH173" si="472">MIN(SQRT(2*DT142*1000*Ls2_*(CM142+CK142*Vfwd22))/(Vout2+Vfwd22), 1-DY142)</f>
        <v>0.14311251972493083</v>
      </c>
      <c r="CI142" s="170">
        <v>32</v>
      </c>
      <c r="CJ142" s="217">
        <f t="shared" si="438"/>
        <v>0.32</v>
      </c>
      <c r="CK142" s="217">
        <f t="shared" si="372"/>
        <v>0.08</v>
      </c>
      <c r="CL142" s="217">
        <f t="shared" si="373"/>
        <v>5.12</v>
      </c>
      <c r="CM142" s="217">
        <f t="shared" si="374"/>
        <v>0.64</v>
      </c>
      <c r="CN142" s="541">
        <f t="shared" si="375"/>
        <v>19</v>
      </c>
      <c r="CO142" s="443">
        <f t="shared" ref="CO142:CO173" si="473">(CW142+Vfwd2)*Nps</f>
        <v>16.7</v>
      </c>
      <c r="CP142" s="443">
        <f t="shared" ref="CP142:CP173" si="474">(Vout+Vfwd2)*Nps+CN142</f>
        <v>35.700000000000003</v>
      </c>
      <c r="CQ142" s="443"/>
      <c r="CR142" s="217">
        <f t="shared" si="378"/>
        <v>0.4632768361581921</v>
      </c>
      <c r="CS142" s="172">
        <f t="shared" si="379"/>
        <v>19.560577526679221</v>
      </c>
      <c r="CT142" s="172">
        <f t="shared" si="380"/>
        <v>2.7507062146892656</v>
      </c>
      <c r="CU142" s="217">
        <f t="shared" si="381"/>
        <v>1.2225360954174513</v>
      </c>
      <c r="CV142" s="217">
        <f t="shared" si="382"/>
        <v>2.4450721908349027</v>
      </c>
      <c r="CW142" s="217">
        <f t="shared" si="383"/>
        <v>16</v>
      </c>
      <c r="CX142" s="217">
        <f t="shared" si="384"/>
        <v>1.308754813863928</v>
      </c>
      <c r="CY142" s="217">
        <f t="shared" si="385"/>
        <v>0.82658198770353342</v>
      </c>
      <c r="CZ142" s="217">
        <f t="shared" si="386"/>
        <v>0.94042262074054706</v>
      </c>
      <c r="DA142" s="197">
        <f t="shared" si="387"/>
        <v>350</v>
      </c>
      <c r="DB142" s="443">
        <f t="shared" si="388"/>
        <v>350</v>
      </c>
      <c r="DD142" s="217">
        <f t="shared" si="389"/>
        <v>2.1161798052554355</v>
      </c>
      <c r="DE142" s="173">
        <f t="shared" si="390"/>
        <v>1.5206082432973189</v>
      </c>
      <c r="DF142" s="173">
        <f t="shared" si="391"/>
        <v>0.50055918207100247</v>
      </c>
      <c r="DG142" s="173"/>
      <c r="DH142" s="173">
        <f t="shared" si="392"/>
        <v>0.71856287425149712</v>
      </c>
      <c r="DI142" s="545">
        <f t="shared" si="393"/>
        <v>890.66666666666663</v>
      </c>
      <c r="DJ142" s="528">
        <f t="shared" si="394"/>
        <v>0.125748502994012</v>
      </c>
      <c r="DL142" s="173">
        <f t="shared" si="395"/>
        <v>1.65615734242165</v>
      </c>
      <c r="DM142" s="173">
        <f t="shared" si="396"/>
        <v>1.65615734242165</v>
      </c>
      <c r="DN142" s="173">
        <f t="shared" si="397"/>
        <v>1.6860424758678889</v>
      </c>
      <c r="DP142" s="545">
        <f t="shared" si="398"/>
        <v>320</v>
      </c>
      <c r="DQ142" s="460">
        <f t="shared" si="399"/>
        <v>350</v>
      </c>
      <c r="DS142" s="460">
        <f t="shared" si="400"/>
        <v>320</v>
      </c>
      <c r="DT142" s="460">
        <f t="shared" si="401"/>
        <v>350</v>
      </c>
      <c r="DV142" s="5">
        <f t="shared" si="402"/>
        <v>2.8571428571428572</v>
      </c>
      <c r="DW142" s="5">
        <f t="shared" si="403"/>
        <v>1.0459941110031474</v>
      </c>
      <c r="DX142" s="5">
        <f t="shared" si="404"/>
        <v>1.8111487461397098</v>
      </c>
      <c r="DY142" s="173">
        <f t="shared" si="405"/>
        <v>0.36609793885110159</v>
      </c>
      <c r="EA142" s="5">
        <f t="shared" si="406"/>
        <v>2.0919882220062949</v>
      </c>
      <c r="EB142" s="5">
        <f t="shared" si="407"/>
        <v>1.0459941110031474</v>
      </c>
      <c r="EC142" s="5">
        <f t="shared" si="408"/>
        <v>0.40671410439628564</v>
      </c>
      <c r="ED142" s="5"/>
      <c r="EE142" s="173">
        <f t="shared" si="409"/>
        <v>0.57854828279151183</v>
      </c>
      <c r="EF142" s="173">
        <f t="shared" si="410"/>
        <v>0.76129337233730532</v>
      </c>
      <c r="EG142" s="173">
        <f t="shared" si="411"/>
        <v>0.18696469585342645</v>
      </c>
      <c r="EH142" s="173"/>
      <c r="EI142" s="528">
        <f t="shared" si="412"/>
        <v>6.6943623104201433E-3</v>
      </c>
      <c r="EJ142" s="528">
        <f t="shared" si="413"/>
        <v>0.39318003387761186</v>
      </c>
      <c r="EK142" s="528">
        <f t="shared" si="414"/>
        <v>4.0250000000000001E-2</v>
      </c>
      <c r="EL142" s="528">
        <f t="shared" si="415"/>
        <v>0.21969021375000006</v>
      </c>
      <c r="EM142">
        <f t="shared" si="416"/>
        <v>8.5500000000000003E-3</v>
      </c>
      <c r="EN142" s="460">
        <f t="shared" si="417"/>
        <v>48.800000000000004</v>
      </c>
      <c r="EP142" s="460">
        <f t="shared" si="439"/>
        <v>668.364609938032</v>
      </c>
      <c r="EQ142" s="173">
        <f t="shared" si="418"/>
        <v>0.22399999999999998</v>
      </c>
      <c r="ER142" s="173">
        <f t="shared" ref="ER142:ER173" si="475">Vfwd22*CK142*(1+Diode_TC/1000*(Ta-25))</f>
        <v>3.5499999999999997E-2</v>
      </c>
      <c r="ES142" s="528"/>
      <c r="EU142" s="460">
        <f t="shared" si="420"/>
        <v>259.49999999999994</v>
      </c>
      <c r="EV142" s="528">
        <f t="shared" si="421"/>
        <v>1.0041543465630215E-2</v>
      </c>
      <c r="EW142" s="528">
        <f t="shared" si="422"/>
        <v>1.7387027962941209E-2</v>
      </c>
      <c r="EX142" s="528">
        <f t="shared" si="423"/>
        <v>1.747789874778213E-4</v>
      </c>
      <c r="EY142" s="528">
        <f t="shared" si="424"/>
        <v>0.40447725141691182</v>
      </c>
      <c r="EZ142" s="528"/>
      <c r="FA142" s="625">
        <f t="shared" si="425"/>
        <v>4.7999999999999996E-3</v>
      </c>
      <c r="FB142" s="460">
        <f t="shared" si="426"/>
        <v>436.88060183296108</v>
      </c>
      <c r="FC142" s="173">
        <f t="shared" si="427"/>
        <v>1.3647452117709931</v>
      </c>
      <c r="FD142" s="5">
        <f t="shared" si="428"/>
        <v>5.76</v>
      </c>
      <c r="FE142" s="173">
        <f t="shared" si="429"/>
        <v>0.80844996260129287</v>
      </c>
      <c r="FF142" s="5">
        <f t="shared" si="430"/>
        <v>80.844996260129292</v>
      </c>
      <c r="FG142">
        <f t="shared" si="431"/>
        <v>32</v>
      </c>
      <c r="FI142" s="562">
        <f t="shared" si="432"/>
        <v>-50</v>
      </c>
      <c r="FJ142">
        <f t="shared" si="433"/>
        <v>-50</v>
      </c>
    </row>
    <row r="143" spans="5:166">
      <c r="E143" s="170">
        <v>33</v>
      </c>
      <c r="F143" s="217">
        <f t="shared" ref="F143:F174" si="476">IF(PLOT_TYPE=1, E143/100*Iout_max, min_I*EXP(O143*rr/100))</f>
        <v>0.33</v>
      </c>
      <c r="G143" s="217">
        <f t="shared" si="444"/>
        <v>8.2500000000000004E-2</v>
      </c>
      <c r="H143" s="217">
        <f t="shared" si="445"/>
        <v>5.28</v>
      </c>
      <c r="I143" s="217">
        <f t="shared" si="446"/>
        <v>0.66</v>
      </c>
      <c r="J143" s="541">
        <f t="shared" si="447"/>
        <v>18.945419656627354</v>
      </c>
      <c r="K143" s="443">
        <f t="shared" si="448"/>
        <v>16.724080223064938</v>
      </c>
      <c r="L143" s="172">
        <f t="shared" si="449"/>
        <v>35.669499879692296</v>
      </c>
      <c r="M143" s="443"/>
      <c r="N143" s="217">
        <f t="shared" si="450"/>
        <v>0.46886220102532061</v>
      </c>
      <c r="O143" s="172">
        <f t="shared" si="451"/>
        <v>19.739535910121496</v>
      </c>
      <c r="P143" s="172">
        <f t="shared" si="452"/>
        <v>2.7758722373608355</v>
      </c>
      <c r="Q143" s="217">
        <f t="shared" si="322"/>
        <v>1.2337209943825935</v>
      </c>
      <c r="R143" s="217">
        <f t="shared" si="453"/>
        <v>2.4674419887651871</v>
      </c>
      <c r="S143" s="217">
        <f t="shared" si="454"/>
        <v>16</v>
      </c>
      <c r="T143" s="217">
        <f t="shared" si="455"/>
        <v>1.3374174610895149</v>
      </c>
      <c r="U143" s="217">
        <f t="shared" si="326"/>
        <v>0.84711818602867561</v>
      </c>
      <c r="V143" s="217">
        <f t="shared" si="327"/>
        <v>0.95963480915023724</v>
      </c>
      <c r="W143" s="197">
        <f t="shared" si="328"/>
        <v>350</v>
      </c>
      <c r="X143" s="443">
        <f t="shared" si="435"/>
        <v>350</v>
      </c>
      <c r="Z143" s="217">
        <f t="shared" si="329"/>
        <v>2.1149502760844463</v>
      </c>
      <c r="AA143" s="173">
        <f t="shared" si="330"/>
        <v>1.5175365684990836</v>
      </c>
      <c r="AB143" s="173">
        <f t="shared" si="456"/>
        <v>0.49925779314683683</v>
      </c>
      <c r="AC143" s="173"/>
      <c r="AD143" s="173">
        <f t="shared" si="332"/>
        <v>0.71752824908423096</v>
      </c>
      <c r="AE143" s="545">
        <f t="shared" si="457"/>
        <v>919.82441226857168</v>
      </c>
      <c r="AF143" s="528">
        <f t="shared" si="458"/>
        <v>0.12556744358974042</v>
      </c>
      <c r="AH143" s="173">
        <f t="shared" si="459"/>
        <v>1.6818357317441643</v>
      </c>
      <c r="AI143" s="173">
        <f t="shared" si="460"/>
        <v>1.6818357317441643</v>
      </c>
      <c r="AJ143" s="173">
        <f t="shared" si="461"/>
        <v>1.7050635049956773</v>
      </c>
      <c r="AL143" s="545">
        <f t="shared" si="462"/>
        <v>330</v>
      </c>
      <c r="AM143" s="460">
        <f t="shared" si="463"/>
        <v>350</v>
      </c>
      <c r="AO143" s="460">
        <f t="shared" si="340"/>
        <v>330</v>
      </c>
      <c r="AP143" s="460">
        <f t="shared" si="341"/>
        <v>350</v>
      </c>
      <c r="AR143" s="5">
        <f t="shared" si="443"/>
        <v>2.8571428571428572</v>
      </c>
      <c r="AS143" s="5">
        <f t="shared" si="440"/>
        <v>1.0652721949006834</v>
      </c>
      <c r="AT143" s="5">
        <f t="shared" si="441"/>
        <v>1.7918706622421738</v>
      </c>
      <c r="AU143" s="173">
        <f t="shared" si="442"/>
        <v>0.37284526821523917</v>
      </c>
      <c r="AW143" s="5">
        <f t="shared" si="342"/>
        <v>2.1971239019826596</v>
      </c>
      <c r="AX143" s="5">
        <f t="shared" si="343"/>
        <v>1.0985619509913298</v>
      </c>
      <c r="AY143" s="5">
        <f t="shared" si="344"/>
        <v>0.41615498926715816</v>
      </c>
      <c r="AZ143" s="5"/>
      <c r="BA143" s="173">
        <f t="shared" si="345"/>
        <v>0.59290793915853879</v>
      </c>
      <c r="BB143" s="173">
        <f t="shared" si="346"/>
        <v>0.76897159800601045</v>
      </c>
      <c r="BC143" s="173">
        <f t="shared" si="347"/>
        <v>0.18885037774559371</v>
      </c>
      <c r="BD143" s="173"/>
      <c r="BE143" s="528">
        <f t="shared" si="348"/>
        <v>7.0307964863445104E-3</v>
      </c>
      <c r="BF143" s="528">
        <f t="shared" si="464"/>
        <v>0.38318765436621943</v>
      </c>
      <c r="BG143" s="528">
        <f t="shared" si="465"/>
        <v>0.15251062823585021</v>
      </c>
      <c r="BH143" s="528">
        <f t="shared" si="351"/>
        <v>0.21931499158491266</v>
      </c>
      <c r="BI143">
        <f t="shared" si="352"/>
        <v>8.5254388454823089E-3</v>
      </c>
      <c r="BJ143" s="460">
        <f t="shared" si="436"/>
        <v>161.03606708133253</v>
      </c>
      <c r="BK143">
        <f t="shared" si="466"/>
        <v>0.61245487391754838</v>
      </c>
      <c r="BL143" s="460">
        <f t="shared" si="437"/>
        <v>770.56950951880913</v>
      </c>
      <c r="BM143" s="173">
        <f t="shared" si="467"/>
        <v>0.20501249999999999</v>
      </c>
      <c r="BN143" s="173">
        <f t="shared" si="468"/>
        <v>5.1253124999999997E-2</v>
      </c>
      <c r="BO143" s="528"/>
      <c r="BQ143" s="460">
        <f t="shared" si="356"/>
        <v>256.265625</v>
      </c>
      <c r="BR143" s="528">
        <f t="shared" si="357"/>
        <v>1.0546194729516765E-2</v>
      </c>
      <c r="BS143" s="528">
        <f t="shared" si="358"/>
        <v>1.7739519556197517E-2</v>
      </c>
      <c r="BT143" s="528">
        <f t="shared" si="359"/>
        <v>1.7832232587326719E-4</v>
      </c>
      <c r="BU143" s="528">
        <f t="shared" si="360"/>
        <v>0.42033838668761875</v>
      </c>
      <c r="BV143" s="528"/>
      <c r="BW143" s="625">
        <f t="shared" si="469"/>
        <v>4.9500000000000013E-3</v>
      </c>
      <c r="BX143" s="460">
        <f t="shared" si="362"/>
        <v>453.75242329920627</v>
      </c>
      <c r="BY143" s="173">
        <f t="shared" si="363"/>
        <v>1.4805875578180152</v>
      </c>
      <c r="BZ143" s="5">
        <f t="shared" si="364"/>
        <v>5.94</v>
      </c>
      <c r="CA143" s="173">
        <f t="shared" si="365"/>
        <v>0.80047569733772217</v>
      </c>
      <c r="CB143" s="5">
        <f t="shared" si="366"/>
        <v>80.047569733772221</v>
      </c>
      <c r="CC143">
        <f t="shared" si="367"/>
        <v>33</v>
      </c>
      <c r="CE143" s="562">
        <f t="shared" si="470"/>
        <v>-50</v>
      </c>
      <c r="CF143">
        <f t="shared" si="471"/>
        <v>-50</v>
      </c>
      <c r="CG143" s="173">
        <f t="shared" si="370"/>
        <v>0.41112575964527259</v>
      </c>
      <c r="CH143" s="173">
        <f t="shared" si="472"/>
        <v>0.14533145080369494</v>
      </c>
      <c r="CI143" s="170">
        <v>33</v>
      </c>
      <c r="CJ143" s="217">
        <f t="shared" si="438"/>
        <v>0.33</v>
      </c>
      <c r="CK143" s="217">
        <f t="shared" si="372"/>
        <v>8.2500000000000004E-2</v>
      </c>
      <c r="CL143" s="217">
        <f t="shared" si="373"/>
        <v>5.28</v>
      </c>
      <c r="CM143" s="217">
        <f t="shared" si="374"/>
        <v>0.66</v>
      </c>
      <c r="CN143" s="541">
        <f t="shared" si="375"/>
        <v>19</v>
      </c>
      <c r="CO143" s="443">
        <f t="shared" si="473"/>
        <v>16.7</v>
      </c>
      <c r="CP143" s="443">
        <f t="shared" si="474"/>
        <v>35.700000000000003</v>
      </c>
      <c r="CQ143" s="443"/>
      <c r="CR143" s="217">
        <f t="shared" si="378"/>
        <v>0.4632768361581921</v>
      </c>
      <c r="CS143" s="172">
        <f t="shared" si="379"/>
        <v>19.560577526679221</v>
      </c>
      <c r="CT143" s="172">
        <f t="shared" si="380"/>
        <v>2.7507062146892656</v>
      </c>
      <c r="CU143" s="217">
        <f t="shared" si="381"/>
        <v>1.2225360954174513</v>
      </c>
      <c r="CV143" s="217">
        <f t="shared" si="382"/>
        <v>2.4450721908349027</v>
      </c>
      <c r="CW143" s="217">
        <f t="shared" si="383"/>
        <v>16</v>
      </c>
      <c r="CX143" s="217">
        <f t="shared" si="384"/>
        <v>1.3496534017971757</v>
      </c>
      <c r="CY143" s="217">
        <f t="shared" si="385"/>
        <v>0.85241267481926886</v>
      </c>
      <c r="CZ143" s="217">
        <f t="shared" si="386"/>
        <v>0.96981082763868931</v>
      </c>
      <c r="DA143" s="197">
        <f t="shared" si="387"/>
        <v>350</v>
      </c>
      <c r="DB143" s="443">
        <f t="shared" si="388"/>
        <v>350</v>
      </c>
      <c r="DD143" s="217">
        <f t="shared" si="389"/>
        <v>2.1161798052554355</v>
      </c>
      <c r="DE143" s="173">
        <f t="shared" si="390"/>
        <v>1.5206082432973189</v>
      </c>
      <c r="DF143" s="173">
        <f t="shared" si="391"/>
        <v>0.50055918207100247</v>
      </c>
      <c r="DG143" s="173"/>
      <c r="DH143" s="173">
        <f t="shared" si="392"/>
        <v>0.71856287425149712</v>
      </c>
      <c r="DI143" s="545">
        <f t="shared" si="393"/>
        <v>918.49999999999989</v>
      </c>
      <c r="DJ143" s="528">
        <f t="shared" si="394"/>
        <v>0.125748502994012</v>
      </c>
      <c r="DL143" s="173">
        <f t="shared" si="395"/>
        <v>1.6818357317441643</v>
      </c>
      <c r="DM143" s="173">
        <f t="shared" si="396"/>
        <v>1.6818357317441643</v>
      </c>
      <c r="DN143" s="173">
        <f t="shared" si="397"/>
        <v>1.7050635049956773</v>
      </c>
      <c r="DP143" s="545">
        <f t="shared" si="398"/>
        <v>330</v>
      </c>
      <c r="DQ143" s="460">
        <f t="shared" si="399"/>
        <v>350</v>
      </c>
      <c r="DS143" s="460">
        <f t="shared" si="400"/>
        <v>330</v>
      </c>
      <c r="DT143" s="460">
        <f t="shared" si="401"/>
        <v>350</v>
      </c>
      <c r="DV143" s="5">
        <f t="shared" si="402"/>
        <v>2.8571428571428572</v>
      </c>
      <c r="DW143" s="5">
        <f t="shared" si="403"/>
        <v>1.0622120411015774</v>
      </c>
      <c r="DX143" s="5">
        <f t="shared" si="404"/>
        <v>1.7949308160412798</v>
      </c>
      <c r="DY143" s="173">
        <f t="shared" si="405"/>
        <v>0.37177421438555208</v>
      </c>
      <c r="EA143" s="5">
        <f t="shared" si="406"/>
        <v>2.1908123347720032</v>
      </c>
      <c r="EB143" s="5">
        <f t="shared" si="407"/>
        <v>1.0954061673860016</v>
      </c>
      <c r="EC143" s="5">
        <f t="shared" si="408"/>
        <v>0.41566818897798047</v>
      </c>
      <c r="ED143" s="5"/>
      <c r="EE143" s="173">
        <f t="shared" si="409"/>
        <v>0.59205571829306791</v>
      </c>
      <c r="EF143" s="173">
        <f t="shared" si="410"/>
        <v>0.76962794212114105</v>
      </c>
      <c r="EG143" s="173">
        <f t="shared" si="411"/>
        <v>0.18901156813857434</v>
      </c>
      <c r="EH143" s="173"/>
      <c r="EI143" s="528">
        <f t="shared" si="412"/>
        <v>7.0105994712704126E-3</v>
      </c>
      <c r="EJ143" s="528">
        <f t="shared" si="413"/>
        <v>0.3992762118947234</v>
      </c>
      <c r="EK143" s="528">
        <f t="shared" si="414"/>
        <v>4.0250000000000001E-2</v>
      </c>
      <c r="EL143" s="528">
        <f t="shared" si="415"/>
        <v>0.21969021375000006</v>
      </c>
      <c r="EM143">
        <f t="shared" si="416"/>
        <v>8.5500000000000003E-3</v>
      </c>
      <c r="EN143" s="460">
        <f t="shared" si="417"/>
        <v>48.800000000000004</v>
      </c>
      <c r="EP143" s="460">
        <f t="shared" si="439"/>
        <v>674.77702511599375</v>
      </c>
      <c r="EQ143" s="173">
        <f t="shared" si="418"/>
        <v>0.23099999999999998</v>
      </c>
      <c r="ER143" s="173">
        <f t="shared" si="475"/>
        <v>3.6609375E-2</v>
      </c>
      <c r="ES143" s="528"/>
      <c r="EU143" s="460">
        <f t="shared" si="420"/>
        <v>267.609375</v>
      </c>
      <c r="EV143" s="528">
        <f t="shared" si="421"/>
        <v>1.0515899206905618E-2</v>
      </c>
      <c r="EW143" s="528">
        <f t="shared" si="422"/>
        <v>1.7769815078808673E-2</v>
      </c>
      <c r="EX143" s="528">
        <f t="shared" si="423"/>
        <v>1.7862686445101466E-4</v>
      </c>
      <c r="EY143" s="528">
        <f t="shared" si="424"/>
        <v>0.42033838668761875</v>
      </c>
      <c r="EZ143" s="528"/>
      <c r="FA143" s="625">
        <f t="shared" si="425"/>
        <v>4.9500000000000013E-3</v>
      </c>
      <c r="FB143" s="460">
        <f t="shared" si="426"/>
        <v>453.75272783778411</v>
      </c>
      <c r="FC143" s="173">
        <f t="shared" si="427"/>
        <v>1.396139127953778</v>
      </c>
      <c r="FD143" s="5">
        <f t="shared" si="428"/>
        <v>5.94</v>
      </c>
      <c r="FE143" s="173">
        <f t="shared" si="429"/>
        <v>0.80969020576042505</v>
      </c>
      <c r="FF143" s="5">
        <f t="shared" si="430"/>
        <v>80.96902057604251</v>
      </c>
      <c r="FG143">
        <f t="shared" si="431"/>
        <v>33</v>
      </c>
      <c r="FI143" s="562">
        <f t="shared" si="432"/>
        <v>-50</v>
      </c>
      <c r="FJ143">
        <f t="shared" si="433"/>
        <v>-50</v>
      </c>
    </row>
    <row r="144" spans="5:166">
      <c r="E144" s="170">
        <v>34</v>
      </c>
      <c r="F144" s="217">
        <f t="shared" si="476"/>
        <v>0.34</v>
      </c>
      <c r="G144" s="217">
        <f t="shared" si="444"/>
        <v>8.5000000000000006E-2</v>
      </c>
      <c r="H144" s="217">
        <f t="shared" si="445"/>
        <v>5.44</v>
      </c>
      <c r="I144" s="217">
        <f t="shared" si="446"/>
        <v>0.68</v>
      </c>
      <c r="J144" s="541">
        <f t="shared" si="447"/>
        <v>18.944598853525981</v>
      </c>
      <c r="K144" s="443">
        <f t="shared" si="448"/>
        <v>16.724442352002796</v>
      </c>
      <c r="L144" s="172">
        <f t="shared" si="449"/>
        <v>35.669041205528778</v>
      </c>
      <c r="M144" s="443"/>
      <c r="N144" s="217">
        <f t="shared" si="450"/>
        <v>0.4688783826746224</v>
      </c>
      <c r="O144" s="172">
        <f t="shared" si="451"/>
        <v>19.739361935246151</v>
      </c>
      <c r="P144" s="172">
        <f t="shared" si="452"/>
        <v>2.7758477721439903</v>
      </c>
      <c r="Q144" s="217">
        <f t="shared" si="322"/>
        <v>1.2337101209528845</v>
      </c>
      <c r="R144" s="217">
        <f t="shared" si="453"/>
        <v>2.4674202419057689</v>
      </c>
      <c r="S144" s="217">
        <f t="shared" si="454"/>
        <v>16</v>
      </c>
      <c r="T144" s="217">
        <f t="shared" si="455"/>
        <v>1.3779574076015246</v>
      </c>
      <c r="U144" s="217">
        <f t="shared" si="326"/>
        <v>0.87283394169841189</v>
      </c>
      <c r="V144" s="217">
        <f t="shared" si="327"/>
        <v>0.98870195748189649</v>
      </c>
      <c r="W144" s="197">
        <f t="shared" si="328"/>
        <v>350</v>
      </c>
      <c r="X144" s="443">
        <f t="shared" si="435"/>
        <v>350</v>
      </c>
      <c r="Z144" s="217">
        <f t="shared" si="329"/>
        <v>2.1149316359192301</v>
      </c>
      <c r="AA144" s="173">
        <f t="shared" si="330"/>
        <v>1.5174903352153646</v>
      </c>
      <c r="AB144" s="173">
        <f t="shared" si="456"/>
        <v>0.49923818266756803</v>
      </c>
      <c r="AC144" s="173"/>
      <c r="AD144" s="173">
        <f t="shared" si="332"/>
        <v>0.71751271267726113</v>
      </c>
      <c r="AE144" s="545">
        <f t="shared" si="457"/>
        <v>947.71839994682523</v>
      </c>
      <c r="AF144" s="528">
        <f t="shared" si="458"/>
        <v>0.1255647247185207</v>
      </c>
      <c r="AH144" s="173">
        <f t="shared" si="459"/>
        <v>1.7071279138616748</v>
      </c>
      <c r="AI144" s="173">
        <f t="shared" si="460"/>
        <v>1.7071279138616748</v>
      </c>
      <c r="AJ144" s="173">
        <f t="shared" si="461"/>
        <v>1.7237984547123517</v>
      </c>
      <c r="AL144" s="545">
        <f t="shared" si="462"/>
        <v>340</v>
      </c>
      <c r="AM144" s="460">
        <f t="shared" si="463"/>
        <v>350</v>
      </c>
      <c r="AO144" s="460">
        <f t="shared" si="340"/>
        <v>340</v>
      </c>
      <c r="AP144" s="460">
        <f t="shared" si="341"/>
        <v>350</v>
      </c>
      <c r="AR144" s="5">
        <f t="shared" si="443"/>
        <v>2.8571428571428572</v>
      </c>
      <c r="AS144" s="5">
        <f t="shared" si="440"/>
        <v>1.0813390731959107</v>
      </c>
      <c r="AT144" s="5">
        <f t="shared" si="441"/>
        <v>1.7758037839469465</v>
      </c>
      <c r="AU144" s="173">
        <f t="shared" si="442"/>
        <v>0.37846867561856873</v>
      </c>
      <c r="AW144" s="5">
        <f t="shared" si="342"/>
        <v>2.2978455305413101</v>
      </c>
      <c r="AX144" s="5">
        <f t="shared" si="343"/>
        <v>1.1489227652706551</v>
      </c>
      <c r="AY144" s="5">
        <f t="shared" si="344"/>
        <v>0.42493961204820274</v>
      </c>
      <c r="AZ144" s="5"/>
      <c r="BA144" s="173">
        <f t="shared" si="345"/>
        <v>0.60634584593828089</v>
      </c>
      <c r="BB144" s="173">
        <f t="shared" si="346"/>
        <v>0.77702849789564465</v>
      </c>
      <c r="BC144" s="173">
        <f t="shared" si="347"/>
        <v>0.19082905757143037</v>
      </c>
      <c r="BD144" s="173"/>
      <c r="BE144" s="528">
        <f t="shared" si="348"/>
        <v>7.3531056977321901E-3</v>
      </c>
      <c r="BF144" s="528">
        <f t="shared" si="464"/>
        <v>0.38894519657811594</v>
      </c>
      <c r="BG144" s="528">
        <f t="shared" si="465"/>
        <v>0.15250402077088415</v>
      </c>
      <c r="BH144" s="528">
        <f t="shared" si="351"/>
        <v>0.21930935127742976</v>
      </c>
      <c r="BI144">
        <f t="shared" si="352"/>
        <v>8.5250694840866906E-3</v>
      </c>
      <c r="BJ144" s="460">
        <f t="shared" si="436"/>
        <v>161.02909025497084</v>
      </c>
      <c r="BK144">
        <f t="shared" si="466"/>
        <v>0.61867387592961298</v>
      </c>
      <c r="BL144" s="460">
        <f t="shared" si="437"/>
        <v>776.63674380824875</v>
      </c>
      <c r="BM144" s="173">
        <f t="shared" si="467"/>
        <v>0.21122499999999997</v>
      </c>
      <c r="BN144" s="173">
        <f t="shared" si="468"/>
        <v>5.2806249999999992E-2</v>
      </c>
      <c r="BO144" s="528"/>
      <c r="BQ144" s="460">
        <f t="shared" si="356"/>
        <v>264.03124999999994</v>
      </c>
      <c r="BR144" s="528">
        <f t="shared" si="357"/>
        <v>1.1029658546598283E-2</v>
      </c>
      <c r="BS144" s="528">
        <f t="shared" si="358"/>
        <v>1.8113198596258855E-2</v>
      </c>
      <c r="BT144" s="528">
        <f t="shared" si="359"/>
        <v>1.8207864606800141E-4</v>
      </c>
      <c r="BU144" s="528">
        <f t="shared" si="360"/>
        <v>0.43632015459641132</v>
      </c>
      <c r="BV144" s="528"/>
      <c r="BW144" s="625">
        <f t="shared" si="469"/>
        <v>5.0999999999999995E-3</v>
      </c>
      <c r="BX144" s="460">
        <f t="shared" si="362"/>
        <v>470.74509038533648</v>
      </c>
      <c r="BY144" s="173">
        <f t="shared" si="363"/>
        <v>1.5114130841935853</v>
      </c>
      <c r="BZ144" s="5">
        <f t="shared" si="364"/>
        <v>6.12</v>
      </c>
      <c r="CA144" s="173">
        <f t="shared" si="365"/>
        <v>0.80194846386653207</v>
      </c>
      <c r="CB144" s="5">
        <f t="shared" si="366"/>
        <v>80.194846386653211</v>
      </c>
      <c r="CC144">
        <f t="shared" si="367"/>
        <v>34</v>
      </c>
      <c r="CE144" s="562">
        <f t="shared" si="470"/>
        <v>-50</v>
      </c>
      <c r="CF144">
        <f t="shared" si="471"/>
        <v>-50</v>
      </c>
      <c r="CG144" s="173">
        <f t="shared" si="370"/>
        <v>0.41730844882821949</v>
      </c>
      <c r="CH144" s="173">
        <f t="shared" si="472"/>
        <v>0.14751700879354521</v>
      </c>
      <c r="CI144" s="170">
        <v>34</v>
      </c>
      <c r="CJ144" s="217">
        <f t="shared" si="438"/>
        <v>0.34</v>
      </c>
      <c r="CK144" s="217">
        <f t="shared" si="372"/>
        <v>8.5000000000000006E-2</v>
      </c>
      <c r="CL144" s="217">
        <f t="shared" si="373"/>
        <v>5.44</v>
      </c>
      <c r="CM144" s="217">
        <f t="shared" si="374"/>
        <v>0.68</v>
      </c>
      <c r="CN144" s="541">
        <f t="shared" si="375"/>
        <v>19</v>
      </c>
      <c r="CO144" s="443">
        <f t="shared" si="473"/>
        <v>16.7</v>
      </c>
      <c r="CP144" s="443">
        <f t="shared" si="474"/>
        <v>35.700000000000003</v>
      </c>
      <c r="CQ144" s="443"/>
      <c r="CR144" s="217">
        <f t="shared" si="378"/>
        <v>0.4632768361581921</v>
      </c>
      <c r="CS144" s="172">
        <f t="shared" si="379"/>
        <v>19.560577526679221</v>
      </c>
      <c r="CT144" s="172">
        <f t="shared" si="380"/>
        <v>2.7507062146892656</v>
      </c>
      <c r="CU144" s="217">
        <f t="shared" si="381"/>
        <v>1.2225360954174513</v>
      </c>
      <c r="CV144" s="217">
        <f t="shared" si="382"/>
        <v>2.4450721908349027</v>
      </c>
      <c r="CW144" s="217">
        <f t="shared" si="383"/>
        <v>16</v>
      </c>
      <c r="CX144" s="217">
        <f t="shared" si="384"/>
        <v>1.3905519897304235</v>
      </c>
      <c r="CY144" s="217">
        <f t="shared" si="385"/>
        <v>0.8782433619350043</v>
      </c>
      <c r="CZ144" s="217">
        <f t="shared" si="386"/>
        <v>0.99919903453683123</v>
      </c>
      <c r="DA144" s="197">
        <f t="shared" si="387"/>
        <v>350</v>
      </c>
      <c r="DB144" s="443">
        <f t="shared" si="388"/>
        <v>350</v>
      </c>
      <c r="DD144" s="217">
        <f t="shared" si="389"/>
        <v>2.1161798052554355</v>
      </c>
      <c r="DE144" s="173">
        <f t="shared" si="390"/>
        <v>1.5206082432973189</v>
      </c>
      <c r="DF144" s="173">
        <f t="shared" si="391"/>
        <v>0.50055918207100247</v>
      </c>
      <c r="DG144" s="173"/>
      <c r="DH144" s="173">
        <f t="shared" si="392"/>
        <v>0.71856287425149712</v>
      </c>
      <c r="DI144" s="545">
        <f t="shared" si="393"/>
        <v>946.33333333333326</v>
      </c>
      <c r="DJ144" s="528">
        <f t="shared" si="394"/>
        <v>0.125748502994012</v>
      </c>
      <c r="DL144" s="173">
        <f t="shared" si="395"/>
        <v>1.7071279138616748</v>
      </c>
      <c r="DM144" s="173">
        <f t="shared" si="396"/>
        <v>1.7071279138616748</v>
      </c>
      <c r="DN144" s="173">
        <f t="shared" si="397"/>
        <v>1.7237984547123517</v>
      </c>
      <c r="DP144" s="545">
        <f t="shared" si="398"/>
        <v>340</v>
      </c>
      <c r="DQ144" s="460">
        <f t="shared" si="399"/>
        <v>350</v>
      </c>
      <c r="DS144" s="460">
        <f t="shared" si="400"/>
        <v>340</v>
      </c>
      <c r="DT144" s="460">
        <f t="shared" si="401"/>
        <v>350</v>
      </c>
      <c r="DV144" s="5">
        <f t="shared" si="402"/>
        <v>2.8571428571428572</v>
      </c>
      <c r="DW144" s="5">
        <f t="shared" si="403"/>
        <v>1.0781860508600052</v>
      </c>
      <c r="DX144" s="5">
        <f t="shared" si="404"/>
        <v>1.778956806282852</v>
      </c>
      <c r="DY144" s="173">
        <f t="shared" si="405"/>
        <v>0.37736511780100179</v>
      </c>
      <c r="EA144" s="5">
        <f t="shared" si="406"/>
        <v>2.291145358077511</v>
      </c>
      <c r="EB144" s="5">
        <f t="shared" si="407"/>
        <v>1.1455726790387555</v>
      </c>
      <c r="EC144" s="5">
        <f t="shared" si="408"/>
        <v>0.42445285202538219</v>
      </c>
      <c r="ED144" s="5"/>
      <c r="EE144" s="173">
        <f t="shared" si="409"/>
        <v>0.60546119387818875</v>
      </c>
      <c r="EF144" s="173">
        <f t="shared" si="410"/>
        <v>0.77771801710913813</v>
      </c>
      <c r="EG144" s="173">
        <f t="shared" si="411"/>
        <v>0.19099839537827362</v>
      </c>
      <c r="EH144" s="173"/>
      <c r="EI144" s="528">
        <f t="shared" si="412"/>
        <v>7.3316651458480335E-3</v>
      </c>
      <c r="EJ144" s="528">
        <f t="shared" si="413"/>
        <v>0.40528070239033098</v>
      </c>
      <c r="EK144" s="528">
        <f t="shared" si="414"/>
        <v>4.0250000000000001E-2</v>
      </c>
      <c r="EL144" s="528">
        <f t="shared" si="415"/>
        <v>0.21969021375000006</v>
      </c>
      <c r="EM144">
        <f t="shared" si="416"/>
        <v>8.5500000000000003E-3</v>
      </c>
      <c r="EN144" s="460">
        <f t="shared" si="417"/>
        <v>48.800000000000004</v>
      </c>
      <c r="EP144" s="460">
        <f t="shared" si="439"/>
        <v>681.10258128617909</v>
      </c>
      <c r="EQ144" s="173">
        <f t="shared" si="418"/>
        <v>0.23799999999999999</v>
      </c>
      <c r="ER144" s="173">
        <f t="shared" si="475"/>
        <v>3.7718750000000002E-2</v>
      </c>
      <c r="ES144" s="528"/>
      <c r="EU144" s="460">
        <f t="shared" si="420"/>
        <v>275.71875</v>
      </c>
      <c r="EV144" s="528">
        <f t="shared" si="421"/>
        <v>1.0997497718772049E-2</v>
      </c>
      <c r="EW144" s="528">
        <f t="shared" si="422"/>
        <v>1.814535942408509E-2</v>
      </c>
      <c r="EX144" s="528">
        <f t="shared" si="423"/>
        <v>1.8240193518537665E-4</v>
      </c>
      <c r="EY144" s="528">
        <f t="shared" si="424"/>
        <v>0.43632015459641132</v>
      </c>
      <c r="EZ144" s="528"/>
      <c r="FA144" s="625">
        <f t="shared" si="425"/>
        <v>5.0999999999999995E-3</v>
      </c>
      <c r="FB144" s="460">
        <f t="shared" si="426"/>
        <v>470.7454136744538</v>
      </c>
      <c r="FC144" s="173">
        <f t="shared" si="427"/>
        <v>1.4275667449606331</v>
      </c>
      <c r="FD144" s="5">
        <f t="shared" si="428"/>
        <v>6.12</v>
      </c>
      <c r="FE144" s="173">
        <f t="shared" si="429"/>
        <v>0.81085735400567438</v>
      </c>
      <c r="FF144" s="5">
        <f t="shared" si="430"/>
        <v>81.085735400567444</v>
      </c>
      <c r="FG144">
        <f t="shared" si="431"/>
        <v>34</v>
      </c>
      <c r="FI144" s="562">
        <f t="shared" si="432"/>
        <v>-50</v>
      </c>
      <c r="FJ144">
        <f t="shared" si="433"/>
        <v>-50</v>
      </c>
    </row>
    <row r="145" spans="5:166">
      <c r="E145" s="170">
        <v>35</v>
      </c>
      <c r="F145" s="217">
        <f t="shared" si="476"/>
        <v>0.35</v>
      </c>
      <c r="G145" s="217">
        <f t="shared" si="444"/>
        <v>8.7499999999999994E-2</v>
      </c>
      <c r="H145" s="217">
        <f t="shared" si="445"/>
        <v>5.6</v>
      </c>
      <c r="I145" s="217">
        <f t="shared" si="446"/>
        <v>0.7</v>
      </c>
      <c r="J145" s="541">
        <f t="shared" si="447"/>
        <v>18.943790034881744</v>
      </c>
      <c r="K145" s="443">
        <f t="shared" si="448"/>
        <v>16.724799193535272</v>
      </c>
      <c r="L145" s="172">
        <f t="shared" si="449"/>
        <v>35.668589228417019</v>
      </c>
      <c r="M145" s="443"/>
      <c r="N145" s="217">
        <f t="shared" si="450"/>
        <v>0.46889432846451612</v>
      </c>
      <c r="O145" s="172">
        <f t="shared" si="451"/>
        <v>19.739190459952596</v>
      </c>
      <c r="P145" s="172">
        <f t="shared" si="452"/>
        <v>2.7758236584308338</v>
      </c>
      <c r="Q145" s="217">
        <f t="shared" si="322"/>
        <v>1.2336994037470372</v>
      </c>
      <c r="R145" s="217">
        <f t="shared" si="453"/>
        <v>2.4673988074940745</v>
      </c>
      <c r="S145" s="217">
        <f t="shared" si="454"/>
        <v>16</v>
      </c>
      <c r="T145" s="217">
        <f t="shared" si="455"/>
        <v>1.4184978891007287</v>
      </c>
      <c r="U145" s="217">
        <f t="shared" si="326"/>
        <v>0.89855169624798914</v>
      </c>
      <c r="V145" s="217">
        <f t="shared" si="327"/>
        <v>1.0177685526884139</v>
      </c>
      <c r="W145" s="197">
        <f t="shared" si="328"/>
        <v>350</v>
      </c>
      <c r="X145" s="443">
        <f t="shared" si="435"/>
        <v>350</v>
      </c>
      <c r="Z145" s="217">
        <f t="shared" si="329"/>
        <v>2.1149132635663497</v>
      </c>
      <c r="AA145" s="173">
        <f t="shared" si="330"/>
        <v>1.5174447758156679</v>
      </c>
      <c r="AB145" s="173">
        <f t="shared" si="456"/>
        <v>0.49921885737142563</v>
      </c>
      <c r="AC145" s="173"/>
      <c r="AD145" s="173">
        <f t="shared" si="332"/>
        <v>0.71749740377381788</v>
      </c>
      <c r="AE145" s="545">
        <f t="shared" si="457"/>
        <v>975.61328628955744</v>
      </c>
      <c r="AF145" s="528">
        <f t="shared" si="458"/>
        <v>0.12556204566041812</v>
      </c>
      <c r="AH145" s="173">
        <f t="shared" si="459"/>
        <v>1.7320508075688772</v>
      </c>
      <c r="AI145" s="173">
        <f t="shared" si="460"/>
        <v>1.7320508075688772</v>
      </c>
      <c r="AJ145" s="173">
        <f t="shared" si="461"/>
        <v>1.7422598574584276</v>
      </c>
      <c r="AL145" s="545">
        <f t="shared" si="462"/>
        <v>350</v>
      </c>
      <c r="AM145" s="460">
        <f t="shared" si="463"/>
        <v>350</v>
      </c>
      <c r="AO145" s="460">
        <f t="shared" si="340"/>
        <v>350</v>
      </c>
      <c r="AP145" s="460">
        <f t="shared" si="341"/>
        <v>350</v>
      </c>
      <c r="AR145" s="5">
        <f t="shared" si="443"/>
        <v>2.8571428571428572</v>
      </c>
      <c r="AS145" s="5">
        <f t="shared" si="440"/>
        <v>1.0971727226999048</v>
      </c>
      <c r="AT145" s="5">
        <f t="shared" si="441"/>
        <v>1.7599701344429524</v>
      </c>
      <c r="AU145" s="173">
        <f t="shared" si="442"/>
        <v>0.38401045294496666</v>
      </c>
      <c r="AW145" s="5">
        <f t="shared" si="342"/>
        <v>2.4000653309060413</v>
      </c>
      <c r="AX145" s="5">
        <f t="shared" si="343"/>
        <v>1.2000326654530207</v>
      </c>
      <c r="AY145" s="5">
        <f t="shared" si="344"/>
        <v>0.43355600677639405</v>
      </c>
      <c r="AZ145" s="5"/>
      <c r="BA145" s="173">
        <f t="shared" si="345"/>
        <v>0.61968576951949339</v>
      </c>
      <c r="BB145" s="173">
        <f t="shared" si="346"/>
        <v>0.78485001564313761</v>
      </c>
      <c r="BC145" s="173">
        <f t="shared" si="347"/>
        <v>0.19274993031235879</v>
      </c>
      <c r="BD145" s="173"/>
      <c r="BE145" s="528">
        <f t="shared" si="348"/>
        <v>7.6802090588993337E-3</v>
      </c>
      <c r="BF145" s="528">
        <f t="shared" si="464"/>
        <v>0.39461852856897844</v>
      </c>
      <c r="BG145" s="528">
        <f t="shared" si="465"/>
        <v>0.15249750978079804</v>
      </c>
      <c r="BH145" s="528">
        <f t="shared" si="351"/>
        <v>0.21930379339441361</v>
      </c>
      <c r="BI145">
        <f t="shared" si="352"/>
        <v>8.5247055156967844E-3</v>
      </c>
      <c r="BJ145" s="460">
        <f t="shared" si="436"/>
        <v>161.02221529649484</v>
      </c>
      <c r="BK145">
        <f t="shared" si="466"/>
        <v>0.62481636341014635</v>
      </c>
      <c r="BL145" s="460">
        <f t="shared" si="437"/>
        <v>782.62474631878626</v>
      </c>
      <c r="BM145" s="173">
        <f t="shared" si="467"/>
        <v>0.21743749999999995</v>
      </c>
      <c r="BN145" s="173">
        <f t="shared" si="468"/>
        <v>5.4359374999999988E-2</v>
      </c>
      <c r="BO145" s="528"/>
      <c r="BQ145" s="460">
        <f t="shared" si="356"/>
        <v>271.79687499999994</v>
      </c>
      <c r="BR145" s="528">
        <f t="shared" si="357"/>
        <v>1.1520313588348999E-2</v>
      </c>
      <c r="BS145" s="528">
        <f t="shared" si="358"/>
        <v>1.8479686411651E-2</v>
      </c>
      <c r="BT145" s="528">
        <f t="shared" si="359"/>
        <v>1.8576267817709585E-4</v>
      </c>
      <c r="BU145" s="528">
        <f t="shared" si="360"/>
        <v>0.45241988353713841</v>
      </c>
      <c r="BV145" s="528"/>
      <c r="BW145" s="625">
        <f t="shared" si="469"/>
        <v>5.2499999999999995E-3</v>
      </c>
      <c r="BX145" s="460">
        <f t="shared" si="362"/>
        <v>487.85564621531546</v>
      </c>
      <c r="BY145" s="173">
        <f t="shared" si="363"/>
        <v>1.5422772675341019</v>
      </c>
      <c r="BZ145" s="5">
        <f t="shared" si="364"/>
        <v>6.3</v>
      </c>
      <c r="CA145" s="173">
        <f t="shared" si="365"/>
        <v>0.80333808472713564</v>
      </c>
      <c r="CB145" s="5">
        <f t="shared" si="366"/>
        <v>80.333808472713571</v>
      </c>
      <c r="CC145">
        <f t="shared" si="367"/>
        <v>35</v>
      </c>
      <c r="CE145" s="562">
        <f t="shared" si="470"/>
        <v>-50</v>
      </c>
      <c r="CF145">
        <f t="shared" si="471"/>
        <v>-50</v>
      </c>
      <c r="CG145" s="173">
        <f t="shared" si="370"/>
        <v>0.42340086523639375</v>
      </c>
      <c r="CH145" s="173">
        <f t="shared" si="472"/>
        <v>0.14967065568802379</v>
      </c>
      <c r="CI145" s="170">
        <v>35</v>
      </c>
      <c r="CJ145" s="217">
        <f t="shared" si="438"/>
        <v>0.35</v>
      </c>
      <c r="CK145" s="217">
        <f t="shared" si="372"/>
        <v>8.7499999999999994E-2</v>
      </c>
      <c r="CL145" s="217">
        <f t="shared" si="373"/>
        <v>5.6</v>
      </c>
      <c r="CM145" s="217">
        <f t="shared" si="374"/>
        <v>0.7</v>
      </c>
      <c r="CN145" s="541">
        <f t="shared" si="375"/>
        <v>19</v>
      </c>
      <c r="CO145" s="443">
        <f t="shared" si="473"/>
        <v>16.7</v>
      </c>
      <c r="CP145" s="443">
        <f t="shared" si="474"/>
        <v>35.700000000000003</v>
      </c>
      <c r="CQ145" s="443"/>
      <c r="CR145" s="217">
        <f t="shared" si="378"/>
        <v>0.4632768361581921</v>
      </c>
      <c r="CS145" s="172">
        <f t="shared" si="379"/>
        <v>19.560577526679221</v>
      </c>
      <c r="CT145" s="172">
        <f t="shared" si="380"/>
        <v>2.7507062146892656</v>
      </c>
      <c r="CU145" s="217">
        <f t="shared" si="381"/>
        <v>1.2225360954174513</v>
      </c>
      <c r="CV145" s="217">
        <f t="shared" si="382"/>
        <v>2.4450721908349027</v>
      </c>
      <c r="CW145" s="217">
        <f t="shared" si="383"/>
        <v>16</v>
      </c>
      <c r="CX145" s="217">
        <f t="shared" si="384"/>
        <v>1.4314505776636712</v>
      </c>
      <c r="CY145" s="217">
        <f t="shared" si="385"/>
        <v>0.90407404905073974</v>
      </c>
      <c r="CZ145" s="217">
        <f t="shared" si="386"/>
        <v>1.0285872414349735</v>
      </c>
      <c r="DA145" s="197">
        <f t="shared" si="387"/>
        <v>350</v>
      </c>
      <c r="DB145" s="443">
        <f t="shared" si="388"/>
        <v>350</v>
      </c>
      <c r="DD145" s="217">
        <f t="shared" si="389"/>
        <v>2.1161798052554355</v>
      </c>
      <c r="DE145" s="173">
        <f t="shared" si="390"/>
        <v>1.5206082432973189</v>
      </c>
      <c r="DF145" s="173">
        <f t="shared" si="391"/>
        <v>0.50055918207100247</v>
      </c>
      <c r="DG145" s="173"/>
      <c r="DH145" s="173">
        <f t="shared" si="392"/>
        <v>0.71856287425149712</v>
      </c>
      <c r="DI145" s="545">
        <f t="shared" si="393"/>
        <v>974.16666666666652</v>
      </c>
      <c r="DJ145" s="528">
        <f t="shared" si="394"/>
        <v>0.125748502994012</v>
      </c>
      <c r="DL145" s="173">
        <f t="shared" si="395"/>
        <v>1.7320508075688772</v>
      </c>
      <c r="DM145" s="173">
        <f t="shared" si="396"/>
        <v>1.7320508075688772</v>
      </c>
      <c r="DN145" s="173">
        <f t="shared" si="397"/>
        <v>1.7422598574584276</v>
      </c>
      <c r="DP145" s="545">
        <f t="shared" si="398"/>
        <v>350</v>
      </c>
      <c r="DQ145" s="460">
        <f t="shared" si="399"/>
        <v>350</v>
      </c>
      <c r="DS145" s="460">
        <f t="shared" si="400"/>
        <v>350</v>
      </c>
      <c r="DT145" s="460">
        <f t="shared" si="401"/>
        <v>350</v>
      </c>
      <c r="DV145" s="5">
        <f t="shared" si="402"/>
        <v>2.8571428571428572</v>
      </c>
      <c r="DW145" s="5">
        <f t="shared" si="403"/>
        <v>1.0939268258329753</v>
      </c>
      <c r="DX145" s="5">
        <f t="shared" si="404"/>
        <v>1.7632160313098819</v>
      </c>
      <c r="DY145" s="173">
        <f t="shared" si="405"/>
        <v>0.38287438904154136</v>
      </c>
      <c r="EA145" s="5">
        <f t="shared" si="406"/>
        <v>2.3929649315096335</v>
      </c>
      <c r="EB145" s="5">
        <f t="shared" si="407"/>
        <v>1.1964824657548168</v>
      </c>
      <c r="EC145" s="5">
        <f t="shared" si="408"/>
        <v>0.43307060418137444</v>
      </c>
      <c r="ED145" s="5"/>
      <c r="EE145" s="173">
        <f t="shared" si="409"/>
        <v>0.61876844541519838</v>
      </c>
      <c r="EF145" s="173">
        <f t="shared" si="410"/>
        <v>0.78557342811379416</v>
      </c>
      <c r="EG145" s="173">
        <f t="shared" si="411"/>
        <v>0.19292759190441708</v>
      </c>
      <c r="EH145" s="173"/>
      <c r="EI145" s="528">
        <f t="shared" si="412"/>
        <v>7.6574877808308264E-3</v>
      </c>
      <c r="EJ145" s="528">
        <f t="shared" si="413"/>
        <v>0.41119752197088932</v>
      </c>
      <c r="EK145" s="528">
        <f t="shared" si="414"/>
        <v>4.0250000000000001E-2</v>
      </c>
      <c r="EL145" s="528">
        <f t="shared" si="415"/>
        <v>0.21969021375000006</v>
      </c>
      <c r="EM145">
        <f t="shared" si="416"/>
        <v>8.5500000000000003E-3</v>
      </c>
      <c r="EN145" s="460">
        <f t="shared" si="417"/>
        <v>48.800000000000004</v>
      </c>
      <c r="EP145" s="460">
        <f t="shared" si="439"/>
        <v>687.34522350172017</v>
      </c>
      <c r="EQ145" s="173">
        <f t="shared" si="418"/>
        <v>0.24499999999999997</v>
      </c>
      <c r="ER145" s="173">
        <f t="shared" si="475"/>
        <v>3.8828124999999998E-2</v>
      </c>
      <c r="ES145" s="528"/>
      <c r="EU145" s="460">
        <f t="shared" si="420"/>
        <v>283.828125</v>
      </c>
      <c r="EV145" s="528">
        <f t="shared" si="421"/>
        <v>1.1486231671246239E-2</v>
      </c>
      <c r="EW145" s="528">
        <f t="shared" si="422"/>
        <v>1.8513768328753757E-2</v>
      </c>
      <c r="EX145" s="528">
        <f t="shared" si="423"/>
        <v>1.861052785901865E-4</v>
      </c>
      <c r="EY145" s="528">
        <f t="shared" si="424"/>
        <v>0.45241988353713841</v>
      </c>
      <c r="EZ145" s="528"/>
      <c r="FA145" s="625">
        <f t="shared" si="425"/>
        <v>5.2499999999999995E-3</v>
      </c>
      <c r="FB145" s="460">
        <f t="shared" si="426"/>
        <v>487.85598881572855</v>
      </c>
      <c r="FC145" s="173">
        <f t="shared" si="427"/>
        <v>1.4590293373174485</v>
      </c>
      <c r="FD145" s="5">
        <f t="shared" si="428"/>
        <v>6.3</v>
      </c>
      <c r="FE145" s="173">
        <f t="shared" si="429"/>
        <v>0.81195723409625831</v>
      </c>
      <c r="FF145" s="5">
        <f t="shared" si="430"/>
        <v>81.195723409625828</v>
      </c>
      <c r="FG145">
        <f t="shared" si="431"/>
        <v>35</v>
      </c>
      <c r="FI145" s="562">
        <f t="shared" si="432"/>
        <v>-50</v>
      </c>
      <c r="FJ145">
        <f t="shared" si="433"/>
        <v>-50</v>
      </c>
    </row>
    <row r="146" spans="5:166">
      <c r="E146" s="170">
        <v>36</v>
      </c>
      <c r="F146" s="217">
        <f t="shared" si="476"/>
        <v>0.36</v>
      </c>
      <c r="G146" s="217">
        <f t="shared" si="444"/>
        <v>0.09</v>
      </c>
      <c r="H146" s="217">
        <f t="shared" si="445"/>
        <v>5.76</v>
      </c>
      <c r="I146" s="217">
        <f t="shared" si="446"/>
        <v>0.72</v>
      </c>
      <c r="J146" s="541">
        <f t="shared" si="447"/>
        <v>18.9429926905866</v>
      </c>
      <c r="K146" s="443">
        <f t="shared" si="448"/>
        <v>16.725150972716207</v>
      </c>
      <c r="L146" s="172">
        <f t="shared" si="449"/>
        <v>35.668143663302807</v>
      </c>
      <c r="M146" s="443"/>
      <c r="N146" s="217">
        <f t="shared" si="450"/>
        <v>0.46891004843416872</v>
      </c>
      <c r="O146" s="172">
        <f t="shared" si="451"/>
        <v>19.739021377846814</v>
      </c>
      <c r="P146" s="172">
        <f t="shared" si="452"/>
        <v>2.7757998812597084</v>
      </c>
      <c r="Q146" s="217">
        <f t="shared" si="322"/>
        <v>1.2336888361154259</v>
      </c>
      <c r="R146" s="217">
        <f t="shared" si="453"/>
        <v>2.4673776722308518</v>
      </c>
      <c r="S146" s="217">
        <f t="shared" si="454"/>
        <v>16</v>
      </c>
      <c r="T146" s="217">
        <f t="shared" si="455"/>
        <v>1.459038898064235</v>
      </c>
      <c r="U146" s="217">
        <f t="shared" si="326"/>
        <v>0.92427142124545913</v>
      </c>
      <c r="V146" s="217">
        <f t="shared" si="327"/>
        <v>1.0468346028883349</v>
      </c>
      <c r="W146" s="197">
        <f t="shared" si="328"/>
        <v>350</v>
      </c>
      <c r="X146" s="443">
        <f t="shared" si="435"/>
        <v>350</v>
      </c>
      <c r="Z146" s="217">
        <f t="shared" si="329"/>
        <v>2.1148951476264441</v>
      </c>
      <c r="AA146" s="173">
        <f t="shared" si="330"/>
        <v>1.5173998616166606</v>
      </c>
      <c r="AB146" s="173">
        <f t="shared" si="456"/>
        <v>0.49919980511988427</v>
      </c>
      <c r="AC146" s="173"/>
      <c r="AD146" s="173">
        <f t="shared" si="332"/>
        <v>0.717482312690369</v>
      </c>
      <c r="AE146" s="545">
        <f t="shared" si="457"/>
        <v>1003.5090583629725</v>
      </c>
      <c r="AF146" s="528">
        <f t="shared" si="458"/>
        <v>0.12555940472081459</v>
      </c>
      <c r="AH146" s="173">
        <f t="shared" si="459"/>
        <v>1.7566201313073597</v>
      </c>
      <c r="AI146" s="173">
        <f t="shared" si="460"/>
        <v>1.7566201313073597</v>
      </c>
      <c r="AJ146" s="173">
        <f t="shared" si="461"/>
        <v>1.7604593565239701</v>
      </c>
      <c r="AL146" s="545">
        <f t="shared" si="462"/>
        <v>360</v>
      </c>
      <c r="AM146" s="460">
        <f t="shared" si="463"/>
        <v>350</v>
      </c>
      <c r="AO146" s="460">
        <f t="shared" si="340"/>
        <v>360</v>
      </c>
      <c r="AP146" s="460">
        <f t="shared" si="341"/>
        <v>350</v>
      </c>
      <c r="AR146" s="5">
        <f t="shared" si="443"/>
        <v>2.8571428571428572</v>
      </c>
      <c r="AS146" s="5">
        <f t="shared" si="440"/>
        <v>1.1127830707638602</v>
      </c>
      <c r="AT146" s="5">
        <f t="shared" si="441"/>
        <v>1.744359786378997</v>
      </c>
      <c r="AU146" s="173">
        <f t="shared" si="442"/>
        <v>0.38947407476735108</v>
      </c>
      <c r="AW146" s="5">
        <f t="shared" si="342"/>
        <v>2.5037619092186851</v>
      </c>
      <c r="AX146" s="5">
        <f t="shared" si="343"/>
        <v>1.2518809546093426</v>
      </c>
      <c r="AY146" s="5">
        <f t="shared" si="344"/>
        <v>0.44200655679817513</v>
      </c>
      <c r="AZ146" s="5"/>
      <c r="BA146" s="173">
        <f t="shared" si="345"/>
        <v>0.63293120121778612</v>
      </c>
      <c r="BB146" s="173">
        <f t="shared" si="346"/>
        <v>0.79244528082160914</v>
      </c>
      <c r="BC146" s="173">
        <f t="shared" si="347"/>
        <v>0.19461523808413045</v>
      </c>
      <c r="BD146" s="173"/>
      <c r="BE146" s="528">
        <f t="shared" si="348"/>
        <v>8.0120381094997938E-3</v>
      </c>
      <c r="BF146" s="528">
        <f t="shared" si="464"/>
        <v>0.40021123467398628</v>
      </c>
      <c r="BG146" s="528">
        <f t="shared" si="465"/>
        <v>0.1524910911592221</v>
      </c>
      <c r="BH146" s="528">
        <f t="shared" si="351"/>
        <v>0.21929831442753819</v>
      </c>
      <c r="BI146">
        <f t="shared" si="352"/>
        <v>8.5243467107639689E-3</v>
      </c>
      <c r="BJ146" s="460">
        <f t="shared" si="436"/>
        <v>161.01543786998607</v>
      </c>
      <c r="BK146">
        <f t="shared" si="466"/>
        <v>0.63088582978006891</v>
      </c>
      <c r="BL146" s="460">
        <f t="shared" si="437"/>
        <v>788.53702508101026</v>
      </c>
      <c r="BM146" s="173">
        <f t="shared" si="467"/>
        <v>0.22364999999999999</v>
      </c>
      <c r="BN146" s="173">
        <f t="shared" si="468"/>
        <v>5.5912499999999997E-2</v>
      </c>
      <c r="BO146" s="528"/>
      <c r="BQ146" s="460">
        <f t="shared" si="356"/>
        <v>279.5625</v>
      </c>
      <c r="BR146" s="528">
        <f t="shared" si="357"/>
        <v>1.2018057164249689E-2</v>
      </c>
      <c r="BS146" s="528">
        <f t="shared" si="358"/>
        <v>1.8839085692893168E-2</v>
      </c>
      <c r="BT146" s="528">
        <f t="shared" si="359"/>
        <v>1.8937545447271389E-4</v>
      </c>
      <c r="BU146" s="528">
        <f t="shared" si="360"/>
        <v>0.46863503602110768</v>
      </c>
      <c r="BV146" s="528"/>
      <c r="BW146" s="625">
        <f t="shared" si="469"/>
        <v>5.4000000000000003E-3</v>
      </c>
      <c r="BX146" s="460">
        <f t="shared" si="362"/>
        <v>505.08155433272327</v>
      </c>
      <c r="BY146" s="173">
        <f t="shared" si="363"/>
        <v>1.5731810794137335</v>
      </c>
      <c r="BZ146" s="5">
        <f t="shared" si="364"/>
        <v>6.4799999999999995</v>
      </c>
      <c r="CA146" s="173">
        <f t="shared" si="365"/>
        <v>0.80465097408088337</v>
      </c>
      <c r="CB146" s="5">
        <f t="shared" si="366"/>
        <v>80.46509740808834</v>
      </c>
      <c r="CC146">
        <f t="shared" si="367"/>
        <v>36</v>
      </c>
      <c r="CE146" s="562">
        <f t="shared" si="470"/>
        <v>-50</v>
      </c>
      <c r="CF146">
        <f t="shared" si="471"/>
        <v>-50</v>
      </c>
      <c r="CG146" s="173">
        <f t="shared" si="370"/>
        <v>0.42940685125232814</v>
      </c>
      <c r="CH146" s="173">
        <f t="shared" si="472"/>
        <v>0.1517937497552882</v>
      </c>
      <c r="CI146" s="170">
        <v>36</v>
      </c>
      <c r="CJ146" s="217">
        <f t="shared" si="438"/>
        <v>0.36</v>
      </c>
      <c r="CK146" s="217">
        <f t="shared" si="372"/>
        <v>0.09</v>
      </c>
      <c r="CL146" s="217">
        <f t="shared" si="373"/>
        <v>5.76</v>
      </c>
      <c r="CM146" s="217">
        <f t="shared" si="374"/>
        <v>0.72</v>
      </c>
      <c r="CN146" s="541">
        <f t="shared" si="375"/>
        <v>19</v>
      </c>
      <c r="CO146" s="443">
        <f t="shared" si="473"/>
        <v>16.7</v>
      </c>
      <c r="CP146" s="443">
        <f t="shared" si="474"/>
        <v>35.700000000000003</v>
      </c>
      <c r="CQ146" s="443"/>
      <c r="CR146" s="217">
        <f t="shared" si="378"/>
        <v>0.4632768361581921</v>
      </c>
      <c r="CS146" s="172">
        <f t="shared" si="379"/>
        <v>19.560577526679221</v>
      </c>
      <c r="CT146" s="172">
        <f t="shared" si="380"/>
        <v>2.7507062146892656</v>
      </c>
      <c r="CU146" s="217">
        <f t="shared" si="381"/>
        <v>1.2225360954174513</v>
      </c>
      <c r="CV146" s="217">
        <f t="shared" si="382"/>
        <v>2.4450721908349027</v>
      </c>
      <c r="CW146" s="217">
        <f t="shared" si="383"/>
        <v>16</v>
      </c>
      <c r="CX146" s="217">
        <f t="shared" si="384"/>
        <v>1.472349165596919</v>
      </c>
      <c r="CY146" s="217">
        <f t="shared" si="385"/>
        <v>0.92990473616647518</v>
      </c>
      <c r="CZ146" s="217">
        <f t="shared" si="386"/>
        <v>1.0579754483331154</v>
      </c>
      <c r="DA146" s="197">
        <f t="shared" si="387"/>
        <v>350</v>
      </c>
      <c r="DB146" s="443">
        <f t="shared" si="388"/>
        <v>350</v>
      </c>
      <c r="DD146" s="217">
        <f t="shared" si="389"/>
        <v>2.1161798052554355</v>
      </c>
      <c r="DE146" s="173">
        <f t="shared" si="390"/>
        <v>1.5206082432973189</v>
      </c>
      <c r="DF146" s="173">
        <f t="shared" si="391"/>
        <v>0.50055918207100247</v>
      </c>
      <c r="DG146" s="173"/>
      <c r="DH146" s="173">
        <f t="shared" si="392"/>
        <v>0.71856287425149712</v>
      </c>
      <c r="DI146" s="545">
        <f t="shared" si="393"/>
        <v>1001.9999999999999</v>
      </c>
      <c r="DJ146" s="528">
        <f t="shared" si="394"/>
        <v>0.125748502994012</v>
      </c>
      <c r="DL146" s="173">
        <f t="shared" si="395"/>
        <v>1.7566201313073597</v>
      </c>
      <c r="DM146" s="173">
        <f t="shared" si="396"/>
        <v>1.7566201313073597</v>
      </c>
      <c r="DN146" s="173">
        <f t="shared" si="397"/>
        <v>1.7604593565239701</v>
      </c>
      <c r="DP146" s="545">
        <f t="shared" si="398"/>
        <v>360</v>
      </c>
      <c r="DQ146" s="460">
        <f t="shared" si="399"/>
        <v>350</v>
      </c>
      <c r="DS146" s="460">
        <f t="shared" si="400"/>
        <v>360</v>
      </c>
      <c r="DT146" s="460">
        <f t="shared" si="401"/>
        <v>350</v>
      </c>
      <c r="DV146" s="5">
        <f t="shared" si="402"/>
        <v>2.8571428571428572</v>
      </c>
      <c r="DW146" s="5">
        <f t="shared" si="403"/>
        <v>1.1094442934572799</v>
      </c>
      <c r="DX146" s="5">
        <f t="shared" si="404"/>
        <v>1.7476985636855773</v>
      </c>
      <c r="DY146" s="173">
        <f t="shared" si="405"/>
        <v>0.38830550271004793</v>
      </c>
      <c r="EA146" s="5">
        <f t="shared" si="406"/>
        <v>2.4962496602788797</v>
      </c>
      <c r="EB146" s="5">
        <f t="shared" si="407"/>
        <v>1.2481248301394399</v>
      </c>
      <c r="EC146" s="5">
        <f t="shared" si="408"/>
        <v>0.44152384766793518</v>
      </c>
      <c r="ED146" s="5"/>
      <c r="EE146" s="173">
        <f t="shared" si="409"/>
        <v>0.63198096936903148</v>
      </c>
      <c r="EF146" s="173">
        <f t="shared" si="410"/>
        <v>0.7932033049141991</v>
      </c>
      <c r="EG146" s="173">
        <f t="shared" si="411"/>
        <v>0.19480139988334005</v>
      </c>
      <c r="EH146" s="173"/>
      <c r="EI146" s="528">
        <f t="shared" si="412"/>
        <v>7.9879989128924141E-3</v>
      </c>
      <c r="EJ146" s="528">
        <f t="shared" si="413"/>
        <v>0.41703040227302385</v>
      </c>
      <c r="EK146" s="528">
        <f t="shared" si="414"/>
        <v>4.0250000000000001E-2</v>
      </c>
      <c r="EL146" s="528">
        <f t="shared" si="415"/>
        <v>0.21969021375000006</v>
      </c>
      <c r="EM146">
        <f t="shared" si="416"/>
        <v>8.5500000000000003E-3</v>
      </c>
      <c r="EN146" s="460">
        <f t="shared" si="417"/>
        <v>48.800000000000004</v>
      </c>
      <c r="EP146" s="460">
        <f t="shared" si="439"/>
        <v>693.50861493591628</v>
      </c>
      <c r="EQ146" s="173">
        <f t="shared" si="418"/>
        <v>0.252</v>
      </c>
      <c r="ER146" s="173">
        <f t="shared" si="475"/>
        <v>3.9937499999999994E-2</v>
      </c>
      <c r="ES146" s="528"/>
      <c r="EU146" s="460">
        <f t="shared" si="420"/>
        <v>291.9375</v>
      </c>
      <c r="EV146" s="528">
        <f t="shared" si="421"/>
        <v>1.1981998369338621E-2</v>
      </c>
      <c r="EW146" s="528">
        <f t="shared" si="422"/>
        <v>1.8875144487804238E-2</v>
      </c>
      <c r="EX146" s="528">
        <f t="shared" si="423"/>
        <v>1.8973792698254478E-4</v>
      </c>
      <c r="EY146" s="528">
        <f t="shared" si="424"/>
        <v>0.46863503602110768</v>
      </c>
      <c r="EZ146" s="528"/>
      <c r="FA146" s="625">
        <f t="shared" si="425"/>
        <v>5.4000000000000003E-3</v>
      </c>
      <c r="FB146" s="460">
        <f t="shared" si="426"/>
        <v>505.08191680523305</v>
      </c>
      <c r="FC146" s="173">
        <f t="shared" si="427"/>
        <v>1.4905280317411493</v>
      </c>
      <c r="FD146" s="5">
        <f t="shared" si="428"/>
        <v>6.4799999999999995</v>
      </c>
      <c r="FE146" s="173">
        <f t="shared" si="429"/>
        <v>0.81299507061446896</v>
      </c>
      <c r="FF146" s="5">
        <f t="shared" si="430"/>
        <v>81.299507061446903</v>
      </c>
      <c r="FG146">
        <f t="shared" si="431"/>
        <v>36</v>
      </c>
      <c r="FI146" s="562">
        <f t="shared" si="432"/>
        <v>-50</v>
      </c>
      <c r="FJ146">
        <f t="shared" si="433"/>
        <v>-50</v>
      </c>
    </row>
    <row r="147" spans="5:166">
      <c r="E147" s="170">
        <v>37</v>
      </c>
      <c r="F147" s="217">
        <f t="shared" si="476"/>
        <v>0.37</v>
      </c>
      <c r="G147" s="217">
        <f t="shared" si="444"/>
        <v>9.2499999999999999E-2</v>
      </c>
      <c r="H147" s="217">
        <f t="shared" si="445"/>
        <v>5.92</v>
      </c>
      <c r="I147" s="217">
        <f t="shared" si="446"/>
        <v>0.74</v>
      </c>
      <c r="J147" s="541">
        <f t="shared" si="447"/>
        <v>18.942206345724507</v>
      </c>
      <c r="K147" s="443">
        <f t="shared" si="448"/>
        <v>16.725497899073115</v>
      </c>
      <c r="L147" s="172">
        <f t="shared" si="449"/>
        <v>35.667704244797619</v>
      </c>
      <c r="M147" s="443"/>
      <c r="N147" s="217">
        <f t="shared" si="450"/>
        <v>0.46892555193015106</v>
      </c>
      <c r="O147" s="172">
        <f t="shared" si="451"/>
        <v>19.738854589874833</v>
      </c>
      <c r="P147" s="172">
        <f t="shared" si="452"/>
        <v>2.7757764267011482</v>
      </c>
      <c r="Q147" s="217">
        <f t="shared" si="322"/>
        <v>1.2336784118671771</v>
      </c>
      <c r="R147" s="217">
        <f t="shared" si="453"/>
        <v>2.4673568237343542</v>
      </c>
      <c r="S147" s="217">
        <f t="shared" si="454"/>
        <v>16</v>
      </c>
      <c r="T147" s="217">
        <f t="shared" si="455"/>
        <v>1.4995804272849502</v>
      </c>
      <c r="U147" s="217">
        <f t="shared" si="326"/>
        <v>0.94999308945238536</v>
      </c>
      <c r="V147" s="217">
        <f t="shared" si="327"/>
        <v>1.075900115859429</v>
      </c>
      <c r="W147" s="197">
        <f t="shared" si="328"/>
        <v>350</v>
      </c>
      <c r="X147" s="443">
        <f t="shared" si="435"/>
        <v>350</v>
      </c>
      <c r="Z147" s="217">
        <f t="shared" si="329"/>
        <v>2.1148772774865887</v>
      </c>
      <c r="AA147" s="173">
        <f t="shared" si="330"/>
        <v>1.5173555659138542</v>
      </c>
      <c r="AB147" s="173">
        <f t="shared" si="456"/>
        <v>0.49918101461184661</v>
      </c>
      <c r="AC147" s="173"/>
      <c r="AD147" s="173">
        <f t="shared" si="332"/>
        <v>0.71746743041144434</v>
      </c>
      <c r="AE147" s="545">
        <f t="shared" si="457"/>
        <v>1031.4057037761754</v>
      </c>
      <c r="AF147" s="528">
        <f t="shared" si="458"/>
        <v>0.12555680032200275</v>
      </c>
      <c r="AH147" s="173">
        <f t="shared" si="459"/>
        <v>1.7808505191139909</v>
      </c>
      <c r="AI147" s="173">
        <f t="shared" si="460"/>
        <v>1.7808505191139909</v>
      </c>
      <c r="AJ147" s="173">
        <f t="shared" si="461"/>
        <v>1.7784077919362895</v>
      </c>
      <c r="AL147" s="545">
        <f t="shared" si="462"/>
        <v>370</v>
      </c>
      <c r="AM147" s="460">
        <f t="shared" si="463"/>
        <v>350</v>
      </c>
      <c r="AO147" s="460">
        <f t="shared" si="340"/>
        <v>370</v>
      </c>
      <c r="AP147" s="460">
        <f t="shared" si="341"/>
        <v>350</v>
      </c>
      <c r="AR147" s="5">
        <f t="shared" si="443"/>
        <v>2.8571428571428572</v>
      </c>
      <c r="AS147" s="5">
        <f t="shared" si="440"/>
        <v>1.1281793598553749</v>
      </c>
      <c r="AT147" s="5">
        <f t="shared" si="441"/>
        <v>1.7289634972874823</v>
      </c>
      <c r="AU147" s="173">
        <f t="shared" si="442"/>
        <v>0.39486277594938118</v>
      </c>
      <c r="AW147" s="5">
        <f t="shared" si="342"/>
        <v>2.6089147696655544</v>
      </c>
      <c r="AX147" s="5">
        <f t="shared" si="343"/>
        <v>1.3044573848327772</v>
      </c>
      <c r="AY147" s="5">
        <f t="shared" si="344"/>
        <v>0.45029354540898758</v>
      </c>
      <c r="AZ147" s="5"/>
      <c r="BA147" s="173">
        <f t="shared" si="345"/>
        <v>0.64608541474520886</v>
      </c>
      <c r="BB147" s="173">
        <f t="shared" si="346"/>
        <v>0.79982278912042037</v>
      </c>
      <c r="BC147" s="173">
        <f t="shared" si="347"/>
        <v>0.19642706732810322</v>
      </c>
      <c r="BD147" s="173"/>
      <c r="BE147" s="528">
        <f t="shared" si="348"/>
        <v>8.3485272629297714E-3</v>
      </c>
      <c r="BF147" s="528">
        <f t="shared" si="464"/>
        <v>0.40572665194744428</v>
      </c>
      <c r="BG147" s="528">
        <f t="shared" si="465"/>
        <v>0.15248476108308229</v>
      </c>
      <c r="BH147" s="528">
        <f t="shared" si="351"/>
        <v>0.2192929111105143</v>
      </c>
      <c r="BI147">
        <f t="shared" si="352"/>
        <v>8.5239928555760278E-3</v>
      </c>
      <c r="BJ147" s="460">
        <f t="shared" si="436"/>
        <v>161.00875393865832</v>
      </c>
      <c r="BK147">
        <f t="shared" si="466"/>
        <v>0.6368855252280452</v>
      </c>
      <c r="BL147" s="460">
        <f t="shared" si="437"/>
        <v>794.37684425954671</v>
      </c>
      <c r="BM147" s="173">
        <f t="shared" si="467"/>
        <v>0.2298625</v>
      </c>
      <c r="BN147" s="173">
        <f t="shared" si="468"/>
        <v>5.7465624999999999E-2</v>
      </c>
      <c r="BO147" s="528"/>
      <c r="BQ147" s="460">
        <f t="shared" si="356"/>
        <v>287.328125</v>
      </c>
      <c r="BR147" s="528">
        <f t="shared" si="357"/>
        <v>1.2522790894394656E-2</v>
      </c>
      <c r="BS147" s="528">
        <f t="shared" si="358"/>
        <v>1.9191494819891051E-2</v>
      </c>
      <c r="BT147" s="528">
        <f t="shared" si="359"/>
        <v>1.9291796389559601E-4</v>
      </c>
      <c r="BU147" s="528">
        <f t="shared" si="360"/>
        <v>0.48496319839045421</v>
      </c>
      <c r="BV147" s="528"/>
      <c r="BW147" s="625">
        <f t="shared" si="469"/>
        <v>5.5499999999999994E-3</v>
      </c>
      <c r="BX147" s="460">
        <f t="shared" si="362"/>
        <v>522.42040206863555</v>
      </c>
      <c r="BY147" s="173">
        <f t="shared" si="363"/>
        <v>1.6041253713281822</v>
      </c>
      <c r="BZ147" s="5">
        <f t="shared" si="364"/>
        <v>6.66</v>
      </c>
      <c r="CA147" s="173">
        <f t="shared" si="365"/>
        <v>0.80589290466313768</v>
      </c>
      <c r="CB147" s="5">
        <f t="shared" si="366"/>
        <v>80.58929046631377</v>
      </c>
      <c r="CC147">
        <f t="shared" si="367"/>
        <v>37</v>
      </c>
      <c r="CE147" s="562">
        <f t="shared" si="470"/>
        <v>-50</v>
      </c>
      <c r="CF147">
        <f t="shared" si="471"/>
        <v>-50</v>
      </c>
      <c r="CG147" s="173">
        <f t="shared" si="370"/>
        <v>0.43532998417516711</v>
      </c>
      <c r="CH147" s="173">
        <f t="shared" si="472"/>
        <v>0.15388755555748862</v>
      </c>
      <c r="CI147" s="170">
        <v>37</v>
      </c>
      <c r="CJ147" s="217">
        <f t="shared" si="438"/>
        <v>0.37</v>
      </c>
      <c r="CK147" s="217">
        <f t="shared" si="372"/>
        <v>9.2499999999999999E-2</v>
      </c>
      <c r="CL147" s="217">
        <f t="shared" si="373"/>
        <v>5.92</v>
      </c>
      <c r="CM147" s="217">
        <f t="shared" si="374"/>
        <v>0.74</v>
      </c>
      <c r="CN147" s="541">
        <f t="shared" si="375"/>
        <v>19</v>
      </c>
      <c r="CO147" s="443">
        <f t="shared" si="473"/>
        <v>16.7</v>
      </c>
      <c r="CP147" s="443">
        <f t="shared" si="474"/>
        <v>35.700000000000003</v>
      </c>
      <c r="CQ147" s="443"/>
      <c r="CR147" s="217">
        <f t="shared" si="378"/>
        <v>0.4632768361581921</v>
      </c>
      <c r="CS147" s="172">
        <f t="shared" si="379"/>
        <v>19.560577526679221</v>
      </c>
      <c r="CT147" s="172">
        <f t="shared" si="380"/>
        <v>2.7507062146892656</v>
      </c>
      <c r="CU147" s="217">
        <f t="shared" si="381"/>
        <v>1.2225360954174513</v>
      </c>
      <c r="CV147" s="217">
        <f t="shared" si="382"/>
        <v>2.4450721908349027</v>
      </c>
      <c r="CW147" s="217">
        <f t="shared" si="383"/>
        <v>16</v>
      </c>
      <c r="CX147" s="217">
        <f t="shared" si="384"/>
        <v>1.5132477535301667</v>
      </c>
      <c r="CY147" s="217">
        <f t="shared" si="385"/>
        <v>0.95573542328221051</v>
      </c>
      <c r="CZ147" s="217">
        <f t="shared" si="386"/>
        <v>1.0873636552312576</v>
      </c>
      <c r="DA147" s="197">
        <f t="shared" si="387"/>
        <v>350</v>
      </c>
      <c r="DB147" s="443">
        <f t="shared" si="388"/>
        <v>350</v>
      </c>
      <c r="DD147" s="217">
        <f t="shared" si="389"/>
        <v>2.1161798052554355</v>
      </c>
      <c r="DE147" s="173">
        <f t="shared" si="390"/>
        <v>1.5206082432973189</v>
      </c>
      <c r="DF147" s="173">
        <f t="shared" si="391"/>
        <v>0.50055918207100247</v>
      </c>
      <c r="DG147" s="173"/>
      <c r="DH147" s="173">
        <f t="shared" si="392"/>
        <v>0.71856287425149712</v>
      </c>
      <c r="DI147" s="545">
        <f t="shared" si="393"/>
        <v>1029.833333333333</v>
      </c>
      <c r="DJ147" s="528">
        <f t="shared" si="394"/>
        <v>0.125748502994012</v>
      </c>
      <c r="DL147" s="173">
        <f t="shared" si="395"/>
        <v>1.7808505191139909</v>
      </c>
      <c r="DM147" s="173">
        <f t="shared" si="396"/>
        <v>1.7808505191139909</v>
      </c>
      <c r="DN147" s="173">
        <f t="shared" si="397"/>
        <v>1.7784077919362895</v>
      </c>
      <c r="DP147" s="545">
        <f t="shared" si="398"/>
        <v>370</v>
      </c>
      <c r="DQ147" s="460">
        <f t="shared" si="399"/>
        <v>350</v>
      </c>
      <c r="DS147" s="460">
        <f t="shared" si="400"/>
        <v>370</v>
      </c>
      <c r="DT147" s="460">
        <f t="shared" si="401"/>
        <v>350</v>
      </c>
      <c r="DV147" s="5">
        <f t="shared" si="402"/>
        <v>2.8571428571428572</v>
      </c>
      <c r="DW147" s="5">
        <f t="shared" si="403"/>
        <v>1.1247476962825207</v>
      </c>
      <c r="DX147" s="5">
        <f t="shared" si="404"/>
        <v>1.7323951608603365</v>
      </c>
      <c r="DY147" s="173">
        <f t="shared" si="405"/>
        <v>0.39366169369888221</v>
      </c>
      <c r="EA147" s="5">
        <f t="shared" si="406"/>
        <v>2.600979047653329</v>
      </c>
      <c r="EB147" s="5">
        <f t="shared" si="407"/>
        <v>1.3004895238266645</v>
      </c>
      <c r="EC147" s="5">
        <f t="shared" si="408"/>
        <v>0.4498148838725084</v>
      </c>
      <c r="ED147" s="5"/>
      <c r="EE147" s="173">
        <f t="shared" si="409"/>
        <v>0.64510204434998708</v>
      </c>
      <c r="EF147" s="173">
        <f t="shared" si="410"/>
        <v>0.80061614367830758</v>
      </c>
      <c r="EG147" s="173">
        <f t="shared" si="411"/>
        <v>0.1966219058739373</v>
      </c>
      <c r="EH147" s="173"/>
      <c r="EI147" s="528">
        <f t="shared" si="412"/>
        <v>8.3231329524906545E-3</v>
      </c>
      <c r="EJ147" s="528">
        <f t="shared" si="413"/>
        <v>0.42278281749025715</v>
      </c>
      <c r="EK147" s="528">
        <f t="shared" si="414"/>
        <v>4.0250000000000001E-2</v>
      </c>
      <c r="EL147" s="528">
        <f t="shared" si="415"/>
        <v>0.21969021375000006</v>
      </c>
      <c r="EM147">
        <f t="shared" si="416"/>
        <v>8.5500000000000003E-3</v>
      </c>
      <c r="EN147" s="460">
        <f t="shared" si="417"/>
        <v>48.800000000000004</v>
      </c>
      <c r="EP147" s="460">
        <f t="shared" si="439"/>
        <v>699.59616419274789</v>
      </c>
      <c r="EQ147" s="173">
        <f t="shared" si="418"/>
        <v>0.25900000000000001</v>
      </c>
      <c r="ER147" s="173">
        <f t="shared" si="475"/>
        <v>4.1046874999999997E-2</v>
      </c>
      <c r="ES147" s="528"/>
      <c r="EU147" s="460">
        <f t="shared" si="420"/>
        <v>300.046875</v>
      </c>
      <c r="EV147" s="528">
        <f t="shared" si="421"/>
        <v>1.2484699428735981E-2</v>
      </c>
      <c r="EW147" s="528">
        <f t="shared" si="422"/>
        <v>1.9229586285549733E-2</v>
      </c>
      <c r="EX147" s="528">
        <f t="shared" si="423"/>
        <v>1.9330086934749729E-4</v>
      </c>
      <c r="EY147" s="528">
        <f t="shared" si="424"/>
        <v>0.48496319839045421</v>
      </c>
      <c r="EZ147" s="528"/>
      <c r="FA147" s="625">
        <f t="shared" si="425"/>
        <v>5.5499999999999994E-3</v>
      </c>
      <c r="FB147" s="460">
        <f t="shared" si="426"/>
        <v>522.42078497408738</v>
      </c>
      <c r="FC147" s="173">
        <f t="shared" si="427"/>
        <v>1.5220638241668354</v>
      </c>
      <c r="FD147" s="5">
        <f t="shared" si="428"/>
        <v>6.66</v>
      </c>
      <c r="FE147" s="173">
        <f t="shared" si="429"/>
        <v>0.81397556204936783</v>
      </c>
      <c r="FF147" s="5">
        <f t="shared" si="430"/>
        <v>81.397556204936777</v>
      </c>
      <c r="FG147">
        <f t="shared" si="431"/>
        <v>37</v>
      </c>
      <c r="FI147" s="562">
        <f t="shared" si="432"/>
        <v>-50</v>
      </c>
      <c r="FJ147">
        <f t="shared" si="433"/>
        <v>-50</v>
      </c>
    </row>
    <row r="148" spans="5:166">
      <c r="E148" s="170">
        <v>38</v>
      </c>
      <c r="F148" s="217">
        <f t="shared" si="476"/>
        <v>0.38</v>
      </c>
      <c r="G148" s="217">
        <f t="shared" si="444"/>
        <v>9.5000000000000001E-2</v>
      </c>
      <c r="H148" s="217">
        <f t="shared" si="445"/>
        <v>6.08</v>
      </c>
      <c r="I148" s="217">
        <f t="shared" si="446"/>
        <v>0.76</v>
      </c>
      <c r="J148" s="541">
        <f t="shared" si="447"/>
        <v>18.941430557263406</v>
      </c>
      <c r="K148" s="443">
        <f t="shared" si="448"/>
        <v>16.725840168066679</v>
      </c>
      <c r="L148" s="172">
        <f t="shared" si="449"/>
        <v>35.667270725330084</v>
      </c>
      <c r="M148" s="443"/>
      <c r="N148" s="217">
        <f t="shared" si="450"/>
        <v>0.46894084767154243</v>
      </c>
      <c r="O148" s="172">
        <f t="shared" si="451"/>
        <v>19.738690003632794</v>
      </c>
      <c r="P148" s="172">
        <f t="shared" si="452"/>
        <v>2.7757532817608617</v>
      </c>
      <c r="Q148" s="217">
        <f t="shared" si="322"/>
        <v>1.2336681252270496</v>
      </c>
      <c r="R148" s="217">
        <f t="shared" si="453"/>
        <v>2.4673362504540992</v>
      </c>
      <c r="S148" s="217">
        <f t="shared" si="454"/>
        <v>16</v>
      </c>
      <c r="T148" s="217">
        <f t="shared" si="455"/>
        <v>1.5401224698500788</v>
      </c>
      <c r="U148" s="217">
        <f t="shared" si="326"/>
        <v>0.97571667474260115</v>
      </c>
      <c r="V148" s="217">
        <f t="shared" si="327"/>
        <v>1.1049650990618787</v>
      </c>
      <c r="W148" s="197">
        <f t="shared" si="328"/>
        <v>350</v>
      </c>
      <c r="X148" s="443">
        <f t="shared" si="435"/>
        <v>350</v>
      </c>
      <c r="Z148" s="217">
        <f t="shared" si="329"/>
        <v>2.1148596432463709</v>
      </c>
      <c r="AA148" s="173">
        <f t="shared" si="330"/>
        <v>1.5173118637955934</v>
      </c>
      <c r="AB148" s="173">
        <f t="shared" si="456"/>
        <v>0.49916247530492547</v>
      </c>
      <c r="AC148" s="173"/>
      <c r="AD148" s="173">
        <f t="shared" si="332"/>
        <v>0.71745274852683627</v>
      </c>
      <c r="AE148" s="545">
        <f t="shared" si="457"/>
        <v>1059.3032106442231</v>
      </c>
      <c r="AF148" s="528">
        <f t="shared" si="458"/>
        <v>0.12555423099219634</v>
      </c>
      <c r="AH148" s="173">
        <f t="shared" si="459"/>
        <v>1.804755622554715</v>
      </c>
      <c r="AI148" s="173">
        <f t="shared" si="460"/>
        <v>1.804755622554715</v>
      </c>
      <c r="AJ148" s="173">
        <f t="shared" si="461"/>
        <v>1.7961152759664554</v>
      </c>
      <c r="AL148" s="545">
        <f t="shared" si="462"/>
        <v>380</v>
      </c>
      <c r="AM148" s="460">
        <f t="shared" si="463"/>
        <v>350</v>
      </c>
      <c r="AO148" s="460">
        <f t="shared" si="340"/>
        <v>380</v>
      </c>
      <c r="AP148" s="460">
        <f t="shared" si="341"/>
        <v>350</v>
      </c>
      <c r="AR148" s="5">
        <f t="shared" si="443"/>
        <v>2.8571428571428572</v>
      </c>
      <c r="AS148" s="5">
        <f t="shared" si="440"/>
        <v>1.1433702119374409</v>
      </c>
      <c r="AT148" s="5">
        <f t="shared" si="441"/>
        <v>1.7137726452054163</v>
      </c>
      <c r="AU148" s="173">
        <f t="shared" si="442"/>
        <v>0.40017957417810429</v>
      </c>
      <c r="AW148" s="5">
        <f t="shared" si="342"/>
        <v>2.7155042533514222</v>
      </c>
      <c r="AX148" s="5">
        <f t="shared" si="343"/>
        <v>1.3577521266757111</v>
      </c>
      <c r="AY148" s="5">
        <f t="shared" si="344"/>
        <v>0.45841916266339011</v>
      </c>
      <c r="AZ148" s="5"/>
      <c r="BA148" s="173">
        <f t="shared" si="345"/>
        <v>0.65915148527195744</v>
      </c>
      <c r="BB148" s="173">
        <f t="shared" si="346"/>
        <v>0.80699046164007304</v>
      </c>
      <c r="BC148" s="173">
        <f t="shared" si="347"/>
        <v>0.19818736337337087</v>
      </c>
      <c r="BD148" s="173"/>
      <c r="BE148" s="528">
        <f t="shared" si="348"/>
        <v>8.6896136107245513E-3</v>
      </c>
      <c r="BF148" s="528">
        <f t="shared" si="464"/>
        <v>0.41116789340712817</v>
      </c>
      <c r="BG148" s="528">
        <f t="shared" si="465"/>
        <v>0.15247851598597043</v>
      </c>
      <c r="BH148" s="528">
        <f t="shared" si="351"/>
        <v>0.21928758039633878</v>
      </c>
      <c r="BI148">
        <f t="shared" si="352"/>
        <v>8.5236437507685316E-3</v>
      </c>
      <c r="BJ148" s="460">
        <f t="shared" si="436"/>
        <v>161.00215973673895</v>
      </c>
      <c r="BK148">
        <f t="shared" si="466"/>
        <v>0.64281847967342953</v>
      </c>
      <c r="BL148" s="460">
        <f t="shared" si="437"/>
        <v>800.14724715093041</v>
      </c>
      <c r="BM148" s="173">
        <f t="shared" si="467"/>
        <v>0.23607499999999995</v>
      </c>
      <c r="BN148" s="173">
        <f t="shared" si="468"/>
        <v>5.9018749999999988E-2</v>
      </c>
      <c r="BO148" s="528"/>
      <c r="BQ148" s="460">
        <f t="shared" si="356"/>
        <v>295.09374999999994</v>
      </c>
      <c r="BR148" s="528">
        <f t="shared" si="357"/>
        <v>1.3034420416086824E-2</v>
      </c>
      <c r="BS148" s="528">
        <f t="shared" si="358"/>
        <v>1.9537008155341744E-2</v>
      </c>
      <c r="BT148" s="528">
        <f t="shared" si="359"/>
        <v>1.9639115500444271E-4</v>
      </c>
      <c r="BU148" s="528">
        <f t="shared" si="360"/>
        <v>0.50140207157832994</v>
      </c>
      <c r="BV148" s="528"/>
      <c r="BW148" s="625">
        <f t="shared" si="469"/>
        <v>5.7000000000000002E-3</v>
      </c>
      <c r="BX148" s="460">
        <f t="shared" si="362"/>
        <v>539.86989130476309</v>
      </c>
      <c r="BY148" s="173">
        <f t="shared" si="363"/>
        <v>1.6351108884556931</v>
      </c>
      <c r="BZ148" s="5">
        <f t="shared" si="364"/>
        <v>6.84</v>
      </c>
      <c r="CA148" s="173">
        <f t="shared" si="365"/>
        <v>0.80706908617762796</v>
      </c>
      <c r="CB148" s="5">
        <f t="shared" si="366"/>
        <v>80.706908617762792</v>
      </c>
      <c r="CC148">
        <f t="shared" si="367"/>
        <v>38</v>
      </c>
      <c r="CE148" s="562">
        <f t="shared" si="470"/>
        <v>-50</v>
      </c>
      <c r="CF148">
        <f t="shared" si="471"/>
        <v>-50</v>
      </c>
      <c r="CG148" s="173">
        <f t="shared" si="370"/>
        <v>0.44117360113844467</v>
      </c>
      <c r="CH148" s="173">
        <f t="shared" si="472"/>
        <v>0.1559532527591112</v>
      </c>
      <c r="CI148" s="170">
        <v>38</v>
      </c>
      <c r="CJ148" s="217">
        <f t="shared" si="438"/>
        <v>0.38</v>
      </c>
      <c r="CK148" s="217">
        <f t="shared" si="372"/>
        <v>9.5000000000000001E-2</v>
      </c>
      <c r="CL148" s="217">
        <f t="shared" si="373"/>
        <v>6.08</v>
      </c>
      <c r="CM148" s="217">
        <f t="shared" si="374"/>
        <v>0.76</v>
      </c>
      <c r="CN148" s="541">
        <f t="shared" si="375"/>
        <v>19</v>
      </c>
      <c r="CO148" s="443">
        <f t="shared" si="473"/>
        <v>16.7</v>
      </c>
      <c r="CP148" s="443">
        <f t="shared" si="474"/>
        <v>35.700000000000003</v>
      </c>
      <c r="CQ148" s="443"/>
      <c r="CR148" s="217">
        <f t="shared" si="378"/>
        <v>0.4632768361581921</v>
      </c>
      <c r="CS148" s="172">
        <f t="shared" si="379"/>
        <v>19.560577526679221</v>
      </c>
      <c r="CT148" s="172">
        <f t="shared" si="380"/>
        <v>2.7507062146892656</v>
      </c>
      <c r="CU148" s="217">
        <f t="shared" si="381"/>
        <v>1.2225360954174513</v>
      </c>
      <c r="CV148" s="217">
        <f t="shared" si="382"/>
        <v>2.4450721908349027</v>
      </c>
      <c r="CW148" s="217">
        <f t="shared" si="383"/>
        <v>16</v>
      </c>
      <c r="CX148" s="217">
        <f t="shared" si="384"/>
        <v>1.5541463414634145</v>
      </c>
      <c r="CY148" s="217">
        <f t="shared" si="385"/>
        <v>0.98156611039794617</v>
      </c>
      <c r="CZ148" s="217">
        <f t="shared" si="386"/>
        <v>1.1167518621293999</v>
      </c>
      <c r="DA148" s="197">
        <f t="shared" si="387"/>
        <v>350</v>
      </c>
      <c r="DB148" s="443">
        <f t="shared" si="388"/>
        <v>350</v>
      </c>
      <c r="DD148" s="217">
        <f t="shared" si="389"/>
        <v>2.1161798052554355</v>
      </c>
      <c r="DE148" s="173">
        <f t="shared" si="390"/>
        <v>1.5206082432973189</v>
      </c>
      <c r="DF148" s="173">
        <f t="shared" si="391"/>
        <v>0.50055918207100247</v>
      </c>
      <c r="DG148" s="173"/>
      <c r="DH148" s="173">
        <f t="shared" si="392"/>
        <v>0.71856287425149712</v>
      </c>
      <c r="DI148" s="545">
        <f t="shared" si="393"/>
        <v>1057.6666666666665</v>
      </c>
      <c r="DJ148" s="528">
        <f t="shared" si="394"/>
        <v>0.125748502994012</v>
      </c>
      <c r="DL148" s="173">
        <f t="shared" si="395"/>
        <v>1.804755622554715</v>
      </c>
      <c r="DM148" s="173">
        <f t="shared" si="396"/>
        <v>1.804755622554715</v>
      </c>
      <c r="DN148" s="173">
        <f t="shared" si="397"/>
        <v>1.7961152759664554</v>
      </c>
      <c r="DP148" s="545">
        <f t="shared" si="398"/>
        <v>380</v>
      </c>
      <c r="DQ148" s="460">
        <f t="shared" si="399"/>
        <v>350</v>
      </c>
      <c r="DS148" s="460">
        <f t="shared" si="400"/>
        <v>380</v>
      </c>
      <c r="DT148" s="460">
        <f t="shared" si="401"/>
        <v>350</v>
      </c>
      <c r="DV148" s="5">
        <f t="shared" si="402"/>
        <v>2.8571428571428572</v>
      </c>
      <c r="DW148" s="5">
        <f t="shared" si="403"/>
        <v>1.1398456563503463</v>
      </c>
      <c r="DX148" s="5">
        <f t="shared" si="404"/>
        <v>1.7172972007925109</v>
      </c>
      <c r="DY148" s="173">
        <f t="shared" si="405"/>
        <v>0.39894597972262119</v>
      </c>
      <c r="EA148" s="5">
        <f t="shared" si="406"/>
        <v>2.7071334338320723</v>
      </c>
      <c r="EB148" s="5">
        <f t="shared" si="407"/>
        <v>1.3535667169160361</v>
      </c>
      <c r="EC148" s="5">
        <f t="shared" si="408"/>
        <v>0.45794592021133618</v>
      </c>
      <c r="ED148" s="5"/>
      <c r="EE148" s="173">
        <f t="shared" si="409"/>
        <v>0.65813475019416168</v>
      </c>
      <c r="EF148" s="173">
        <f t="shared" si="410"/>
        <v>0.80781986624565882</v>
      </c>
      <c r="EG148" s="173">
        <f t="shared" si="411"/>
        <v>0.19839105538680149</v>
      </c>
      <c r="EH148" s="173"/>
      <c r="EI148" s="528">
        <f t="shared" si="412"/>
        <v>8.6628269882626317E-3</v>
      </c>
      <c r="EJ148" s="528">
        <f t="shared" si="413"/>
        <v>0.42845800857260213</v>
      </c>
      <c r="EK148" s="528">
        <f t="shared" si="414"/>
        <v>4.0250000000000001E-2</v>
      </c>
      <c r="EL148" s="528">
        <f t="shared" si="415"/>
        <v>0.21969021375000006</v>
      </c>
      <c r="EM148">
        <f t="shared" si="416"/>
        <v>8.5500000000000003E-3</v>
      </c>
      <c r="EN148" s="460">
        <f t="shared" si="417"/>
        <v>48.800000000000004</v>
      </c>
      <c r="EP148" s="460">
        <f t="shared" si="439"/>
        <v>705.61104931086481</v>
      </c>
      <c r="EQ148" s="173">
        <f t="shared" si="418"/>
        <v>0.26599999999999996</v>
      </c>
      <c r="ER148" s="173">
        <f t="shared" si="475"/>
        <v>4.2156249999999999E-2</v>
      </c>
      <c r="ES148" s="528"/>
      <c r="EU148" s="460">
        <f t="shared" si="420"/>
        <v>308.15624999999994</v>
      </c>
      <c r="EV148" s="528">
        <f t="shared" si="421"/>
        <v>1.2994240482393947E-2</v>
      </c>
      <c r="EW148" s="528">
        <f t="shared" si="422"/>
        <v>1.9577188089034622E-2</v>
      </c>
      <c r="EX148" s="528">
        <f t="shared" si="423"/>
        <v>1.9679505428744467E-4</v>
      </c>
      <c r="EY148" s="528">
        <f t="shared" si="424"/>
        <v>0.50140207157832994</v>
      </c>
      <c r="EZ148" s="528"/>
      <c r="FA148" s="625">
        <f t="shared" si="425"/>
        <v>5.7000000000000002E-3</v>
      </c>
      <c r="FB148" s="460">
        <f t="shared" si="426"/>
        <v>539.87029520404599</v>
      </c>
      <c r="FC148" s="173">
        <f t="shared" si="427"/>
        <v>1.5536375945149103</v>
      </c>
      <c r="FD148" s="5">
        <f t="shared" si="428"/>
        <v>6.84</v>
      </c>
      <c r="FE148" s="173">
        <f t="shared" si="429"/>
        <v>0.81490294559176768</v>
      </c>
      <c r="FF148" s="5">
        <f t="shared" si="430"/>
        <v>81.490294559176775</v>
      </c>
      <c r="FG148">
        <f t="shared" si="431"/>
        <v>38</v>
      </c>
      <c r="FI148" s="562">
        <f t="shared" si="432"/>
        <v>-50</v>
      </c>
      <c r="FJ148">
        <f t="shared" si="433"/>
        <v>-50</v>
      </c>
    </row>
    <row r="149" spans="5:166">
      <c r="E149" s="170">
        <v>39</v>
      </c>
      <c r="F149" s="217">
        <f t="shared" si="476"/>
        <v>0.39</v>
      </c>
      <c r="G149" s="217">
        <f t="shared" si="444"/>
        <v>9.7500000000000003E-2</v>
      </c>
      <c r="H149" s="217">
        <f t="shared" si="445"/>
        <v>6.24</v>
      </c>
      <c r="I149" s="217">
        <f t="shared" si="446"/>
        <v>0.78</v>
      </c>
      <c r="J149" s="541">
        <f t="shared" si="447"/>
        <v>18.940664911136537</v>
      </c>
      <c r="K149" s="443">
        <f t="shared" si="448"/>
        <v>16.726177962378415</v>
      </c>
      <c r="L149" s="172">
        <f t="shared" si="449"/>
        <v>35.666842873514952</v>
      </c>
      <c r="M149" s="443"/>
      <c r="N149" s="217">
        <f t="shared" si="450"/>
        <v>0.46895594380737116</v>
      </c>
      <c r="O149" s="172">
        <f t="shared" si="451"/>
        <v>19.738527532758205</v>
      </c>
      <c r="P149" s="172">
        <f t="shared" si="452"/>
        <v>2.7757304342941227</v>
      </c>
      <c r="Q149" s="217">
        <f t="shared" si="322"/>
        <v>1.2336579707973878</v>
      </c>
      <c r="R149" s="217">
        <f t="shared" si="453"/>
        <v>2.4673159415947756</v>
      </c>
      <c r="S149" s="217">
        <f t="shared" si="454"/>
        <v>16</v>
      </c>
      <c r="T149" s="217">
        <f t="shared" si="455"/>
        <v>1.5806650191216267</v>
      </c>
      <c r="U149" s="217">
        <f t="shared" si="326"/>
        <v>1.0014421520285133</v>
      </c>
      <c r="V149" s="217">
        <f t="shared" si="327"/>
        <v>1.1340295596593262</v>
      </c>
      <c r="W149" s="197">
        <f t="shared" si="328"/>
        <v>350</v>
      </c>
      <c r="X149" s="443">
        <f t="shared" si="435"/>
        <v>350</v>
      </c>
      <c r="Z149" s="217">
        <f t="shared" si="329"/>
        <v>2.1148422356526648</v>
      </c>
      <c r="AA149" s="173">
        <f t="shared" si="330"/>
        <v>1.5172687319789393</v>
      </c>
      <c r="AB149" s="173">
        <f t="shared" si="456"/>
        <v>0.49914417734599037</v>
      </c>
      <c r="AC149" s="173"/>
      <c r="AD149" s="173">
        <f t="shared" si="332"/>
        <v>0.71743825917619464</v>
      </c>
      <c r="AE149" s="545">
        <f t="shared" si="457"/>
        <v>1087.201567554597</v>
      </c>
      <c r="AF149" s="528">
        <f t="shared" si="458"/>
        <v>0.12555169535583405</v>
      </c>
      <c r="AH149" s="173">
        <f t="shared" si="459"/>
        <v>1.8283482006601322</v>
      </c>
      <c r="AI149" s="173">
        <f t="shared" si="460"/>
        <v>1.8283482006601322</v>
      </c>
      <c r="AJ149" s="173">
        <f t="shared" si="461"/>
        <v>1.813591259748246</v>
      </c>
      <c r="AL149" s="545">
        <f t="shared" si="462"/>
        <v>390</v>
      </c>
      <c r="AM149" s="460">
        <f t="shared" si="463"/>
        <v>350</v>
      </c>
      <c r="AO149" s="460">
        <f t="shared" si="340"/>
        <v>390</v>
      </c>
      <c r="AP149" s="460">
        <f t="shared" si="341"/>
        <v>350</v>
      </c>
      <c r="AR149" s="5">
        <f t="shared" si="443"/>
        <v>2.8571428571428572</v>
      </c>
      <c r="AS149" s="5">
        <f t="shared" si="440"/>
        <v>1.1583636852696457</v>
      </c>
      <c r="AT149" s="5">
        <f t="shared" si="441"/>
        <v>1.6987791718732115</v>
      </c>
      <c r="AU149" s="173">
        <f t="shared" si="442"/>
        <v>0.40542728984437598</v>
      </c>
      <c r="AW149" s="5">
        <f t="shared" si="342"/>
        <v>2.8235114828447614</v>
      </c>
      <c r="AX149" s="5">
        <f t="shared" si="343"/>
        <v>1.4117557414223807</v>
      </c>
      <c r="AY149" s="5">
        <f t="shared" si="344"/>
        <v>0.46638551155333413</v>
      </c>
      <c r="AZ149" s="5"/>
      <c r="BA149" s="173">
        <f t="shared" si="345"/>
        <v>0.67213230636174737</v>
      </c>
      <c r="BB149" s="173">
        <f t="shared" si="346"/>
        <v>0.81395569721610306</v>
      </c>
      <c r="BC149" s="173">
        <f t="shared" si="347"/>
        <v>0.19989794328689589</v>
      </c>
      <c r="BD149" s="173"/>
      <c r="BE149" s="528">
        <f t="shared" si="348"/>
        <v>9.0352367451032364E-3</v>
      </c>
      <c r="BF149" s="528">
        <f t="shared" si="464"/>
        <v>0.41653786854263203</v>
      </c>
      <c r="BG149" s="528">
        <f t="shared" si="465"/>
        <v>0.15247235253464911</v>
      </c>
      <c r="BH149" s="528">
        <f t="shared" si="351"/>
        <v>0.21928231943722026</v>
      </c>
      <c r="BI149">
        <f t="shared" si="352"/>
        <v>8.5232992100114421E-3</v>
      </c>
      <c r="BJ149" s="460">
        <f t="shared" si="436"/>
        <v>160.99565174466053</v>
      </c>
      <c r="BK149">
        <f t="shared" si="466"/>
        <v>0.64868752301988664</v>
      </c>
      <c r="BL149" s="460">
        <f t="shared" si="437"/>
        <v>805.85107646961603</v>
      </c>
      <c r="BM149" s="173">
        <f t="shared" si="467"/>
        <v>0.24228749999999996</v>
      </c>
      <c r="BN149" s="173">
        <f t="shared" si="468"/>
        <v>6.057187499999999E-2</v>
      </c>
      <c r="BO149" s="528"/>
      <c r="BQ149" s="460">
        <f t="shared" si="356"/>
        <v>302.85937499999994</v>
      </c>
      <c r="BR149" s="528">
        <f t="shared" si="357"/>
        <v>1.3552855117654855E-2</v>
      </c>
      <c r="BS149" s="528">
        <f t="shared" si="358"/>
        <v>1.9875716310916575E-2</v>
      </c>
      <c r="BT149" s="528">
        <f t="shared" si="359"/>
        <v>1.9979593865165524E-4</v>
      </c>
      <c r="BU149" s="528">
        <f t="shared" si="360"/>
        <v>0.51794946278452536</v>
      </c>
      <c r="BV149" s="528"/>
      <c r="BW149" s="625">
        <f t="shared" si="469"/>
        <v>5.8500000000000002E-3</v>
      </c>
      <c r="BX149" s="460">
        <f t="shared" si="362"/>
        <v>557.42783015174848</v>
      </c>
      <c r="BY149" s="173">
        <f t="shared" si="363"/>
        <v>1.6661382816213646</v>
      </c>
      <c r="BZ149" s="5">
        <f t="shared" si="364"/>
        <v>7.0200000000000005</v>
      </c>
      <c r="CA149" s="173">
        <f t="shared" si="365"/>
        <v>0.8081842324400158</v>
      </c>
      <c r="CB149" s="5">
        <f t="shared" si="366"/>
        <v>80.818423244001579</v>
      </c>
      <c r="CC149">
        <f t="shared" si="367"/>
        <v>39</v>
      </c>
      <c r="CE149" s="562">
        <f t="shared" si="470"/>
        <v>-50</v>
      </c>
      <c r="CF149">
        <f t="shared" si="471"/>
        <v>-50</v>
      </c>
      <c r="CG149" s="173">
        <f t="shared" si="370"/>
        <v>0.44694082109489131</v>
      </c>
      <c r="CH149" s="173">
        <f t="shared" si="472"/>
        <v>0.15799194389852703</v>
      </c>
      <c r="CI149" s="170">
        <v>39</v>
      </c>
      <c r="CJ149" s="217">
        <f t="shared" si="438"/>
        <v>0.39</v>
      </c>
      <c r="CK149" s="217">
        <f t="shared" si="372"/>
        <v>9.7500000000000003E-2</v>
      </c>
      <c r="CL149" s="217">
        <f t="shared" si="373"/>
        <v>6.24</v>
      </c>
      <c r="CM149" s="217">
        <f t="shared" si="374"/>
        <v>0.78</v>
      </c>
      <c r="CN149" s="541">
        <f t="shared" si="375"/>
        <v>19</v>
      </c>
      <c r="CO149" s="443">
        <f t="shared" si="473"/>
        <v>16.7</v>
      </c>
      <c r="CP149" s="443">
        <f t="shared" si="474"/>
        <v>35.700000000000003</v>
      </c>
      <c r="CQ149" s="443"/>
      <c r="CR149" s="217">
        <f t="shared" si="378"/>
        <v>0.4632768361581921</v>
      </c>
      <c r="CS149" s="172">
        <f t="shared" si="379"/>
        <v>19.560577526679221</v>
      </c>
      <c r="CT149" s="172">
        <f t="shared" si="380"/>
        <v>2.7507062146892656</v>
      </c>
      <c r="CU149" s="217">
        <f t="shared" si="381"/>
        <v>1.2225360954174513</v>
      </c>
      <c r="CV149" s="217">
        <f t="shared" si="382"/>
        <v>2.4450721908349027</v>
      </c>
      <c r="CW149" s="217">
        <f t="shared" si="383"/>
        <v>16</v>
      </c>
      <c r="CX149" s="217">
        <f t="shared" si="384"/>
        <v>1.5950449293966624</v>
      </c>
      <c r="CY149" s="217">
        <f t="shared" si="385"/>
        <v>1.0073967975136817</v>
      </c>
      <c r="CZ149" s="217">
        <f t="shared" si="386"/>
        <v>1.1461400690275421</v>
      </c>
      <c r="DA149" s="197">
        <f t="shared" si="387"/>
        <v>350</v>
      </c>
      <c r="DB149" s="443">
        <f t="shared" si="388"/>
        <v>350</v>
      </c>
      <c r="DD149" s="217">
        <f t="shared" si="389"/>
        <v>2.1161798052554355</v>
      </c>
      <c r="DE149" s="173">
        <f t="shared" si="390"/>
        <v>1.5206082432973189</v>
      </c>
      <c r="DF149" s="173">
        <f t="shared" si="391"/>
        <v>0.50055918207100247</v>
      </c>
      <c r="DG149" s="173"/>
      <c r="DH149" s="173">
        <f t="shared" si="392"/>
        <v>0.71856287425149712</v>
      </c>
      <c r="DI149" s="545">
        <f t="shared" si="393"/>
        <v>1085.5</v>
      </c>
      <c r="DJ149" s="528">
        <f t="shared" si="394"/>
        <v>0.125748502994012</v>
      </c>
      <c r="DL149" s="173">
        <f t="shared" si="395"/>
        <v>1.8283482006601322</v>
      </c>
      <c r="DM149" s="173">
        <f t="shared" si="396"/>
        <v>1.8283482006601322</v>
      </c>
      <c r="DN149" s="173">
        <f t="shared" si="397"/>
        <v>1.813591259748246</v>
      </c>
      <c r="DP149" s="545">
        <f t="shared" si="398"/>
        <v>390</v>
      </c>
      <c r="DQ149" s="460">
        <f t="shared" si="399"/>
        <v>350</v>
      </c>
      <c r="DS149" s="460">
        <f t="shared" si="400"/>
        <v>390</v>
      </c>
      <c r="DT149" s="460">
        <f t="shared" si="401"/>
        <v>350</v>
      </c>
      <c r="DV149" s="5">
        <f t="shared" si="402"/>
        <v>2.8571428571428572</v>
      </c>
      <c r="DW149" s="5">
        <f t="shared" si="403"/>
        <v>1.154746231995873</v>
      </c>
      <c r="DX149" s="5">
        <f t="shared" si="404"/>
        <v>1.7023966251469842</v>
      </c>
      <c r="DY149" s="173">
        <f t="shared" si="405"/>
        <v>0.40416118119855554</v>
      </c>
      <c r="EA149" s="5">
        <f t="shared" si="406"/>
        <v>2.8146939404899403</v>
      </c>
      <c r="EB149" s="5">
        <f t="shared" si="407"/>
        <v>1.4073469702449701</v>
      </c>
      <c r="EC149" s="5">
        <f t="shared" si="408"/>
        <v>0.46591907635601665</v>
      </c>
      <c r="ED149" s="5"/>
      <c r="EE149" s="173">
        <f t="shared" si="409"/>
        <v>0.67108198491569604</v>
      </c>
      <c r="EF149" s="173">
        <f t="shared" si="410"/>
        <v>0.81482187244042725</v>
      </c>
      <c r="EG149" s="173">
        <f t="shared" si="411"/>
        <v>0.20011066573169317</v>
      </c>
      <c r="EH149" s="173"/>
      <c r="EI149" s="528">
        <f t="shared" si="412"/>
        <v>9.0070206095678104E-3</v>
      </c>
      <c r="EJ149" s="528">
        <f t="shared" si="413"/>
        <v>0.43405900457771868</v>
      </c>
      <c r="EK149" s="528">
        <f t="shared" si="414"/>
        <v>4.0250000000000001E-2</v>
      </c>
      <c r="EL149" s="528">
        <f t="shared" si="415"/>
        <v>0.21969021375000006</v>
      </c>
      <c r="EM149">
        <f t="shared" si="416"/>
        <v>8.5500000000000003E-3</v>
      </c>
      <c r="EN149" s="460">
        <f t="shared" si="417"/>
        <v>48.800000000000004</v>
      </c>
      <c r="EP149" s="460">
        <f t="shared" si="439"/>
        <v>711.55623893728648</v>
      </c>
      <c r="EQ149" s="173">
        <f t="shared" si="418"/>
        <v>0.27299999999999996</v>
      </c>
      <c r="ER149" s="173">
        <f t="shared" si="475"/>
        <v>4.3265625000000002E-2</v>
      </c>
      <c r="ES149" s="528"/>
      <c r="EU149" s="460">
        <f t="shared" si="420"/>
        <v>316.265625</v>
      </c>
      <c r="EV149" s="528">
        <f t="shared" si="421"/>
        <v>1.3510530914351714E-2</v>
      </c>
      <c r="EW149" s="528">
        <f t="shared" si="422"/>
        <v>1.9918040514219717E-2</v>
      </c>
      <c r="EX149" s="528">
        <f t="shared" si="423"/>
        <v>2.002213926979072E-4</v>
      </c>
      <c r="EY149" s="528">
        <f t="shared" si="424"/>
        <v>0.51794946278452536</v>
      </c>
      <c r="EZ149" s="528"/>
      <c r="FA149" s="625">
        <f t="shared" si="425"/>
        <v>5.8500000000000002E-3</v>
      </c>
      <c r="FB149" s="460">
        <f t="shared" si="426"/>
        <v>557.42825560579467</v>
      </c>
      <c r="FC149" s="173">
        <f t="shared" si="427"/>
        <v>1.585250119543081</v>
      </c>
      <c r="FD149" s="5">
        <f t="shared" si="428"/>
        <v>7.0200000000000005</v>
      </c>
      <c r="FE149" s="173">
        <f t="shared" si="429"/>
        <v>0.81578105255268818</v>
      </c>
      <c r="FF149" s="5">
        <f t="shared" si="430"/>
        <v>81.578105255268824</v>
      </c>
      <c r="FG149">
        <f t="shared" si="431"/>
        <v>39</v>
      </c>
      <c r="FI149" s="562">
        <f t="shared" si="432"/>
        <v>-50</v>
      </c>
      <c r="FJ149">
        <f t="shared" si="433"/>
        <v>-50</v>
      </c>
    </row>
    <row r="150" spans="5:166">
      <c r="E150" s="170">
        <v>40</v>
      </c>
      <c r="F150" s="217">
        <f t="shared" si="476"/>
        <v>0.4</v>
      </c>
      <c r="G150" s="217">
        <f t="shared" si="444"/>
        <v>0.1</v>
      </c>
      <c r="H150" s="217">
        <f t="shared" si="445"/>
        <v>6.4</v>
      </c>
      <c r="I150" s="217">
        <f t="shared" si="446"/>
        <v>0.8</v>
      </c>
      <c r="J150" s="541">
        <f t="shared" si="447"/>
        <v>18.939909019658565</v>
      </c>
      <c r="K150" s="443">
        <f t="shared" si="448"/>
        <v>16.726511453050655</v>
      </c>
      <c r="L150" s="172">
        <f t="shared" si="449"/>
        <v>35.66642047270922</v>
      </c>
      <c r="M150" s="443"/>
      <c r="N150" s="217">
        <f t="shared" si="450"/>
        <v>0.46897084796746663</v>
      </c>
      <c r="O150" s="172">
        <f t="shared" si="451"/>
        <v>19.738367096390991</v>
      </c>
      <c r="P150" s="172">
        <f t="shared" si="452"/>
        <v>2.7757078729299831</v>
      </c>
      <c r="Q150" s="217">
        <f t="shared" si="322"/>
        <v>1.233647943524437</v>
      </c>
      <c r="R150" s="217">
        <f t="shared" si="453"/>
        <v>2.4672958870488739</v>
      </c>
      <c r="S150" s="217">
        <f t="shared" si="454"/>
        <v>16</v>
      </c>
      <c r="T150" s="217">
        <f t="shared" si="455"/>
        <v>1.6212080687186607</v>
      </c>
      <c r="U150" s="217">
        <f t="shared" si="326"/>
        <v>1.0271694971940599</v>
      </c>
      <c r="V150" s="217">
        <f t="shared" si="327"/>
        <v>1.1630935045380149</v>
      </c>
      <c r="W150" s="197">
        <f t="shared" si="328"/>
        <v>350</v>
      </c>
      <c r="X150" s="443">
        <f t="shared" si="435"/>
        <v>350</v>
      </c>
      <c r="Z150" s="217">
        <f t="shared" si="329"/>
        <v>2.1148250460418918</v>
      </c>
      <c r="AA150" s="173">
        <f t="shared" si="330"/>
        <v>1.5172261486643808</v>
      </c>
      <c r="AB150" s="173">
        <f t="shared" si="456"/>
        <v>0.49912611150968395</v>
      </c>
      <c r="AC150" s="173"/>
      <c r="AD150" s="173">
        <f t="shared" si="332"/>
        <v>0.71742395499997624</v>
      </c>
      <c r="AE150" s="545">
        <f t="shared" si="457"/>
        <v>1115.1007635367102</v>
      </c>
      <c r="AF150" s="528">
        <f t="shared" si="458"/>
        <v>0.12554919212499585</v>
      </c>
      <c r="AH150" s="173">
        <f t="shared" si="459"/>
        <v>1.8516401995451028</v>
      </c>
      <c r="AI150" s="173">
        <f t="shared" si="460"/>
        <v>1.8516401995451028</v>
      </c>
      <c r="AJ150" s="173">
        <f t="shared" si="461"/>
        <v>1.8308445922556316</v>
      </c>
      <c r="AL150" s="545">
        <f t="shared" si="462"/>
        <v>400</v>
      </c>
      <c r="AM150" s="460">
        <f t="shared" si="463"/>
        <v>350</v>
      </c>
      <c r="AO150" s="460">
        <f t="shared" si="340"/>
        <v>400</v>
      </c>
      <c r="AP150" s="460">
        <f t="shared" si="341"/>
        <v>350</v>
      </c>
      <c r="AR150" s="5">
        <f t="shared" si="443"/>
        <v>2.8571428571428572</v>
      </c>
      <c r="AS150" s="5">
        <f t="shared" si="440"/>
        <v>1.1731673246940337</v>
      </c>
      <c r="AT150" s="5">
        <f t="shared" si="441"/>
        <v>1.6839755324488235</v>
      </c>
      <c r="AU150" s="173">
        <f t="shared" si="442"/>
        <v>0.41060856364291182</v>
      </c>
      <c r="AW150" s="5">
        <f t="shared" si="342"/>
        <v>2.9329183117350843</v>
      </c>
      <c r="AX150" s="5">
        <f t="shared" si="343"/>
        <v>1.4664591558675422</v>
      </c>
      <c r="AY150" s="5">
        <f t="shared" si="344"/>
        <v>0.47419461362803128</v>
      </c>
      <c r="AZ150" s="5"/>
      <c r="BA150" s="173">
        <f t="shared" si="345"/>
        <v>0.68503060506638191</v>
      </c>
      <c r="BB150" s="173">
        <f t="shared" si="346"/>
        <v>0.82072541874827376</v>
      </c>
      <c r="BC150" s="173">
        <f t="shared" si="347"/>
        <v>0.20156050725141428</v>
      </c>
      <c r="BD150" s="173"/>
      <c r="BE150" s="528">
        <f t="shared" si="348"/>
        <v>9.3853385975522664E-3</v>
      </c>
      <c r="BF150" s="528">
        <f t="shared" si="464"/>
        <v>0.42183930147132553</v>
      </c>
      <c r="BG150" s="528">
        <f t="shared" si="465"/>
        <v>0.15246626760825144</v>
      </c>
      <c r="BH150" s="528">
        <f t="shared" si="351"/>
        <v>0.21927712556680876</v>
      </c>
      <c r="BI150">
        <f t="shared" si="352"/>
        <v>8.5229590588463532E-3</v>
      </c>
      <c r="BJ150" s="460">
        <f t="shared" si="436"/>
        <v>160.98922666709777</v>
      </c>
      <c r="BK150">
        <f t="shared" si="466"/>
        <v>0.65449530308013337</v>
      </c>
      <c r="BL150" s="460">
        <f t="shared" si="437"/>
        <v>811.49099230278443</v>
      </c>
      <c r="BM150" s="173">
        <f t="shared" si="467"/>
        <v>0.24849999999999997</v>
      </c>
      <c r="BN150" s="173">
        <f t="shared" si="468"/>
        <v>6.2124999999999993E-2</v>
      </c>
      <c r="BO150" s="528"/>
      <c r="BQ150" s="460">
        <f t="shared" si="356"/>
        <v>310.625</v>
      </c>
      <c r="BR150" s="528">
        <f t="shared" si="357"/>
        <v>1.4078007896328399E-2</v>
      </c>
      <c r="BS150" s="528">
        <f t="shared" si="358"/>
        <v>2.020770638938588E-2</v>
      </c>
      <c r="BT150" s="528">
        <f t="shared" si="359"/>
        <v>2.0313319041723716E-4</v>
      </c>
      <c r="BU150" s="528">
        <f t="shared" si="360"/>
        <v>0.53460327795458351</v>
      </c>
      <c r="BV150" s="528"/>
      <c r="BW150" s="625">
        <f t="shared" si="469"/>
        <v>6.0000000000000001E-3</v>
      </c>
      <c r="BX150" s="460">
        <f t="shared" si="362"/>
        <v>575.0921254307151</v>
      </c>
      <c r="BY150" s="173">
        <f t="shared" si="363"/>
        <v>1.6972081177334994</v>
      </c>
      <c r="BZ150" s="5">
        <f t="shared" si="364"/>
        <v>7.2</v>
      </c>
      <c r="CA150" s="173">
        <f t="shared" si="365"/>
        <v>0.80924261911433726</v>
      </c>
      <c r="CB150" s="5">
        <f t="shared" si="366"/>
        <v>80.924261911433732</v>
      </c>
      <c r="CC150">
        <f t="shared" si="367"/>
        <v>40</v>
      </c>
      <c r="CE150" s="562">
        <f t="shared" si="470"/>
        <v>-50</v>
      </c>
      <c r="CF150">
        <f t="shared" si="471"/>
        <v>-50</v>
      </c>
      <c r="CG150" s="173">
        <f t="shared" si="370"/>
        <v>0.45263456427949456</v>
      </c>
      <c r="CH150" s="173">
        <f t="shared" si="472"/>
        <v>0.16000466126811241</v>
      </c>
      <c r="CI150" s="170">
        <v>40</v>
      </c>
      <c r="CJ150" s="217">
        <f t="shared" si="438"/>
        <v>0.4</v>
      </c>
      <c r="CK150" s="217">
        <f t="shared" si="372"/>
        <v>0.1</v>
      </c>
      <c r="CL150" s="217">
        <f t="shared" si="373"/>
        <v>6.4</v>
      </c>
      <c r="CM150" s="217">
        <f t="shared" si="374"/>
        <v>0.8</v>
      </c>
      <c r="CN150" s="541">
        <f t="shared" si="375"/>
        <v>19</v>
      </c>
      <c r="CO150" s="443">
        <f t="shared" si="473"/>
        <v>16.7</v>
      </c>
      <c r="CP150" s="443">
        <f t="shared" si="474"/>
        <v>35.700000000000003</v>
      </c>
      <c r="CQ150" s="443"/>
      <c r="CR150" s="217">
        <f t="shared" si="378"/>
        <v>0.4632768361581921</v>
      </c>
      <c r="CS150" s="172">
        <f t="shared" si="379"/>
        <v>19.560577526679221</v>
      </c>
      <c r="CT150" s="172">
        <f t="shared" si="380"/>
        <v>2.7507062146892656</v>
      </c>
      <c r="CU150" s="217">
        <f t="shared" si="381"/>
        <v>1.2225360954174513</v>
      </c>
      <c r="CV150" s="217">
        <f t="shared" si="382"/>
        <v>2.4450721908349027</v>
      </c>
      <c r="CW150" s="217">
        <f t="shared" si="383"/>
        <v>16</v>
      </c>
      <c r="CX150" s="217">
        <f t="shared" si="384"/>
        <v>1.6359435173299099</v>
      </c>
      <c r="CY150" s="217">
        <f t="shared" si="385"/>
        <v>1.0332274846294169</v>
      </c>
      <c r="CZ150" s="217">
        <f t="shared" si="386"/>
        <v>1.175528275925684</v>
      </c>
      <c r="DA150" s="197">
        <f t="shared" si="387"/>
        <v>350</v>
      </c>
      <c r="DB150" s="443">
        <f t="shared" si="388"/>
        <v>350</v>
      </c>
      <c r="DD150" s="217">
        <f t="shared" si="389"/>
        <v>2.1161798052554355</v>
      </c>
      <c r="DE150" s="173">
        <f t="shared" si="390"/>
        <v>1.5206082432973189</v>
      </c>
      <c r="DF150" s="173">
        <f t="shared" si="391"/>
        <v>0.50055918207100247</v>
      </c>
      <c r="DG150" s="173"/>
      <c r="DH150" s="173">
        <f t="shared" si="392"/>
        <v>0.71856287425149712</v>
      </c>
      <c r="DI150" s="545">
        <f t="shared" si="393"/>
        <v>1113.3333333333333</v>
      </c>
      <c r="DJ150" s="528">
        <f t="shared" si="394"/>
        <v>0.125748502994012</v>
      </c>
      <c r="DL150" s="173">
        <f t="shared" si="395"/>
        <v>1.8516401995451028</v>
      </c>
      <c r="DM150" s="173">
        <f t="shared" si="396"/>
        <v>1.8516401995451028</v>
      </c>
      <c r="DN150" s="173">
        <f t="shared" si="397"/>
        <v>1.8308445922556316</v>
      </c>
      <c r="DP150" s="545">
        <f t="shared" si="398"/>
        <v>400</v>
      </c>
      <c r="DQ150" s="460">
        <f t="shared" si="399"/>
        <v>350</v>
      </c>
      <c r="DS150" s="460">
        <f t="shared" si="400"/>
        <v>400</v>
      </c>
      <c r="DT150" s="460">
        <f t="shared" si="401"/>
        <v>350</v>
      </c>
      <c r="DV150" s="5">
        <f t="shared" si="402"/>
        <v>2.8571428571428572</v>
      </c>
      <c r="DW150" s="5">
        <f t="shared" si="403"/>
        <v>1.1694569681337492</v>
      </c>
      <c r="DX150" s="5">
        <f t="shared" si="404"/>
        <v>1.687685889009108</v>
      </c>
      <c r="DY150" s="173">
        <f t="shared" si="405"/>
        <v>0.40930993884681222</v>
      </c>
      <c r="EA150" s="5">
        <f t="shared" si="406"/>
        <v>2.9236424203343732</v>
      </c>
      <c r="EB150" s="5">
        <f t="shared" si="407"/>
        <v>1.4618212101671866</v>
      </c>
      <c r="EC150" s="5">
        <f t="shared" si="408"/>
        <v>0.47373638989729344</v>
      </c>
      <c r="ED150" s="5"/>
      <c r="EE150" s="173">
        <f t="shared" si="409"/>
        <v>0.68394647981658596</v>
      </c>
      <c r="EF150" s="173">
        <f t="shared" si="410"/>
        <v>0.82162908639095966</v>
      </c>
      <c r="EG150" s="173">
        <f t="shared" si="411"/>
        <v>0.20178243739307392</v>
      </c>
      <c r="EH150" s="173"/>
      <c r="EI150" s="528">
        <f t="shared" si="412"/>
        <v>9.3556557450699927E-3</v>
      </c>
      <c r="EJ150" s="528">
        <f t="shared" si="413"/>
        <v>0.43958864157300515</v>
      </c>
      <c r="EK150" s="528">
        <f t="shared" si="414"/>
        <v>4.0250000000000001E-2</v>
      </c>
      <c r="EL150" s="528">
        <f t="shared" si="415"/>
        <v>0.21969021375000006</v>
      </c>
      <c r="EM150">
        <f t="shared" si="416"/>
        <v>8.5500000000000003E-3</v>
      </c>
      <c r="EN150" s="460">
        <f t="shared" si="417"/>
        <v>48.800000000000004</v>
      </c>
      <c r="EP150" s="460">
        <f t="shared" si="439"/>
        <v>717.43451106807515</v>
      </c>
      <c r="EQ150" s="173">
        <f t="shared" si="418"/>
        <v>0.27999999999999997</v>
      </c>
      <c r="ER150" s="173">
        <f t="shared" si="475"/>
        <v>4.4374999999999998E-2</v>
      </c>
      <c r="ES150" s="528"/>
      <c r="EU150" s="460">
        <f t="shared" si="420"/>
        <v>324.37499999999994</v>
      </c>
      <c r="EV150" s="528">
        <f t="shared" si="421"/>
        <v>1.4033483617604989E-2</v>
      </c>
      <c r="EW150" s="528">
        <f t="shared" si="422"/>
        <v>2.025223066810929E-2</v>
      </c>
      <c r="EX150" s="528">
        <f t="shared" si="423"/>
        <v>2.0358076020144899E-4</v>
      </c>
      <c r="EY150" s="528">
        <f t="shared" si="424"/>
        <v>0.53460327795458351</v>
      </c>
      <c r="EZ150" s="528"/>
      <c r="FA150" s="625">
        <f t="shared" si="425"/>
        <v>6.0000000000000001E-3</v>
      </c>
      <c r="FB150" s="460">
        <f t="shared" si="426"/>
        <v>575.09257300049921</v>
      </c>
      <c r="FC150" s="173">
        <f t="shared" si="427"/>
        <v>1.6169020840685744</v>
      </c>
      <c r="FD150" s="5">
        <f t="shared" si="428"/>
        <v>7.2</v>
      </c>
      <c r="FE150" s="173">
        <f t="shared" si="429"/>
        <v>0.81661335595524132</v>
      </c>
      <c r="FF150" s="5">
        <f t="shared" si="430"/>
        <v>81.661335595524136</v>
      </c>
      <c r="FG150">
        <f t="shared" si="431"/>
        <v>40</v>
      </c>
      <c r="FI150" s="562">
        <f t="shared" si="432"/>
        <v>-50</v>
      </c>
      <c r="FJ150">
        <f t="shared" si="433"/>
        <v>-50</v>
      </c>
    </row>
    <row r="151" spans="5:166">
      <c r="E151" s="170">
        <v>41</v>
      </c>
      <c r="F151" s="217">
        <f t="shared" si="476"/>
        <v>0.41</v>
      </c>
      <c r="G151" s="217">
        <f t="shared" si="444"/>
        <v>0.10249999999999999</v>
      </c>
      <c r="H151" s="217">
        <f t="shared" si="445"/>
        <v>6.56</v>
      </c>
      <c r="I151" s="217">
        <f t="shared" si="446"/>
        <v>0.82</v>
      </c>
      <c r="J151" s="541">
        <f t="shared" si="447"/>
        <v>18.939162519230702</v>
      </c>
      <c r="K151" s="443">
        <f t="shared" si="448"/>
        <v>16.726840800499026</v>
      </c>
      <c r="L151" s="172">
        <f t="shared" si="449"/>
        <v>35.666003319729725</v>
      </c>
      <c r="M151" s="443"/>
      <c r="N151" s="217">
        <f t="shared" si="450"/>
        <v>0.46898556730762342</v>
      </c>
      <c r="O151" s="172">
        <f t="shared" si="451"/>
        <v>19.738208618694866</v>
      </c>
      <c r="P151" s="172">
        <f t="shared" si="452"/>
        <v>2.7756855870039656</v>
      </c>
      <c r="Q151" s="217">
        <f t="shared" si="322"/>
        <v>1.2336380386684291</v>
      </c>
      <c r="R151" s="217">
        <f t="shared" si="453"/>
        <v>2.4672760773368583</v>
      </c>
      <c r="S151" s="217">
        <f t="shared" si="454"/>
        <v>16</v>
      </c>
      <c r="T151" s="217">
        <f t="shared" si="455"/>
        <v>1.6617516125011353</v>
      </c>
      <c r="U151" s="217">
        <f t="shared" si="326"/>
        <v>1.0528986870335815</v>
      </c>
      <c r="V151" s="217">
        <f t="shared" si="327"/>
        <v>1.1921569403242427</v>
      </c>
      <c r="W151" s="197">
        <f t="shared" si="328"/>
        <v>350</v>
      </c>
      <c r="X151" s="443">
        <f t="shared" si="435"/>
        <v>350</v>
      </c>
      <c r="Z151" s="217">
        <f t="shared" si="329"/>
        <v>2.1148080662887354</v>
      </c>
      <c r="AA151" s="173">
        <f t="shared" si="330"/>
        <v>1.5171840934067902</v>
      </c>
      <c r="AB151" s="173">
        <f t="shared" si="456"/>
        <v>0.4991082691438109</v>
      </c>
      <c r="AC151" s="173"/>
      <c r="AD151" s="173">
        <f t="shared" si="332"/>
        <v>0.71740982909588014</v>
      </c>
      <c r="AE151" s="545">
        <f t="shared" si="457"/>
        <v>1143.0007880341002</v>
      </c>
      <c r="AF151" s="528">
        <f t="shared" si="458"/>
        <v>0.12554672009177903</v>
      </c>
      <c r="AH151" s="173">
        <f t="shared" si="459"/>
        <v>1.8746428231227714</v>
      </c>
      <c r="AI151" s="173">
        <f t="shared" si="460"/>
        <v>1.8746428231227714</v>
      </c>
      <c r="AJ151" s="173">
        <f t="shared" si="461"/>
        <v>1.8478835726835343</v>
      </c>
      <c r="AL151" s="545">
        <f t="shared" si="462"/>
        <v>410</v>
      </c>
      <c r="AM151" s="460">
        <f t="shared" si="463"/>
        <v>350</v>
      </c>
      <c r="AO151" s="460">
        <f t="shared" si="340"/>
        <v>410</v>
      </c>
      <c r="AP151" s="460">
        <f t="shared" si="341"/>
        <v>350</v>
      </c>
      <c r="AR151" s="5">
        <f t="shared" si="443"/>
        <v>2.8571428571428572</v>
      </c>
      <c r="AS151" s="5">
        <f t="shared" si="440"/>
        <v>1.1877882062964114</v>
      </c>
      <c r="AT151" s="5">
        <f t="shared" si="441"/>
        <v>1.6693546508464459</v>
      </c>
      <c r="AU151" s="173">
        <f t="shared" si="442"/>
        <v>0.41572587220374396</v>
      </c>
      <c r="AW151" s="5">
        <f t="shared" si="342"/>
        <v>3.043707278634554</v>
      </c>
      <c r="AX151" s="5">
        <f t="shared" si="343"/>
        <v>1.521853639317277</v>
      </c>
      <c r="AY151" s="5">
        <f t="shared" si="344"/>
        <v>0.48184841411867874</v>
      </c>
      <c r="AZ151" s="5"/>
      <c r="BA151" s="173">
        <f t="shared" si="345"/>
        <v>0.69784895542053271</v>
      </c>
      <c r="BB151" s="173">
        <f t="shared" si="346"/>
        <v>0.82730611435371526</v>
      </c>
      <c r="BC151" s="173">
        <f t="shared" si="347"/>
        <v>0.20317664867216242</v>
      </c>
      <c r="BD151" s="173"/>
      <c r="BE151" s="528">
        <f t="shared" si="348"/>
        <v>9.7398632916305735E-3</v>
      </c>
      <c r="BF151" s="528">
        <f t="shared" si="464"/>
        <v>0.42707474706353732</v>
      </c>
      <c r="BG151" s="528">
        <f t="shared" si="465"/>
        <v>0.15246025827980716</v>
      </c>
      <c r="BH151" s="528">
        <f t="shared" si="351"/>
        <v>0.2192719962844123</v>
      </c>
      <c r="BI151">
        <f t="shared" si="352"/>
        <v>8.5226231336538154E-3</v>
      </c>
      <c r="BJ151" s="460">
        <f t="shared" si="436"/>
        <v>160.98288141346097</v>
      </c>
      <c r="BK151">
        <f t="shared" si="466"/>
        <v>0.66024430149069846</v>
      </c>
      <c r="BL151" s="460">
        <f t="shared" si="437"/>
        <v>817.06948805304114</v>
      </c>
      <c r="BM151" s="173">
        <f t="shared" si="467"/>
        <v>0.25471249999999995</v>
      </c>
      <c r="BN151" s="173">
        <f t="shared" si="468"/>
        <v>6.3678124999999988E-2</v>
      </c>
      <c r="BO151" s="528"/>
      <c r="BQ151" s="460">
        <f t="shared" si="356"/>
        <v>318.39062499999994</v>
      </c>
      <c r="BR151" s="528">
        <f t="shared" si="357"/>
        <v>1.4609794937445859E-2</v>
      </c>
      <c r="BS151" s="528">
        <f t="shared" si="358"/>
        <v>2.0533062205411279E-2</v>
      </c>
      <c r="BT151" s="528">
        <f t="shared" si="359"/>
        <v>2.0640375282825662E-4</v>
      </c>
      <c r="BU151" s="528">
        <f t="shared" si="360"/>
        <v>0.551361514966625</v>
      </c>
      <c r="BV151" s="528"/>
      <c r="BW151" s="625">
        <f t="shared" si="469"/>
        <v>6.1500000000000001E-3</v>
      </c>
      <c r="BX151" s="460">
        <f t="shared" si="362"/>
        <v>592.86077586231033</v>
      </c>
      <c r="BY151" s="173">
        <f t="shared" si="363"/>
        <v>1.7283208889153514</v>
      </c>
      <c r="BZ151" s="5">
        <f t="shared" si="364"/>
        <v>7.38</v>
      </c>
      <c r="CA151" s="173">
        <f t="shared" si="365"/>
        <v>0.8102481335480084</v>
      </c>
      <c r="CB151" s="5">
        <f t="shared" si="366"/>
        <v>81.024813354800841</v>
      </c>
      <c r="CC151">
        <f t="shared" si="367"/>
        <v>41</v>
      </c>
      <c r="CE151" s="562">
        <f t="shared" si="470"/>
        <v>-50</v>
      </c>
      <c r="CF151">
        <f t="shared" si="471"/>
        <v>-50</v>
      </c>
      <c r="CG151" s="173">
        <f t="shared" si="370"/>
        <v>0.45825756949558405</v>
      </c>
      <c r="CH151" s="173">
        <f t="shared" si="472"/>
        <v>0.16199237302481709</v>
      </c>
      <c r="CI151" s="170">
        <v>41</v>
      </c>
      <c r="CJ151" s="217">
        <f t="shared" si="438"/>
        <v>0.41</v>
      </c>
      <c r="CK151" s="217">
        <f t="shared" si="372"/>
        <v>0.10249999999999999</v>
      </c>
      <c r="CL151" s="217">
        <f t="shared" si="373"/>
        <v>6.56</v>
      </c>
      <c r="CM151" s="217">
        <f t="shared" si="374"/>
        <v>0.82</v>
      </c>
      <c r="CN151" s="541">
        <f t="shared" si="375"/>
        <v>19</v>
      </c>
      <c r="CO151" s="443">
        <f t="shared" si="473"/>
        <v>16.7</v>
      </c>
      <c r="CP151" s="443">
        <f t="shared" si="474"/>
        <v>35.700000000000003</v>
      </c>
      <c r="CQ151" s="443"/>
      <c r="CR151" s="217">
        <f t="shared" si="378"/>
        <v>0.4632768361581921</v>
      </c>
      <c r="CS151" s="172">
        <f t="shared" si="379"/>
        <v>19.560577526679221</v>
      </c>
      <c r="CT151" s="172">
        <f t="shared" si="380"/>
        <v>2.7507062146892656</v>
      </c>
      <c r="CU151" s="217">
        <f t="shared" si="381"/>
        <v>1.2225360954174513</v>
      </c>
      <c r="CV151" s="217">
        <f t="shared" si="382"/>
        <v>2.4450721908349027</v>
      </c>
      <c r="CW151" s="217">
        <f t="shared" si="383"/>
        <v>16</v>
      </c>
      <c r="CX151" s="217">
        <f t="shared" si="384"/>
        <v>1.6768421052631577</v>
      </c>
      <c r="CY151" s="217">
        <f t="shared" si="385"/>
        <v>1.0590581717451522</v>
      </c>
      <c r="CZ151" s="217">
        <f t="shared" si="386"/>
        <v>1.2049164828238259</v>
      </c>
      <c r="DA151" s="197">
        <f t="shared" si="387"/>
        <v>350</v>
      </c>
      <c r="DB151" s="443">
        <f t="shared" si="388"/>
        <v>350</v>
      </c>
      <c r="DD151" s="217">
        <f t="shared" si="389"/>
        <v>2.1161798052554355</v>
      </c>
      <c r="DE151" s="173">
        <f t="shared" si="390"/>
        <v>1.5206082432973189</v>
      </c>
      <c r="DF151" s="173">
        <f t="shared" si="391"/>
        <v>0.50055918207100247</v>
      </c>
      <c r="DG151" s="173"/>
      <c r="DH151" s="173">
        <f t="shared" si="392"/>
        <v>0.71856287425149712</v>
      </c>
      <c r="DI151" s="545">
        <f t="shared" si="393"/>
        <v>1141.1666666666665</v>
      </c>
      <c r="DJ151" s="528">
        <f t="shared" si="394"/>
        <v>0.125748502994012</v>
      </c>
      <c r="DL151" s="173">
        <f t="shared" si="395"/>
        <v>1.8746428231227714</v>
      </c>
      <c r="DM151" s="173">
        <f t="shared" si="396"/>
        <v>1.8746428231227714</v>
      </c>
      <c r="DN151" s="173">
        <f t="shared" si="397"/>
        <v>1.8478835726835343</v>
      </c>
      <c r="DP151" s="545">
        <f t="shared" si="398"/>
        <v>410</v>
      </c>
      <c r="DQ151" s="460">
        <f t="shared" si="399"/>
        <v>350</v>
      </c>
      <c r="DS151" s="460">
        <f t="shared" si="400"/>
        <v>410</v>
      </c>
      <c r="DT151" s="460">
        <f t="shared" si="401"/>
        <v>350</v>
      </c>
      <c r="DV151" s="5">
        <f t="shared" si="402"/>
        <v>2.8571428571428572</v>
      </c>
      <c r="DW151" s="5">
        <f t="shared" si="403"/>
        <v>1.1839849409196452</v>
      </c>
      <c r="DX151" s="5">
        <f t="shared" si="404"/>
        <v>1.673157916223212</v>
      </c>
      <c r="DY151" s="173">
        <f t="shared" si="405"/>
        <v>0.41439472932187582</v>
      </c>
      <c r="EA151" s="5">
        <f t="shared" si="406"/>
        <v>3.0339614111065907</v>
      </c>
      <c r="EB151" s="5">
        <f t="shared" si="407"/>
        <v>1.5169807055532953</v>
      </c>
      <c r="EC151" s="5">
        <f t="shared" si="408"/>
        <v>0.48139982150983635</v>
      </c>
      <c r="ED151" s="5"/>
      <c r="EE151" s="173">
        <f t="shared" si="409"/>
        <v>0.6967308129952734</v>
      </c>
      <c r="EF151" s="173">
        <f t="shared" si="410"/>
        <v>0.82824799767431789</v>
      </c>
      <c r="EG151" s="173">
        <f t="shared" si="411"/>
        <v>0.20340796413472217</v>
      </c>
      <c r="EH151" s="173"/>
      <c r="EI151" s="528">
        <f t="shared" si="412"/>
        <v>9.7086765155410936E-3</v>
      </c>
      <c r="EJ151" s="528">
        <f t="shared" si="413"/>
        <v>0.44504957942346168</v>
      </c>
      <c r="EK151" s="528">
        <f t="shared" si="414"/>
        <v>4.0250000000000001E-2</v>
      </c>
      <c r="EL151" s="528">
        <f t="shared" si="415"/>
        <v>0.21969021375000006</v>
      </c>
      <c r="EM151">
        <f t="shared" si="416"/>
        <v>8.5500000000000003E-3</v>
      </c>
      <c r="EN151" s="460">
        <f t="shared" si="417"/>
        <v>48.800000000000004</v>
      </c>
      <c r="EP151" s="460">
        <f t="shared" si="439"/>
        <v>723.24846968900283</v>
      </c>
      <c r="EQ151" s="173">
        <f t="shared" si="418"/>
        <v>0.28699999999999998</v>
      </c>
      <c r="ER151" s="173">
        <f t="shared" si="475"/>
        <v>4.5484374999999994E-2</v>
      </c>
      <c r="ES151" s="528"/>
      <c r="EU151" s="460">
        <f t="shared" si="420"/>
        <v>332.48437499999994</v>
      </c>
      <c r="EV151" s="528">
        <f t="shared" si="421"/>
        <v>1.4563014773311638E-2</v>
      </c>
      <c r="EW151" s="528">
        <f t="shared" si="422"/>
        <v>2.0579842369545506E-2</v>
      </c>
      <c r="EX151" s="528">
        <f t="shared" si="423"/>
        <v>2.068739993671621E-4</v>
      </c>
      <c r="EY151" s="528">
        <f t="shared" si="424"/>
        <v>0.551361514966625</v>
      </c>
      <c r="EZ151" s="528"/>
      <c r="FA151" s="625">
        <f t="shared" si="425"/>
        <v>6.1500000000000001E-3</v>
      </c>
      <c r="FB151" s="460">
        <f t="shared" si="426"/>
        <v>592.86124610884929</v>
      </c>
      <c r="FC151" s="173">
        <f t="shared" si="427"/>
        <v>1.6485940907978522</v>
      </c>
      <c r="FD151" s="5">
        <f t="shared" si="428"/>
        <v>7.38</v>
      </c>
      <c r="FE151" s="173">
        <f t="shared" si="429"/>
        <v>0.81740301156321371</v>
      </c>
      <c r="FF151" s="5">
        <f t="shared" si="430"/>
        <v>81.740301156321365</v>
      </c>
      <c r="FG151">
        <f t="shared" si="431"/>
        <v>41</v>
      </c>
      <c r="FI151" s="562">
        <f t="shared" si="432"/>
        <v>-50</v>
      </c>
      <c r="FJ151">
        <f t="shared" si="433"/>
        <v>-50</v>
      </c>
    </row>
    <row r="152" spans="5:166">
      <c r="E152" s="170">
        <v>42</v>
      </c>
      <c r="F152" s="217">
        <f t="shared" si="476"/>
        <v>0.42</v>
      </c>
      <c r="G152" s="217">
        <f t="shared" si="444"/>
        <v>0.105</v>
      </c>
      <c r="H152" s="217">
        <f t="shared" si="445"/>
        <v>6.72</v>
      </c>
      <c r="I152" s="217">
        <f t="shared" si="446"/>
        <v>0.84</v>
      </c>
      <c r="J152" s="541">
        <f t="shared" si="447"/>
        <v>18.938425068296308</v>
      </c>
      <c r="K152" s="443">
        <f t="shared" si="448"/>
        <v>16.727166155414412</v>
      </c>
      <c r="L152" s="172">
        <f t="shared" si="449"/>
        <v>35.66559122371072</v>
      </c>
      <c r="M152" s="443"/>
      <c r="N152" s="217">
        <f t="shared" si="450"/>
        <v>0.4690001085498362</v>
      </c>
      <c r="O152" s="172">
        <f t="shared" si="451"/>
        <v>19.738052028430907</v>
      </c>
      <c r="P152" s="172">
        <f t="shared" si="452"/>
        <v>2.7756635664980962</v>
      </c>
      <c r="Q152" s="217">
        <f t="shared" si="322"/>
        <v>1.2336282517769317</v>
      </c>
      <c r="R152" s="217">
        <f t="shared" si="453"/>
        <v>2.4672565035538634</v>
      </c>
      <c r="S152" s="217">
        <f t="shared" si="454"/>
        <v>16</v>
      </c>
      <c r="T152" s="217">
        <f t="shared" si="455"/>
        <v>1.7022956445551056</v>
      </c>
      <c r="U152" s="217">
        <f t="shared" si="326"/>
        <v>1.0786296991959385</v>
      </c>
      <c r="V152" s="217">
        <f t="shared" si="327"/>
        <v>1.2212198734003177</v>
      </c>
      <c r="W152" s="197">
        <f t="shared" si="328"/>
        <v>350</v>
      </c>
      <c r="X152" s="443">
        <f t="shared" si="435"/>
        <v>350</v>
      </c>
      <c r="Z152" s="217">
        <f t="shared" si="329"/>
        <v>2.1147912887604541</v>
      </c>
      <c r="AA152" s="173">
        <f t="shared" si="330"/>
        <v>1.517142547000468</v>
      </c>
      <c r="AB152" s="173">
        <f t="shared" si="456"/>
        <v>0.49909064212069021</v>
      </c>
      <c r="AC152" s="173"/>
      <c r="AD152" s="173">
        <f t="shared" si="332"/>
        <v>0.71739587498003798</v>
      </c>
      <c r="AE152" s="545">
        <f t="shared" si="457"/>
        <v>1170.901630879009</v>
      </c>
      <c r="AF152" s="528">
        <f t="shared" si="458"/>
        <v>0.12554427812150665</v>
      </c>
      <c r="AH152" s="173">
        <f t="shared" si="459"/>
        <v>1.8973665961010275</v>
      </c>
      <c r="AI152" s="173">
        <f t="shared" si="460"/>
        <v>1.8973665961010275</v>
      </c>
      <c r="AJ152" s="173">
        <f t="shared" si="461"/>
        <v>1.8647159971118721</v>
      </c>
      <c r="AL152" s="545">
        <f t="shared" si="462"/>
        <v>420</v>
      </c>
      <c r="AM152" s="460">
        <f t="shared" si="463"/>
        <v>350</v>
      </c>
      <c r="AO152" s="460">
        <f t="shared" si="340"/>
        <v>420</v>
      </c>
      <c r="AP152" s="460">
        <f t="shared" si="341"/>
        <v>350</v>
      </c>
      <c r="AR152" s="5">
        <f t="shared" si="443"/>
        <v>2.8571428571428572</v>
      </c>
      <c r="AS152" s="5">
        <f t="shared" si="440"/>
        <v>1.2022329771934182</v>
      </c>
      <c r="AT152" s="5">
        <f t="shared" si="441"/>
        <v>1.6549098799494391</v>
      </c>
      <c r="AU152" s="173">
        <f t="shared" si="442"/>
        <v>0.42078154201769635</v>
      </c>
      <c r="AW152" s="5">
        <f t="shared" si="342"/>
        <v>3.1558615651327226</v>
      </c>
      <c r="AX152" s="5">
        <f t="shared" si="343"/>
        <v>1.5779307825663613</v>
      </c>
      <c r="AY152" s="5">
        <f t="shared" si="344"/>
        <v>0.48934878662275993</v>
      </c>
      <c r="AZ152" s="5"/>
      <c r="BA152" s="173">
        <f t="shared" si="345"/>
        <v>0.71058979054109384</v>
      </c>
      <c r="BB152" s="173">
        <f t="shared" si="346"/>
        <v>0.83370387403367885</v>
      </c>
      <c r="BC152" s="173">
        <f t="shared" si="347"/>
        <v>0.20474786318180055</v>
      </c>
      <c r="BD152" s="173"/>
      <c r="BE152" s="528">
        <f t="shared" si="348"/>
        <v>1.0098757008424712E-2</v>
      </c>
      <c r="BF152" s="528">
        <f t="shared" si="464"/>
        <v>0.43224660530787551</v>
      </c>
      <c r="BG152" s="528">
        <f t="shared" si="465"/>
        <v>0.15245432179978527</v>
      </c>
      <c r="BH152" s="528">
        <f t="shared" si="351"/>
        <v>0.2192669292409363</v>
      </c>
      <c r="BI152">
        <f t="shared" si="352"/>
        <v>8.5222912807333389E-3</v>
      </c>
      <c r="BJ152" s="460">
        <f t="shared" si="436"/>
        <v>160.9766130805186</v>
      </c>
      <c r="BK152">
        <f t="shared" si="466"/>
        <v>0.66593684788526775</v>
      </c>
      <c r="BL152" s="460">
        <f t="shared" si="437"/>
        <v>822.58890463775515</v>
      </c>
      <c r="BM152" s="173">
        <f t="shared" si="467"/>
        <v>0.26092499999999996</v>
      </c>
      <c r="BN152" s="173">
        <f t="shared" si="468"/>
        <v>6.5231249999999991E-2</v>
      </c>
      <c r="BO152" s="528"/>
      <c r="BQ152" s="460">
        <f t="shared" si="356"/>
        <v>326.15624999999994</v>
      </c>
      <c r="BR152" s="528">
        <f t="shared" si="357"/>
        <v>1.5148135512637068E-2</v>
      </c>
      <c r="BS152" s="528">
        <f t="shared" si="358"/>
        <v>2.0851864487362926E-2</v>
      </c>
      <c r="BT152" s="528">
        <f t="shared" si="359"/>
        <v>2.0960843738756661E-4</v>
      </c>
      <c r="BU152" s="528">
        <f t="shared" si="360"/>
        <v>0.56822225744358368</v>
      </c>
      <c r="BV152" s="528"/>
      <c r="BW152" s="625">
        <f t="shared" si="469"/>
        <v>6.3E-3</v>
      </c>
      <c r="BX152" s="460">
        <f t="shared" si="362"/>
        <v>610.73186588097121</v>
      </c>
      <c r="BY152" s="173">
        <f t="shared" si="363"/>
        <v>1.7594770205187262</v>
      </c>
      <c r="BZ152" s="5">
        <f t="shared" si="364"/>
        <v>7.56</v>
      </c>
      <c r="CA152" s="173">
        <f t="shared" si="365"/>
        <v>0.81120431794135239</v>
      </c>
      <c r="CB152" s="5">
        <f t="shared" si="366"/>
        <v>81.120431794135243</v>
      </c>
      <c r="CC152">
        <f t="shared" si="367"/>
        <v>42</v>
      </c>
      <c r="CE152" s="562">
        <f t="shared" si="470"/>
        <v>-50</v>
      </c>
      <c r="CF152">
        <f t="shared" si="471"/>
        <v>-50</v>
      </c>
      <c r="CG152" s="173">
        <f t="shared" si="370"/>
        <v>0.46381240951435548</v>
      </c>
      <c r="CH152" s="173">
        <f t="shared" si="472"/>
        <v>0.16395598863383909</v>
      </c>
      <c r="CI152" s="170">
        <v>42</v>
      </c>
      <c r="CJ152" s="217">
        <f t="shared" si="438"/>
        <v>0.42</v>
      </c>
      <c r="CK152" s="217">
        <f t="shared" si="372"/>
        <v>0.105</v>
      </c>
      <c r="CL152" s="217">
        <f t="shared" si="373"/>
        <v>6.72</v>
      </c>
      <c r="CM152" s="217">
        <f t="shared" si="374"/>
        <v>0.84</v>
      </c>
      <c r="CN152" s="541">
        <f t="shared" si="375"/>
        <v>19</v>
      </c>
      <c r="CO152" s="443">
        <f t="shared" si="473"/>
        <v>16.7</v>
      </c>
      <c r="CP152" s="443">
        <f t="shared" si="474"/>
        <v>35.700000000000003</v>
      </c>
      <c r="CQ152" s="443"/>
      <c r="CR152" s="217">
        <f t="shared" si="378"/>
        <v>0.4632768361581921</v>
      </c>
      <c r="CS152" s="172">
        <f t="shared" si="379"/>
        <v>19.560577526679221</v>
      </c>
      <c r="CT152" s="172">
        <f t="shared" si="380"/>
        <v>2.7507062146892656</v>
      </c>
      <c r="CU152" s="217">
        <f t="shared" si="381"/>
        <v>1.2225360954174513</v>
      </c>
      <c r="CV152" s="217">
        <f t="shared" si="382"/>
        <v>2.4450721908349027</v>
      </c>
      <c r="CW152" s="217">
        <f t="shared" si="383"/>
        <v>16</v>
      </c>
      <c r="CX152" s="217">
        <f t="shared" si="384"/>
        <v>1.7177406931964054</v>
      </c>
      <c r="CY152" s="217">
        <f t="shared" si="385"/>
        <v>1.0848888588608876</v>
      </c>
      <c r="CZ152" s="217">
        <f t="shared" si="386"/>
        <v>1.2343046897219681</v>
      </c>
      <c r="DA152" s="197">
        <f t="shared" si="387"/>
        <v>350</v>
      </c>
      <c r="DB152" s="443">
        <f t="shared" si="388"/>
        <v>350</v>
      </c>
      <c r="DD152" s="217">
        <f t="shared" si="389"/>
        <v>2.1161798052554355</v>
      </c>
      <c r="DE152" s="173">
        <f t="shared" si="390"/>
        <v>1.5206082432973189</v>
      </c>
      <c r="DF152" s="173">
        <f t="shared" si="391"/>
        <v>0.50055918207100247</v>
      </c>
      <c r="DG152" s="173"/>
      <c r="DH152" s="173">
        <f t="shared" si="392"/>
        <v>0.71856287425149712</v>
      </c>
      <c r="DI152" s="545">
        <f t="shared" si="393"/>
        <v>1168.9999999999998</v>
      </c>
      <c r="DJ152" s="528">
        <f t="shared" si="394"/>
        <v>0.125748502994012</v>
      </c>
      <c r="DL152" s="173">
        <f t="shared" si="395"/>
        <v>1.8973665961010275</v>
      </c>
      <c r="DM152" s="173">
        <f t="shared" si="396"/>
        <v>1.8973665961010275</v>
      </c>
      <c r="DN152" s="173">
        <f t="shared" si="397"/>
        <v>1.8647159971118721</v>
      </c>
      <c r="DP152" s="545">
        <f t="shared" si="398"/>
        <v>420</v>
      </c>
      <c r="DQ152" s="460">
        <f t="shared" si="399"/>
        <v>350</v>
      </c>
      <c r="DS152" s="460">
        <f t="shared" si="400"/>
        <v>420</v>
      </c>
      <c r="DT152" s="460">
        <f t="shared" si="401"/>
        <v>350</v>
      </c>
      <c r="DV152" s="5">
        <f t="shared" si="402"/>
        <v>2.8571428571428572</v>
      </c>
      <c r="DW152" s="5">
        <f t="shared" si="403"/>
        <v>1.198336797537491</v>
      </c>
      <c r="DX152" s="5">
        <f t="shared" si="404"/>
        <v>1.6588060596053662</v>
      </c>
      <c r="DY152" s="173">
        <f t="shared" si="405"/>
        <v>0.41941787913812184</v>
      </c>
      <c r="EA152" s="5">
        <f t="shared" si="406"/>
        <v>3.1456340935359139</v>
      </c>
      <c r="EB152" s="5">
        <f t="shared" si="407"/>
        <v>1.572817046767957</v>
      </c>
      <c r="EC152" s="5">
        <f t="shared" si="408"/>
        <v>0.4889112596731604</v>
      </c>
      <c r="ED152" s="5"/>
      <c r="EE152" s="173">
        <f t="shared" si="409"/>
        <v>0.70943742145854283</v>
      </c>
      <c r="EF152" s="173">
        <f t="shared" si="410"/>
        <v>0.83468469797538147</v>
      </c>
      <c r="EG152" s="173">
        <f t="shared" si="411"/>
        <v>0.2049887420027775</v>
      </c>
      <c r="EH152" s="173"/>
      <c r="EI152" s="528">
        <f t="shared" si="412"/>
        <v>1.0066029099314922E-2</v>
      </c>
      <c r="EJ152" s="528">
        <f t="shared" si="413"/>
        <v>0.45044431674736451</v>
      </c>
      <c r="EK152" s="528">
        <f t="shared" si="414"/>
        <v>4.0250000000000001E-2</v>
      </c>
      <c r="EL152" s="528">
        <f t="shared" si="415"/>
        <v>0.21969021375000006</v>
      </c>
      <c r="EM152">
        <f t="shared" si="416"/>
        <v>8.5500000000000003E-3</v>
      </c>
      <c r="EN152" s="460">
        <f t="shared" si="417"/>
        <v>48.800000000000004</v>
      </c>
      <c r="EP152" s="460">
        <f t="shared" si="439"/>
        <v>729.00055959667941</v>
      </c>
      <c r="EQ152" s="173">
        <f t="shared" si="418"/>
        <v>0.29399999999999998</v>
      </c>
      <c r="ER152" s="173">
        <f t="shared" si="475"/>
        <v>4.6593749999999996E-2</v>
      </c>
      <c r="ES152" s="528"/>
      <c r="EU152" s="460">
        <f t="shared" si="420"/>
        <v>340.59375</v>
      </c>
      <c r="EV152" s="528">
        <f t="shared" si="421"/>
        <v>1.5099043648972382E-2</v>
      </c>
      <c r="EW152" s="528">
        <f t="shared" si="422"/>
        <v>2.0900956351027612E-2</v>
      </c>
      <c r="EX152" s="528">
        <f t="shared" si="423"/>
        <v>2.101019217394064E-4</v>
      </c>
      <c r="EY152" s="528">
        <f t="shared" si="424"/>
        <v>0.56822225744358368</v>
      </c>
      <c r="EZ152" s="528"/>
      <c r="FA152" s="625">
        <f t="shared" si="425"/>
        <v>6.3E-3</v>
      </c>
      <c r="FB152" s="460">
        <f t="shared" si="426"/>
        <v>610.73235936532296</v>
      </c>
      <c r="FC152" s="173">
        <f t="shared" si="427"/>
        <v>1.6803266689620022</v>
      </c>
      <c r="FD152" s="5">
        <f t="shared" si="428"/>
        <v>7.56</v>
      </c>
      <c r="FE152" s="173">
        <f t="shared" si="429"/>
        <v>0.81815289338133768</v>
      </c>
      <c r="FF152" s="5">
        <f t="shared" si="430"/>
        <v>81.815289338133766</v>
      </c>
      <c r="FG152">
        <f t="shared" si="431"/>
        <v>42</v>
      </c>
      <c r="FI152" s="562">
        <f t="shared" si="432"/>
        <v>-50</v>
      </c>
      <c r="FJ152">
        <f t="shared" si="433"/>
        <v>-50</v>
      </c>
    </row>
    <row r="153" spans="5:166">
      <c r="E153" s="170">
        <v>43</v>
      </c>
      <c r="F153" s="217">
        <f t="shared" si="476"/>
        <v>0.43</v>
      </c>
      <c r="G153" s="217">
        <f t="shared" si="444"/>
        <v>0.1075</v>
      </c>
      <c r="H153" s="217">
        <f t="shared" si="445"/>
        <v>6.88</v>
      </c>
      <c r="I153" s="217">
        <f t="shared" si="446"/>
        <v>0.86</v>
      </c>
      <c r="J153" s="541">
        <f t="shared" si="447"/>
        <v>18.937696345514293</v>
      </c>
      <c r="K153" s="443">
        <f t="shared" si="448"/>
        <v>16.727487659568819</v>
      </c>
      <c r="L153" s="172">
        <f t="shared" si="449"/>
        <v>35.665184005083113</v>
      </c>
      <c r="M153" s="443"/>
      <c r="N153" s="217">
        <f t="shared" si="450"/>
        <v>0.46901447801824786</v>
      </c>
      <c r="O153" s="172">
        <f t="shared" si="451"/>
        <v>19.737897258576588</v>
      </c>
      <c r="P153" s="172">
        <f t="shared" si="452"/>
        <v>2.7756418019873328</v>
      </c>
      <c r="Q153" s="217">
        <f t="shared" si="322"/>
        <v>1.2336185786610367</v>
      </c>
      <c r="R153" s="217">
        <f t="shared" si="453"/>
        <v>2.4672371573220735</v>
      </c>
      <c r="S153" s="217">
        <f t="shared" si="454"/>
        <v>16</v>
      </c>
      <c r="T153" s="217">
        <f t="shared" si="455"/>
        <v>1.7428401591791838</v>
      </c>
      <c r="U153" s="217">
        <f t="shared" si="326"/>
        <v>1.1043625121333225</v>
      </c>
      <c r="V153" s="217">
        <f t="shared" si="327"/>
        <v>1.2502823099191753</v>
      </c>
      <c r="W153" s="197">
        <f t="shared" si="328"/>
        <v>350</v>
      </c>
      <c r="X153" s="443">
        <f t="shared" si="435"/>
        <v>350</v>
      </c>
      <c r="Z153" s="217">
        <f t="shared" si="329"/>
        <v>2.1147747062760631</v>
      </c>
      <c r="AA153" s="173">
        <f t="shared" si="330"/>
        <v>1.5171014913764345</v>
      </c>
      <c r="AB153" s="173">
        <f t="shared" si="456"/>
        <v>0.49907322279368965</v>
      </c>
      <c r="AC153" s="173"/>
      <c r="AD153" s="173">
        <f t="shared" si="332"/>
        <v>0.71738208655234015</v>
      </c>
      <c r="AE153" s="545">
        <f t="shared" si="457"/>
        <v>1198.8032822690986</v>
      </c>
      <c r="AF153" s="528">
        <f t="shared" si="458"/>
        <v>0.12554186514665955</v>
      </c>
      <c r="AH153" s="173">
        <f t="shared" si="459"/>
        <v>1.9198214202665531</v>
      </c>
      <c r="AI153" s="173">
        <f t="shared" si="460"/>
        <v>1.9198214202665531</v>
      </c>
      <c r="AJ153" s="173">
        <f t="shared" si="461"/>
        <v>1.8813492001974468</v>
      </c>
      <c r="AL153" s="545">
        <f t="shared" si="462"/>
        <v>430</v>
      </c>
      <c r="AM153" s="460">
        <f t="shared" si="463"/>
        <v>350</v>
      </c>
      <c r="AO153" s="460">
        <f t="shared" si="340"/>
        <v>430</v>
      </c>
      <c r="AP153" s="460">
        <f t="shared" si="341"/>
        <v>350</v>
      </c>
      <c r="AR153" s="5">
        <f t="shared" si="443"/>
        <v>2.8571428571428572</v>
      </c>
      <c r="AS153" s="5">
        <f t="shared" si="440"/>
        <v>1.2165078910801912</v>
      </c>
      <c r="AT153" s="5">
        <f t="shared" si="441"/>
        <v>1.640634966062666</v>
      </c>
      <c r="AU153" s="173">
        <f t="shared" si="442"/>
        <v>0.42577776187806693</v>
      </c>
      <c r="AW153" s="5">
        <f t="shared" si="342"/>
        <v>3.2693649572780141</v>
      </c>
      <c r="AX153" s="5">
        <f t="shared" si="343"/>
        <v>1.6346824786390071</v>
      </c>
      <c r="AY153" s="5">
        <f t="shared" si="344"/>
        <v>0.49669753739542466</v>
      </c>
      <c r="AZ153" s="5"/>
      <c r="BA153" s="173">
        <f t="shared" si="345"/>
        <v>0.72325541350513378</v>
      </c>
      <c r="BB153" s="173">
        <f t="shared" si="346"/>
        <v>0.83992442243748699</v>
      </c>
      <c r="BC153" s="173">
        <f t="shared" si="347"/>
        <v>0.20627555668685341</v>
      </c>
      <c r="BD153" s="173"/>
      <c r="BE153" s="528">
        <f t="shared" si="348"/>
        <v>1.046196786328964E-2</v>
      </c>
      <c r="BF153" s="528">
        <f t="shared" si="464"/>
        <v>0.43735713414588856</v>
      </c>
      <c r="BG153" s="528">
        <f t="shared" si="465"/>
        <v>0.15244845558139006</v>
      </c>
      <c r="BH153" s="528">
        <f t="shared" si="351"/>
        <v>0.21926192222632071</v>
      </c>
      <c r="BI153">
        <f t="shared" si="352"/>
        <v>8.5219633554814312E-3</v>
      </c>
      <c r="BJ153" s="460">
        <f t="shared" si="436"/>
        <v>160.97041893687151</v>
      </c>
      <c r="BK153">
        <f t="shared" si="466"/>
        <v>0.67157513255379109</v>
      </c>
      <c r="BL153" s="460">
        <f t="shared" si="437"/>
        <v>828.05144317237034</v>
      </c>
      <c r="BM153" s="173">
        <f t="shared" si="467"/>
        <v>0.26713749999999997</v>
      </c>
      <c r="BN153" s="173">
        <f t="shared" si="468"/>
        <v>6.6784374999999993E-2</v>
      </c>
      <c r="BO153" s="528"/>
      <c r="BQ153" s="460">
        <f t="shared" si="356"/>
        <v>333.921875</v>
      </c>
      <c r="BR153" s="528">
        <f t="shared" si="357"/>
        <v>1.5692951794934462E-2</v>
      </c>
      <c r="BS153" s="528">
        <f t="shared" si="358"/>
        <v>2.116419106220838E-2</v>
      </c>
      <c r="BT153" s="528">
        <f t="shared" si="359"/>
        <v>2.1274802643235637E-4</v>
      </c>
      <c r="BU153" s="528">
        <f t="shared" si="360"/>
        <v>0.58518366911986663</v>
      </c>
      <c r="BV153" s="528"/>
      <c r="BW153" s="625">
        <f t="shared" si="469"/>
        <v>6.4499999999999991E-3</v>
      </c>
      <c r="BX153" s="460">
        <f t="shared" si="362"/>
        <v>628.70356000344179</v>
      </c>
      <c r="BY153" s="173">
        <f t="shared" si="363"/>
        <v>1.7906768781758122</v>
      </c>
      <c r="BZ153" s="5">
        <f t="shared" si="364"/>
        <v>7.74</v>
      </c>
      <c r="CA153" s="173">
        <f t="shared" si="365"/>
        <v>0.81211440687111502</v>
      </c>
      <c r="CB153" s="5">
        <f t="shared" si="366"/>
        <v>81.211440687111505</v>
      </c>
      <c r="CC153">
        <f t="shared" si="367"/>
        <v>43</v>
      </c>
      <c r="CE153" s="562">
        <f t="shared" si="470"/>
        <v>-50</v>
      </c>
      <c r="CF153">
        <f t="shared" si="471"/>
        <v>-50</v>
      </c>
      <c r="CG153" s="173">
        <f t="shared" si="370"/>
        <v>0.46930150483353922</v>
      </c>
      <c r="CH153" s="173">
        <f t="shared" si="472"/>
        <v>0.16589636373226405</v>
      </c>
      <c r="CI153" s="170">
        <v>43</v>
      </c>
      <c r="CJ153" s="217">
        <f t="shared" si="438"/>
        <v>0.43</v>
      </c>
      <c r="CK153" s="217">
        <f t="shared" si="372"/>
        <v>0.1075</v>
      </c>
      <c r="CL153" s="217">
        <f t="shared" si="373"/>
        <v>6.88</v>
      </c>
      <c r="CM153" s="217">
        <f t="shared" si="374"/>
        <v>0.86</v>
      </c>
      <c r="CN153" s="541">
        <f t="shared" si="375"/>
        <v>19</v>
      </c>
      <c r="CO153" s="443">
        <f t="shared" si="473"/>
        <v>16.7</v>
      </c>
      <c r="CP153" s="443">
        <f t="shared" si="474"/>
        <v>35.700000000000003</v>
      </c>
      <c r="CQ153" s="443"/>
      <c r="CR153" s="217">
        <f t="shared" si="378"/>
        <v>0.4632768361581921</v>
      </c>
      <c r="CS153" s="172">
        <f t="shared" si="379"/>
        <v>19.560577526679221</v>
      </c>
      <c r="CT153" s="172">
        <f t="shared" si="380"/>
        <v>2.7507062146892656</v>
      </c>
      <c r="CU153" s="217">
        <f t="shared" si="381"/>
        <v>1.2225360954174513</v>
      </c>
      <c r="CV153" s="217">
        <f t="shared" si="382"/>
        <v>2.4450721908349027</v>
      </c>
      <c r="CW153" s="217">
        <f t="shared" si="383"/>
        <v>16</v>
      </c>
      <c r="CX153" s="217">
        <f t="shared" si="384"/>
        <v>1.7586392811296532</v>
      </c>
      <c r="CY153" s="217">
        <f t="shared" si="385"/>
        <v>1.110719545976623</v>
      </c>
      <c r="CZ153" s="217">
        <f t="shared" si="386"/>
        <v>1.26369289662011</v>
      </c>
      <c r="DA153" s="197">
        <f t="shared" si="387"/>
        <v>350</v>
      </c>
      <c r="DB153" s="443">
        <f t="shared" si="388"/>
        <v>350</v>
      </c>
      <c r="DD153" s="217">
        <f t="shared" si="389"/>
        <v>2.1161798052554355</v>
      </c>
      <c r="DE153" s="173">
        <f t="shared" si="390"/>
        <v>1.5206082432973189</v>
      </c>
      <c r="DF153" s="173">
        <f t="shared" si="391"/>
        <v>0.50055918207100247</v>
      </c>
      <c r="DG153" s="173"/>
      <c r="DH153" s="173">
        <f t="shared" si="392"/>
        <v>0.71856287425149712</v>
      </c>
      <c r="DI153" s="545">
        <f t="shared" si="393"/>
        <v>1196.8333333333333</v>
      </c>
      <c r="DJ153" s="528">
        <f t="shared" si="394"/>
        <v>0.125748502994012</v>
      </c>
      <c r="DL153" s="173">
        <f t="shared" si="395"/>
        <v>1.9198214202665531</v>
      </c>
      <c r="DM153" s="173">
        <f t="shared" si="396"/>
        <v>1.9198214202665531</v>
      </c>
      <c r="DN153" s="173">
        <f t="shared" si="397"/>
        <v>1.8813492001974468</v>
      </c>
      <c r="DP153" s="545">
        <f t="shared" si="398"/>
        <v>430</v>
      </c>
      <c r="DQ153" s="460">
        <f t="shared" si="399"/>
        <v>350</v>
      </c>
      <c r="DS153" s="460">
        <f t="shared" si="400"/>
        <v>430</v>
      </c>
      <c r="DT153" s="460">
        <f t="shared" si="401"/>
        <v>350</v>
      </c>
      <c r="DV153" s="5">
        <f t="shared" si="402"/>
        <v>2.8571428571428572</v>
      </c>
      <c r="DW153" s="5">
        <f t="shared" si="403"/>
        <v>1.2125187917472966</v>
      </c>
      <c r="DX153" s="5">
        <f t="shared" si="404"/>
        <v>1.6446240653955606</v>
      </c>
      <c r="DY153" s="173">
        <f t="shared" si="405"/>
        <v>0.42438157711155378</v>
      </c>
      <c r="EA153" s="5">
        <f t="shared" si="406"/>
        <v>3.2586442528208597</v>
      </c>
      <c r="EB153" s="5">
        <f t="shared" si="407"/>
        <v>1.6293221264104298</v>
      </c>
      <c r="EC153" s="5">
        <f t="shared" si="408"/>
        <v>0.49627252499655505</v>
      </c>
      <c r="ED153" s="5"/>
      <c r="EE153" s="173">
        <f t="shared" si="409"/>
        <v>0.7220686120108929</v>
      </c>
      <c r="EF153" s="173">
        <f t="shared" si="410"/>
        <v>0.84094491384399905</v>
      </c>
      <c r="EG153" s="173">
        <f t="shared" si="411"/>
        <v>0.20652617737051152</v>
      </c>
      <c r="EH153" s="173"/>
      <c r="EI153" s="528">
        <f t="shared" si="412"/>
        <v>1.0427661609026749E-2</v>
      </c>
      <c r="EJ153" s="528">
        <f t="shared" si="413"/>
        <v>0.45577520427838109</v>
      </c>
      <c r="EK153" s="528">
        <f t="shared" si="414"/>
        <v>4.0250000000000001E-2</v>
      </c>
      <c r="EL153" s="528">
        <f t="shared" si="415"/>
        <v>0.21969021375000006</v>
      </c>
      <c r="EM153">
        <f t="shared" si="416"/>
        <v>8.5500000000000003E-3</v>
      </c>
      <c r="EN153" s="460">
        <f t="shared" si="417"/>
        <v>48.800000000000004</v>
      </c>
      <c r="EP153" s="460">
        <f t="shared" si="439"/>
        <v>734.69307963740778</v>
      </c>
      <c r="EQ153" s="173">
        <f t="shared" si="418"/>
        <v>0.30099999999999999</v>
      </c>
      <c r="ER153" s="173">
        <f t="shared" si="475"/>
        <v>4.7703124999999999E-2</v>
      </c>
      <c r="ES153" s="528"/>
      <c r="EU153" s="460">
        <f t="shared" si="420"/>
        <v>348.703125</v>
      </c>
      <c r="EV153" s="528">
        <f t="shared" si="421"/>
        <v>1.5641492413540122E-2</v>
      </c>
      <c r="EW153" s="528">
        <f t="shared" si="422"/>
        <v>2.121565044360273E-2</v>
      </c>
      <c r="EX153" s="528">
        <f t="shared" si="423"/>
        <v>2.1326530969637992E-4</v>
      </c>
      <c r="EY153" s="528">
        <f t="shared" si="424"/>
        <v>0.58518366911986663</v>
      </c>
      <c r="EZ153" s="528"/>
      <c r="FA153" s="625">
        <f t="shared" si="425"/>
        <v>6.4499999999999991E-3</v>
      </c>
      <c r="FB153" s="460">
        <f t="shared" si="426"/>
        <v>628.7040772867058</v>
      </c>
      <c r="FC153" s="173">
        <f t="shared" si="427"/>
        <v>1.7121002819241138</v>
      </c>
      <c r="FD153" s="5">
        <f t="shared" si="428"/>
        <v>7.74</v>
      </c>
      <c r="FE153" s="173">
        <f t="shared" si="429"/>
        <v>0.81886562447943145</v>
      </c>
      <c r="FF153" s="5">
        <f t="shared" si="430"/>
        <v>81.886562447943149</v>
      </c>
      <c r="FG153">
        <f t="shared" si="431"/>
        <v>43</v>
      </c>
      <c r="FI153" s="562">
        <f t="shared" si="432"/>
        <v>-50</v>
      </c>
      <c r="FJ153">
        <f t="shared" si="433"/>
        <v>-50</v>
      </c>
    </row>
    <row r="154" spans="5:166">
      <c r="E154" s="170">
        <v>44</v>
      </c>
      <c r="F154" s="217">
        <f t="shared" si="476"/>
        <v>0.44</v>
      </c>
      <c r="G154" s="217">
        <f t="shared" si="444"/>
        <v>0.11</v>
      </c>
      <c r="H154" s="217">
        <f t="shared" si="445"/>
        <v>7.04</v>
      </c>
      <c r="I154" s="217">
        <f t="shared" si="446"/>
        <v>0.88</v>
      </c>
      <c r="J154" s="541">
        <f t="shared" si="447"/>
        <v>18.936976048122684</v>
      </c>
      <c r="K154" s="443">
        <f t="shared" si="448"/>
        <v>16.727805446537374</v>
      </c>
      <c r="L154" s="172">
        <f t="shared" si="449"/>
        <v>35.664781494660062</v>
      </c>
      <c r="M154" s="443"/>
      <c r="N154" s="217">
        <f t="shared" si="450"/>
        <v>0.46902868167135575</v>
      </c>
      <c r="O154" s="172">
        <f t="shared" si="451"/>
        <v>19.737744245984494</v>
      </c>
      <c r="P154" s="172">
        <f t="shared" si="452"/>
        <v>2.7756202845915694</v>
      </c>
      <c r="Q154" s="217">
        <f t="shared" si="322"/>
        <v>1.2336090153740309</v>
      </c>
      <c r="R154" s="217">
        <f t="shared" si="453"/>
        <v>2.4672180307480618</v>
      </c>
      <c r="S154" s="217">
        <f t="shared" si="454"/>
        <v>16</v>
      </c>
      <c r="T154" s="217">
        <f t="shared" si="455"/>
        <v>1.783385150872101</v>
      </c>
      <c r="U154" s="217">
        <f t="shared" si="326"/>
        <v>1.1300971050542552</v>
      </c>
      <c r="V154" s="217">
        <f t="shared" si="327"/>
        <v>1.279344255817795</v>
      </c>
      <c r="W154" s="197">
        <f t="shared" si="328"/>
        <v>350</v>
      </c>
      <c r="X154" s="443">
        <f t="shared" si="435"/>
        <v>350</v>
      </c>
      <c r="Z154" s="217">
        <f t="shared" si="329"/>
        <v>2.1147583120697675</v>
      </c>
      <c r="AA154" s="173">
        <f t="shared" si="330"/>
        <v>1.5170609095104119</v>
      </c>
      <c r="AB154" s="173">
        <f t="shared" si="456"/>
        <v>0.49905600395828564</v>
      </c>
      <c r="AC154" s="173"/>
      <c r="AD154" s="173">
        <f t="shared" si="332"/>
        <v>0.7173684580653692</v>
      </c>
      <c r="AE154" s="545">
        <f t="shared" si="457"/>
        <v>1226.7057327460739</v>
      </c>
      <c r="AF154" s="528">
        <f t="shared" si="458"/>
        <v>0.12553948016143962</v>
      </c>
      <c r="AH154" s="173">
        <f t="shared" si="459"/>
        <v>1.9420166249104489</v>
      </c>
      <c r="AI154" s="173">
        <f t="shared" si="460"/>
        <v>1.9420166249104489</v>
      </c>
      <c r="AJ154" s="173">
        <f t="shared" si="461"/>
        <v>1.8977900925262583</v>
      </c>
      <c r="AL154" s="545">
        <f t="shared" si="462"/>
        <v>440</v>
      </c>
      <c r="AM154" s="460">
        <f t="shared" si="463"/>
        <v>350</v>
      </c>
      <c r="AO154" s="460">
        <f t="shared" si="340"/>
        <v>440</v>
      </c>
      <c r="AP154" s="460">
        <f t="shared" si="341"/>
        <v>350</v>
      </c>
      <c r="AR154" s="5">
        <f t="shared" si="443"/>
        <v>2.8571428571428572</v>
      </c>
      <c r="AS154" s="5">
        <f t="shared" si="440"/>
        <v>1.2306188400779885</v>
      </c>
      <c r="AT154" s="5">
        <f t="shared" si="441"/>
        <v>1.6265240170648687</v>
      </c>
      <c r="AU154" s="173">
        <f t="shared" si="442"/>
        <v>0.43071659402729595</v>
      </c>
      <c r="AW154" s="5">
        <f t="shared" si="342"/>
        <v>3.3842018102144684</v>
      </c>
      <c r="AX154" s="5">
        <f t="shared" si="343"/>
        <v>1.6921009051072342</v>
      </c>
      <c r="AY154" s="5">
        <f t="shared" si="344"/>
        <v>0.50389640928933854</v>
      </c>
      <c r="AZ154" s="5"/>
      <c r="BA154" s="173">
        <f t="shared" si="345"/>
        <v>0.73584800715522425</v>
      </c>
      <c r="BB154" s="173">
        <f t="shared" si="346"/>
        <v>0.84597314821957692</v>
      </c>
      <c r="BC154" s="173">
        <f t="shared" si="347"/>
        <v>0.20776105257745492</v>
      </c>
      <c r="BD154" s="173"/>
      <c r="BE154" s="528">
        <f t="shared" si="348"/>
        <v>1.0829445792686299E-2</v>
      </c>
      <c r="BF154" s="528">
        <f t="shared" si="464"/>
        <v>0.44240846097081116</v>
      </c>
      <c r="BG154" s="528">
        <f t="shared" si="465"/>
        <v>0.15244265718738759</v>
      </c>
      <c r="BH154" s="528">
        <f t="shared" si="351"/>
        <v>0.21925697315828585</v>
      </c>
      <c r="BI154">
        <f t="shared" si="352"/>
        <v>8.5216392216552073E-3</v>
      </c>
      <c r="BJ154" s="460">
        <f t="shared" si="436"/>
        <v>160.96429640904282</v>
      </c>
      <c r="BK154">
        <f t="shared" si="466"/>
        <v>0.67716121778033334</v>
      </c>
      <c r="BL154" s="460">
        <f t="shared" si="437"/>
        <v>833.45917633082615</v>
      </c>
      <c r="BM154" s="173">
        <f t="shared" si="467"/>
        <v>0.27334999999999998</v>
      </c>
      <c r="BN154" s="173">
        <f t="shared" si="468"/>
        <v>6.8337499999999995E-2</v>
      </c>
      <c r="BO154" s="528"/>
      <c r="BQ154" s="460">
        <f t="shared" si="356"/>
        <v>341.6875</v>
      </c>
      <c r="BR154" s="528">
        <f t="shared" si="357"/>
        <v>1.6244168689029448E-2</v>
      </c>
      <c r="BS154" s="528">
        <f t="shared" si="358"/>
        <v>2.147011702525627E-2</v>
      </c>
      <c r="BT154" s="528">
        <f t="shared" si="359"/>
        <v>2.1582327484045993E-4</v>
      </c>
      <c r="BU154" s="528">
        <f t="shared" si="360"/>
        <v>0.60224398870097606</v>
      </c>
      <c r="BV154" s="528"/>
      <c r="BW154" s="625">
        <f t="shared" si="469"/>
        <v>6.6E-3</v>
      </c>
      <c r="BX154" s="460">
        <f t="shared" si="362"/>
        <v>646.77409769010228</v>
      </c>
      <c r="BY154" s="173">
        <f t="shared" si="363"/>
        <v>1.8219207740209282</v>
      </c>
      <c r="BZ154" s="5">
        <f t="shared" si="364"/>
        <v>7.92</v>
      </c>
      <c r="CA154" s="173">
        <f t="shared" si="365"/>
        <v>0.81298136001275045</v>
      </c>
      <c r="CB154" s="5">
        <f t="shared" si="366"/>
        <v>81.29813600127504</v>
      </c>
      <c r="CC154">
        <f t="shared" si="367"/>
        <v>44</v>
      </c>
      <c r="CE154" s="562">
        <f t="shared" si="470"/>
        <v>-50</v>
      </c>
      <c r="CF154">
        <f t="shared" si="471"/>
        <v>-50</v>
      </c>
      <c r="CG154" s="173">
        <f t="shared" si="370"/>
        <v>0.47472713600397504</v>
      </c>
      <c r="CH154" s="173">
        <f t="shared" si="472"/>
        <v>0.16781430448646426</v>
      </c>
      <c r="CI154" s="170">
        <v>44</v>
      </c>
      <c r="CJ154" s="217">
        <f t="shared" si="438"/>
        <v>0.44</v>
      </c>
      <c r="CK154" s="217">
        <f t="shared" si="372"/>
        <v>0.11</v>
      </c>
      <c r="CL154" s="217">
        <f t="shared" si="373"/>
        <v>7.04</v>
      </c>
      <c r="CM154" s="217">
        <f t="shared" si="374"/>
        <v>0.88</v>
      </c>
      <c r="CN154" s="541">
        <f t="shared" si="375"/>
        <v>19</v>
      </c>
      <c r="CO154" s="443">
        <f t="shared" si="473"/>
        <v>16.7</v>
      </c>
      <c r="CP154" s="443">
        <f t="shared" si="474"/>
        <v>35.700000000000003</v>
      </c>
      <c r="CQ154" s="443"/>
      <c r="CR154" s="217">
        <f t="shared" si="378"/>
        <v>0.4632768361581921</v>
      </c>
      <c r="CS154" s="172">
        <f t="shared" si="379"/>
        <v>19.560577526679221</v>
      </c>
      <c r="CT154" s="172">
        <f t="shared" si="380"/>
        <v>2.7507062146892656</v>
      </c>
      <c r="CU154" s="217">
        <f t="shared" si="381"/>
        <v>1.2225360954174513</v>
      </c>
      <c r="CV154" s="217">
        <f t="shared" si="382"/>
        <v>2.4450721908349027</v>
      </c>
      <c r="CW154" s="217">
        <f t="shared" si="383"/>
        <v>16</v>
      </c>
      <c r="CX154" s="217">
        <f t="shared" si="384"/>
        <v>1.7995378690629009</v>
      </c>
      <c r="CY154" s="217">
        <f t="shared" si="385"/>
        <v>1.1365502330923587</v>
      </c>
      <c r="CZ154" s="217">
        <f t="shared" si="386"/>
        <v>1.2930811035182523</v>
      </c>
      <c r="DA154" s="197">
        <f t="shared" si="387"/>
        <v>350</v>
      </c>
      <c r="DB154" s="443">
        <f t="shared" si="388"/>
        <v>350</v>
      </c>
      <c r="DD154" s="217">
        <f t="shared" si="389"/>
        <v>2.1161798052554355</v>
      </c>
      <c r="DE154" s="173">
        <f t="shared" si="390"/>
        <v>1.5206082432973189</v>
      </c>
      <c r="DF154" s="173">
        <f t="shared" si="391"/>
        <v>0.50055918207100247</v>
      </c>
      <c r="DG154" s="173"/>
      <c r="DH154" s="173">
        <f t="shared" si="392"/>
        <v>0.71856287425149712</v>
      </c>
      <c r="DI154" s="545">
        <f t="shared" si="393"/>
        <v>1224.6666666666665</v>
      </c>
      <c r="DJ154" s="528">
        <f t="shared" si="394"/>
        <v>0.125748502994012</v>
      </c>
      <c r="DL154" s="173">
        <f t="shared" si="395"/>
        <v>1.9420166249104489</v>
      </c>
      <c r="DM154" s="173">
        <f t="shared" si="396"/>
        <v>1.9420166249104489</v>
      </c>
      <c r="DN154" s="173">
        <f t="shared" si="397"/>
        <v>1.8977900925262583</v>
      </c>
      <c r="DP154" s="545">
        <f t="shared" si="398"/>
        <v>440</v>
      </c>
      <c r="DQ154" s="460">
        <f t="shared" si="399"/>
        <v>350</v>
      </c>
      <c r="DS154" s="460">
        <f t="shared" si="400"/>
        <v>440</v>
      </c>
      <c r="DT154" s="460">
        <f t="shared" si="401"/>
        <v>350</v>
      </c>
      <c r="DV154" s="5">
        <f t="shared" si="402"/>
        <v>2.8571428571428572</v>
      </c>
      <c r="DW154" s="5">
        <f t="shared" si="403"/>
        <v>1.2265368157329153</v>
      </c>
      <c r="DX154" s="5">
        <f t="shared" si="404"/>
        <v>1.6306060414099419</v>
      </c>
      <c r="DY154" s="173">
        <f t="shared" si="405"/>
        <v>0.42928788550652036</v>
      </c>
      <c r="EA154" s="5">
        <f t="shared" si="406"/>
        <v>3.3729762432655175</v>
      </c>
      <c r="EB154" s="5">
        <f t="shared" si="407"/>
        <v>1.6864881216327587</v>
      </c>
      <c r="EC154" s="5">
        <f t="shared" si="408"/>
        <v>0.50348537418973638</v>
      </c>
      <c r="ED154" s="5"/>
      <c r="EE154" s="173">
        <f t="shared" si="409"/>
        <v>0.73462657107028384</v>
      </c>
      <c r="EF154" s="173">
        <f t="shared" si="410"/>
        <v>0.84703403604599881</v>
      </c>
      <c r="EG154" s="173">
        <f t="shared" si="411"/>
        <v>0.20802159414659088</v>
      </c>
      <c r="EH154" s="173"/>
      <c r="EI154" s="528">
        <f t="shared" si="412"/>
        <v>1.0793523978449656E-2</v>
      </c>
      <c r="EJ154" s="528">
        <f t="shared" si="413"/>
        <v>0.46104445683686518</v>
      </c>
      <c r="EK154" s="528">
        <f t="shared" si="414"/>
        <v>4.0250000000000001E-2</v>
      </c>
      <c r="EL154" s="528">
        <f t="shared" si="415"/>
        <v>0.21969021375000006</v>
      </c>
      <c r="EM154">
        <f t="shared" si="416"/>
        <v>8.5500000000000003E-3</v>
      </c>
      <c r="EN154" s="460">
        <f t="shared" si="417"/>
        <v>48.800000000000004</v>
      </c>
      <c r="EP154" s="460">
        <f t="shared" si="439"/>
        <v>740.32819456531479</v>
      </c>
      <c r="EQ154" s="173">
        <f t="shared" si="418"/>
        <v>0.308</v>
      </c>
      <c r="ER154" s="173">
        <f t="shared" si="475"/>
        <v>4.8812499999999995E-2</v>
      </c>
      <c r="ES154" s="528"/>
      <c r="EU154" s="460">
        <f t="shared" si="420"/>
        <v>356.8125</v>
      </c>
      <c r="EV154" s="528">
        <f t="shared" si="421"/>
        <v>1.6190285967674481E-2</v>
      </c>
      <c r="EW154" s="528">
        <f t="shared" si="422"/>
        <v>2.152399974661123E-2</v>
      </c>
      <c r="EX154" s="528">
        <f t="shared" si="423"/>
        <v>2.1636491815644487E-4</v>
      </c>
      <c r="EY154" s="528">
        <f t="shared" si="424"/>
        <v>0.60224398870097606</v>
      </c>
      <c r="EZ154" s="528"/>
      <c r="FA154" s="625">
        <f t="shared" si="425"/>
        <v>6.6E-3</v>
      </c>
      <c r="FB154" s="460">
        <f t="shared" si="426"/>
        <v>646.77463933341824</v>
      </c>
      <c r="FC154" s="173">
        <f t="shared" si="427"/>
        <v>1.743915333898733</v>
      </c>
      <c r="FD154" s="5">
        <f t="shared" si="428"/>
        <v>7.92</v>
      </c>
      <c r="FE154" s="173">
        <f t="shared" si="429"/>
        <v>0.8195436038453805</v>
      </c>
      <c r="FF154" s="5">
        <f t="shared" si="430"/>
        <v>81.954360384538049</v>
      </c>
      <c r="FG154">
        <f t="shared" si="431"/>
        <v>44</v>
      </c>
      <c r="FI154" s="562">
        <f t="shared" si="432"/>
        <v>-50</v>
      </c>
      <c r="FJ154">
        <f t="shared" si="433"/>
        <v>-50</v>
      </c>
    </row>
    <row r="155" spans="5:166">
      <c r="E155" s="170">
        <v>45</v>
      </c>
      <c r="F155" s="217">
        <f t="shared" si="476"/>
        <v>0.45</v>
      </c>
      <c r="G155" s="217">
        <f t="shared" si="444"/>
        <v>0.1125</v>
      </c>
      <c r="H155" s="217">
        <f t="shared" si="445"/>
        <v>7.2</v>
      </c>
      <c r="I155" s="217">
        <f t="shared" si="446"/>
        <v>0.9</v>
      </c>
      <c r="J155" s="541">
        <f t="shared" si="447"/>
        <v>18.936263890468634</v>
      </c>
      <c r="K155" s="443">
        <f t="shared" si="448"/>
        <v>16.72811964234684</v>
      </c>
      <c r="L155" s="172">
        <f t="shared" si="449"/>
        <v>35.664383532815478</v>
      </c>
      <c r="M155" s="443"/>
      <c r="N155" s="217">
        <f t="shared" si="450"/>
        <v>0.46904272513094131</v>
      </c>
      <c r="O155" s="172">
        <f t="shared" si="451"/>
        <v>19.737592931075667</v>
      </c>
      <c r="P155" s="172">
        <f t="shared" si="452"/>
        <v>2.7755990059325155</v>
      </c>
      <c r="Q155" s="217">
        <f t="shared" si="322"/>
        <v>1.2335995581922292</v>
      </c>
      <c r="R155" s="217">
        <f t="shared" si="453"/>
        <v>2.4671991163844584</v>
      </c>
      <c r="S155" s="217">
        <f t="shared" si="454"/>
        <v>16</v>
      </c>
      <c r="T155" s="217">
        <f t="shared" si="455"/>
        <v>1.8239306143212703</v>
      </c>
      <c r="U155" s="217">
        <f t="shared" si="326"/>
        <v>1.155833457880354</v>
      </c>
      <c r="V155" s="217">
        <f t="shared" si="327"/>
        <v>1.3084057168295473</v>
      </c>
      <c r="W155" s="197">
        <f t="shared" si="328"/>
        <v>350</v>
      </c>
      <c r="X155" s="443">
        <f t="shared" si="435"/>
        <v>350</v>
      </c>
      <c r="Z155" s="217">
        <f t="shared" si="329"/>
        <v>2.1147420997581068</v>
      </c>
      <c r="AA155" s="173">
        <f t="shared" si="330"/>
        <v>1.5170207853401674</v>
      </c>
      <c r="AB155" s="173">
        <f t="shared" si="456"/>
        <v>0.49903897881708231</v>
      </c>
      <c r="AC155" s="173"/>
      <c r="AD155" s="173">
        <f t="shared" si="332"/>
        <v>0.71735498409649601</v>
      </c>
      <c r="AE155" s="545">
        <f t="shared" si="457"/>
        <v>1254.608973176013</v>
      </c>
      <c r="AF155" s="528">
        <f t="shared" si="458"/>
        <v>0.12553712221688679</v>
      </c>
      <c r="AH155" s="173">
        <f t="shared" si="459"/>
        <v>1.9639610121239313</v>
      </c>
      <c r="AI155" s="173">
        <f t="shared" si="460"/>
        <v>1.9639610121239313</v>
      </c>
      <c r="AJ155" s="173">
        <f t="shared" si="461"/>
        <v>1.9140451941658749</v>
      </c>
      <c r="AL155" s="545">
        <f t="shared" si="462"/>
        <v>450</v>
      </c>
      <c r="AM155" s="460">
        <f t="shared" si="463"/>
        <v>350</v>
      </c>
      <c r="AO155" s="460">
        <f t="shared" si="340"/>
        <v>450</v>
      </c>
      <c r="AP155" s="460">
        <f t="shared" si="341"/>
        <v>350</v>
      </c>
      <c r="AR155" s="5">
        <f t="shared" si="443"/>
        <v>2.8571428571428572</v>
      </c>
      <c r="AS155" s="5">
        <f t="shared" si="440"/>
        <v>1.2445713833418663</v>
      </c>
      <c r="AT155" s="5">
        <f t="shared" si="441"/>
        <v>1.6125714738009909</v>
      </c>
      <c r="AU155" s="173">
        <f t="shared" si="442"/>
        <v>0.43559998416965323</v>
      </c>
      <c r="AW155" s="5">
        <f t="shared" si="342"/>
        <v>3.5003570156489996</v>
      </c>
      <c r="AX155" s="5">
        <f t="shared" si="343"/>
        <v>1.7501785078244998</v>
      </c>
      <c r="AY155" s="5">
        <f t="shared" si="344"/>
        <v>0.5109470853791791</v>
      </c>
      <c r="AZ155" s="5"/>
      <c r="BA155" s="173">
        <f t="shared" si="345"/>
        <v>0.74836964295984088</v>
      </c>
      <c r="BB155" s="173">
        <f t="shared" si="346"/>
        <v>0.85185513041270444</v>
      </c>
      <c r="BC155" s="173">
        <f t="shared" si="347"/>
        <v>0.20920559820429652</v>
      </c>
      <c r="BD155" s="173"/>
      <c r="BE155" s="528">
        <f t="shared" si="348"/>
        <v>1.1201142450076793E-2</v>
      </c>
      <c r="BF155" s="528">
        <f t="shared" si="464"/>
        <v>0.44740259295651125</v>
      </c>
      <c r="BG155" s="528">
        <f t="shared" si="465"/>
        <v>0.15243692431827252</v>
      </c>
      <c r="BH155" s="528">
        <f t="shared" si="351"/>
        <v>0.21925208007222158</v>
      </c>
      <c r="BI155">
        <f t="shared" si="352"/>
        <v>8.5213187507108858E-3</v>
      </c>
      <c r="BJ155" s="460">
        <f t="shared" si="436"/>
        <v>160.95824306898339</v>
      </c>
      <c r="BK155">
        <f t="shared" si="466"/>
        <v>0.68269704802424591</v>
      </c>
      <c r="BL155" s="460">
        <f t="shared" si="437"/>
        <v>838.81405854779302</v>
      </c>
      <c r="BM155" s="173">
        <f t="shared" si="467"/>
        <v>0.27956249999999999</v>
      </c>
      <c r="BN155" s="173">
        <f t="shared" si="468"/>
        <v>6.9890624999999998E-2</v>
      </c>
      <c r="BO155" s="528"/>
      <c r="BQ155" s="460">
        <f t="shared" si="356"/>
        <v>349.453125</v>
      </c>
      <c r="BR155" s="528">
        <f t="shared" si="357"/>
        <v>1.6801713675115189E-2</v>
      </c>
      <c r="BS155" s="528">
        <f t="shared" si="358"/>
        <v>2.176971489631337E-2</v>
      </c>
      <c r="BT155" s="528">
        <f t="shared" si="359"/>
        <v>2.1883491160008779E-4</v>
      </c>
      <c r="BU155" s="528">
        <f t="shared" si="360"/>
        <v>0.61940152516269109</v>
      </c>
      <c r="BV155" s="528"/>
      <c r="BW155" s="625">
        <f t="shared" si="469"/>
        <v>6.7499999999999982E-3</v>
      </c>
      <c r="BX155" s="460">
        <f t="shared" si="362"/>
        <v>664.94178864571973</v>
      </c>
      <c r="BY155" s="173">
        <f t="shared" si="363"/>
        <v>1.853208972193513</v>
      </c>
      <c r="BZ155" s="5">
        <f t="shared" si="364"/>
        <v>8.1</v>
      </c>
      <c r="CA155" s="173">
        <f t="shared" si="365"/>
        <v>0.81380789076459037</v>
      </c>
      <c r="CB155" s="5">
        <f t="shared" si="366"/>
        <v>81.380789076459038</v>
      </c>
      <c r="CC155">
        <f t="shared" si="367"/>
        <v>45</v>
      </c>
      <c r="CE155" s="562">
        <f t="shared" si="470"/>
        <v>-50</v>
      </c>
      <c r="CF155">
        <f t="shared" si="471"/>
        <v>-50</v>
      </c>
      <c r="CG155" s="173">
        <f t="shared" si="370"/>
        <v>0.48009145470217324</v>
      </c>
      <c r="CH155" s="173">
        <f t="shared" si="472"/>
        <v>0.16971057150620825</v>
      </c>
      <c r="CI155" s="170">
        <v>45</v>
      </c>
      <c r="CJ155" s="217">
        <f t="shared" si="438"/>
        <v>0.45</v>
      </c>
      <c r="CK155" s="217">
        <f t="shared" si="372"/>
        <v>0.1125</v>
      </c>
      <c r="CL155" s="217">
        <f t="shared" si="373"/>
        <v>7.2</v>
      </c>
      <c r="CM155" s="217">
        <f t="shared" si="374"/>
        <v>0.9</v>
      </c>
      <c r="CN155" s="541">
        <f t="shared" si="375"/>
        <v>19</v>
      </c>
      <c r="CO155" s="443">
        <f t="shared" si="473"/>
        <v>16.7</v>
      </c>
      <c r="CP155" s="443">
        <f t="shared" si="474"/>
        <v>35.700000000000003</v>
      </c>
      <c r="CQ155" s="443"/>
      <c r="CR155" s="217">
        <f t="shared" si="378"/>
        <v>0.4632768361581921</v>
      </c>
      <c r="CS155" s="172">
        <f t="shared" si="379"/>
        <v>19.560577526679221</v>
      </c>
      <c r="CT155" s="172">
        <f t="shared" si="380"/>
        <v>2.7507062146892656</v>
      </c>
      <c r="CU155" s="217">
        <f t="shared" si="381"/>
        <v>1.2225360954174513</v>
      </c>
      <c r="CV155" s="217">
        <f t="shared" si="382"/>
        <v>2.4450721908349027</v>
      </c>
      <c r="CW155" s="217">
        <f t="shared" si="383"/>
        <v>16</v>
      </c>
      <c r="CX155" s="217">
        <f t="shared" si="384"/>
        <v>1.8404364569961487</v>
      </c>
      <c r="CY155" s="217">
        <f t="shared" si="385"/>
        <v>1.1623809202080939</v>
      </c>
      <c r="CZ155" s="217">
        <f t="shared" si="386"/>
        <v>1.3224693104163943</v>
      </c>
      <c r="DA155" s="197">
        <f t="shared" si="387"/>
        <v>350</v>
      </c>
      <c r="DB155" s="443">
        <f t="shared" si="388"/>
        <v>350</v>
      </c>
      <c r="DD155" s="217">
        <f t="shared" si="389"/>
        <v>2.1161798052554355</v>
      </c>
      <c r="DE155" s="173">
        <f t="shared" si="390"/>
        <v>1.5206082432973189</v>
      </c>
      <c r="DF155" s="173">
        <f t="shared" si="391"/>
        <v>0.50055918207100247</v>
      </c>
      <c r="DG155" s="173"/>
      <c r="DH155" s="173">
        <f t="shared" si="392"/>
        <v>0.71856287425149712</v>
      </c>
      <c r="DI155" s="545">
        <f t="shared" si="393"/>
        <v>1252.4999999999998</v>
      </c>
      <c r="DJ155" s="528">
        <f t="shared" si="394"/>
        <v>0.125748502994012</v>
      </c>
      <c r="DL155" s="173">
        <f t="shared" si="395"/>
        <v>1.9639610121239313</v>
      </c>
      <c r="DM155" s="173">
        <f t="shared" si="396"/>
        <v>1.9639610121239313</v>
      </c>
      <c r="DN155" s="173">
        <f t="shared" si="397"/>
        <v>1.9140451941658749</v>
      </c>
      <c r="DP155" s="545">
        <f t="shared" si="398"/>
        <v>450</v>
      </c>
      <c r="DQ155" s="460">
        <f t="shared" si="399"/>
        <v>350</v>
      </c>
      <c r="DS155" s="460">
        <f t="shared" si="400"/>
        <v>450</v>
      </c>
      <c r="DT155" s="460">
        <f t="shared" si="401"/>
        <v>350</v>
      </c>
      <c r="DV155" s="5">
        <f t="shared" si="402"/>
        <v>2.8571428571428572</v>
      </c>
      <c r="DW155" s="5">
        <f t="shared" si="403"/>
        <v>1.2403964287098515</v>
      </c>
      <c r="DX155" s="5">
        <f t="shared" si="404"/>
        <v>1.6167464284330058</v>
      </c>
      <c r="DY155" s="173">
        <f t="shared" si="405"/>
        <v>0.43413875004844799</v>
      </c>
      <c r="EA155" s="5">
        <f t="shared" si="406"/>
        <v>3.4886149557464572</v>
      </c>
      <c r="EB155" s="5">
        <f t="shared" si="407"/>
        <v>1.7443074778732286</v>
      </c>
      <c r="EC155" s="5">
        <f t="shared" si="408"/>
        <v>0.51055150371568592</v>
      </c>
      <c r="ED155" s="5"/>
      <c r="EE155" s="173">
        <f t="shared" si="409"/>
        <v>0.74711337353806817</v>
      </c>
      <c r="EF155" s="173">
        <f t="shared" si="410"/>
        <v>0.85295714593105576</v>
      </c>
      <c r="EG155" s="173">
        <f t="shared" si="411"/>
        <v>0.20947624025071515</v>
      </c>
      <c r="EH155" s="173"/>
      <c r="EI155" s="528">
        <f t="shared" si="412"/>
        <v>1.116356785838866E-2</v>
      </c>
      <c r="EJ155" s="528">
        <f t="shared" si="413"/>
        <v>0.46625416408328191</v>
      </c>
      <c r="EK155" s="528">
        <f t="shared" si="414"/>
        <v>4.0250000000000001E-2</v>
      </c>
      <c r="EL155" s="528">
        <f t="shared" si="415"/>
        <v>0.21969021375000006</v>
      </c>
      <c r="EM155">
        <f t="shared" si="416"/>
        <v>8.5500000000000003E-3</v>
      </c>
      <c r="EN155" s="460">
        <f t="shared" si="417"/>
        <v>48.800000000000004</v>
      </c>
      <c r="EP155" s="460">
        <f t="shared" si="439"/>
        <v>745.90794569167065</v>
      </c>
      <c r="EQ155" s="173">
        <f t="shared" si="418"/>
        <v>0.315</v>
      </c>
      <c r="ER155" s="173">
        <f t="shared" si="475"/>
        <v>4.9921874999999998E-2</v>
      </c>
      <c r="ES155" s="528"/>
      <c r="EU155" s="460">
        <f t="shared" si="420"/>
        <v>364.921875</v>
      </c>
      <c r="EV155" s="528">
        <f t="shared" si="421"/>
        <v>1.6745351787582987E-2</v>
      </c>
      <c r="EW155" s="528">
        <f t="shared" si="422"/>
        <v>2.1826076783845568E-2</v>
      </c>
      <c r="EX155" s="528">
        <f t="shared" si="423"/>
        <v>2.194014761478767E-4</v>
      </c>
      <c r="EY155" s="528">
        <f t="shared" si="424"/>
        <v>0.61940152516269109</v>
      </c>
      <c r="EZ155" s="528"/>
      <c r="FA155" s="625">
        <f t="shared" si="425"/>
        <v>6.7499999999999982E-3</v>
      </c>
      <c r="FB155" s="460">
        <f t="shared" si="426"/>
        <v>664.94235521026758</v>
      </c>
      <c r="FC155" s="173">
        <f t="shared" si="427"/>
        <v>1.775772175901938</v>
      </c>
      <c r="FD155" s="5">
        <f t="shared" si="428"/>
        <v>8.1</v>
      </c>
      <c r="FE155" s="173">
        <f t="shared" si="429"/>
        <v>0.82018902985277098</v>
      </c>
      <c r="FF155" s="5">
        <f t="shared" si="430"/>
        <v>82.018902985277094</v>
      </c>
      <c r="FG155">
        <f t="shared" si="431"/>
        <v>45</v>
      </c>
      <c r="FI155" s="562">
        <f t="shared" si="432"/>
        <v>-50</v>
      </c>
      <c r="FJ155">
        <f t="shared" si="433"/>
        <v>-50</v>
      </c>
    </row>
    <row r="156" spans="5:166" s="76" customFormat="1">
      <c r="E156" s="189">
        <v>46</v>
      </c>
      <c r="F156" s="329">
        <f t="shared" si="476"/>
        <v>0.46</v>
      </c>
      <c r="G156" s="217">
        <f t="shared" si="444"/>
        <v>0.115</v>
      </c>
      <c r="H156" s="329">
        <f t="shared" si="445"/>
        <v>7.36</v>
      </c>
      <c r="I156" s="217">
        <f t="shared" si="446"/>
        <v>0.92</v>
      </c>
      <c r="J156" s="541">
        <f t="shared" si="447"/>
        <v>18.935559602684698</v>
      </c>
      <c r="K156" s="443">
        <f t="shared" si="448"/>
        <v>16.728430366059648</v>
      </c>
      <c r="L156" s="172">
        <f t="shared" si="449"/>
        <v>35.663989968744346</v>
      </c>
      <c r="M156" s="443"/>
      <c r="N156" s="217">
        <f t="shared" si="450"/>
        <v>0.46905661370812179</v>
      </c>
      <c r="O156" s="172">
        <f t="shared" si="451"/>
        <v>19.737443257563537</v>
      </c>
      <c r="P156" s="172">
        <f t="shared" si="452"/>
        <v>2.7755779580948725</v>
      </c>
      <c r="Q156" s="329">
        <f t="shared" si="322"/>
        <v>1.2335902035977211</v>
      </c>
      <c r="R156" s="217">
        <f t="shared" si="453"/>
        <v>2.4671804071954422</v>
      </c>
      <c r="S156" s="329">
        <f t="shared" si="454"/>
        <v>16</v>
      </c>
      <c r="T156" s="217">
        <f t="shared" si="455"/>
        <v>1.8644765443922411</v>
      </c>
      <c r="U156" s="329">
        <f t="shared" si="326"/>
        <v>1.1815715512064788</v>
      </c>
      <c r="V156" s="329">
        <f t="shared" si="327"/>
        <v>1.3374666984955734</v>
      </c>
      <c r="W156" s="537">
        <f t="shared" si="328"/>
        <v>350</v>
      </c>
      <c r="X156" s="443">
        <f t="shared" si="435"/>
        <v>350</v>
      </c>
      <c r="Z156" s="329">
        <f t="shared" si="329"/>
        <v>2.1147260633103793</v>
      </c>
      <c r="AA156" s="538">
        <f t="shared" si="330"/>
        <v>1.5169811036910805</v>
      </c>
      <c r="AB156" s="173">
        <f t="shared" si="456"/>
        <v>0.49902214094831354</v>
      </c>
      <c r="AC156" s="538"/>
      <c r="AD156" s="538">
        <f t="shared" si="332"/>
        <v>0.71734165952275053</v>
      </c>
      <c r="AE156" s="545">
        <f t="shared" si="457"/>
        <v>1282.5129947312396</v>
      </c>
      <c r="AF156" s="528">
        <f t="shared" si="458"/>
        <v>0.12553479041648136</v>
      </c>
      <c r="AH156" s="173">
        <f t="shared" si="459"/>
        <v>1.9856628975878921</v>
      </c>
      <c r="AI156" s="538">
        <f t="shared" si="460"/>
        <v>1.9856628975878921</v>
      </c>
      <c r="AJ156" s="538">
        <f t="shared" si="461"/>
        <v>1.9301206648799201</v>
      </c>
      <c r="AL156" s="563">
        <f t="shared" si="462"/>
        <v>460</v>
      </c>
      <c r="AM156" s="564">
        <f t="shared" si="463"/>
        <v>350</v>
      </c>
      <c r="AO156" s="76">
        <f t="shared" si="340"/>
        <v>460</v>
      </c>
      <c r="AP156" s="76">
        <f t="shared" si="341"/>
        <v>350</v>
      </c>
      <c r="AR156" s="534">
        <f t="shared" si="443"/>
        <v>2.8571428571428572</v>
      </c>
      <c r="AS156" s="5">
        <f t="shared" si="440"/>
        <v>1.2583707728223865</v>
      </c>
      <c r="AT156" s="5">
        <f t="shared" si="441"/>
        <v>1.5987720843204707</v>
      </c>
      <c r="AU156" s="173">
        <f t="shared" si="442"/>
        <v>0.44042977048783527</v>
      </c>
      <c r="AW156" s="5">
        <f t="shared" si="342"/>
        <v>3.6178159718643612</v>
      </c>
      <c r="AX156" s="5">
        <f t="shared" si="343"/>
        <v>1.8089079859321806</v>
      </c>
      <c r="AY156" s="5">
        <f t="shared" si="344"/>
        <v>0.51785119230251209</v>
      </c>
      <c r="AZ156" s="5"/>
      <c r="BA156" s="173">
        <f t="shared" si="345"/>
        <v>0.76082228903883842</v>
      </c>
      <c r="BB156" s="173">
        <f t="shared" si="346"/>
        <v>0.85757516217962881</v>
      </c>
      <c r="BC156" s="173">
        <f t="shared" si="347"/>
        <v>0.21061037071176178</v>
      </c>
      <c r="BD156" s="173"/>
      <c r="BE156" s="528">
        <f t="shared" si="348"/>
        <v>1.1577011109965956E-2</v>
      </c>
      <c r="BF156" s="528">
        <f t="shared" si="464"/>
        <v>0.45234142635888647</v>
      </c>
      <c r="BG156" s="528">
        <f t="shared" si="465"/>
        <v>0.15243125480161182</v>
      </c>
      <c r="BH156" s="528">
        <f t="shared" si="351"/>
        <v>0.21924724111208396</v>
      </c>
      <c r="BI156">
        <f t="shared" si="352"/>
        <v>8.5210018212081139E-3</v>
      </c>
      <c r="BJ156" s="460">
        <f t="shared" si="436"/>
        <v>160.95225662281993</v>
      </c>
      <c r="BK156">
        <f t="shared" si="466"/>
        <v>0.68818445908556825</v>
      </c>
      <c r="BL156" s="460">
        <f t="shared" si="437"/>
        <v>844.11793520375625</v>
      </c>
      <c r="BM156" s="173">
        <f t="shared" si="467"/>
        <v>0.285775</v>
      </c>
      <c r="BN156" s="173">
        <f t="shared" si="468"/>
        <v>7.144375E-2</v>
      </c>
      <c r="BO156" s="528"/>
      <c r="BP156"/>
      <c r="BQ156" s="460">
        <f t="shared" si="356"/>
        <v>357.21875000000006</v>
      </c>
      <c r="BR156" s="528">
        <f t="shared" si="357"/>
        <v>1.7365516664948934E-2</v>
      </c>
      <c r="BS156" s="528">
        <f t="shared" si="358"/>
        <v>2.2063054763622497E-2</v>
      </c>
      <c r="BT156" s="528">
        <f t="shared" si="359"/>
        <v>2.2178364125672863E-4</v>
      </c>
      <c r="BU156" s="528">
        <f t="shared" si="360"/>
        <v>0.63665465344326022</v>
      </c>
      <c r="BV156" s="528"/>
      <c r="BW156" s="625">
        <f t="shared" si="469"/>
        <v>6.9000000000000008E-3</v>
      </c>
      <c r="BX156" s="460">
        <f t="shared" si="362"/>
        <v>683.20500851308839</v>
      </c>
      <c r="BY156" s="173">
        <f t="shared" si="363"/>
        <v>1.8845416937168444</v>
      </c>
      <c r="BZ156" s="5">
        <f t="shared" si="364"/>
        <v>8.2800000000000011</v>
      </c>
      <c r="CA156" s="173">
        <f t="shared" si="365"/>
        <v>0.8145964913615571</v>
      </c>
      <c r="CB156" s="5">
        <f t="shared" si="366"/>
        <v>81.459649136155704</v>
      </c>
      <c r="CC156">
        <f t="shared" si="367"/>
        <v>46</v>
      </c>
      <c r="CE156" s="562">
        <f t="shared" si="470"/>
        <v>-50</v>
      </c>
      <c r="CF156">
        <f t="shared" si="471"/>
        <v>-50</v>
      </c>
      <c r="CG156" s="173">
        <f t="shared" si="370"/>
        <v>0.48539649370134624</v>
      </c>
      <c r="CH156" s="173">
        <f t="shared" si="472"/>
        <v>0.17158588336938418</v>
      </c>
      <c r="CI156" s="189">
        <v>46</v>
      </c>
      <c r="CJ156" s="329">
        <f t="shared" si="438"/>
        <v>0.46</v>
      </c>
      <c r="CK156" s="217">
        <f t="shared" si="372"/>
        <v>0.115</v>
      </c>
      <c r="CL156" s="329">
        <f t="shared" si="373"/>
        <v>7.36</v>
      </c>
      <c r="CM156" s="217">
        <f t="shared" si="374"/>
        <v>0.92</v>
      </c>
      <c r="CN156" s="541">
        <f t="shared" si="375"/>
        <v>19</v>
      </c>
      <c r="CO156" s="443">
        <f t="shared" si="473"/>
        <v>16.7</v>
      </c>
      <c r="CP156" s="443">
        <f t="shared" si="474"/>
        <v>35.700000000000003</v>
      </c>
      <c r="CQ156" s="535"/>
      <c r="CR156" s="329">
        <f t="shared" si="378"/>
        <v>0.4632768361581921</v>
      </c>
      <c r="CS156" s="172">
        <f t="shared" si="379"/>
        <v>19.560577526679221</v>
      </c>
      <c r="CT156" s="172">
        <f t="shared" si="380"/>
        <v>2.7507062146892656</v>
      </c>
      <c r="CU156" s="329">
        <f t="shared" si="381"/>
        <v>1.2225360954174513</v>
      </c>
      <c r="CV156" s="217">
        <f t="shared" si="382"/>
        <v>2.4450721908349027</v>
      </c>
      <c r="CW156" s="329">
        <f t="shared" si="383"/>
        <v>16</v>
      </c>
      <c r="CX156" s="217">
        <f t="shared" si="384"/>
        <v>1.8813350449293968</v>
      </c>
      <c r="CY156" s="329">
        <f t="shared" si="385"/>
        <v>1.1882116073238296</v>
      </c>
      <c r="CZ156" s="329">
        <f t="shared" si="386"/>
        <v>1.3518575173145366</v>
      </c>
      <c r="DA156" s="537">
        <f t="shared" si="387"/>
        <v>350</v>
      </c>
      <c r="DB156" s="535">
        <f t="shared" si="388"/>
        <v>350</v>
      </c>
      <c r="DD156" s="329">
        <f t="shared" si="389"/>
        <v>2.1161798052554355</v>
      </c>
      <c r="DE156" s="538">
        <f t="shared" si="390"/>
        <v>1.5206082432973189</v>
      </c>
      <c r="DF156" s="173">
        <f t="shared" si="391"/>
        <v>0.50055918207100247</v>
      </c>
      <c r="DG156" s="538"/>
      <c r="DH156" s="538">
        <f t="shared" si="392"/>
        <v>0.71856287425149712</v>
      </c>
      <c r="DI156" s="545">
        <f t="shared" si="393"/>
        <v>1280.3333333333333</v>
      </c>
      <c r="DJ156" s="528">
        <f t="shared" si="394"/>
        <v>0.125748502994012</v>
      </c>
      <c r="DL156" s="173">
        <f t="shared" si="395"/>
        <v>1.9856628975878921</v>
      </c>
      <c r="DM156" s="538">
        <f t="shared" si="396"/>
        <v>1.9856628975878921</v>
      </c>
      <c r="DN156" s="538">
        <f t="shared" si="397"/>
        <v>1.9301206648799201</v>
      </c>
      <c r="DP156" s="563">
        <f t="shared" si="398"/>
        <v>460</v>
      </c>
      <c r="DQ156" s="564">
        <f t="shared" si="399"/>
        <v>350</v>
      </c>
      <c r="DS156" s="76">
        <f t="shared" si="400"/>
        <v>460</v>
      </c>
      <c r="DT156" s="76">
        <f t="shared" si="401"/>
        <v>350</v>
      </c>
      <c r="DV156" s="534">
        <f t="shared" si="402"/>
        <v>2.8571428571428572</v>
      </c>
      <c r="DW156" s="5">
        <f t="shared" si="403"/>
        <v>1.2541028826870897</v>
      </c>
      <c r="DX156" s="5">
        <f t="shared" si="404"/>
        <v>1.6030399744557675</v>
      </c>
      <c r="DY156" s="173">
        <f t="shared" si="405"/>
        <v>0.4389360089404814</v>
      </c>
      <c r="EA156" s="5">
        <f t="shared" si="406"/>
        <v>3.6055457877253829</v>
      </c>
      <c r="EB156" s="5">
        <f t="shared" si="407"/>
        <v>1.8027728938626915</v>
      </c>
      <c r="EC156" s="5">
        <f t="shared" si="408"/>
        <v>0.51747255315765117</v>
      </c>
      <c r="ED156" s="5"/>
      <c r="EE156" s="173">
        <f t="shared" si="409"/>
        <v>0.7595309908331993</v>
      </c>
      <c r="EF156" s="173">
        <f t="shared" si="410"/>
        <v>0.85871903917966841</v>
      </c>
      <c r="EG156" s="173">
        <f t="shared" si="411"/>
        <v>0.21089129344559504</v>
      </c>
      <c r="EH156" s="173"/>
      <c r="EI156" s="528">
        <f t="shared" si="412"/>
        <v>1.153774652072123E-2</v>
      </c>
      <c r="EJ156" s="528">
        <f t="shared" si="413"/>
        <v>0.47140630020185359</v>
      </c>
      <c r="EK156" s="528">
        <f t="shared" si="414"/>
        <v>4.0250000000000001E-2</v>
      </c>
      <c r="EL156" s="528">
        <f t="shared" si="415"/>
        <v>0.21969021375000006</v>
      </c>
      <c r="EM156">
        <f t="shared" si="416"/>
        <v>8.5500000000000003E-3</v>
      </c>
      <c r="EN156" s="460">
        <f t="shared" si="417"/>
        <v>48.800000000000004</v>
      </c>
      <c r="EO156"/>
      <c r="EP156" s="460">
        <f t="shared" si="439"/>
        <v>751.43426047257481</v>
      </c>
      <c r="EQ156" s="173">
        <f t="shared" si="418"/>
        <v>0.32200000000000001</v>
      </c>
      <c r="ER156" s="173">
        <f t="shared" si="475"/>
        <v>5.103125E-2</v>
      </c>
      <c r="ES156" s="528"/>
      <c r="ET156"/>
      <c r="EU156" s="460">
        <f t="shared" si="420"/>
        <v>373.03125000000006</v>
      </c>
      <c r="EV156" s="528">
        <f t="shared" si="421"/>
        <v>1.7306619781081844E-2</v>
      </c>
      <c r="EW156" s="528">
        <f t="shared" si="422"/>
        <v>2.2121951647489584E-2</v>
      </c>
      <c r="EX156" s="528">
        <f t="shared" si="423"/>
        <v>2.2237568825578041E-4</v>
      </c>
      <c r="EY156" s="528">
        <f t="shared" si="424"/>
        <v>0.63665465344326022</v>
      </c>
      <c r="EZ156" s="528"/>
      <c r="FA156" s="625">
        <f t="shared" si="425"/>
        <v>6.9000000000000008E-3</v>
      </c>
      <c r="FB156" s="460">
        <f t="shared" si="426"/>
        <v>683.20560056008742</v>
      </c>
      <c r="FC156" s="173">
        <f t="shared" si="427"/>
        <v>1.8076711110326622</v>
      </c>
      <c r="FD156" s="5">
        <f t="shared" si="428"/>
        <v>8.2800000000000011</v>
      </c>
      <c r="FE156" s="173">
        <f t="shared" si="429"/>
        <v>0.82080392083206877</v>
      </c>
      <c r="FF156" s="5">
        <f t="shared" si="430"/>
        <v>82.080392083206874</v>
      </c>
      <c r="FG156">
        <f t="shared" si="431"/>
        <v>46</v>
      </c>
      <c r="FI156" s="562">
        <f t="shared" si="432"/>
        <v>-50</v>
      </c>
      <c r="FJ156">
        <f t="shared" si="433"/>
        <v>-50</v>
      </c>
    </row>
    <row r="157" spans="5:166">
      <c r="E157" s="170">
        <v>47</v>
      </c>
      <c r="F157" s="217">
        <f t="shared" si="476"/>
        <v>0.47</v>
      </c>
      <c r="G157" s="217">
        <f t="shared" si="444"/>
        <v>0.11749999999999999</v>
      </c>
      <c r="H157" s="217">
        <f t="shared" si="445"/>
        <v>7.52</v>
      </c>
      <c r="I157" s="217">
        <f t="shared" si="446"/>
        <v>0.94</v>
      </c>
      <c r="J157" s="541">
        <f t="shared" si="447"/>
        <v>18.934862929493921</v>
      </c>
      <c r="K157" s="443">
        <f t="shared" si="448"/>
        <v>16.72873773030107</v>
      </c>
      <c r="L157" s="172">
        <f t="shared" si="449"/>
        <v>35.663600659794994</v>
      </c>
      <c r="M157" s="443"/>
      <c r="N157" s="217">
        <f t="shared" si="450"/>
        <v>0.46907035242686662</v>
      </c>
      <c r="O157" s="172">
        <f t="shared" si="451"/>
        <v>19.737295172204725</v>
      </c>
      <c r="P157" s="172">
        <f t="shared" si="452"/>
        <v>2.7755571335912892</v>
      </c>
      <c r="Q157" s="217">
        <f t="shared" si="322"/>
        <v>1.2335809482627953</v>
      </c>
      <c r="R157" s="217">
        <f t="shared" si="453"/>
        <v>2.4671618965255906</v>
      </c>
      <c r="S157" s="217">
        <f t="shared" si="454"/>
        <v>16</v>
      </c>
      <c r="T157" s="217">
        <f t="shared" si="455"/>
        <v>1.905022936118959</v>
      </c>
      <c r="U157" s="217">
        <f t="shared" si="326"/>
        <v>1.2073113662639281</v>
      </c>
      <c r="V157" s="217">
        <f t="shared" si="327"/>
        <v>1.3665272061752916</v>
      </c>
      <c r="W157" s="197">
        <f t="shared" si="328"/>
        <v>350</v>
      </c>
      <c r="X157" s="443">
        <f t="shared" si="435"/>
        <v>350</v>
      </c>
      <c r="Z157" s="217">
        <f t="shared" si="329"/>
        <v>2.1147101970219349</v>
      </c>
      <c r="AA157" s="173">
        <f t="shared" si="330"/>
        <v>1.5169418502089527</v>
      </c>
      <c r="AB157" s="173">
        <f t="shared" si="456"/>
        <v>0.49900548427740776</v>
      </c>
      <c r="AC157" s="173"/>
      <c r="AD157" s="173">
        <f t="shared" si="332"/>
        <v>0.71732847949813816</v>
      </c>
      <c r="AE157" s="545">
        <f t="shared" si="457"/>
        <v>1310.4177888735835</v>
      </c>
      <c r="AF157" s="528">
        <f t="shared" si="458"/>
        <v>0.12553248391217417</v>
      </c>
      <c r="AH157" s="173">
        <f t="shared" si="459"/>
        <v>2.0071301473923975</v>
      </c>
      <c r="AI157" s="173">
        <f t="shared" si="460"/>
        <v>2.0071301473923975</v>
      </c>
      <c r="AJ157" s="173">
        <f t="shared" si="461"/>
        <v>1.9460223314017759</v>
      </c>
      <c r="AL157" s="545">
        <f t="shared" si="462"/>
        <v>470</v>
      </c>
      <c r="AM157" s="460">
        <f t="shared" si="463"/>
        <v>350</v>
      </c>
      <c r="AO157">
        <f t="shared" si="340"/>
        <v>470</v>
      </c>
      <c r="AP157">
        <f t="shared" si="341"/>
        <v>350</v>
      </c>
      <c r="AR157" s="5">
        <f t="shared" si="443"/>
        <v>2.8571428571428572</v>
      </c>
      <c r="AS157" s="5">
        <f t="shared" si="440"/>
        <v>1.2720219765199281</v>
      </c>
      <c r="AT157" s="5">
        <f t="shared" si="441"/>
        <v>1.5851208806229291</v>
      </c>
      <c r="AU157" s="173">
        <f t="shared" si="442"/>
        <v>0.44520769178197483</v>
      </c>
      <c r="AW157" s="5">
        <f t="shared" si="342"/>
        <v>3.7365645560272887</v>
      </c>
      <c r="AX157" s="5">
        <f t="shared" si="343"/>
        <v>1.8682822780136443</v>
      </c>
      <c r="AY157" s="5">
        <f t="shared" si="344"/>
        <v>0.52461030334495873</v>
      </c>
      <c r="AZ157" s="5"/>
      <c r="BA157" s="173">
        <f t="shared" si="345"/>
        <v>0.77320781744907752</v>
      </c>
      <c r="BB157" s="173">
        <f t="shared" si="346"/>
        <v>0.86313777225468269</v>
      </c>
      <c r="BC157" s="173">
        <f t="shared" si="347"/>
        <v>0.21197648230372354</v>
      </c>
      <c r="BD157" s="173"/>
      <c r="BE157" s="528">
        <f t="shared" si="348"/>
        <v>1.1957006579287319E-2</v>
      </c>
      <c r="BF157" s="528">
        <f t="shared" si="464"/>
        <v>0.4572267549119523</v>
      </c>
      <c r="BG157" s="528">
        <f t="shared" si="465"/>
        <v>0.15242564658242605</v>
      </c>
      <c r="BH157" s="528">
        <f t="shared" si="351"/>
        <v>0.21924245452217672</v>
      </c>
      <c r="BI157">
        <f t="shared" si="352"/>
        <v>8.5206883182722647E-3</v>
      </c>
      <c r="BJ157" s="460">
        <f t="shared" si="436"/>
        <v>160.94633490069833</v>
      </c>
      <c r="BK157">
        <f t="shared" si="466"/>
        <v>0.69362518637571591</v>
      </c>
      <c r="BL157" s="460">
        <f t="shared" si="437"/>
        <v>849.37255091411464</v>
      </c>
      <c r="BM157" s="173">
        <f t="shared" si="467"/>
        <v>0.29198749999999996</v>
      </c>
      <c r="BN157" s="173">
        <f t="shared" si="468"/>
        <v>7.2996874999999989E-2</v>
      </c>
      <c r="BO157" s="528"/>
      <c r="BQ157" s="460">
        <f t="shared" si="356"/>
        <v>364.98437499999994</v>
      </c>
      <c r="BR157" s="528">
        <f t="shared" si="357"/>
        <v>1.7935509868930978E-2</v>
      </c>
      <c r="BS157" s="528">
        <f t="shared" si="358"/>
        <v>2.2350204416783294E-2</v>
      </c>
      <c r="BT157" s="528">
        <f t="shared" si="359"/>
        <v>2.246701452493041E-4</v>
      </c>
      <c r="BU157" s="528">
        <f t="shared" si="360"/>
        <v>0.65400181048788197</v>
      </c>
      <c r="BV157" s="528"/>
      <c r="BW157" s="625">
        <f t="shared" si="469"/>
        <v>7.0499999999999981E-3</v>
      </c>
      <c r="BX157" s="460">
        <f t="shared" si="362"/>
        <v>701.56219491884553</v>
      </c>
      <c r="BY157" s="173">
        <f t="shared" si="363"/>
        <v>1.9159191208329602</v>
      </c>
      <c r="BZ157" s="5">
        <f t="shared" si="364"/>
        <v>8.4599999999999991</v>
      </c>
      <c r="CA157" s="173">
        <f t="shared" si="365"/>
        <v>0.81534945497154632</v>
      </c>
      <c r="CB157" s="5">
        <f t="shared" si="366"/>
        <v>81.534945497154638</v>
      </c>
      <c r="CC157">
        <f t="shared" si="367"/>
        <v>47</v>
      </c>
      <c r="CE157" s="562">
        <f t="shared" si="470"/>
        <v>-50</v>
      </c>
      <c r="CF157">
        <f t="shared" si="471"/>
        <v>-50</v>
      </c>
      <c r="CG157" s="173">
        <f t="shared" si="370"/>
        <v>0.49064417587195835</v>
      </c>
      <c r="CH157" s="173">
        <f t="shared" si="472"/>
        <v>0.17344091980366108</v>
      </c>
      <c r="CI157" s="170">
        <v>47</v>
      </c>
      <c r="CJ157" s="217">
        <f t="shared" si="438"/>
        <v>0.47</v>
      </c>
      <c r="CK157" s="217">
        <f t="shared" si="372"/>
        <v>0.11749999999999999</v>
      </c>
      <c r="CL157" s="217">
        <f t="shared" si="373"/>
        <v>7.52</v>
      </c>
      <c r="CM157" s="217">
        <f t="shared" si="374"/>
        <v>0.94</v>
      </c>
      <c r="CN157" s="541">
        <f t="shared" si="375"/>
        <v>19</v>
      </c>
      <c r="CO157" s="443">
        <f t="shared" si="473"/>
        <v>16.7</v>
      </c>
      <c r="CP157" s="443">
        <f t="shared" si="474"/>
        <v>35.700000000000003</v>
      </c>
      <c r="CQ157" s="443"/>
      <c r="CR157" s="217">
        <f t="shared" si="378"/>
        <v>0.4632768361581921</v>
      </c>
      <c r="CS157" s="172">
        <f t="shared" si="379"/>
        <v>19.560577526679221</v>
      </c>
      <c r="CT157" s="172">
        <f t="shared" si="380"/>
        <v>2.7507062146892656</v>
      </c>
      <c r="CU157" s="217">
        <f t="shared" si="381"/>
        <v>1.2225360954174513</v>
      </c>
      <c r="CV157" s="217">
        <f t="shared" si="382"/>
        <v>2.4450721908349027</v>
      </c>
      <c r="CW157" s="217">
        <f t="shared" si="383"/>
        <v>16</v>
      </c>
      <c r="CX157" s="217">
        <f t="shared" si="384"/>
        <v>1.9222336328626439</v>
      </c>
      <c r="CY157" s="217">
        <f t="shared" si="385"/>
        <v>1.2140422944395646</v>
      </c>
      <c r="CZ157" s="217">
        <f t="shared" si="386"/>
        <v>1.3812457242126783</v>
      </c>
      <c r="DA157" s="197">
        <f t="shared" si="387"/>
        <v>350</v>
      </c>
      <c r="DB157" s="443">
        <f t="shared" si="388"/>
        <v>350</v>
      </c>
      <c r="DD157" s="217">
        <f t="shared" si="389"/>
        <v>2.1161798052554355</v>
      </c>
      <c r="DE157" s="173">
        <f t="shared" si="390"/>
        <v>1.5206082432973189</v>
      </c>
      <c r="DF157" s="173">
        <f t="shared" si="391"/>
        <v>0.50055918207100247</v>
      </c>
      <c r="DG157" s="173"/>
      <c r="DH157" s="173">
        <f t="shared" si="392"/>
        <v>0.71856287425149712</v>
      </c>
      <c r="DI157" s="545">
        <f t="shared" si="393"/>
        <v>1308.1666666666665</v>
      </c>
      <c r="DJ157" s="528">
        <f t="shared" si="394"/>
        <v>0.125748502994012</v>
      </c>
      <c r="DL157" s="173">
        <f t="shared" si="395"/>
        <v>2.0071301473923975</v>
      </c>
      <c r="DM157" s="173">
        <f t="shared" si="396"/>
        <v>2.0071301473923975</v>
      </c>
      <c r="DN157" s="173">
        <f t="shared" si="397"/>
        <v>1.9460223314017759</v>
      </c>
      <c r="DP157" s="545">
        <f t="shared" si="398"/>
        <v>470</v>
      </c>
      <c r="DQ157" s="460">
        <f t="shared" si="399"/>
        <v>350</v>
      </c>
      <c r="DS157">
        <f t="shared" si="400"/>
        <v>470</v>
      </c>
      <c r="DT157">
        <f t="shared" si="401"/>
        <v>350</v>
      </c>
      <c r="DV157" s="5">
        <f t="shared" si="402"/>
        <v>2.8571428571428572</v>
      </c>
      <c r="DW157" s="5">
        <f t="shared" si="403"/>
        <v>1.2676611457215143</v>
      </c>
      <c r="DX157" s="5">
        <f t="shared" si="404"/>
        <v>1.5894817114213429</v>
      </c>
      <c r="DY157" s="173">
        <f t="shared" si="405"/>
        <v>0.44368140100253001</v>
      </c>
      <c r="EA157" s="5">
        <f t="shared" si="406"/>
        <v>3.7237546155569485</v>
      </c>
      <c r="EB157" s="5">
        <f t="shared" si="407"/>
        <v>1.8618773077784743</v>
      </c>
      <c r="EC157" s="5">
        <f t="shared" si="408"/>
        <v>0.52425010832844277</v>
      </c>
      <c r="ED157" s="5"/>
      <c r="EE157" s="173">
        <f t="shared" si="409"/>
        <v>0.77188129818587503</v>
      </c>
      <c r="EF157" s="173">
        <f t="shared" si="410"/>
        <v>0.86432424724060053</v>
      </c>
      <c r="EG157" s="173">
        <f t="shared" si="411"/>
        <v>0.21226786660173572</v>
      </c>
      <c r="EH157" s="173"/>
      <c r="EI157" s="528">
        <f t="shared" si="412"/>
        <v>1.1916014769782235E-2</v>
      </c>
      <c r="EJ157" s="528">
        <f t="shared" si="413"/>
        <v>0.47650273264169218</v>
      </c>
      <c r="EK157" s="528">
        <f t="shared" si="414"/>
        <v>4.0250000000000001E-2</v>
      </c>
      <c r="EL157" s="528">
        <f t="shared" si="415"/>
        <v>0.21969021375000006</v>
      </c>
      <c r="EM157">
        <f t="shared" si="416"/>
        <v>8.5500000000000003E-3</v>
      </c>
      <c r="EN157" s="460">
        <f t="shared" si="417"/>
        <v>48.800000000000004</v>
      </c>
      <c r="EP157" s="460">
        <f t="shared" si="439"/>
        <v>756.90896116147439</v>
      </c>
      <c r="EQ157" s="173">
        <f t="shared" si="418"/>
        <v>0.32899999999999996</v>
      </c>
      <c r="ER157" s="173">
        <f t="shared" si="475"/>
        <v>5.2140624999999996E-2</v>
      </c>
      <c r="ES157" s="528"/>
      <c r="EU157" s="460">
        <f t="shared" si="420"/>
        <v>381.14062499999994</v>
      </c>
      <c r="EV157" s="528">
        <f t="shared" si="421"/>
        <v>1.787402215467335E-2</v>
      </c>
      <c r="EW157" s="528">
        <f t="shared" si="422"/>
        <v>2.2411692131040922E-2</v>
      </c>
      <c r="EX157" s="528">
        <f t="shared" si="423"/>
        <v>2.2528823595826134E-4</v>
      </c>
      <c r="EY157" s="528">
        <f t="shared" si="424"/>
        <v>0.65400181048788197</v>
      </c>
      <c r="EZ157" s="528"/>
      <c r="FA157" s="625">
        <f t="shared" si="425"/>
        <v>7.0499999999999981E-3</v>
      </c>
      <c r="FB157" s="460">
        <f t="shared" si="426"/>
        <v>701.56281300955447</v>
      </c>
      <c r="FC157" s="173">
        <f t="shared" si="427"/>
        <v>1.8396123991710289</v>
      </c>
      <c r="FD157" s="5">
        <f t="shared" si="428"/>
        <v>8.4599999999999991</v>
      </c>
      <c r="FE157" s="173">
        <f t="shared" si="429"/>
        <v>0.82139013315500187</v>
      </c>
      <c r="FF157" s="5">
        <f t="shared" si="430"/>
        <v>82.139013315500193</v>
      </c>
      <c r="FG157">
        <f t="shared" si="431"/>
        <v>47</v>
      </c>
      <c r="FI157" s="562">
        <f t="shared" si="432"/>
        <v>-50</v>
      </c>
      <c r="FJ157">
        <f t="shared" si="433"/>
        <v>-50</v>
      </c>
    </row>
    <row r="158" spans="5:166">
      <c r="E158" s="170">
        <v>48</v>
      </c>
      <c r="F158" s="217">
        <f t="shared" si="476"/>
        <v>0.48</v>
      </c>
      <c r="G158" s="217">
        <f t="shared" si="444"/>
        <v>0.12</v>
      </c>
      <c r="H158" s="217">
        <f t="shared" si="445"/>
        <v>7.68</v>
      </c>
      <c r="I158" s="217">
        <f t="shared" si="446"/>
        <v>0.96</v>
      </c>
      <c r="J158" s="541">
        <f t="shared" si="447"/>
        <v>18.934173629128793</v>
      </c>
      <c r="K158" s="443">
        <f t="shared" si="448"/>
        <v>16.729041841736166</v>
      </c>
      <c r="L158" s="172">
        <f t="shared" si="449"/>
        <v>35.663215470864955</v>
      </c>
      <c r="M158" s="443"/>
      <c r="N158" s="217">
        <f t="shared" si="450"/>
        <v>0.46908394604527309</v>
      </c>
      <c r="O158" s="172">
        <f t="shared" si="451"/>
        <v>19.737148624573521</v>
      </c>
      <c r="P158" s="172">
        <f t="shared" si="452"/>
        <v>2.7755365253306512</v>
      </c>
      <c r="Q158" s="217">
        <f t="shared" si="322"/>
        <v>1.2335717890358451</v>
      </c>
      <c r="R158" s="217">
        <f t="shared" si="453"/>
        <v>2.4671435780716902</v>
      </c>
      <c r="S158" s="217">
        <f t="shared" si="454"/>
        <v>16</v>
      </c>
      <c r="T158" s="217">
        <f t="shared" si="455"/>
        <v>1.9455697846947611</v>
      </c>
      <c r="U158" s="217">
        <f t="shared" si="326"/>
        <v>1.2330528848863935</v>
      </c>
      <c r="V158" s="217">
        <f t="shared" si="327"/>
        <v>1.39558724505612</v>
      </c>
      <c r="W158" s="197">
        <f t="shared" si="328"/>
        <v>350</v>
      </c>
      <c r="X158" s="443">
        <f t="shared" si="435"/>
        <v>350</v>
      </c>
      <c r="Z158" s="217">
        <f t="shared" si="329"/>
        <v>2.1146944954900198</v>
      </c>
      <c r="AA158" s="173">
        <f t="shared" si="330"/>
        <v>1.5169030112992199</v>
      </c>
      <c r="AB158" s="173">
        <f t="shared" si="456"/>
        <v>0.4989890030512637</v>
      </c>
      <c r="AC158" s="173"/>
      <c r="AD158" s="173">
        <f t="shared" si="332"/>
        <v>0.71731543943311837</v>
      </c>
      <c r="AE158" s="545">
        <f t="shared" si="457"/>
        <v>1338.3233473388932</v>
      </c>
      <c r="AF158" s="528">
        <f t="shared" si="458"/>
        <v>0.1255302019007957</v>
      </c>
      <c r="AH158" s="173">
        <f t="shared" si="459"/>
        <v>2.0283702113484399</v>
      </c>
      <c r="AI158" s="173">
        <f t="shared" si="460"/>
        <v>2.0283702113484399</v>
      </c>
      <c r="AJ158" s="173">
        <f t="shared" si="461"/>
        <v>1.9617557121099554</v>
      </c>
      <c r="AL158" s="545">
        <f t="shared" si="462"/>
        <v>480</v>
      </c>
      <c r="AM158" s="460">
        <f t="shared" si="463"/>
        <v>350</v>
      </c>
      <c r="AO158">
        <f t="shared" si="340"/>
        <v>480</v>
      </c>
      <c r="AP158">
        <f t="shared" si="341"/>
        <v>350</v>
      </c>
      <c r="AR158" s="5">
        <f t="shared" si="443"/>
        <v>2.8571428571428572</v>
      </c>
      <c r="AS158" s="5">
        <f t="shared" si="440"/>
        <v>1.2855296995235825</v>
      </c>
      <c r="AT158" s="5">
        <f t="shared" si="441"/>
        <v>1.5716131576192747</v>
      </c>
      <c r="AU158" s="173">
        <f t="shared" si="442"/>
        <v>0.4499353948332539</v>
      </c>
      <c r="AW158" s="5">
        <f t="shared" si="342"/>
        <v>3.8565890985707472</v>
      </c>
      <c r="AX158" s="5">
        <f t="shared" si="343"/>
        <v>1.9282945492853736</v>
      </c>
      <c r="AY158" s="5">
        <f t="shared" si="344"/>
        <v>0.53122594129428413</v>
      </c>
      <c r="AZ158" s="5"/>
      <c r="BA158" s="173">
        <f t="shared" si="345"/>
        <v>0.78552801081267598</v>
      </c>
      <c r="BB158" s="173">
        <f t="shared" si="346"/>
        <v>0.86854724434382491</v>
      </c>
      <c r="BC158" s="173">
        <f t="shared" si="347"/>
        <v>0.21330498500796877</v>
      </c>
      <c r="BD158" s="173"/>
      <c r="BE158" s="528">
        <f t="shared" si="348"/>
        <v>1.2341085115426392E-2</v>
      </c>
      <c r="BF158" s="528">
        <f t="shared" si="464"/>
        <v>0.4620602774240461</v>
      </c>
      <c r="BG158" s="528">
        <f t="shared" si="465"/>
        <v>0.15242009771448678</v>
      </c>
      <c r="BH158" s="528">
        <f t="shared" si="351"/>
        <v>0.21923771863971622</v>
      </c>
      <c r="BI158">
        <f t="shared" si="352"/>
        <v>8.5203781331079573E-3</v>
      </c>
      <c r="BJ158" s="460">
        <f t="shared" si="436"/>
        <v>160.94047584759474</v>
      </c>
      <c r="BK158">
        <f t="shared" si="466"/>
        <v>0.69902087239784605</v>
      </c>
      <c r="BL158" s="460">
        <f t="shared" si="437"/>
        <v>854.57955702678339</v>
      </c>
      <c r="BM158" s="173">
        <f t="shared" si="467"/>
        <v>0.29819999999999997</v>
      </c>
      <c r="BN158" s="173">
        <f t="shared" si="468"/>
        <v>7.4549999999999991E-2</v>
      </c>
      <c r="BO158" s="528"/>
      <c r="BQ158" s="460">
        <f t="shared" si="356"/>
        <v>372.74999999999994</v>
      </c>
      <c r="BR158" s="528">
        <f t="shared" si="357"/>
        <v>1.8511627673139585E-2</v>
      </c>
      <c r="BS158" s="528">
        <f t="shared" si="358"/>
        <v>2.2631229469717556E-2</v>
      </c>
      <c r="BT158" s="528">
        <f t="shared" si="359"/>
        <v>2.274950831462489E-4</v>
      </c>
      <c r="BU158" s="528">
        <f t="shared" si="360"/>
        <v>0.67144149160976652</v>
      </c>
      <c r="BV158" s="528"/>
      <c r="BW158" s="625">
        <f t="shared" si="469"/>
        <v>7.2000000000000007E-3</v>
      </c>
      <c r="BX158" s="460">
        <f t="shared" si="362"/>
        <v>720.01184383576992</v>
      </c>
      <c r="BY158" s="173">
        <f t="shared" si="363"/>
        <v>1.9473414008625531</v>
      </c>
      <c r="BZ158" s="5">
        <f t="shared" si="364"/>
        <v>8.64</v>
      </c>
      <c r="CA158" s="173">
        <f t="shared" si="365"/>
        <v>0.81606889518988179</v>
      </c>
      <c r="CB158" s="5">
        <f t="shared" si="366"/>
        <v>81.606889518988183</v>
      </c>
      <c r="CC158">
        <f t="shared" si="367"/>
        <v>48</v>
      </c>
      <c r="CE158" s="562">
        <f t="shared" si="470"/>
        <v>-50</v>
      </c>
      <c r="CF158">
        <f t="shared" si="471"/>
        <v>-50</v>
      </c>
      <c r="CG158" s="173">
        <f t="shared" si="370"/>
        <v>0.49583632232480251</v>
      </c>
      <c r="CH158" s="173">
        <f t="shared" si="472"/>
        <v>0.17527632456503667</v>
      </c>
      <c r="CI158" s="170">
        <v>48</v>
      </c>
      <c r="CJ158" s="217">
        <f t="shared" si="438"/>
        <v>0.48</v>
      </c>
      <c r="CK158" s="217">
        <f t="shared" si="372"/>
        <v>0.12</v>
      </c>
      <c r="CL158" s="217">
        <f t="shared" si="373"/>
        <v>7.68</v>
      </c>
      <c r="CM158" s="217">
        <f t="shared" si="374"/>
        <v>0.96</v>
      </c>
      <c r="CN158" s="541">
        <f t="shared" si="375"/>
        <v>19</v>
      </c>
      <c r="CO158" s="443">
        <f t="shared" si="473"/>
        <v>16.7</v>
      </c>
      <c r="CP158" s="443">
        <f t="shared" si="474"/>
        <v>35.700000000000003</v>
      </c>
      <c r="CQ158" s="443"/>
      <c r="CR158" s="217">
        <f t="shared" si="378"/>
        <v>0.4632768361581921</v>
      </c>
      <c r="CS158" s="172">
        <f t="shared" si="379"/>
        <v>19.560577526679221</v>
      </c>
      <c r="CT158" s="172">
        <f t="shared" si="380"/>
        <v>2.7507062146892656</v>
      </c>
      <c r="CU158" s="217">
        <f t="shared" si="381"/>
        <v>1.2225360954174513</v>
      </c>
      <c r="CV158" s="217">
        <f t="shared" si="382"/>
        <v>2.4450721908349027</v>
      </c>
      <c r="CW158" s="217">
        <f t="shared" si="383"/>
        <v>16</v>
      </c>
      <c r="CX158" s="217">
        <f t="shared" si="384"/>
        <v>1.9631322207958921</v>
      </c>
      <c r="CY158" s="217">
        <f t="shared" si="385"/>
        <v>1.2398729815553002</v>
      </c>
      <c r="CZ158" s="217">
        <f t="shared" si="386"/>
        <v>1.4106339311108207</v>
      </c>
      <c r="DA158" s="197">
        <f t="shared" si="387"/>
        <v>350</v>
      </c>
      <c r="DB158" s="443">
        <f t="shared" si="388"/>
        <v>350</v>
      </c>
      <c r="DD158" s="217">
        <f t="shared" si="389"/>
        <v>2.1161798052554355</v>
      </c>
      <c r="DE158" s="173">
        <f t="shared" si="390"/>
        <v>1.5206082432973189</v>
      </c>
      <c r="DF158" s="173">
        <f t="shared" si="391"/>
        <v>0.50055918207100247</v>
      </c>
      <c r="DG158" s="173"/>
      <c r="DH158" s="173">
        <f t="shared" si="392"/>
        <v>0.71856287425149712</v>
      </c>
      <c r="DI158" s="545">
        <f t="shared" si="393"/>
        <v>1335.9999999999998</v>
      </c>
      <c r="DJ158" s="528">
        <f t="shared" si="394"/>
        <v>0.125748502994012</v>
      </c>
      <c r="DL158" s="173">
        <f t="shared" si="395"/>
        <v>2.0283702113484399</v>
      </c>
      <c r="DM158" s="173">
        <f t="shared" si="396"/>
        <v>2.0283702113484399</v>
      </c>
      <c r="DN158" s="173">
        <f t="shared" si="397"/>
        <v>1.9617557121099554</v>
      </c>
      <c r="DP158" s="545">
        <f t="shared" si="398"/>
        <v>480</v>
      </c>
      <c r="DQ158" s="460">
        <f t="shared" si="399"/>
        <v>350</v>
      </c>
      <c r="DS158">
        <f t="shared" si="400"/>
        <v>480</v>
      </c>
      <c r="DT158">
        <f t="shared" si="401"/>
        <v>350</v>
      </c>
      <c r="DV158" s="5">
        <f t="shared" si="402"/>
        <v>2.8571428571428572</v>
      </c>
      <c r="DW158" s="5">
        <f t="shared" si="403"/>
        <v>1.2810759229569095</v>
      </c>
      <c r="DX158" s="5">
        <f t="shared" si="404"/>
        <v>1.5760669341859477</v>
      </c>
      <c r="DY158" s="173">
        <f t="shared" si="405"/>
        <v>0.44837657303491835</v>
      </c>
      <c r="EA158" s="5">
        <f t="shared" si="406"/>
        <v>3.8432277688707286</v>
      </c>
      <c r="EB158" s="5">
        <f t="shared" si="407"/>
        <v>1.9216138844353643</v>
      </c>
      <c r="EC158" s="5">
        <f t="shared" si="408"/>
        <v>0.53088570414684544</v>
      </c>
      <c r="ED158" s="5"/>
      <c r="EE158" s="173">
        <f t="shared" si="409"/>
        <v>0.784166081273168</v>
      </c>
      <c r="EF158" s="173">
        <f t="shared" si="410"/>
        <v>0.86977705672732875</v>
      </c>
      <c r="EG158" s="173">
        <f t="shared" si="411"/>
        <v>0.21360701246097633</v>
      </c>
      <c r="EH158" s="173"/>
      <c r="EI158" s="528">
        <f t="shared" si="412"/>
        <v>1.2298328860386334E-2</v>
      </c>
      <c r="EJ158" s="528">
        <f t="shared" si="413"/>
        <v>0.48154523002517641</v>
      </c>
      <c r="EK158" s="528">
        <f t="shared" si="414"/>
        <v>4.0250000000000001E-2</v>
      </c>
      <c r="EL158" s="528">
        <f t="shared" si="415"/>
        <v>0.21969021375000006</v>
      </c>
      <c r="EM158">
        <f t="shared" si="416"/>
        <v>8.5500000000000003E-3</v>
      </c>
      <c r="EN158" s="460">
        <f t="shared" si="417"/>
        <v>48.800000000000004</v>
      </c>
      <c r="EP158" s="460">
        <f t="shared" si="439"/>
        <v>762.33377263556281</v>
      </c>
      <c r="EQ158" s="173">
        <f t="shared" si="418"/>
        <v>0.33599999999999997</v>
      </c>
      <c r="ER158" s="173">
        <f t="shared" si="475"/>
        <v>5.3249999999999999E-2</v>
      </c>
      <c r="ES158" s="528"/>
      <c r="EU158" s="460">
        <f t="shared" si="420"/>
        <v>389.25</v>
      </c>
      <c r="EV158" s="528">
        <f t="shared" si="421"/>
        <v>1.84474932905795E-2</v>
      </c>
      <c r="EW158" s="528">
        <f t="shared" si="422"/>
        <v>2.2695363852277644E-2</v>
      </c>
      <c r="EX158" s="528">
        <f t="shared" si="423"/>
        <v>2.2813977886251849E-4</v>
      </c>
      <c r="EY158" s="528">
        <f t="shared" si="424"/>
        <v>0.67144149160976652</v>
      </c>
      <c r="EZ158" s="528"/>
      <c r="FA158" s="625">
        <f t="shared" si="425"/>
        <v>7.2000000000000007E-3</v>
      </c>
      <c r="FB158" s="460">
        <f t="shared" si="426"/>
        <v>720.01248853148616</v>
      </c>
      <c r="FC158" s="173">
        <f t="shared" si="427"/>
        <v>1.8715962611670491</v>
      </c>
      <c r="FD158" s="5">
        <f t="shared" si="428"/>
        <v>8.64</v>
      </c>
      <c r="FE158" s="173">
        <f t="shared" si="429"/>
        <v>0.82194937717677763</v>
      </c>
      <c r="FF158" s="5">
        <f t="shared" si="430"/>
        <v>82.19493771767776</v>
      </c>
      <c r="FG158">
        <f t="shared" si="431"/>
        <v>48</v>
      </c>
      <c r="FI158" s="562">
        <f t="shared" si="432"/>
        <v>-50</v>
      </c>
      <c r="FJ158">
        <f t="shared" si="433"/>
        <v>-50</v>
      </c>
    </row>
    <row r="159" spans="5:166">
      <c r="E159" s="170">
        <v>49</v>
      </c>
      <c r="F159" s="217">
        <f t="shared" si="476"/>
        <v>0.49</v>
      </c>
      <c r="G159" s="217">
        <f t="shared" si="444"/>
        <v>0.1225</v>
      </c>
      <c r="H159" s="217">
        <f t="shared" si="445"/>
        <v>7.84</v>
      </c>
      <c r="I159" s="217">
        <f t="shared" si="446"/>
        <v>0.98</v>
      </c>
      <c r="J159" s="541">
        <f t="shared" si="447"/>
        <v>18.933491472351033</v>
      </c>
      <c r="K159" s="443">
        <f t="shared" si="448"/>
        <v>16.729342801502241</v>
      </c>
      <c r="L159" s="172">
        <f t="shared" si="449"/>
        <v>35.662834273853278</v>
      </c>
      <c r="M159" s="443"/>
      <c r="N159" s="217">
        <f t="shared" si="450"/>
        <v>0.46909739907485704</v>
      </c>
      <c r="O159" s="172">
        <f t="shared" si="451"/>
        <v>19.737003566857457</v>
      </c>
      <c r="P159" s="172">
        <f t="shared" si="452"/>
        <v>2.7755161265893298</v>
      </c>
      <c r="Q159" s="217">
        <f t="shared" si="322"/>
        <v>1.233562722928591</v>
      </c>
      <c r="R159" s="217">
        <f t="shared" si="453"/>
        <v>2.4671254458571821</v>
      </c>
      <c r="S159" s="217">
        <f t="shared" si="454"/>
        <v>16</v>
      </c>
      <c r="T159" s="217">
        <f t="shared" si="455"/>
        <v>1.9861170854640253</v>
      </c>
      <c r="U159" s="217">
        <f t="shared" si="326"/>
        <v>1.25879608947841</v>
      </c>
      <c r="V159" s="217">
        <f t="shared" si="327"/>
        <v>1.4246468201624838</v>
      </c>
      <c r="W159" s="197">
        <f t="shared" si="328"/>
        <v>350</v>
      </c>
      <c r="X159" s="443">
        <f t="shared" si="435"/>
        <v>346.80762939903002</v>
      </c>
      <c r="Z159" s="217">
        <f t="shared" si="329"/>
        <v>2.1146789535918704</v>
      </c>
      <c r="AA159" s="173">
        <f t="shared" si="330"/>
        <v>1.5168645740718367</v>
      </c>
      <c r="AB159" s="173">
        <f t="shared" si="456"/>
        <v>0.49897269181492598</v>
      </c>
      <c r="AC159" s="173"/>
      <c r="AD159" s="173">
        <f t="shared" si="332"/>
        <v>0.71730253497599672</v>
      </c>
      <c r="AE159" s="545">
        <f t="shared" si="457"/>
        <v>1366.2296621226828</v>
      </c>
      <c r="AF159" s="528">
        <f t="shared" si="458"/>
        <v>0.12552794362079941</v>
      </c>
      <c r="AH159" s="173">
        <f t="shared" si="459"/>
        <v>2.0493901531919199</v>
      </c>
      <c r="AI159" s="173">
        <f t="shared" si="460"/>
        <v>2.0493901531919199</v>
      </c>
      <c r="AJ159" s="173">
        <f t="shared" si="461"/>
        <v>1.977326039401422</v>
      </c>
      <c r="AL159" s="545">
        <f t="shared" si="462"/>
        <v>490</v>
      </c>
      <c r="AM159" s="460">
        <f t="shared" si="463"/>
        <v>346.80762939903002</v>
      </c>
      <c r="AO159">
        <f t="shared" si="340"/>
        <v>490</v>
      </c>
      <c r="AP159">
        <f t="shared" si="341"/>
        <v>346.80762939903002</v>
      </c>
      <c r="AR159" s="5">
        <f t="shared" si="443"/>
        <v>2.8834429096408942</v>
      </c>
      <c r="AS159" s="5">
        <f t="shared" si="440"/>
        <v>1.2988984030872615</v>
      </c>
      <c r="AT159" s="5">
        <f t="shared" si="441"/>
        <v>1.5845445065536328</v>
      </c>
      <c r="AU159" s="173">
        <f t="shared" si="442"/>
        <v>0.45046787600487886</v>
      </c>
      <c r="AW159" s="5">
        <f t="shared" si="342"/>
        <v>3.9778763594547377</v>
      </c>
      <c r="AX159" s="5">
        <f t="shared" si="343"/>
        <v>1.9889381797273689</v>
      </c>
      <c r="AY159" s="5">
        <f t="shared" si="344"/>
        <v>0.54677487551278248</v>
      </c>
      <c r="AZ159" s="5"/>
      <c r="BA159" s="173">
        <f t="shared" si="345"/>
        <v>0.79413791397138978</v>
      </c>
      <c r="BB159" s="173">
        <f t="shared" si="346"/>
        <v>0.87712312339441245</v>
      </c>
      <c r="BC159" s="173">
        <f t="shared" si="347"/>
        <v>0.21541112001009835</v>
      </c>
      <c r="BD159" s="173"/>
      <c r="BE159" s="528">
        <f t="shared" si="348"/>
        <v>1.2613100528136609E-2</v>
      </c>
      <c r="BF159" s="528">
        <f t="shared" si="464"/>
        <v>0.46258549666882737</v>
      </c>
      <c r="BG159" s="528">
        <f t="shared" si="465"/>
        <v>0.15102442375677469</v>
      </c>
      <c r="BH159" s="528">
        <f t="shared" si="351"/>
        <v>0.21723339450020163</v>
      </c>
      <c r="BI159">
        <f t="shared" si="352"/>
        <v>8.5200711625579642E-3</v>
      </c>
      <c r="BJ159" s="460">
        <f t="shared" si="436"/>
        <v>159.54449491933264</v>
      </c>
      <c r="BK159">
        <f t="shared" si="466"/>
        <v>0.69792913359664266</v>
      </c>
      <c r="BL159" s="460">
        <f t="shared" si="437"/>
        <v>851.97648661649828</v>
      </c>
      <c r="BM159" s="173">
        <f t="shared" si="467"/>
        <v>0.30441249999999997</v>
      </c>
      <c r="BN159" s="173">
        <f t="shared" si="468"/>
        <v>7.6103124999999994E-2</v>
      </c>
      <c r="BO159" s="528"/>
      <c r="BQ159" s="460">
        <f t="shared" si="356"/>
        <v>380.51562499999994</v>
      </c>
      <c r="BR159" s="528">
        <f t="shared" si="357"/>
        <v>1.8919650792204912E-2</v>
      </c>
      <c r="BS159" s="528">
        <f t="shared" si="358"/>
        <v>2.308034920779509E-2</v>
      </c>
      <c r="BT159" s="528">
        <f t="shared" si="359"/>
        <v>2.3200975312002496E-4</v>
      </c>
      <c r="BU159" s="528">
        <f t="shared" si="360"/>
        <v>0.67336916407748304</v>
      </c>
      <c r="BV159" s="528"/>
      <c r="BW159" s="625">
        <f t="shared" si="469"/>
        <v>7.2829602173796323E-3</v>
      </c>
      <c r="BX159" s="460">
        <f t="shared" si="362"/>
        <v>722.88413404798268</v>
      </c>
      <c r="BY159" s="173">
        <f t="shared" si="363"/>
        <v>1.955376245664481</v>
      </c>
      <c r="BZ159" s="5">
        <f t="shared" si="364"/>
        <v>8.82</v>
      </c>
      <c r="CA159" s="173">
        <f t="shared" si="365"/>
        <v>0.81853290306672721</v>
      </c>
      <c r="CB159" s="5">
        <f t="shared" si="366"/>
        <v>81.853290306672719</v>
      </c>
      <c r="CC159">
        <f t="shared" si="367"/>
        <v>49</v>
      </c>
      <c r="CE159" s="562">
        <f t="shared" si="470"/>
        <v>-50</v>
      </c>
      <c r="CF159">
        <f t="shared" si="471"/>
        <v>-50</v>
      </c>
      <c r="CG159" s="173">
        <f t="shared" si="370"/>
        <v>0.50097465979438283</v>
      </c>
      <c r="CH159" s="173">
        <f t="shared" si="472"/>
        <v>0.17709270804783622</v>
      </c>
      <c r="CI159" s="170">
        <v>49</v>
      </c>
      <c r="CJ159" s="217">
        <f t="shared" si="438"/>
        <v>0.49</v>
      </c>
      <c r="CK159" s="217">
        <f t="shared" si="372"/>
        <v>0.1225</v>
      </c>
      <c r="CL159" s="217">
        <f t="shared" si="373"/>
        <v>7.84</v>
      </c>
      <c r="CM159" s="217">
        <f t="shared" si="374"/>
        <v>0.98</v>
      </c>
      <c r="CN159" s="541">
        <f t="shared" si="375"/>
        <v>19</v>
      </c>
      <c r="CO159" s="443">
        <f t="shared" si="473"/>
        <v>16.7</v>
      </c>
      <c r="CP159" s="443">
        <f t="shared" si="474"/>
        <v>35.700000000000003</v>
      </c>
      <c r="CQ159" s="443"/>
      <c r="CR159" s="217">
        <f t="shared" si="378"/>
        <v>0.4632768361581921</v>
      </c>
      <c r="CS159" s="172">
        <f t="shared" si="379"/>
        <v>19.560577526679221</v>
      </c>
      <c r="CT159" s="172">
        <f t="shared" si="380"/>
        <v>2.7507062146892656</v>
      </c>
      <c r="CU159" s="217">
        <f t="shared" si="381"/>
        <v>1.2225360954174513</v>
      </c>
      <c r="CV159" s="217">
        <f t="shared" si="382"/>
        <v>2.4450721908349027</v>
      </c>
      <c r="CW159" s="217">
        <f t="shared" si="383"/>
        <v>16</v>
      </c>
      <c r="CX159" s="217">
        <f t="shared" si="384"/>
        <v>2.0040308087291399</v>
      </c>
      <c r="CY159" s="217">
        <f t="shared" si="385"/>
        <v>1.2657036686710357</v>
      </c>
      <c r="CZ159" s="217">
        <f t="shared" si="386"/>
        <v>1.4400221380089628</v>
      </c>
      <c r="DA159" s="197">
        <f t="shared" si="387"/>
        <v>350</v>
      </c>
      <c r="DB159" s="443">
        <f t="shared" si="388"/>
        <v>350</v>
      </c>
      <c r="DD159" s="217">
        <f t="shared" si="389"/>
        <v>2.1161798052554355</v>
      </c>
      <c r="DE159" s="173">
        <f t="shared" si="390"/>
        <v>1.5206082432973189</v>
      </c>
      <c r="DF159" s="173">
        <f t="shared" si="391"/>
        <v>0.50055918207100247</v>
      </c>
      <c r="DG159" s="173"/>
      <c r="DH159" s="173">
        <f t="shared" si="392"/>
        <v>0.71856287425149712</v>
      </c>
      <c r="DI159" s="545">
        <f t="shared" si="393"/>
        <v>1363.833333333333</v>
      </c>
      <c r="DJ159" s="528">
        <f t="shared" si="394"/>
        <v>0.125748502994012</v>
      </c>
      <c r="DL159" s="173">
        <f t="shared" si="395"/>
        <v>2.0493901531919199</v>
      </c>
      <c r="DM159" s="173">
        <f t="shared" si="396"/>
        <v>2.0493901531919199</v>
      </c>
      <c r="DN159" s="173">
        <f t="shared" si="397"/>
        <v>1.977326039401422</v>
      </c>
      <c r="DP159" s="545">
        <f t="shared" si="398"/>
        <v>490</v>
      </c>
      <c r="DQ159" s="460">
        <f t="shared" si="399"/>
        <v>350</v>
      </c>
      <c r="DS159">
        <f t="shared" si="400"/>
        <v>490</v>
      </c>
      <c r="DT159">
        <f t="shared" si="401"/>
        <v>350</v>
      </c>
      <c r="DV159" s="5">
        <f t="shared" si="402"/>
        <v>2.8571428571428572</v>
      </c>
      <c r="DW159" s="5">
        <f t="shared" si="403"/>
        <v>1.2943516757001599</v>
      </c>
      <c r="DX159" s="5">
        <f t="shared" si="404"/>
        <v>1.5627911814426974</v>
      </c>
      <c r="DY159" s="173">
        <f t="shared" si="405"/>
        <v>0.45302308649505596</v>
      </c>
      <c r="EA159" s="5">
        <f t="shared" si="406"/>
        <v>3.96395200683174</v>
      </c>
      <c r="EB159" s="5">
        <f t="shared" si="407"/>
        <v>1.98197600341587</v>
      </c>
      <c r="EC159" s="5">
        <f t="shared" si="408"/>
        <v>0.53738082730310288</v>
      </c>
      <c r="ED159" s="5"/>
      <c r="EE159" s="173">
        <f t="shared" si="409"/>
        <v>0.79638704226844281</v>
      </c>
      <c r="EF159" s="173">
        <f t="shared" si="410"/>
        <v>0.87508152700586805</v>
      </c>
      <c r="EG159" s="173">
        <f t="shared" si="411"/>
        <v>0.21490972795585286</v>
      </c>
      <c r="EH159" s="173"/>
      <c r="EI159" s="528">
        <f t="shared" si="412"/>
        <v>1.2684646421861569E-2</v>
      </c>
      <c r="EJ159" s="528">
        <f t="shared" si="413"/>
        <v>0.48653546931852776</v>
      </c>
      <c r="EK159" s="528">
        <f t="shared" si="414"/>
        <v>4.0250000000000001E-2</v>
      </c>
      <c r="EL159" s="528">
        <f t="shared" si="415"/>
        <v>0.21969021375000006</v>
      </c>
      <c r="EM159">
        <f t="shared" si="416"/>
        <v>8.5500000000000003E-3</v>
      </c>
      <c r="EN159" s="460">
        <f t="shared" si="417"/>
        <v>48.800000000000004</v>
      </c>
      <c r="EP159" s="460">
        <f t="shared" si="439"/>
        <v>767.71032949038931</v>
      </c>
      <c r="EQ159" s="173">
        <f t="shared" si="418"/>
        <v>0.34299999999999997</v>
      </c>
      <c r="ER159" s="173">
        <f t="shared" si="475"/>
        <v>5.4359374999999995E-2</v>
      </c>
      <c r="ES159" s="528"/>
      <c r="EU159" s="460">
        <f t="shared" si="420"/>
        <v>397.35937499999994</v>
      </c>
      <c r="EV159" s="528">
        <f t="shared" si="421"/>
        <v>1.9026969632792354E-2</v>
      </c>
      <c r="EW159" s="528">
        <f t="shared" si="422"/>
        <v>2.2973030367207652E-2</v>
      </c>
      <c r="EX159" s="528">
        <f t="shared" si="423"/>
        <v>2.3093095585029343E-4</v>
      </c>
      <c r="EY159" s="528">
        <f t="shared" si="424"/>
        <v>0.68897224713634042</v>
      </c>
      <c r="EZ159" s="528"/>
      <c r="FA159" s="625">
        <f t="shared" si="425"/>
        <v>7.3500000000000024E-3</v>
      </c>
      <c r="FB159" s="460">
        <f t="shared" si="426"/>
        <v>738.55317809219071</v>
      </c>
      <c r="FC159" s="173">
        <f t="shared" si="427"/>
        <v>1.9036228825825798</v>
      </c>
      <c r="FD159" s="5">
        <f t="shared" si="428"/>
        <v>8.82</v>
      </c>
      <c r="FE159" s="173">
        <f t="shared" si="429"/>
        <v>0.8224832313271232</v>
      </c>
      <c r="FF159" s="5">
        <f t="shared" si="430"/>
        <v>82.248323132712315</v>
      </c>
      <c r="FG159">
        <f t="shared" si="431"/>
        <v>49</v>
      </c>
      <c r="FI159" s="562">
        <f t="shared" si="432"/>
        <v>-50</v>
      </c>
      <c r="FJ159">
        <f t="shared" si="433"/>
        <v>-50</v>
      </c>
    </row>
    <row r="160" spans="5:166">
      <c r="E160" s="170">
        <v>50</v>
      </c>
      <c r="F160" s="217">
        <f t="shared" si="476"/>
        <v>0.5</v>
      </c>
      <c r="G160" s="217">
        <f t="shared" si="444"/>
        <v>0.125</v>
      </c>
      <c r="H160" s="217">
        <f t="shared" si="445"/>
        <v>8</v>
      </c>
      <c r="I160" s="217">
        <f t="shared" si="446"/>
        <v>1</v>
      </c>
      <c r="J160" s="541">
        <f t="shared" si="447"/>
        <v>18.932816241560975</v>
      </c>
      <c r="K160" s="443">
        <f t="shared" si="448"/>
        <v>16.729640705601781</v>
      </c>
      <c r="L160" s="172">
        <f t="shared" si="449"/>
        <v>35.662456947162752</v>
      </c>
      <c r="M160" s="443"/>
      <c r="N160" s="217">
        <f t="shared" si="450"/>
        <v>0.46911071579808145</v>
      </c>
      <c r="O160" s="172">
        <f t="shared" si="451"/>
        <v>19.73685995367158</v>
      </c>
      <c r="P160" s="172">
        <f t="shared" si="452"/>
        <v>2.7754959309850658</v>
      </c>
      <c r="Q160" s="217">
        <f t="shared" si="322"/>
        <v>1.2335537471044737</v>
      </c>
      <c r="R160" s="217">
        <f t="shared" si="453"/>
        <v>2.4671074942089475</v>
      </c>
      <c r="S160" s="217">
        <f t="shared" si="454"/>
        <v>16</v>
      </c>
      <c r="T160" s="217">
        <f t="shared" si="455"/>
        <v>2.0266648339144213</v>
      </c>
      <c r="U160" s="217">
        <f t="shared" si="326"/>
        <v>1.2845409629860709</v>
      </c>
      <c r="V160" s="217">
        <f t="shared" si="327"/>
        <v>1.4537059363641751</v>
      </c>
      <c r="W160" s="197">
        <f t="shared" si="328"/>
        <v>350</v>
      </c>
      <c r="X160" s="443">
        <f t="shared" si="435"/>
        <v>340.33899609360145</v>
      </c>
      <c r="Z160" s="217">
        <f t="shared" si="329"/>
        <v>2.1146635664648117</v>
      </c>
      <c r="AA160" s="173">
        <f t="shared" si="330"/>
        <v>1.516826526291196</v>
      </c>
      <c r="AB160" s="173">
        <f t="shared" si="456"/>
        <v>0.49895654539039125</v>
      </c>
      <c r="AC160" s="173"/>
      <c r="AD160" s="173">
        <f t="shared" si="332"/>
        <v>0.71728976199601824</v>
      </c>
      <c r="AE160" s="545">
        <f t="shared" si="457"/>
        <v>1394.1367254668151</v>
      </c>
      <c r="AF160" s="528">
        <f t="shared" si="458"/>
        <v>0.12552570834930318</v>
      </c>
      <c r="AH160" s="173">
        <f t="shared" si="459"/>
        <v>2.0701966780270626</v>
      </c>
      <c r="AI160" s="173">
        <f t="shared" si="460"/>
        <v>2.0266648339144213</v>
      </c>
      <c r="AJ160" s="173">
        <f t="shared" si="461"/>
        <v>1.960492469566238</v>
      </c>
      <c r="AL160" s="545">
        <f t="shared" si="462"/>
        <v>500</v>
      </c>
      <c r="AM160" s="460">
        <f t="shared" si="463"/>
        <v>340.33899609360145</v>
      </c>
      <c r="AO160">
        <f t="shared" si="340"/>
        <v>500</v>
      </c>
      <c r="AP160">
        <f t="shared" si="341"/>
        <v>340.33899609360145</v>
      </c>
      <c r="AR160" s="5">
        <f t="shared" si="443"/>
        <v>2.9382468993502462</v>
      </c>
      <c r="AS160" s="5">
        <f t="shared" si="440"/>
        <v>1.2845409629860709</v>
      </c>
      <c r="AT160" s="5">
        <f t="shared" si="441"/>
        <v>1.6537059363641753</v>
      </c>
      <c r="AU160" s="173">
        <f t="shared" si="442"/>
        <v>0.4371793817837874</v>
      </c>
      <c r="AW160" s="5">
        <f t="shared" si="342"/>
        <v>4.0141905093314723</v>
      </c>
      <c r="AX160" s="5">
        <f t="shared" si="343"/>
        <v>2.0070952546657361</v>
      </c>
      <c r="AY160" s="5">
        <f t="shared" si="344"/>
        <v>0.58230672615025958</v>
      </c>
      <c r="AZ160" s="5"/>
      <c r="BA160" s="173">
        <f t="shared" si="345"/>
        <v>0.77366177578749273</v>
      </c>
      <c r="BB160" s="173">
        <f t="shared" si="346"/>
        <v>0.87782168255316306</v>
      </c>
      <c r="BC160" s="173">
        <f t="shared" si="347"/>
        <v>0.21558267792114444</v>
      </c>
      <c r="BD160" s="173"/>
      <c r="BE160" s="528">
        <f t="shared" si="348"/>
        <v>1.1971050866293133E-2</v>
      </c>
      <c r="BF160" s="528">
        <f t="shared" si="464"/>
        <v>0.44891878047504091</v>
      </c>
      <c r="BG160" s="528">
        <f t="shared" si="465"/>
        <v>0.14820224047618238</v>
      </c>
      <c r="BH160" s="528">
        <f t="shared" si="351"/>
        <v>0.21317706031658512</v>
      </c>
      <c r="BI160">
        <f t="shared" si="352"/>
        <v>8.5197673087024379E-3</v>
      </c>
      <c r="BJ160" s="460">
        <f t="shared" si="436"/>
        <v>156.72200778488482</v>
      </c>
      <c r="BK160">
        <f t="shared" si="466"/>
        <v>0.67923102693140869</v>
      </c>
      <c r="BL160" s="460">
        <f t="shared" si="437"/>
        <v>830.788899442804</v>
      </c>
      <c r="BM160" s="173">
        <f t="shared" si="467"/>
        <v>0.31062499999999998</v>
      </c>
      <c r="BN160" s="173">
        <f t="shared" si="468"/>
        <v>7.7656249999999996E-2</v>
      </c>
      <c r="BO160" s="528"/>
      <c r="BQ160" s="460">
        <f t="shared" si="356"/>
        <v>388.28124999999994</v>
      </c>
      <c r="BR160" s="528">
        <f t="shared" si="357"/>
        <v>1.7956576299439701E-2</v>
      </c>
      <c r="BS160" s="528">
        <f t="shared" si="358"/>
        <v>2.3117127190813984E-2</v>
      </c>
      <c r="BT160" s="528">
        <f t="shared" si="359"/>
        <v>2.3237945509825948E-4</v>
      </c>
      <c r="BU160" s="528">
        <f t="shared" si="360"/>
        <v>0.6247469111082482</v>
      </c>
      <c r="BV160" s="528"/>
      <c r="BW160" s="625">
        <f t="shared" si="469"/>
        <v>6.9894915058595977E-3</v>
      </c>
      <c r="BX160" s="460">
        <f t="shared" si="362"/>
        <v>673.04248555945981</v>
      </c>
      <c r="BY160" s="173">
        <f t="shared" si="363"/>
        <v>1.8921126350022639</v>
      </c>
      <c r="BZ160" s="5">
        <f t="shared" si="364"/>
        <v>9</v>
      </c>
      <c r="CA160" s="173">
        <f t="shared" si="365"/>
        <v>0.82628598340767434</v>
      </c>
      <c r="CB160" s="5">
        <f t="shared" si="366"/>
        <v>82.628598340767439</v>
      </c>
      <c r="CC160">
        <f t="shared" si="367"/>
        <v>50</v>
      </c>
      <c r="CE160" s="562">
        <f t="shared" si="470"/>
        <v>-50</v>
      </c>
      <c r="CF160">
        <f t="shared" si="471"/>
        <v>-50</v>
      </c>
      <c r="CG160" s="173">
        <f t="shared" si="370"/>
        <v>0.50606082734747393</v>
      </c>
      <c r="CH160" s="173">
        <f t="shared" si="472"/>
        <v>0.17889064965616355</v>
      </c>
      <c r="CI160" s="170">
        <v>50</v>
      </c>
      <c r="CJ160" s="217">
        <f t="shared" si="438"/>
        <v>0.5</v>
      </c>
      <c r="CK160" s="217">
        <f t="shared" si="372"/>
        <v>0.125</v>
      </c>
      <c r="CL160" s="217">
        <f t="shared" si="373"/>
        <v>8</v>
      </c>
      <c r="CM160" s="217">
        <f t="shared" si="374"/>
        <v>1</v>
      </c>
      <c r="CN160" s="541">
        <f t="shared" si="375"/>
        <v>19</v>
      </c>
      <c r="CO160" s="443">
        <f t="shared" si="473"/>
        <v>16.7</v>
      </c>
      <c r="CP160" s="443">
        <f t="shared" si="474"/>
        <v>35.700000000000003</v>
      </c>
      <c r="CQ160" s="443"/>
      <c r="CR160" s="217">
        <f t="shared" si="378"/>
        <v>0.4632768361581921</v>
      </c>
      <c r="CS160" s="172">
        <f t="shared" si="379"/>
        <v>19.560577526679221</v>
      </c>
      <c r="CT160" s="172">
        <f t="shared" si="380"/>
        <v>2.7507062146892656</v>
      </c>
      <c r="CU160" s="217">
        <f t="shared" si="381"/>
        <v>1.2225360954174513</v>
      </c>
      <c r="CV160" s="217">
        <f t="shared" si="382"/>
        <v>2.4450721908349027</v>
      </c>
      <c r="CW160" s="217">
        <f t="shared" si="383"/>
        <v>16</v>
      </c>
      <c r="CX160" s="217">
        <f t="shared" si="384"/>
        <v>2.0449293966623876</v>
      </c>
      <c r="CY160" s="217">
        <f t="shared" si="385"/>
        <v>1.2915343557867713</v>
      </c>
      <c r="CZ160" s="217">
        <f t="shared" si="386"/>
        <v>1.469410344907105</v>
      </c>
      <c r="DA160" s="197">
        <f t="shared" si="387"/>
        <v>350</v>
      </c>
      <c r="DB160" s="443">
        <f t="shared" si="388"/>
        <v>350</v>
      </c>
      <c r="DD160" s="217">
        <f t="shared" si="389"/>
        <v>2.1161798052554355</v>
      </c>
      <c r="DE160" s="173">
        <f t="shared" si="390"/>
        <v>1.5206082432973189</v>
      </c>
      <c r="DF160" s="173">
        <f t="shared" si="391"/>
        <v>0.50055918207100247</v>
      </c>
      <c r="DG160" s="173"/>
      <c r="DH160" s="173">
        <f t="shared" si="392"/>
        <v>0.71856287425149712</v>
      </c>
      <c r="DI160" s="545">
        <f t="shared" si="393"/>
        <v>1391.6666666666665</v>
      </c>
      <c r="DJ160" s="528">
        <f t="shared" si="394"/>
        <v>0.125748502994012</v>
      </c>
      <c r="DL160" s="173">
        <f t="shared" si="395"/>
        <v>2.0701966780270626</v>
      </c>
      <c r="DM160" s="173">
        <f t="shared" si="396"/>
        <v>2.0701966780270626</v>
      </c>
      <c r="DN160" s="173">
        <f t="shared" si="397"/>
        <v>1.9927382800200464</v>
      </c>
      <c r="DP160" s="545">
        <f t="shared" si="398"/>
        <v>500</v>
      </c>
      <c r="DQ160" s="460">
        <f t="shared" si="399"/>
        <v>350</v>
      </c>
      <c r="DS160">
        <f t="shared" si="400"/>
        <v>500</v>
      </c>
      <c r="DT160">
        <f t="shared" si="401"/>
        <v>350</v>
      </c>
      <c r="DV160" s="5">
        <f t="shared" si="402"/>
        <v>2.8571428571428572</v>
      </c>
      <c r="DW160" s="5">
        <f t="shared" si="403"/>
        <v>1.3074926387539345</v>
      </c>
      <c r="DX160" s="5">
        <f t="shared" si="404"/>
        <v>1.5496502183889227</v>
      </c>
      <c r="DY160" s="173">
        <f t="shared" si="405"/>
        <v>0.45762242356387706</v>
      </c>
      <c r="EA160" s="5">
        <f t="shared" si="406"/>
        <v>4.0859144961060458</v>
      </c>
      <c r="EB160" s="5">
        <f t="shared" si="407"/>
        <v>2.0429572480530229</v>
      </c>
      <c r="EC160" s="5">
        <f t="shared" si="408"/>
        <v>0.54373691873295527</v>
      </c>
      <c r="ED160" s="5"/>
      <c r="EE160" s="173">
        <f t="shared" si="409"/>
        <v>0.80854580536724519</v>
      </c>
      <c r="EF160" s="173">
        <f t="shared" si="410"/>
        <v>0.88024150617569796</v>
      </c>
      <c r="EG160" s="173">
        <f t="shared" si="411"/>
        <v>0.2161769581343258</v>
      </c>
      <c r="EH160" s="173"/>
      <c r="EI160" s="528">
        <f t="shared" si="412"/>
        <v>1.3074926387539343E-2</v>
      </c>
      <c r="EJ160" s="528">
        <f t="shared" si="413"/>
        <v>0.49147504234701483</v>
      </c>
      <c r="EK160" s="528">
        <f t="shared" si="414"/>
        <v>4.0250000000000001E-2</v>
      </c>
      <c r="EL160" s="528">
        <f t="shared" si="415"/>
        <v>0.21969021375000006</v>
      </c>
      <c r="EM160">
        <f t="shared" si="416"/>
        <v>8.5500000000000003E-3</v>
      </c>
      <c r="EN160" s="460">
        <f t="shared" si="417"/>
        <v>48.800000000000004</v>
      </c>
      <c r="EP160" s="460">
        <f t="shared" si="439"/>
        <v>773.04018248455418</v>
      </c>
      <c r="EQ160" s="173">
        <f t="shared" si="418"/>
        <v>0.35</v>
      </c>
      <c r="ER160" s="173">
        <f t="shared" si="475"/>
        <v>5.5468749999999997E-2</v>
      </c>
      <c r="ES160" s="528"/>
      <c r="EU160" s="460">
        <f t="shared" si="420"/>
        <v>405.46875</v>
      </c>
      <c r="EV160" s="528">
        <f t="shared" si="421"/>
        <v>1.9612389581309012E-2</v>
      </c>
      <c r="EW160" s="528">
        <f t="shared" si="422"/>
        <v>2.3244753275833838E-2</v>
      </c>
      <c r="EX160" s="528">
        <f t="shared" si="423"/>
        <v>2.3366238614105025E-4</v>
      </c>
      <c r="EY160" s="528">
        <f t="shared" si="424"/>
        <v>0.70659267931288139</v>
      </c>
      <c r="EZ160" s="528"/>
      <c r="FA160" s="625">
        <f t="shared" si="425"/>
        <v>7.5000000000000006E-3</v>
      </c>
      <c r="FB160" s="460">
        <f t="shared" si="426"/>
        <v>757.18348455616524</v>
      </c>
      <c r="FC160" s="173">
        <f t="shared" si="427"/>
        <v>1.9356924170407193</v>
      </c>
      <c r="FD160" s="5">
        <f t="shared" si="428"/>
        <v>9</v>
      </c>
      <c r="FE160" s="173">
        <f t="shared" si="429"/>
        <v>0.82299315459674083</v>
      </c>
      <c r="FF160" s="5">
        <f t="shared" si="430"/>
        <v>82.299315459674077</v>
      </c>
      <c r="FG160">
        <f t="shared" si="431"/>
        <v>50</v>
      </c>
      <c r="FI160" s="562">
        <f t="shared" si="432"/>
        <v>-50</v>
      </c>
      <c r="FJ160">
        <f t="shared" si="433"/>
        <v>-50</v>
      </c>
    </row>
    <row r="161" spans="5:166">
      <c r="E161" s="170">
        <v>51</v>
      </c>
      <c r="F161" s="217">
        <f t="shared" si="476"/>
        <v>0.51</v>
      </c>
      <c r="G161" s="217">
        <f t="shared" si="444"/>
        <v>0.1275</v>
      </c>
      <c r="H161" s="217">
        <f t="shared" si="445"/>
        <v>8.16</v>
      </c>
      <c r="I161" s="217">
        <f t="shared" si="446"/>
        <v>1.02</v>
      </c>
      <c r="J161" s="541">
        <f t="shared" si="447"/>
        <v>18.932147729986731</v>
      </c>
      <c r="K161" s="443">
        <f t="shared" si="448"/>
        <v>16.72993564526017</v>
      </c>
      <c r="L161" s="172">
        <f t="shared" si="449"/>
        <v>35.662083375246901</v>
      </c>
      <c r="M161" s="443"/>
      <c r="N161" s="217">
        <f t="shared" si="450"/>
        <v>0.46912390028431261</v>
      </c>
      <c r="O161" s="172">
        <f t="shared" si="451"/>
        <v>19.736717741889272</v>
      </c>
      <c r="P161" s="172">
        <f t="shared" si="452"/>
        <v>2.7754759324531788</v>
      </c>
      <c r="Q161" s="217">
        <f t="shared" si="322"/>
        <v>1.2335448588680795</v>
      </c>
      <c r="R161" s="217">
        <f t="shared" si="453"/>
        <v>2.467089717736159</v>
      </c>
      <c r="S161" s="217">
        <f t="shared" si="454"/>
        <v>16</v>
      </c>
      <c r="T161" s="217">
        <f t="shared" si="455"/>
        <v>2.0672130256697119</v>
      </c>
      <c r="U161" s="217">
        <f t="shared" si="326"/>
        <v>1.3102874888698077</v>
      </c>
      <c r="V161" s="217">
        <f t="shared" si="327"/>
        <v>1.4827645983841302</v>
      </c>
      <c r="W161" s="197">
        <f t="shared" si="328"/>
        <v>350</v>
      </c>
      <c r="X161" s="443">
        <f t="shared" si="435"/>
        <v>334.10711569589785</v>
      </c>
      <c r="Z161" s="217">
        <f t="shared" si="329"/>
        <v>2.1146483294881357</v>
      </c>
      <c r="AA161" s="173">
        <f t="shared" si="330"/>
        <v>1.5167888563305354</v>
      </c>
      <c r="AB161" s="173">
        <f t="shared" si="456"/>
        <v>0.49894055885731348</v>
      </c>
      <c r="AC161" s="173"/>
      <c r="AD161" s="173">
        <f t="shared" si="332"/>
        <v>0.7172771165679751</v>
      </c>
      <c r="AE161" s="545">
        <f t="shared" si="457"/>
        <v>1422.0445298471143</v>
      </c>
      <c r="AF161" s="528">
        <f t="shared" si="458"/>
        <v>0.12552349539939564</v>
      </c>
      <c r="AH161" s="173">
        <f t="shared" si="459"/>
        <v>2.0907961573115088</v>
      </c>
      <c r="AI161" s="173">
        <f t="shared" si="460"/>
        <v>2.0672130256697119</v>
      </c>
      <c r="AJ161" s="173">
        <f t="shared" si="461"/>
        <v>1.9905281671627495</v>
      </c>
      <c r="AL161" s="545">
        <f t="shared" si="462"/>
        <v>510</v>
      </c>
      <c r="AM161" s="460">
        <f t="shared" si="463"/>
        <v>334.10711569589785</v>
      </c>
      <c r="AO161">
        <f t="shared" si="340"/>
        <v>510</v>
      </c>
      <c r="AP161">
        <f t="shared" si="341"/>
        <v>334.10711569589785</v>
      </c>
      <c r="AR161" s="5">
        <f t="shared" si="443"/>
        <v>2.9930520872539379</v>
      </c>
      <c r="AS161" s="5">
        <f t="shared" si="440"/>
        <v>1.3102874888698077</v>
      </c>
      <c r="AT161" s="5">
        <f t="shared" si="441"/>
        <v>1.6827645983841302</v>
      </c>
      <c r="AU161" s="173">
        <f t="shared" si="442"/>
        <v>0.4377763736387123</v>
      </c>
      <c r="AW161" s="5">
        <f t="shared" si="342"/>
        <v>4.1765413707725125</v>
      </c>
      <c r="AX161" s="5">
        <f t="shared" si="343"/>
        <v>2.0882706853862563</v>
      </c>
      <c r="AY161" s="5">
        <f t="shared" si="344"/>
        <v>0.60441104898456777</v>
      </c>
      <c r="AZ161" s="5"/>
      <c r="BA161" s="173">
        <f t="shared" si="345"/>
        <v>0.78967932049183942</v>
      </c>
      <c r="BB161" s="173">
        <f t="shared" si="346"/>
        <v>0.89490956821740097</v>
      </c>
      <c r="BC161" s="173">
        <f t="shared" si="347"/>
        <v>0.21977926160633227</v>
      </c>
      <c r="BD161" s="173"/>
      <c r="BE161" s="528">
        <f t="shared" si="348"/>
        <v>1.2471868584249065E-2</v>
      </c>
      <c r="BF161" s="528">
        <f t="shared" si="464"/>
        <v>0.44951122150977252</v>
      </c>
      <c r="BG161" s="528">
        <f t="shared" si="465"/>
        <v>0.14548340125587364</v>
      </c>
      <c r="BH161" s="528">
        <f t="shared" si="351"/>
        <v>0.20926923275706308</v>
      </c>
      <c r="BI161">
        <f t="shared" si="352"/>
        <v>8.519466478494029E-3</v>
      </c>
      <c r="BJ161" s="460">
        <f t="shared" si="436"/>
        <v>154.00286773436767</v>
      </c>
      <c r="BK161">
        <f t="shared" si="466"/>
        <v>0.67662478039006058</v>
      </c>
      <c r="BL161" s="460">
        <f t="shared" si="437"/>
        <v>825.2551905854524</v>
      </c>
      <c r="BM161" s="173">
        <f t="shared" si="467"/>
        <v>0.31683749999999999</v>
      </c>
      <c r="BN161" s="173">
        <f t="shared" si="468"/>
        <v>7.9209374999999999E-2</v>
      </c>
      <c r="BO161" s="528"/>
      <c r="BQ161" s="460">
        <f t="shared" si="356"/>
        <v>396.046875</v>
      </c>
      <c r="BR161" s="528">
        <f t="shared" si="357"/>
        <v>1.8707802876373594E-2</v>
      </c>
      <c r="BS161" s="528">
        <f t="shared" si="358"/>
        <v>2.4025894058611649E-2</v>
      </c>
      <c r="BT161" s="528">
        <f t="shared" si="359"/>
        <v>2.4151461916112319E-4</v>
      </c>
      <c r="BU161" s="528">
        <f t="shared" si="360"/>
        <v>0.62682657333304737</v>
      </c>
      <c r="BV161" s="528"/>
      <c r="BW161" s="625">
        <f t="shared" si="469"/>
        <v>7.1388161129852757E-3</v>
      </c>
      <c r="BX161" s="460">
        <f t="shared" si="362"/>
        <v>676.94060100017907</v>
      </c>
      <c r="BY161" s="173">
        <f t="shared" si="363"/>
        <v>1.8982426665856313</v>
      </c>
      <c r="BZ161" s="5">
        <f t="shared" si="364"/>
        <v>9.18</v>
      </c>
      <c r="CA161" s="173">
        <f t="shared" si="365"/>
        <v>0.82865128308561609</v>
      </c>
      <c r="CB161" s="5">
        <f t="shared" si="366"/>
        <v>82.865128308561609</v>
      </c>
      <c r="CC161">
        <f t="shared" si="367"/>
        <v>51</v>
      </c>
      <c r="CE161" s="562">
        <f t="shared" si="470"/>
        <v>-50</v>
      </c>
      <c r="CF161">
        <f t="shared" si="471"/>
        <v>-50</v>
      </c>
      <c r="CG161" s="173">
        <f t="shared" si="370"/>
        <v>0.51109638249074119</v>
      </c>
      <c r="CH161" s="173">
        <f t="shared" si="472"/>
        <v>0.18067069996292243</v>
      </c>
      <c r="CI161" s="170">
        <v>51</v>
      </c>
      <c r="CJ161" s="217">
        <f t="shared" si="438"/>
        <v>0.51</v>
      </c>
      <c r="CK161" s="217">
        <f t="shared" si="372"/>
        <v>0.1275</v>
      </c>
      <c r="CL161" s="217">
        <f t="shared" si="373"/>
        <v>8.16</v>
      </c>
      <c r="CM161" s="217">
        <f t="shared" si="374"/>
        <v>1.02</v>
      </c>
      <c r="CN161" s="541">
        <f t="shared" si="375"/>
        <v>19</v>
      </c>
      <c r="CO161" s="443">
        <f t="shared" si="473"/>
        <v>16.7</v>
      </c>
      <c r="CP161" s="443">
        <f t="shared" si="474"/>
        <v>35.700000000000003</v>
      </c>
      <c r="CQ161" s="443"/>
      <c r="CR161" s="217">
        <f t="shared" si="378"/>
        <v>0.4632768361581921</v>
      </c>
      <c r="CS161" s="172">
        <f t="shared" si="379"/>
        <v>19.560577526679221</v>
      </c>
      <c r="CT161" s="172">
        <f t="shared" si="380"/>
        <v>2.7507062146892656</v>
      </c>
      <c r="CU161" s="217">
        <f t="shared" si="381"/>
        <v>1.2225360954174513</v>
      </c>
      <c r="CV161" s="217">
        <f t="shared" si="382"/>
        <v>2.4450721908349027</v>
      </c>
      <c r="CW161" s="217">
        <f t="shared" si="383"/>
        <v>16</v>
      </c>
      <c r="CX161" s="217">
        <f t="shared" si="384"/>
        <v>2.0858279845956353</v>
      </c>
      <c r="CY161" s="217">
        <f t="shared" si="385"/>
        <v>1.3173650429025066</v>
      </c>
      <c r="CZ161" s="217">
        <f t="shared" si="386"/>
        <v>1.4987985518052469</v>
      </c>
      <c r="DA161" s="197">
        <f t="shared" si="387"/>
        <v>350</v>
      </c>
      <c r="DB161" s="443">
        <f t="shared" si="388"/>
        <v>350</v>
      </c>
      <c r="DD161" s="217">
        <f t="shared" si="389"/>
        <v>2.1161798052554355</v>
      </c>
      <c r="DE161" s="173">
        <f t="shared" si="390"/>
        <v>1.5206082432973189</v>
      </c>
      <c r="DF161" s="173">
        <f t="shared" si="391"/>
        <v>0.50055918207100247</v>
      </c>
      <c r="DG161" s="173"/>
      <c r="DH161" s="173">
        <f t="shared" si="392"/>
        <v>0.71856287425149712</v>
      </c>
      <c r="DI161" s="545">
        <f t="shared" si="393"/>
        <v>1419.4999999999998</v>
      </c>
      <c r="DJ161" s="528">
        <f t="shared" si="394"/>
        <v>0.125748502994012</v>
      </c>
      <c r="DL161" s="173">
        <f t="shared" si="395"/>
        <v>2.0907961573115088</v>
      </c>
      <c r="DM161" s="173">
        <f t="shared" si="396"/>
        <v>2.0858279845956353</v>
      </c>
      <c r="DN161" s="173">
        <f t="shared" si="397"/>
        <v>2.0043170256263965</v>
      </c>
      <c r="DP161" s="545">
        <f t="shared" si="398"/>
        <v>510</v>
      </c>
      <c r="DQ161" s="460">
        <f t="shared" si="399"/>
        <v>350</v>
      </c>
      <c r="DS161">
        <f t="shared" si="400"/>
        <v>510</v>
      </c>
      <c r="DT161">
        <f t="shared" si="401"/>
        <v>350</v>
      </c>
      <c r="DV161" s="5">
        <f t="shared" si="402"/>
        <v>2.8571428571428572</v>
      </c>
      <c r="DW161" s="5">
        <f t="shared" si="403"/>
        <v>1.3173650429025066</v>
      </c>
      <c r="DX161" s="5">
        <f t="shared" si="404"/>
        <v>1.5397778142403507</v>
      </c>
      <c r="DY161" s="173">
        <f t="shared" si="405"/>
        <v>0.46107776501587727</v>
      </c>
      <c r="EA161" s="5">
        <f t="shared" si="406"/>
        <v>4.1991010742517396</v>
      </c>
      <c r="EB161" s="5">
        <f t="shared" si="407"/>
        <v>2.0995505371258698</v>
      </c>
      <c r="EC161" s="5">
        <f t="shared" si="408"/>
        <v>0.55107837562286233</v>
      </c>
      <c r="ED161" s="5"/>
      <c r="EE161" s="173">
        <f t="shared" si="409"/>
        <v>0.81772062555271607</v>
      </c>
      <c r="EF161" s="173">
        <f t="shared" si="410"/>
        <v>0.88405831575360727</v>
      </c>
      <c r="EG161" s="173">
        <f t="shared" si="411"/>
        <v>0.21711432166301822</v>
      </c>
      <c r="EH161" s="173"/>
      <c r="EI161" s="528">
        <f t="shared" si="412"/>
        <v>1.3373340429086507E-2</v>
      </c>
      <c r="EJ161" s="528">
        <f t="shared" si="413"/>
        <v>0.4951859926829269</v>
      </c>
      <c r="EK161" s="528">
        <f t="shared" si="414"/>
        <v>4.0250000000000001E-2</v>
      </c>
      <c r="EL161" s="528">
        <f t="shared" si="415"/>
        <v>0.21969021375000006</v>
      </c>
      <c r="EM161">
        <f t="shared" si="416"/>
        <v>8.5500000000000003E-3</v>
      </c>
      <c r="EN161" s="460">
        <f t="shared" si="417"/>
        <v>48.800000000000004</v>
      </c>
      <c r="EP161" s="460">
        <f t="shared" si="439"/>
        <v>777.04954686201347</v>
      </c>
      <c r="EQ161" s="173">
        <f t="shared" si="418"/>
        <v>0.35699999999999998</v>
      </c>
      <c r="ER161" s="173">
        <f t="shared" si="475"/>
        <v>5.6578125E-2</v>
      </c>
      <c r="ES161" s="528"/>
      <c r="EU161" s="460">
        <f t="shared" si="420"/>
        <v>413.57812499999994</v>
      </c>
      <c r="EV161" s="528">
        <f t="shared" si="421"/>
        <v>2.006001064362976E-2</v>
      </c>
      <c r="EW161" s="528">
        <f t="shared" si="422"/>
        <v>2.3446773169593142E-2</v>
      </c>
      <c r="EX161" s="528">
        <f t="shared" si="423"/>
        <v>2.3569314335596272E-4</v>
      </c>
      <c r="EY161" s="528">
        <f t="shared" si="424"/>
        <v>0.72000637202900097</v>
      </c>
      <c r="EZ161" s="528"/>
      <c r="FA161" s="625">
        <f t="shared" si="425"/>
        <v>7.6136871673140065E-3</v>
      </c>
      <c r="FB161" s="460">
        <f t="shared" si="426"/>
        <v>771.36253615289388</v>
      </c>
      <c r="FC161" s="173">
        <f t="shared" si="427"/>
        <v>1.9619902080149074</v>
      </c>
      <c r="FD161" s="5">
        <f t="shared" si="428"/>
        <v>9.18</v>
      </c>
      <c r="FE161" s="173">
        <f t="shared" si="429"/>
        <v>0.82391025558400111</v>
      </c>
      <c r="FF161" s="5">
        <f t="shared" si="430"/>
        <v>82.391025558400116</v>
      </c>
      <c r="FG161">
        <f t="shared" si="431"/>
        <v>51</v>
      </c>
      <c r="FI161" s="562">
        <f t="shared" si="432"/>
        <v>-50</v>
      </c>
      <c r="FJ161">
        <f t="shared" si="433"/>
        <v>-50</v>
      </c>
    </row>
    <row r="162" spans="5:166">
      <c r="E162" s="170">
        <v>52</v>
      </c>
      <c r="F162" s="217">
        <f t="shared" si="476"/>
        <v>0.52</v>
      </c>
      <c r="G162" s="217">
        <f t="shared" si="444"/>
        <v>0.13</v>
      </c>
      <c r="H162" s="217">
        <f t="shared" si="445"/>
        <v>8.32</v>
      </c>
      <c r="I162" s="217">
        <f t="shared" si="446"/>
        <v>1.04</v>
      </c>
      <c r="J162" s="541">
        <f t="shared" si="447"/>
        <v>18.931315220027884</v>
      </c>
      <c r="K162" s="443">
        <f t="shared" si="448"/>
        <v>16.730302939129615</v>
      </c>
      <c r="L162" s="172">
        <f t="shared" si="449"/>
        <v>35.661618159157499</v>
      </c>
      <c r="M162" s="443"/>
      <c r="N162" s="217">
        <f t="shared" si="450"/>
        <v>0.46914031955763802</v>
      </c>
      <c r="O162" s="172">
        <f t="shared" si="451"/>
        <v>19.736540604378348</v>
      </c>
      <c r="P162" s="172">
        <f t="shared" si="452"/>
        <v>2.7754510224907052</v>
      </c>
      <c r="Q162" s="217">
        <f t="shared" si="322"/>
        <v>1.2335337877736468</v>
      </c>
      <c r="R162" s="217">
        <f t="shared" si="453"/>
        <v>2.4670675755472935</v>
      </c>
      <c r="S162" s="217">
        <f t="shared" si="454"/>
        <v>16</v>
      </c>
      <c r="T162" s="217">
        <f t="shared" si="455"/>
        <v>2.1077655316540866</v>
      </c>
      <c r="U162" s="217">
        <f t="shared" si="326"/>
        <v>1.3360501415712938</v>
      </c>
      <c r="V162" s="217">
        <f t="shared" si="327"/>
        <v>1.511818792037062</v>
      </c>
      <c r="W162" s="197">
        <f t="shared" si="328"/>
        <v>350</v>
      </c>
      <c r="X162" s="443">
        <f t="shared" si="435"/>
        <v>328.09809797697079</v>
      </c>
      <c r="Z162" s="217">
        <f t="shared" si="329"/>
        <v>2.1146293504691087</v>
      </c>
      <c r="AA162" s="173">
        <f t="shared" si="330"/>
        <v>1.5167419441210344</v>
      </c>
      <c r="AB162" s="173">
        <f t="shared" si="456"/>
        <v>0.49892064944180919</v>
      </c>
      <c r="AC162" s="173"/>
      <c r="AD162" s="173">
        <f t="shared" si="332"/>
        <v>0.71726136960340625</v>
      </c>
      <c r="AE162" s="545">
        <f t="shared" si="457"/>
        <v>1449.9595880579002</v>
      </c>
      <c r="AF162" s="528">
        <f t="shared" si="458"/>
        <v>0.12552073968059607</v>
      </c>
      <c r="AH162" s="173">
        <f t="shared" si="459"/>
        <v>2.1111946516469904</v>
      </c>
      <c r="AI162" s="173">
        <f t="shared" si="460"/>
        <v>2.1077655316540866</v>
      </c>
      <c r="AJ162" s="173">
        <f t="shared" si="461"/>
        <v>2.0205670604845087</v>
      </c>
      <c r="AL162" s="545">
        <f t="shared" si="462"/>
        <v>520</v>
      </c>
      <c r="AM162" s="460">
        <f t="shared" si="463"/>
        <v>328.09809797697079</v>
      </c>
      <c r="AO162">
        <f t="shared" si="340"/>
        <v>520</v>
      </c>
      <c r="AP162">
        <f t="shared" si="341"/>
        <v>328.09809797697079</v>
      </c>
      <c r="AR162" s="5">
        <f t="shared" si="443"/>
        <v>3.0478689336083566</v>
      </c>
      <c r="AS162" s="5">
        <f t="shared" si="440"/>
        <v>1.3360501415712938</v>
      </c>
      <c r="AT162" s="5">
        <f t="shared" si="441"/>
        <v>1.7118187920370629</v>
      </c>
      <c r="AU162" s="173">
        <f t="shared" si="442"/>
        <v>0.43835551025140401</v>
      </c>
      <c r="AW162" s="5">
        <f t="shared" si="342"/>
        <v>4.3421629601067044</v>
      </c>
      <c r="AX162" s="5">
        <f t="shared" si="343"/>
        <v>2.1710814800533522</v>
      </c>
      <c r="AY162" s="5">
        <f t="shared" si="344"/>
        <v>0.6269300444007655</v>
      </c>
      <c r="AZ162" s="5"/>
      <c r="BA162" s="173">
        <f t="shared" si="345"/>
        <v>0.80570286120314005</v>
      </c>
      <c r="BB162" s="173">
        <f t="shared" si="346"/>
        <v>0.91199492593183773</v>
      </c>
      <c r="BC162" s="173">
        <f t="shared" si="347"/>
        <v>0.22397522445678955</v>
      </c>
      <c r="BD162" s="173"/>
      <c r="BE162" s="528">
        <f t="shared" si="348"/>
        <v>1.2983142011018528E-2</v>
      </c>
      <c r="BF162" s="528">
        <f t="shared" si="464"/>
        <v>0.45008021812327087</v>
      </c>
      <c r="BG162" s="528">
        <f t="shared" si="465"/>
        <v>0.14286055586555343</v>
      </c>
      <c r="BH162" s="528">
        <f t="shared" si="351"/>
        <v>0.20550010054083484</v>
      </c>
      <c r="BI162">
        <f t="shared" si="352"/>
        <v>8.5190918490125472E-3</v>
      </c>
      <c r="BJ162" s="460">
        <f t="shared" si="436"/>
        <v>151.37964771456598</v>
      </c>
      <c r="BK162">
        <f t="shared" si="466"/>
        <v>0.67414851868892556</v>
      </c>
      <c r="BL162" s="460">
        <f t="shared" si="437"/>
        <v>819.94310838969022</v>
      </c>
      <c r="BM162" s="173">
        <f t="shared" si="467"/>
        <v>0.32304999999999995</v>
      </c>
      <c r="BN162" s="173">
        <f t="shared" si="468"/>
        <v>8.0762499999999987E-2</v>
      </c>
      <c r="BO162" s="528"/>
      <c r="BQ162" s="460">
        <f t="shared" si="356"/>
        <v>403.81249999999989</v>
      </c>
      <c r="BR162" s="528">
        <f t="shared" si="357"/>
        <v>1.9474713016527791E-2</v>
      </c>
      <c r="BS162" s="528">
        <f t="shared" si="358"/>
        <v>2.4952042347762545E-2</v>
      </c>
      <c r="BT162" s="528">
        <f t="shared" si="359"/>
        <v>2.5082450585234631E-4</v>
      </c>
      <c r="BU162" s="528">
        <f t="shared" si="360"/>
        <v>0.6288325758769393</v>
      </c>
      <c r="BV162" s="528"/>
      <c r="BW162" s="625">
        <f t="shared" si="469"/>
        <v>7.2881669671559244E-3</v>
      </c>
      <c r="BX162" s="460">
        <f t="shared" si="362"/>
        <v>680.79832271423788</v>
      </c>
      <c r="BY162" s="173">
        <f t="shared" si="363"/>
        <v>1.9045539311039281</v>
      </c>
      <c r="BZ162" s="5">
        <f t="shared" si="364"/>
        <v>9.36</v>
      </c>
      <c r="CA162" s="173">
        <f t="shared" si="365"/>
        <v>0.83092504658839328</v>
      </c>
      <c r="CB162" s="5">
        <f t="shared" si="366"/>
        <v>83.092504658839331</v>
      </c>
      <c r="CC162">
        <f t="shared" si="367"/>
        <v>52</v>
      </c>
      <c r="CE162" s="562">
        <f t="shared" si="470"/>
        <v>-50</v>
      </c>
      <c r="CF162">
        <f t="shared" si="471"/>
        <v>-50</v>
      </c>
      <c r="CG162" s="173">
        <f t="shared" si="370"/>
        <v>0.51480154889510166</v>
      </c>
      <c r="CH162" s="173">
        <f t="shared" si="472"/>
        <v>0.18198046272135288</v>
      </c>
      <c r="CI162" s="170">
        <v>52</v>
      </c>
      <c r="CJ162" s="217">
        <f t="shared" si="438"/>
        <v>0.52</v>
      </c>
      <c r="CK162" s="217">
        <f t="shared" si="372"/>
        <v>0.13</v>
      </c>
      <c r="CL162" s="217">
        <f t="shared" si="373"/>
        <v>8.32</v>
      </c>
      <c r="CM162" s="217">
        <f t="shared" si="374"/>
        <v>1.04</v>
      </c>
      <c r="CN162" s="541">
        <f t="shared" si="375"/>
        <v>19</v>
      </c>
      <c r="CO162" s="443">
        <f t="shared" si="473"/>
        <v>16.7</v>
      </c>
      <c r="CP162" s="443">
        <f t="shared" si="474"/>
        <v>35.700000000000003</v>
      </c>
      <c r="CQ162" s="443"/>
      <c r="CR162" s="217">
        <f t="shared" si="378"/>
        <v>0.4632768361581921</v>
      </c>
      <c r="CS162" s="172">
        <f t="shared" si="379"/>
        <v>19.560577526679221</v>
      </c>
      <c r="CT162" s="172">
        <f t="shared" si="380"/>
        <v>2.7507062146892656</v>
      </c>
      <c r="CU162" s="217">
        <f t="shared" si="381"/>
        <v>1.2225360954174513</v>
      </c>
      <c r="CV162" s="217">
        <f t="shared" si="382"/>
        <v>2.4450721908349027</v>
      </c>
      <c r="CW162" s="217">
        <f t="shared" si="383"/>
        <v>16</v>
      </c>
      <c r="CX162" s="217">
        <f t="shared" si="384"/>
        <v>2.1267265725288826</v>
      </c>
      <c r="CY162" s="217">
        <f t="shared" si="385"/>
        <v>1.3431957300182416</v>
      </c>
      <c r="CZ162" s="217">
        <f t="shared" si="386"/>
        <v>1.5281867587033888</v>
      </c>
      <c r="DA162" s="197">
        <f t="shared" si="387"/>
        <v>350</v>
      </c>
      <c r="DB162" s="443">
        <f t="shared" si="388"/>
        <v>348.26429565822508</v>
      </c>
      <c r="DD162" s="217">
        <f t="shared" si="389"/>
        <v>2.1161798052554355</v>
      </c>
      <c r="DE162" s="173">
        <f t="shared" si="390"/>
        <v>1.5206082432973189</v>
      </c>
      <c r="DF162" s="173">
        <f t="shared" si="391"/>
        <v>0.50055918207100247</v>
      </c>
      <c r="DG162" s="173"/>
      <c r="DH162" s="173">
        <f t="shared" si="392"/>
        <v>0.71856287425149712</v>
      </c>
      <c r="DI162" s="545">
        <f t="shared" si="393"/>
        <v>1447.3333333333333</v>
      </c>
      <c r="DJ162" s="528">
        <f t="shared" si="394"/>
        <v>0.125748502994012</v>
      </c>
      <c r="DL162" s="173">
        <f t="shared" si="395"/>
        <v>2.1111946516469904</v>
      </c>
      <c r="DM162" s="173">
        <f t="shared" si="396"/>
        <v>2.1267265725288826</v>
      </c>
      <c r="DN162" s="173">
        <f t="shared" si="397"/>
        <v>2.0346122759473202</v>
      </c>
      <c r="DP162" s="545">
        <f t="shared" si="398"/>
        <v>520</v>
      </c>
      <c r="DQ162" s="460">
        <f t="shared" si="399"/>
        <v>348.26429565822508</v>
      </c>
      <c r="DS162">
        <f t="shared" si="400"/>
        <v>520</v>
      </c>
      <c r="DT162">
        <f t="shared" si="401"/>
        <v>348.26429565822508</v>
      </c>
      <c r="DV162" s="5">
        <f t="shared" si="402"/>
        <v>2.8713824887216304</v>
      </c>
      <c r="DW162" s="5">
        <f t="shared" si="403"/>
        <v>1.3431957300182416</v>
      </c>
      <c r="DX162" s="5">
        <f t="shared" si="404"/>
        <v>1.5281867587033888</v>
      </c>
      <c r="DY162" s="173">
        <f t="shared" si="405"/>
        <v>0.46778711484593832</v>
      </c>
      <c r="EA162" s="5">
        <f t="shared" si="406"/>
        <v>4.3653861225592854</v>
      </c>
      <c r="EB162" s="5">
        <f t="shared" si="407"/>
        <v>2.1826930612796427</v>
      </c>
      <c r="EC162" s="5">
        <f t="shared" si="408"/>
        <v>0.5576541154566752</v>
      </c>
      <c r="ED162" s="5"/>
      <c r="EE162" s="173">
        <f t="shared" si="409"/>
        <v>0.83979862181301701</v>
      </c>
      <c r="EF162" s="173">
        <f t="shared" si="410"/>
        <v>0.89576424329606597</v>
      </c>
      <c r="EG162" s="173">
        <f t="shared" si="411"/>
        <v>0.2199891597506515</v>
      </c>
      <c r="EH162" s="173"/>
      <c r="EI162" s="528">
        <f t="shared" si="412"/>
        <v>1.4105234503980855E-2</v>
      </c>
      <c r="EJ162" s="528">
        <f t="shared" si="413"/>
        <v>0.50239166666666668</v>
      </c>
      <c r="EK162" s="528">
        <f t="shared" si="414"/>
        <v>4.0050394000695891E-2</v>
      </c>
      <c r="EL162" s="528">
        <f t="shared" si="415"/>
        <v>0.21860073587042478</v>
      </c>
      <c r="EM162">
        <f t="shared" si="416"/>
        <v>8.5500000000000003E-3</v>
      </c>
      <c r="EN162" s="460">
        <f t="shared" si="417"/>
        <v>48.600394000695893</v>
      </c>
      <c r="EP162" s="460">
        <f t="shared" si="439"/>
        <v>783.69803104176822</v>
      </c>
      <c r="EQ162" s="173">
        <f t="shared" si="418"/>
        <v>0.36399999999999999</v>
      </c>
      <c r="ER162" s="173">
        <f t="shared" si="475"/>
        <v>5.7687499999999996E-2</v>
      </c>
      <c r="ES162" s="528"/>
      <c r="EU162" s="460">
        <f t="shared" si="420"/>
        <v>421.6875</v>
      </c>
      <c r="EV162" s="528">
        <f t="shared" si="421"/>
        <v>2.115785175597128E-2</v>
      </c>
      <c r="EW162" s="528">
        <f t="shared" si="422"/>
        <v>2.4071807387033208E-2</v>
      </c>
      <c r="EX162" s="528">
        <f t="shared" si="423"/>
        <v>2.4197615203898833E-4</v>
      </c>
      <c r="EY162" s="528">
        <f t="shared" si="424"/>
        <v>0.74648576287198398</v>
      </c>
      <c r="EZ162" s="528"/>
      <c r="FA162" s="625">
        <f t="shared" si="425"/>
        <v>7.8759376921500295E-3</v>
      </c>
      <c r="FB162" s="460">
        <f t="shared" si="426"/>
        <v>799.83333585917751</v>
      </c>
      <c r="FC162" s="173">
        <f t="shared" si="427"/>
        <v>2.0052188669009454</v>
      </c>
      <c r="FD162" s="5">
        <f t="shared" si="428"/>
        <v>9.36</v>
      </c>
      <c r="FE162" s="173">
        <f t="shared" si="429"/>
        <v>0.82356531005832478</v>
      </c>
      <c r="FF162" s="5">
        <f t="shared" si="430"/>
        <v>82.35653100583248</v>
      </c>
      <c r="FG162">
        <f t="shared" si="431"/>
        <v>52</v>
      </c>
      <c r="FI162" s="562">
        <f t="shared" si="432"/>
        <v>-50</v>
      </c>
      <c r="FJ162">
        <f t="shared" si="433"/>
        <v>-50</v>
      </c>
    </row>
    <row r="163" spans="5:166">
      <c r="E163" s="170">
        <v>53</v>
      </c>
      <c r="F163" s="217">
        <f t="shared" si="476"/>
        <v>0.53</v>
      </c>
      <c r="G163" s="217">
        <f t="shared" si="444"/>
        <v>0.13250000000000001</v>
      </c>
      <c r="H163" s="217">
        <f t="shared" si="445"/>
        <v>8.48</v>
      </c>
      <c r="I163" s="217">
        <f t="shared" si="446"/>
        <v>1.06</v>
      </c>
      <c r="J163" s="541">
        <f t="shared" si="447"/>
        <v>18.929994358874573</v>
      </c>
      <c r="K163" s="443">
        <f t="shared" si="448"/>
        <v>16.730885687959031</v>
      </c>
      <c r="L163" s="172">
        <f t="shared" si="449"/>
        <v>35.660880046833604</v>
      </c>
      <c r="M163" s="443"/>
      <c r="N163" s="217">
        <f t="shared" si="450"/>
        <v>0.46916637127256194</v>
      </c>
      <c r="O163" s="172">
        <f t="shared" si="451"/>
        <v>19.73625947014056</v>
      </c>
      <c r="P163" s="172">
        <f t="shared" si="452"/>
        <v>2.7754114879885163</v>
      </c>
      <c r="Q163" s="217">
        <f t="shared" si="322"/>
        <v>1.233516216883785</v>
      </c>
      <c r="R163" s="217">
        <f t="shared" si="453"/>
        <v>2.46703243376757</v>
      </c>
      <c r="S163" s="217">
        <f t="shared" si="454"/>
        <v>16</v>
      </c>
      <c r="T163" s="217">
        <f t="shared" si="455"/>
        <v>2.1483300857565202</v>
      </c>
      <c r="U163" s="217">
        <f t="shared" si="326"/>
        <v>1.3618578294500301</v>
      </c>
      <c r="V163" s="217">
        <f t="shared" si="327"/>
        <v>1.5408605085163958</v>
      </c>
      <c r="W163" s="197">
        <f t="shared" si="328"/>
        <v>350</v>
      </c>
      <c r="X163" s="443">
        <f t="shared" si="435"/>
        <v>322.29802743081638</v>
      </c>
      <c r="Z163" s="217">
        <f t="shared" si="329"/>
        <v>2.1145992289436313</v>
      </c>
      <c r="AA163" s="173">
        <f t="shared" si="330"/>
        <v>1.5166675106498231</v>
      </c>
      <c r="AB163" s="173">
        <f t="shared" si="456"/>
        <v>0.49888905866861794</v>
      </c>
      <c r="AC163" s="173"/>
      <c r="AD163" s="173">
        <f t="shared" si="332"/>
        <v>0.71723638687198865</v>
      </c>
      <c r="AE163" s="545">
        <f t="shared" si="457"/>
        <v>1477.894902436381</v>
      </c>
      <c r="AF163" s="528">
        <f t="shared" si="458"/>
        <v>0.125516367702598</v>
      </c>
      <c r="AH163" s="173">
        <f t="shared" si="459"/>
        <v>2.1313979316066587</v>
      </c>
      <c r="AI163" s="173">
        <f t="shared" si="460"/>
        <v>2.1483300857565202</v>
      </c>
      <c r="AJ163" s="173">
        <f t="shared" si="461"/>
        <v>2.050614878338163</v>
      </c>
      <c r="AL163" s="545">
        <f t="shared" si="462"/>
        <v>530</v>
      </c>
      <c r="AM163" s="460">
        <f t="shared" si="463"/>
        <v>322.29802743081638</v>
      </c>
      <c r="AO163">
        <f t="shared" si="340"/>
        <v>530</v>
      </c>
      <c r="AP163">
        <f t="shared" si="341"/>
        <v>322.29802743081638</v>
      </c>
      <c r="AR163" s="5">
        <f t="shared" si="443"/>
        <v>3.1027183379664258</v>
      </c>
      <c r="AS163" s="5">
        <f t="shared" si="440"/>
        <v>1.3618578294500301</v>
      </c>
      <c r="AT163" s="5">
        <f t="shared" si="441"/>
        <v>1.7408605085163957</v>
      </c>
      <c r="AU163" s="173">
        <f t="shared" si="442"/>
        <v>0.43892409207295779</v>
      </c>
      <c r="AW163" s="5">
        <f t="shared" si="342"/>
        <v>4.5111540600532241</v>
      </c>
      <c r="AX163" s="5">
        <f t="shared" si="343"/>
        <v>2.255577030026612</v>
      </c>
      <c r="AY163" s="5">
        <f t="shared" si="344"/>
        <v>0.64987240321505191</v>
      </c>
      <c r="AZ163" s="5"/>
      <c r="BA163" s="173">
        <f t="shared" si="345"/>
        <v>0.82174125845595847</v>
      </c>
      <c r="BB163" s="173">
        <f t="shared" si="346"/>
        <v>0.92907589747739294</v>
      </c>
      <c r="BC163" s="173">
        <f t="shared" si="347"/>
        <v>0.22817011011577149</v>
      </c>
      <c r="BD163" s="173"/>
      <c r="BE163" s="528">
        <f t="shared" si="348"/>
        <v>1.3505173916975645E-2</v>
      </c>
      <c r="BF163" s="528">
        <f t="shared" si="464"/>
        <v>0.45062323739436633</v>
      </c>
      <c r="BG163" s="528">
        <f t="shared" si="465"/>
        <v>0.14032529634626043</v>
      </c>
      <c r="BH163" s="528">
        <f t="shared" si="351"/>
        <v>0.20185894331773691</v>
      </c>
      <c r="BI163">
        <f t="shared" si="352"/>
        <v>8.5184974614935585E-3</v>
      </c>
      <c r="BJ163" s="460">
        <f t="shared" si="436"/>
        <v>148.84379380775397</v>
      </c>
      <c r="BK163">
        <f t="shared" si="466"/>
        <v>0.67178940914137664</v>
      </c>
      <c r="BL163" s="460">
        <f t="shared" si="437"/>
        <v>814.8311484368329</v>
      </c>
      <c r="BM163" s="173">
        <f t="shared" si="467"/>
        <v>0.32926249999999996</v>
      </c>
      <c r="BN163" s="173">
        <f t="shared" si="468"/>
        <v>8.2315624999999989E-2</v>
      </c>
      <c r="BO163" s="528"/>
      <c r="BQ163" s="460">
        <f t="shared" si="356"/>
        <v>411.57812499999994</v>
      </c>
      <c r="BR163" s="528">
        <f t="shared" si="357"/>
        <v>2.0257760875463469E-2</v>
      </c>
      <c r="BS163" s="528">
        <f t="shared" si="358"/>
        <v>2.5895460698202696E-2</v>
      </c>
      <c r="BT163" s="528">
        <f t="shared" si="359"/>
        <v>2.6030799575121644E-4</v>
      </c>
      <c r="BU163" s="528">
        <f t="shared" si="360"/>
        <v>0.6307636378136936</v>
      </c>
      <c r="BV163" s="528"/>
      <c r="BW163" s="625">
        <f t="shared" si="469"/>
        <v>7.4375461363850037E-3</v>
      </c>
      <c r="BX163" s="460">
        <f t="shared" si="362"/>
        <v>684.61471351949604</v>
      </c>
      <c r="BY163" s="173">
        <f t="shared" si="363"/>
        <v>1.9110239869563288</v>
      </c>
      <c r="BZ163" s="5">
        <f t="shared" si="364"/>
        <v>9.5400000000000009</v>
      </c>
      <c r="CA163" s="173">
        <f t="shared" si="365"/>
        <v>0.83311326662723406</v>
      </c>
      <c r="CB163" s="5">
        <f t="shared" si="366"/>
        <v>83.311326662723403</v>
      </c>
      <c r="CC163">
        <f t="shared" si="367"/>
        <v>53</v>
      </c>
      <c r="CE163" s="562">
        <f t="shared" si="470"/>
        <v>-50</v>
      </c>
      <c r="CF163">
        <f t="shared" si="471"/>
        <v>-50</v>
      </c>
      <c r="CG163" s="173">
        <f t="shared" si="370"/>
        <v>0.51480154889510155</v>
      </c>
      <c r="CH163" s="173">
        <f t="shared" si="472"/>
        <v>0.18198046272135285</v>
      </c>
      <c r="CI163" s="170">
        <v>53</v>
      </c>
      <c r="CJ163" s="217">
        <f t="shared" si="438"/>
        <v>0.53</v>
      </c>
      <c r="CK163" s="217">
        <f t="shared" si="372"/>
        <v>0.13250000000000001</v>
      </c>
      <c r="CL163" s="217">
        <f t="shared" si="373"/>
        <v>8.48</v>
      </c>
      <c r="CM163" s="217">
        <f t="shared" si="374"/>
        <v>1.06</v>
      </c>
      <c r="CN163" s="541">
        <f t="shared" si="375"/>
        <v>19</v>
      </c>
      <c r="CO163" s="443">
        <f t="shared" si="473"/>
        <v>16.7</v>
      </c>
      <c r="CP163" s="443">
        <f t="shared" si="474"/>
        <v>35.700000000000003</v>
      </c>
      <c r="CQ163" s="443"/>
      <c r="CR163" s="217">
        <f t="shared" si="378"/>
        <v>0.4632768361581921</v>
      </c>
      <c r="CS163" s="172">
        <f t="shared" si="379"/>
        <v>19.560577526679221</v>
      </c>
      <c r="CT163" s="172">
        <f t="shared" si="380"/>
        <v>2.7507062146892656</v>
      </c>
      <c r="CU163" s="217">
        <f t="shared" si="381"/>
        <v>1.2225360954174513</v>
      </c>
      <c r="CV163" s="217">
        <f t="shared" si="382"/>
        <v>2.4450721908349027</v>
      </c>
      <c r="CW163" s="217">
        <f t="shared" si="383"/>
        <v>16</v>
      </c>
      <c r="CX163" s="217">
        <f t="shared" si="384"/>
        <v>2.1676251604621308</v>
      </c>
      <c r="CY163" s="217">
        <f t="shared" si="385"/>
        <v>1.3690264171339774</v>
      </c>
      <c r="CZ163" s="217">
        <f t="shared" si="386"/>
        <v>1.5575749656015312</v>
      </c>
      <c r="DA163" s="197">
        <f t="shared" si="387"/>
        <v>350</v>
      </c>
      <c r="DB163" s="443">
        <f t="shared" si="388"/>
        <v>341.69327121184335</v>
      </c>
      <c r="DD163" s="217">
        <f t="shared" si="389"/>
        <v>2.1161798052554355</v>
      </c>
      <c r="DE163" s="173">
        <f t="shared" si="390"/>
        <v>1.5206082432973189</v>
      </c>
      <c r="DF163" s="173">
        <f t="shared" si="391"/>
        <v>0.50055918207100247</v>
      </c>
      <c r="DG163" s="173"/>
      <c r="DH163" s="173">
        <f t="shared" si="392"/>
        <v>0.71856287425149712</v>
      </c>
      <c r="DI163" s="545">
        <f t="shared" si="393"/>
        <v>1475.1666666666665</v>
      </c>
      <c r="DJ163" s="528">
        <f t="shared" si="394"/>
        <v>0.125748502994012</v>
      </c>
      <c r="DL163" s="173">
        <f t="shared" si="395"/>
        <v>2.1313979316066587</v>
      </c>
      <c r="DM163" s="173">
        <f t="shared" si="396"/>
        <v>2.1676251604621308</v>
      </c>
      <c r="DN163" s="173">
        <f t="shared" si="397"/>
        <v>2.0649075262682448</v>
      </c>
      <c r="DP163" s="545">
        <f t="shared" si="398"/>
        <v>530</v>
      </c>
      <c r="DQ163" s="460">
        <f t="shared" si="399"/>
        <v>341.69327121184335</v>
      </c>
      <c r="DS163">
        <f t="shared" si="400"/>
        <v>530</v>
      </c>
      <c r="DT163">
        <f t="shared" si="401"/>
        <v>341.69327121184335</v>
      </c>
      <c r="DV163" s="5">
        <f t="shared" si="402"/>
        <v>2.9266013827355088</v>
      </c>
      <c r="DW163" s="5">
        <f t="shared" si="403"/>
        <v>1.3690264171339774</v>
      </c>
      <c r="DX163" s="5">
        <f t="shared" si="404"/>
        <v>1.5575749656015314</v>
      </c>
      <c r="DY163" s="173">
        <f t="shared" si="405"/>
        <v>0.46778711484593832</v>
      </c>
      <c r="EA163" s="5">
        <f t="shared" si="406"/>
        <v>4.5349000067562999</v>
      </c>
      <c r="EB163" s="5">
        <f t="shared" si="407"/>
        <v>2.2674500033781499</v>
      </c>
      <c r="EC163" s="5">
        <f t="shared" si="408"/>
        <v>0.57930858369741156</v>
      </c>
      <c r="ED163" s="5"/>
      <c r="EE163" s="173">
        <f t="shared" si="409"/>
        <v>0.85594859530942136</v>
      </c>
      <c r="EF163" s="173">
        <f t="shared" si="410"/>
        <v>0.91299047874406736</v>
      </c>
      <c r="EG163" s="173">
        <f t="shared" si="411"/>
        <v>0.22421972051508715</v>
      </c>
      <c r="EH163" s="173"/>
      <c r="EI163" s="528">
        <f t="shared" si="412"/>
        <v>1.4652959956243432E-2</v>
      </c>
      <c r="EJ163" s="528">
        <f t="shared" si="413"/>
        <v>0.50239166666666668</v>
      </c>
      <c r="EK163" s="528">
        <f t="shared" si="414"/>
        <v>3.9294726189361986E-2</v>
      </c>
      <c r="EL163" s="528">
        <f t="shared" si="415"/>
        <v>0.21447619368419027</v>
      </c>
      <c r="EM163">
        <f t="shared" si="416"/>
        <v>8.5500000000000003E-3</v>
      </c>
      <c r="EN163" s="460">
        <f t="shared" si="417"/>
        <v>47.844726189361985</v>
      </c>
      <c r="EP163" s="460">
        <f t="shared" si="439"/>
        <v>779.36554649646223</v>
      </c>
      <c r="EQ163" s="173">
        <f t="shared" si="418"/>
        <v>0.371</v>
      </c>
      <c r="ER163" s="173">
        <f t="shared" si="475"/>
        <v>5.8796874999999998E-2</v>
      </c>
      <c r="ES163" s="528"/>
      <c r="EU163" s="460">
        <f t="shared" si="420"/>
        <v>429.79687499999994</v>
      </c>
      <c r="EV163" s="528">
        <f t="shared" si="421"/>
        <v>2.1979439934365148E-2</v>
      </c>
      <c r="EW163" s="528">
        <f t="shared" si="422"/>
        <v>2.5006548428319637E-2</v>
      </c>
      <c r="EX163" s="528">
        <f t="shared" si="423"/>
        <v>2.5137241533931896E-4</v>
      </c>
      <c r="EY163" s="528">
        <f t="shared" si="424"/>
        <v>0.74648576287198476</v>
      </c>
      <c r="EZ163" s="528"/>
      <c r="FA163" s="625">
        <f t="shared" si="425"/>
        <v>8.0273980323836841E-3</v>
      </c>
      <c r="FB163" s="460">
        <f t="shared" si="426"/>
        <v>801.75052168239256</v>
      </c>
      <c r="FC163" s="173">
        <f t="shared" si="427"/>
        <v>2.0109129431788548</v>
      </c>
      <c r="FD163" s="5">
        <f t="shared" si="428"/>
        <v>9.5400000000000009</v>
      </c>
      <c r="FE163" s="173">
        <f t="shared" si="429"/>
        <v>0.82590874391739255</v>
      </c>
      <c r="FF163" s="5">
        <f t="shared" si="430"/>
        <v>82.590874391739248</v>
      </c>
      <c r="FG163">
        <f t="shared" si="431"/>
        <v>53</v>
      </c>
      <c r="FI163" s="562">
        <f t="shared" si="432"/>
        <v>-50</v>
      </c>
      <c r="FJ163">
        <f t="shared" si="433"/>
        <v>-50</v>
      </c>
    </row>
    <row r="164" spans="5:166">
      <c r="E164" s="170">
        <v>54</v>
      </c>
      <c r="F164" s="217">
        <f t="shared" si="476"/>
        <v>0.54</v>
      </c>
      <c r="G164" s="217">
        <f t="shared" si="444"/>
        <v>0.13500000000000001</v>
      </c>
      <c r="H164" s="217">
        <f t="shared" si="445"/>
        <v>8.64</v>
      </c>
      <c r="I164" s="217">
        <f t="shared" si="446"/>
        <v>1.08</v>
      </c>
      <c r="J164" s="541">
        <f t="shared" si="447"/>
        <v>18.928673497721263</v>
      </c>
      <c r="K164" s="443">
        <f t="shared" si="448"/>
        <v>16.731468436788447</v>
      </c>
      <c r="L164" s="172">
        <f t="shared" si="449"/>
        <v>35.66014193450971</v>
      </c>
      <c r="M164" s="443"/>
      <c r="N164" s="217">
        <f t="shared" si="450"/>
        <v>0.46919242406595002</v>
      </c>
      <c r="O164" s="172">
        <f t="shared" si="451"/>
        <v>19.735978228330541</v>
      </c>
      <c r="P164" s="172">
        <f t="shared" si="452"/>
        <v>2.7753719383589823</v>
      </c>
      <c r="Q164" s="217">
        <f t="shared" si="322"/>
        <v>1.2334986392706588</v>
      </c>
      <c r="R164" s="217">
        <f t="shared" si="453"/>
        <v>2.4669972785413177</v>
      </c>
      <c r="S164" s="217">
        <f t="shared" si="454"/>
        <v>16</v>
      </c>
      <c r="T164" s="217">
        <f t="shared" si="455"/>
        <v>2.1888958074541955</v>
      </c>
      <c r="U164" s="217">
        <f t="shared" si="326"/>
        <v>1.3876698593069652</v>
      </c>
      <c r="V164" s="217">
        <f t="shared" si="327"/>
        <v>1.5699010393909076</v>
      </c>
      <c r="W164" s="197">
        <f t="shared" si="328"/>
        <v>350</v>
      </c>
      <c r="X164" s="443">
        <f t="shared" si="435"/>
        <v>316.6991437666158</v>
      </c>
      <c r="Z164" s="217">
        <f t="shared" si="329"/>
        <v>2.1145690958925583</v>
      </c>
      <c r="AA164" s="173">
        <f t="shared" si="330"/>
        <v>1.5165930740972859</v>
      </c>
      <c r="AB164" s="173">
        <f t="shared" si="456"/>
        <v>0.49885746486034871</v>
      </c>
      <c r="AC164" s="173"/>
      <c r="AD164" s="173">
        <f t="shared" si="332"/>
        <v>0.71721140588084353</v>
      </c>
      <c r="AE164" s="545">
        <f t="shared" si="457"/>
        <v>1505.8321593109602</v>
      </c>
      <c r="AF164" s="528">
        <f t="shared" si="458"/>
        <v>0.12551199602914762</v>
      </c>
      <c r="AH164" s="173">
        <f t="shared" si="459"/>
        <v>2.1514114968019085</v>
      </c>
      <c r="AI164" s="173">
        <f t="shared" si="460"/>
        <v>2.1888958074541955</v>
      </c>
      <c r="AJ164" s="173">
        <f t="shared" si="461"/>
        <v>2.080663561077182</v>
      </c>
      <c r="AL164" s="545">
        <f t="shared" si="462"/>
        <v>540</v>
      </c>
      <c r="AM164" s="460">
        <f t="shared" si="463"/>
        <v>316.6991437666158</v>
      </c>
      <c r="AO164">
        <f t="shared" si="340"/>
        <v>540</v>
      </c>
      <c r="AP164">
        <f t="shared" si="341"/>
        <v>316.6991437666158</v>
      </c>
      <c r="AR164" s="5">
        <f t="shared" si="443"/>
        <v>3.1575708986978732</v>
      </c>
      <c r="AS164" s="5">
        <f t="shared" si="440"/>
        <v>1.3876698593069652</v>
      </c>
      <c r="AT164" s="5">
        <f t="shared" si="441"/>
        <v>1.769901039390908</v>
      </c>
      <c r="AU164" s="173">
        <f t="shared" si="442"/>
        <v>0.43947385627325608</v>
      </c>
      <c r="AW164" s="5">
        <f t="shared" si="342"/>
        <v>4.6833857751610086</v>
      </c>
      <c r="AX164" s="5">
        <f t="shared" si="343"/>
        <v>2.3416928875805043</v>
      </c>
      <c r="AY164" s="5">
        <f t="shared" si="344"/>
        <v>0.67322665189130348</v>
      </c>
      <c r="AZ164" s="5"/>
      <c r="BA164" s="173">
        <f t="shared" si="345"/>
        <v>0.83778192123502504</v>
      </c>
      <c r="BB164" s="173">
        <f t="shared" si="346"/>
        <v>0.94615523977231242</v>
      </c>
      <c r="BC164" s="173">
        <f t="shared" si="347"/>
        <v>0.23236459564996495</v>
      </c>
      <c r="BD164" s="173"/>
      <c r="BE164" s="528">
        <f t="shared" si="348"/>
        <v>1.4037570950964995E-2</v>
      </c>
      <c r="BF164" s="528">
        <f t="shared" si="464"/>
        <v>0.45114683489986729</v>
      </c>
      <c r="BG164" s="528">
        <f t="shared" si="465"/>
        <v>0.13787797785542161</v>
      </c>
      <c r="BH164" s="528">
        <f t="shared" si="351"/>
        <v>0.19834408745407356</v>
      </c>
      <c r="BI164">
        <f t="shared" si="352"/>
        <v>8.5179030739745681E-3</v>
      </c>
      <c r="BJ164" s="460">
        <f t="shared" si="436"/>
        <v>146.39588092939618</v>
      </c>
      <c r="BK164">
        <f t="shared" si="466"/>
        <v>0.66955181160169008</v>
      </c>
      <c r="BL164" s="460">
        <f t="shared" si="437"/>
        <v>809.92437423430204</v>
      </c>
      <c r="BM164" s="173">
        <f t="shared" si="467"/>
        <v>0.33547499999999997</v>
      </c>
      <c r="BN164" s="173">
        <f t="shared" si="468"/>
        <v>8.3868749999999992E-2</v>
      </c>
      <c r="BO164" s="528"/>
      <c r="BQ164" s="460">
        <f t="shared" si="356"/>
        <v>419.34374999999994</v>
      </c>
      <c r="BR164" s="528">
        <f t="shared" si="357"/>
        <v>2.105635642644749E-2</v>
      </c>
      <c r="BS164" s="528">
        <f t="shared" si="358"/>
        <v>2.6856292132458059E-2</v>
      </c>
      <c r="BT164" s="528">
        <f t="shared" si="359"/>
        <v>2.6996652655785858E-4</v>
      </c>
      <c r="BU164" s="528">
        <f t="shared" si="360"/>
        <v>0.63263024491173525</v>
      </c>
      <c r="BV164" s="528"/>
      <c r="BW164" s="625">
        <f t="shared" si="469"/>
        <v>7.5869473870980829E-3</v>
      </c>
      <c r="BX164" s="460">
        <f t="shared" si="362"/>
        <v>688.39980738429676</v>
      </c>
      <c r="BY164" s="173">
        <f t="shared" si="363"/>
        <v>1.9176679316185985</v>
      </c>
      <c r="BZ164" s="5">
        <f t="shared" si="364"/>
        <v>9.7200000000000006</v>
      </c>
      <c r="CA164" s="173">
        <f t="shared" si="365"/>
        <v>0.83521888209162154</v>
      </c>
      <c r="CB164" s="5">
        <f t="shared" si="366"/>
        <v>83.521888209162157</v>
      </c>
      <c r="CC164">
        <f t="shared" si="367"/>
        <v>54</v>
      </c>
      <c r="CE164" s="562">
        <f t="shared" si="470"/>
        <v>-50</v>
      </c>
      <c r="CF164">
        <f t="shared" si="471"/>
        <v>-50</v>
      </c>
      <c r="CG164" s="173">
        <f t="shared" si="370"/>
        <v>0.51480154889510166</v>
      </c>
      <c r="CH164" s="173">
        <f t="shared" si="472"/>
        <v>0.18198046272135288</v>
      </c>
      <c r="CI164" s="170">
        <v>54</v>
      </c>
      <c r="CJ164" s="217">
        <f t="shared" si="438"/>
        <v>0.54</v>
      </c>
      <c r="CK164" s="217">
        <f t="shared" si="372"/>
        <v>0.13500000000000001</v>
      </c>
      <c r="CL164" s="217">
        <f t="shared" si="373"/>
        <v>8.64</v>
      </c>
      <c r="CM164" s="217">
        <f t="shared" si="374"/>
        <v>1.08</v>
      </c>
      <c r="CN164" s="541">
        <f t="shared" si="375"/>
        <v>19</v>
      </c>
      <c r="CO164" s="443">
        <f t="shared" si="473"/>
        <v>16.7</v>
      </c>
      <c r="CP164" s="443">
        <f t="shared" si="474"/>
        <v>35.700000000000003</v>
      </c>
      <c r="CQ164" s="443"/>
      <c r="CR164" s="217">
        <f t="shared" si="378"/>
        <v>0.4632768361581921</v>
      </c>
      <c r="CS164" s="172">
        <f t="shared" si="379"/>
        <v>19.560577526679221</v>
      </c>
      <c r="CT164" s="172">
        <f t="shared" si="380"/>
        <v>2.7507062146892656</v>
      </c>
      <c r="CU164" s="217">
        <f t="shared" si="381"/>
        <v>1.2225360954174513</v>
      </c>
      <c r="CV164" s="217">
        <f t="shared" si="382"/>
        <v>2.4450721908349027</v>
      </c>
      <c r="CW164" s="217">
        <f t="shared" si="383"/>
        <v>16</v>
      </c>
      <c r="CX164" s="217">
        <f t="shared" si="384"/>
        <v>2.2085237483953786</v>
      </c>
      <c r="CY164" s="217">
        <f t="shared" si="385"/>
        <v>1.3948571042497127</v>
      </c>
      <c r="CZ164" s="217">
        <f t="shared" si="386"/>
        <v>1.5869631724996733</v>
      </c>
      <c r="DA164" s="197">
        <f t="shared" si="387"/>
        <v>350</v>
      </c>
      <c r="DB164" s="443">
        <f t="shared" si="388"/>
        <v>335.3656180412537</v>
      </c>
      <c r="DD164" s="217">
        <f t="shared" si="389"/>
        <v>2.1161798052554355</v>
      </c>
      <c r="DE164" s="173">
        <f t="shared" si="390"/>
        <v>1.5206082432973189</v>
      </c>
      <c r="DF164" s="173">
        <f t="shared" si="391"/>
        <v>0.50055918207100247</v>
      </c>
      <c r="DG164" s="173"/>
      <c r="DH164" s="173">
        <f t="shared" si="392"/>
        <v>0.71856287425149712</v>
      </c>
      <c r="DI164" s="545">
        <f t="shared" si="393"/>
        <v>1503</v>
      </c>
      <c r="DJ164" s="528">
        <f t="shared" si="394"/>
        <v>0.125748502994012</v>
      </c>
      <c r="DL164" s="173">
        <f t="shared" si="395"/>
        <v>2.1514114968019085</v>
      </c>
      <c r="DM164" s="173">
        <f t="shared" si="396"/>
        <v>2.2085237483953786</v>
      </c>
      <c r="DN164" s="173">
        <f t="shared" si="397"/>
        <v>2.0952027765891694</v>
      </c>
      <c r="DP164" s="545">
        <f t="shared" si="398"/>
        <v>540</v>
      </c>
      <c r="DQ164" s="460">
        <f t="shared" si="399"/>
        <v>335.3656180412537</v>
      </c>
      <c r="DS164">
        <f t="shared" si="400"/>
        <v>540</v>
      </c>
      <c r="DT164">
        <f t="shared" si="401"/>
        <v>335.3656180412537</v>
      </c>
      <c r="DV164" s="5">
        <f t="shared" si="402"/>
        <v>2.981820276749386</v>
      </c>
      <c r="DW164" s="5">
        <f t="shared" si="403"/>
        <v>1.3948571042497127</v>
      </c>
      <c r="DX164" s="5">
        <f t="shared" si="404"/>
        <v>1.5869631724996733</v>
      </c>
      <c r="DY164" s="173">
        <f t="shared" si="405"/>
        <v>0.46778711484593832</v>
      </c>
      <c r="EA164" s="5">
        <f t="shared" si="406"/>
        <v>4.7076427268427805</v>
      </c>
      <c r="EB164" s="5">
        <f t="shared" si="407"/>
        <v>2.3538213634213903</v>
      </c>
      <c r="EC164" s="5">
        <f t="shared" si="408"/>
        <v>0.60137551799987621</v>
      </c>
      <c r="ED164" s="5"/>
      <c r="EE164" s="173">
        <f t="shared" si="409"/>
        <v>0.87209856880582548</v>
      </c>
      <c r="EF164" s="173">
        <f t="shared" si="410"/>
        <v>0.93021671419206864</v>
      </c>
      <c r="EG164" s="173">
        <f t="shared" si="411"/>
        <v>0.22845028127952274</v>
      </c>
      <c r="EH164" s="173"/>
      <c r="EI164" s="528">
        <f t="shared" si="412"/>
        <v>1.5211118274263382E-2</v>
      </c>
      <c r="EJ164" s="528">
        <f t="shared" si="413"/>
        <v>0.50239166666666668</v>
      </c>
      <c r="EK164" s="528">
        <f t="shared" si="414"/>
        <v>3.8567046074744177E-2</v>
      </c>
      <c r="EL164" s="528">
        <f t="shared" si="415"/>
        <v>0.21050441231966827</v>
      </c>
      <c r="EM164">
        <f t="shared" si="416"/>
        <v>8.5500000000000003E-3</v>
      </c>
      <c r="EN164" s="460">
        <f t="shared" si="417"/>
        <v>47.117046074744181</v>
      </c>
      <c r="EP164" s="460">
        <f t="shared" si="439"/>
        <v>775.22424333534229</v>
      </c>
      <c r="EQ164" s="173">
        <f t="shared" si="418"/>
        <v>0.378</v>
      </c>
      <c r="ER164" s="173">
        <f t="shared" si="475"/>
        <v>5.9906250000000001E-2</v>
      </c>
      <c r="ES164" s="528"/>
      <c r="EU164" s="460">
        <f t="shared" si="420"/>
        <v>437.90625</v>
      </c>
      <c r="EV164" s="528">
        <f t="shared" si="421"/>
        <v>2.2816677411395071E-2</v>
      </c>
      <c r="EW164" s="528">
        <f t="shared" si="422"/>
        <v>2.5959094060868663E-2</v>
      </c>
      <c r="EX164" s="528">
        <f t="shared" si="423"/>
        <v>2.6094765508346532E-4</v>
      </c>
      <c r="EY164" s="528">
        <f t="shared" si="424"/>
        <v>0.74648576287198432</v>
      </c>
      <c r="EZ164" s="528"/>
      <c r="FA164" s="625">
        <f t="shared" si="425"/>
        <v>8.1788583726173404E-3</v>
      </c>
      <c r="FB164" s="460">
        <f t="shared" si="426"/>
        <v>803.70134037194885</v>
      </c>
      <c r="FC164" s="173">
        <f t="shared" si="427"/>
        <v>2.0168318337072915</v>
      </c>
      <c r="FD164" s="5">
        <f t="shared" si="428"/>
        <v>9.7200000000000006</v>
      </c>
      <c r="FE164" s="173">
        <f t="shared" si="429"/>
        <v>0.82816215974782026</v>
      </c>
      <c r="FF164" s="5">
        <f t="shared" si="430"/>
        <v>82.816215974782025</v>
      </c>
      <c r="FG164">
        <f t="shared" si="431"/>
        <v>54</v>
      </c>
      <c r="FI164" s="562">
        <f t="shared" si="432"/>
        <v>-50</v>
      </c>
      <c r="FJ164">
        <f t="shared" si="433"/>
        <v>-50</v>
      </c>
    </row>
    <row r="165" spans="5:166">
      <c r="E165" s="170">
        <v>55</v>
      </c>
      <c r="F165" s="217">
        <f t="shared" si="476"/>
        <v>0.55000000000000004</v>
      </c>
      <c r="G165" s="217">
        <f t="shared" si="444"/>
        <v>0.13750000000000001</v>
      </c>
      <c r="H165" s="217">
        <f t="shared" si="445"/>
        <v>8.8000000000000007</v>
      </c>
      <c r="I165" s="217">
        <f t="shared" si="446"/>
        <v>1.1000000000000001</v>
      </c>
      <c r="J165" s="541">
        <f t="shared" si="447"/>
        <v>18.927352636567953</v>
      </c>
      <c r="K165" s="443">
        <f t="shared" si="448"/>
        <v>16.732051185617863</v>
      </c>
      <c r="L165" s="172">
        <f t="shared" si="449"/>
        <v>35.659403822185816</v>
      </c>
      <c r="M165" s="443"/>
      <c r="N165" s="217">
        <f t="shared" si="450"/>
        <v>0.46921847793786919</v>
      </c>
      <c r="O165" s="172">
        <f t="shared" si="451"/>
        <v>19.735696878941624</v>
      </c>
      <c r="P165" s="172">
        <f t="shared" si="452"/>
        <v>2.7753323736011657</v>
      </c>
      <c r="Q165" s="217">
        <f t="shared" si="322"/>
        <v>1.2334810549338515</v>
      </c>
      <c r="R165" s="217">
        <f t="shared" si="453"/>
        <v>2.466962109867703</v>
      </c>
      <c r="S165" s="217">
        <f t="shared" si="454"/>
        <v>16</v>
      </c>
      <c r="T165" s="217">
        <f t="shared" si="455"/>
        <v>2.22946269746111</v>
      </c>
      <c r="U165" s="217">
        <f t="shared" si="326"/>
        <v>1.4134862325038011</v>
      </c>
      <c r="V165" s="217">
        <f t="shared" si="327"/>
        <v>1.598940385296544</v>
      </c>
      <c r="W165" s="197">
        <f t="shared" si="328"/>
        <v>350</v>
      </c>
      <c r="X165" s="443">
        <f t="shared" si="435"/>
        <v>311.29115742563891</v>
      </c>
      <c r="Z165" s="217">
        <f t="shared" si="329"/>
        <v>2.1145389513151738</v>
      </c>
      <c r="AA165" s="173">
        <f t="shared" si="330"/>
        <v>1.5165186344632309</v>
      </c>
      <c r="AB165" s="173">
        <f t="shared" si="456"/>
        <v>0.49882586801721324</v>
      </c>
      <c r="AC165" s="173"/>
      <c r="AD165" s="173">
        <f t="shared" si="332"/>
        <v>0.71718642662978904</v>
      </c>
      <c r="AE165" s="545">
        <f t="shared" si="457"/>
        <v>1533.7713586816376</v>
      </c>
      <c r="AF165" s="528">
        <f t="shared" si="458"/>
        <v>0.12550762466021309</v>
      </c>
      <c r="AH165" s="173">
        <f t="shared" si="459"/>
        <v>2.1712405933672376</v>
      </c>
      <c r="AI165" s="173">
        <f t="shared" si="460"/>
        <v>2.22946269746111</v>
      </c>
      <c r="AJ165" s="173">
        <f t="shared" si="461"/>
        <v>2.1107131092304519</v>
      </c>
      <c r="AL165" s="545">
        <f t="shared" si="462"/>
        <v>550</v>
      </c>
      <c r="AM165" s="460">
        <f t="shared" si="463"/>
        <v>311.29115742563891</v>
      </c>
      <c r="AO165">
        <f t="shared" si="340"/>
        <v>550</v>
      </c>
      <c r="AP165">
        <f t="shared" si="341"/>
        <v>311.29115742563891</v>
      </c>
      <c r="AR165" s="5">
        <f t="shared" si="443"/>
        <v>3.2124266178003453</v>
      </c>
      <c r="AS165" s="5">
        <f t="shared" si="440"/>
        <v>1.4134862325038011</v>
      </c>
      <c r="AT165" s="5">
        <f t="shared" si="441"/>
        <v>1.7989403852965442</v>
      </c>
      <c r="AU165" s="173">
        <f t="shared" si="442"/>
        <v>0.44000576532131397</v>
      </c>
      <c r="AW165" s="5">
        <f t="shared" si="342"/>
        <v>4.858858924231817</v>
      </c>
      <c r="AX165" s="5">
        <f t="shared" si="343"/>
        <v>2.4294294621159085</v>
      </c>
      <c r="AY165" s="5">
        <f t="shared" si="344"/>
        <v>0.69699285185224769</v>
      </c>
      <c r="AZ165" s="5"/>
      <c r="BA165" s="173">
        <f t="shared" si="345"/>
        <v>0.85382480269183203</v>
      </c>
      <c r="BB165" s="173">
        <f t="shared" si="346"/>
        <v>0.96323301754998192</v>
      </c>
      <c r="BC165" s="173">
        <f t="shared" si="347"/>
        <v>0.23655869695712789</v>
      </c>
      <c r="BD165" s="173"/>
      <c r="BE165" s="528">
        <f t="shared" si="348"/>
        <v>1.4580335873834917E-2</v>
      </c>
      <c r="BF165" s="528">
        <f t="shared" si="464"/>
        <v>0.45165200383225329</v>
      </c>
      <c r="BG165" s="528">
        <f t="shared" si="465"/>
        <v>0.1355141027125305</v>
      </c>
      <c r="BH165" s="528">
        <f t="shared" si="351"/>
        <v>0.19494907335767503</v>
      </c>
      <c r="BI165">
        <f t="shared" si="352"/>
        <v>8.5173086864555794E-3</v>
      </c>
      <c r="BJ165" s="460">
        <f t="shared" si="436"/>
        <v>144.03141139898608</v>
      </c>
      <c r="BK165">
        <f t="shared" si="466"/>
        <v>0.66743027430875546</v>
      </c>
      <c r="BL165" s="460">
        <f t="shared" si="437"/>
        <v>805.2128244627495</v>
      </c>
      <c r="BM165" s="173">
        <f t="shared" si="467"/>
        <v>0.34168749999999998</v>
      </c>
      <c r="BN165" s="173">
        <f t="shared" si="468"/>
        <v>8.5421874999999994E-2</v>
      </c>
      <c r="BO165" s="528"/>
      <c r="BQ165" s="460">
        <f t="shared" si="356"/>
        <v>427.10937499999994</v>
      </c>
      <c r="BR165" s="528">
        <f t="shared" si="357"/>
        <v>2.1870503810752374E-2</v>
      </c>
      <c r="BS165" s="528">
        <f t="shared" si="358"/>
        <v>2.7834535382953312E-2</v>
      </c>
      <c r="BT165" s="528">
        <f t="shared" si="359"/>
        <v>2.7980008553027137E-4</v>
      </c>
      <c r="BU165" s="528">
        <f t="shared" si="360"/>
        <v>0.63443552134405234</v>
      </c>
      <c r="BV165" s="528"/>
      <c r="BW165" s="625">
        <f t="shared" si="469"/>
        <v>7.7363695902476952E-3</v>
      </c>
      <c r="BX165" s="460">
        <f t="shared" si="362"/>
        <v>692.15673021353598</v>
      </c>
      <c r="BY165" s="173">
        <f t="shared" si="363"/>
        <v>1.924478929676285</v>
      </c>
      <c r="BZ165" s="5">
        <f t="shared" si="364"/>
        <v>9.9</v>
      </c>
      <c r="CA165" s="173">
        <f t="shared" si="365"/>
        <v>0.83724619569946912</v>
      </c>
      <c r="CB165" s="5">
        <f t="shared" si="366"/>
        <v>83.72461956994691</v>
      </c>
      <c r="CC165">
        <f t="shared" si="367"/>
        <v>55.000000000000007</v>
      </c>
      <c r="CE165" s="562">
        <f t="shared" si="470"/>
        <v>-50</v>
      </c>
      <c r="CF165">
        <f t="shared" si="471"/>
        <v>-50</v>
      </c>
      <c r="CG165" s="173">
        <f t="shared" si="370"/>
        <v>0.51480154889510155</v>
      </c>
      <c r="CH165" s="173">
        <f t="shared" si="472"/>
        <v>0.18198046272135285</v>
      </c>
      <c r="CI165" s="170">
        <v>55</v>
      </c>
      <c r="CJ165" s="217">
        <f t="shared" si="438"/>
        <v>0.55000000000000004</v>
      </c>
      <c r="CK165" s="217">
        <f t="shared" si="372"/>
        <v>0.13750000000000001</v>
      </c>
      <c r="CL165" s="217">
        <f t="shared" si="373"/>
        <v>8.8000000000000007</v>
      </c>
      <c r="CM165" s="217">
        <f t="shared" si="374"/>
        <v>1.1000000000000001</v>
      </c>
      <c r="CN165" s="541">
        <f t="shared" si="375"/>
        <v>19</v>
      </c>
      <c r="CO165" s="443">
        <f t="shared" si="473"/>
        <v>16.7</v>
      </c>
      <c r="CP165" s="443">
        <f t="shared" si="474"/>
        <v>35.700000000000003</v>
      </c>
      <c r="CQ165" s="443"/>
      <c r="CR165" s="217">
        <f t="shared" si="378"/>
        <v>0.4632768361581921</v>
      </c>
      <c r="CS165" s="172">
        <f t="shared" si="379"/>
        <v>19.560577526679221</v>
      </c>
      <c r="CT165" s="172">
        <f t="shared" si="380"/>
        <v>2.7507062146892656</v>
      </c>
      <c r="CU165" s="217">
        <f t="shared" si="381"/>
        <v>1.2225360954174513</v>
      </c>
      <c r="CV165" s="217">
        <f t="shared" si="382"/>
        <v>2.4450721908349027</v>
      </c>
      <c r="CW165" s="217">
        <f t="shared" si="383"/>
        <v>16</v>
      </c>
      <c r="CX165" s="217">
        <f t="shared" si="384"/>
        <v>2.2494223363286263</v>
      </c>
      <c r="CY165" s="217">
        <f t="shared" si="385"/>
        <v>1.4206877913654483</v>
      </c>
      <c r="CZ165" s="217">
        <f t="shared" si="386"/>
        <v>1.6163513793978157</v>
      </c>
      <c r="DA165" s="197">
        <f t="shared" si="387"/>
        <v>350</v>
      </c>
      <c r="DB165" s="443">
        <f t="shared" si="388"/>
        <v>329.26806134959446</v>
      </c>
      <c r="DD165" s="217">
        <f t="shared" si="389"/>
        <v>2.1161798052554355</v>
      </c>
      <c r="DE165" s="173">
        <f t="shared" si="390"/>
        <v>1.5206082432973189</v>
      </c>
      <c r="DF165" s="173">
        <f t="shared" si="391"/>
        <v>0.50055918207100247</v>
      </c>
      <c r="DG165" s="173"/>
      <c r="DH165" s="173">
        <f t="shared" si="392"/>
        <v>0.71856287425149712</v>
      </c>
      <c r="DI165" s="545">
        <f t="shared" si="393"/>
        <v>1530.8333333333333</v>
      </c>
      <c r="DJ165" s="528">
        <f t="shared" si="394"/>
        <v>0.125748502994012</v>
      </c>
      <c r="DL165" s="173">
        <f t="shared" si="395"/>
        <v>2.1712405933672376</v>
      </c>
      <c r="DM165" s="173">
        <f t="shared" si="396"/>
        <v>2.2494223363286263</v>
      </c>
      <c r="DN165" s="173">
        <f t="shared" si="397"/>
        <v>2.1254980269100936</v>
      </c>
      <c r="DP165" s="545">
        <f t="shared" si="398"/>
        <v>550</v>
      </c>
      <c r="DQ165" s="460">
        <f t="shared" si="399"/>
        <v>329.26806134959446</v>
      </c>
      <c r="DS165">
        <f t="shared" si="400"/>
        <v>550</v>
      </c>
      <c r="DT165">
        <f t="shared" si="401"/>
        <v>329.26806134959446</v>
      </c>
      <c r="DV165" s="5">
        <f t="shared" si="402"/>
        <v>3.0370391707632645</v>
      </c>
      <c r="DW165" s="5">
        <f t="shared" si="403"/>
        <v>1.4206877913654483</v>
      </c>
      <c r="DX165" s="5">
        <f t="shared" si="404"/>
        <v>1.6163513793978161</v>
      </c>
      <c r="DY165" s="173">
        <f t="shared" si="405"/>
        <v>0.46778711484593827</v>
      </c>
      <c r="EA165" s="5">
        <f t="shared" si="406"/>
        <v>4.883614282818729</v>
      </c>
      <c r="EB165" s="5">
        <f t="shared" si="407"/>
        <v>2.4418071414093645</v>
      </c>
      <c r="EC165" s="5">
        <f t="shared" si="408"/>
        <v>0.62385491836406937</v>
      </c>
      <c r="ED165" s="5"/>
      <c r="EE165" s="173">
        <f t="shared" si="409"/>
        <v>0.88824854230222972</v>
      </c>
      <c r="EF165" s="173">
        <f t="shared" si="410"/>
        <v>0.94744294964006992</v>
      </c>
      <c r="EG165" s="173">
        <f t="shared" si="411"/>
        <v>0.23268084204395834</v>
      </c>
      <c r="EH165" s="173"/>
      <c r="EI165" s="528">
        <f t="shared" si="412"/>
        <v>1.5779709458040719E-2</v>
      </c>
      <c r="EJ165" s="528">
        <f t="shared" si="413"/>
        <v>0.50239166666666657</v>
      </c>
      <c r="EK165" s="528">
        <f t="shared" si="414"/>
        <v>3.7865827055203367E-2</v>
      </c>
      <c r="EL165" s="528">
        <f t="shared" si="415"/>
        <v>0.20667705936840153</v>
      </c>
      <c r="EM165">
        <f t="shared" si="416"/>
        <v>8.5500000000000003E-3</v>
      </c>
      <c r="EN165" s="460">
        <f t="shared" si="417"/>
        <v>46.415827055203373</v>
      </c>
      <c r="EP165" s="460">
        <f t="shared" si="439"/>
        <v>771.2642625483121</v>
      </c>
      <c r="EQ165" s="173">
        <f t="shared" si="418"/>
        <v>0.38500000000000001</v>
      </c>
      <c r="ER165" s="173">
        <f t="shared" si="475"/>
        <v>6.1015625000000004E-2</v>
      </c>
      <c r="ES165" s="528"/>
      <c r="EU165" s="460">
        <f t="shared" si="420"/>
        <v>446.015625</v>
      </c>
      <c r="EV165" s="528">
        <f t="shared" si="421"/>
        <v>2.3669564187061079E-2</v>
      </c>
      <c r="EW165" s="528">
        <f t="shared" si="422"/>
        <v>2.692944428468028E-2</v>
      </c>
      <c r="EX165" s="528">
        <f t="shared" si="423"/>
        <v>2.7070187127142744E-4</v>
      </c>
      <c r="EY165" s="528">
        <f t="shared" si="424"/>
        <v>0.74648576287198298</v>
      </c>
      <c r="EZ165" s="528"/>
      <c r="FA165" s="625">
        <f t="shared" si="425"/>
        <v>8.3303187128509915E-3</v>
      </c>
      <c r="FB165" s="460">
        <f t="shared" si="426"/>
        <v>805.68579192784671</v>
      </c>
      <c r="FC165" s="173">
        <f t="shared" si="427"/>
        <v>2.022965679476159</v>
      </c>
      <c r="FD165" s="5">
        <f t="shared" si="428"/>
        <v>9.9</v>
      </c>
      <c r="FE165" s="173">
        <f t="shared" si="429"/>
        <v>0.83033032771716919</v>
      </c>
      <c r="FF165" s="5">
        <f t="shared" si="430"/>
        <v>83.033032771716918</v>
      </c>
      <c r="FG165">
        <f t="shared" si="431"/>
        <v>55.000000000000007</v>
      </c>
      <c r="FI165" s="562">
        <f t="shared" si="432"/>
        <v>-50</v>
      </c>
      <c r="FJ165">
        <f t="shared" si="433"/>
        <v>-50</v>
      </c>
    </row>
    <row r="166" spans="5:166">
      <c r="E166" s="170">
        <v>56</v>
      </c>
      <c r="F166" s="217">
        <f t="shared" si="476"/>
        <v>0.56000000000000005</v>
      </c>
      <c r="G166" s="217">
        <f t="shared" si="444"/>
        <v>0.14000000000000001</v>
      </c>
      <c r="H166" s="217">
        <f t="shared" si="445"/>
        <v>8.9600000000000009</v>
      </c>
      <c r="I166" s="217">
        <f t="shared" si="446"/>
        <v>1.1200000000000001</v>
      </c>
      <c r="J166" s="541">
        <f t="shared" si="447"/>
        <v>18.926031775414643</v>
      </c>
      <c r="K166" s="443">
        <f t="shared" si="448"/>
        <v>16.732633934447279</v>
      </c>
      <c r="L166" s="172">
        <f t="shared" si="449"/>
        <v>35.658665709861921</v>
      </c>
      <c r="M166" s="443"/>
      <c r="N166" s="217">
        <f t="shared" si="450"/>
        <v>0.46924453288838641</v>
      </c>
      <c r="O166" s="172">
        <f t="shared" si="451"/>
        <v>19.735415421967119</v>
      </c>
      <c r="P166" s="172">
        <f t="shared" si="452"/>
        <v>2.7752927937141258</v>
      </c>
      <c r="Q166" s="217">
        <f t="shared" si="322"/>
        <v>1.2334634638729449</v>
      </c>
      <c r="R166" s="217">
        <f t="shared" si="453"/>
        <v>2.4669269277458898</v>
      </c>
      <c r="S166" s="217">
        <f t="shared" si="454"/>
        <v>16</v>
      </c>
      <c r="T166" s="217">
        <f t="shared" si="455"/>
        <v>2.2700307564913977</v>
      </c>
      <c r="U166" s="217">
        <f t="shared" si="326"/>
        <v>1.4393069504027067</v>
      </c>
      <c r="V166" s="217">
        <f t="shared" si="327"/>
        <v>1.6279785468692614</v>
      </c>
      <c r="W166" s="197">
        <f t="shared" si="328"/>
        <v>350</v>
      </c>
      <c r="X166" s="443">
        <f t="shared" si="435"/>
        <v>306.06446875700141</v>
      </c>
      <c r="Z166" s="217">
        <f t="shared" si="329"/>
        <v>2.1145087952107624</v>
      </c>
      <c r="AA166" s="173">
        <f t="shared" si="330"/>
        <v>1.5164441917474674</v>
      </c>
      <c r="AB166" s="173">
        <f t="shared" si="456"/>
        <v>0.49879426813942374</v>
      </c>
      <c r="AC166" s="173"/>
      <c r="AD166" s="173">
        <f t="shared" si="332"/>
        <v>0.71716144911864355</v>
      </c>
      <c r="AE166" s="545">
        <f t="shared" si="457"/>
        <v>1561.7125005484129</v>
      </c>
      <c r="AF166" s="528">
        <f t="shared" si="458"/>
        <v>0.12550325359576261</v>
      </c>
      <c r="AH166" s="173">
        <f t="shared" si="459"/>
        <v>2.1908902300206647</v>
      </c>
      <c r="AI166" s="173">
        <f t="shared" si="460"/>
        <v>2.2700307564913977</v>
      </c>
      <c r="AJ166" s="173">
        <f t="shared" si="461"/>
        <v>2.1407635233269611</v>
      </c>
      <c r="AL166" s="545">
        <f t="shared" si="462"/>
        <v>560</v>
      </c>
      <c r="AM166" s="460">
        <f t="shared" si="463"/>
        <v>306.06446875700141</v>
      </c>
      <c r="AO166">
        <f t="shared" si="340"/>
        <v>560</v>
      </c>
      <c r="AP166">
        <f t="shared" si="341"/>
        <v>306.06446875700141</v>
      </c>
      <c r="AR166" s="5">
        <f t="shared" si="443"/>
        <v>3.2672854972719678</v>
      </c>
      <c r="AS166" s="5">
        <f t="shared" si="440"/>
        <v>1.4393069504027067</v>
      </c>
      <c r="AT166" s="5">
        <f t="shared" si="441"/>
        <v>1.8279785468692611</v>
      </c>
      <c r="AU166" s="173">
        <f t="shared" si="442"/>
        <v>0.44052071715326419</v>
      </c>
      <c r="AW166" s="5">
        <f t="shared" si="342"/>
        <v>5.0375743264094739</v>
      </c>
      <c r="AX166" s="5">
        <f t="shared" si="343"/>
        <v>2.5187871632047369</v>
      </c>
      <c r="AY166" s="5">
        <f t="shared" si="344"/>
        <v>0.72117106455568414</v>
      </c>
      <c r="AZ166" s="5"/>
      <c r="BA166" s="173">
        <f t="shared" si="345"/>
        <v>0.86986985917684856</v>
      </c>
      <c r="BB166" s="173">
        <f t="shared" si="346"/>
        <v>0.98030929127900868</v>
      </c>
      <c r="BC166" s="173">
        <f t="shared" si="347"/>
        <v>0.24075242888763887</v>
      </c>
      <c r="BD166" s="173"/>
      <c r="BE166" s="528">
        <f t="shared" si="348"/>
        <v>1.5133471438087008E-2</v>
      </c>
      <c r="BF166" s="528">
        <f t="shared" si="464"/>
        <v>0.45213967079112943</v>
      </c>
      <c r="BG166" s="528">
        <f t="shared" si="465"/>
        <v>0.13322947480346947</v>
      </c>
      <c r="BH166" s="528">
        <f t="shared" si="351"/>
        <v>0.19166787454758996</v>
      </c>
      <c r="BI166">
        <f t="shared" si="352"/>
        <v>8.5167142989365889E-3</v>
      </c>
      <c r="BJ166" s="460">
        <f t="shared" si="436"/>
        <v>141.74618910240605</v>
      </c>
      <c r="BK166">
        <f t="shared" si="466"/>
        <v>0.66541971225091201</v>
      </c>
      <c r="BL166" s="460">
        <f t="shared" si="437"/>
        <v>800.68720587921246</v>
      </c>
      <c r="BM166" s="173">
        <f t="shared" si="467"/>
        <v>0.34789999999999999</v>
      </c>
      <c r="BN166" s="173">
        <f t="shared" si="468"/>
        <v>8.6974999999999997E-2</v>
      </c>
      <c r="BO166" s="528"/>
      <c r="BQ166" s="460">
        <f t="shared" si="356"/>
        <v>434.875</v>
      </c>
      <c r="BR166" s="528">
        <f t="shared" si="357"/>
        <v>2.270020715713051E-2</v>
      </c>
      <c r="BS166" s="528">
        <f t="shared" si="358"/>
        <v>2.8830189197038569E-2</v>
      </c>
      <c r="BT166" s="528">
        <f t="shared" si="359"/>
        <v>2.8980866007648806E-4</v>
      </c>
      <c r="BU166" s="528">
        <f t="shared" si="360"/>
        <v>0.63618239301202073</v>
      </c>
      <c r="BV166" s="528"/>
      <c r="BW166" s="625">
        <f t="shared" si="469"/>
        <v>7.8858116924882381E-3</v>
      </c>
      <c r="BX166" s="460">
        <f t="shared" si="362"/>
        <v>695.88840971875459</v>
      </c>
      <c r="BY166" s="173">
        <f t="shared" si="363"/>
        <v>1.9314506155979669</v>
      </c>
      <c r="BZ166" s="5">
        <f t="shared" si="364"/>
        <v>10.080000000000002</v>
      </c>
      <c r="CA166" s="173">
        <f t="shared" si="365"/>
        <v>0.83919922102582667</v>
      </c>
      <c r="CB166" s="5">
        <f t="shared" si="366"/>
        <v>83.91992210258266</v>
      </c>
      <c r="CC166">
        <f t="shared" si="367"/>
        <v>56.000000000000007</v>
      </c>
      <c r="CE166" s="562">
        <f t="shared" si="470"/>
        <v>-50</v>
      </c>
      <c r="CF166">
        <f t="shared" si="471"/>
        <v>-50</v>
      </c>
      <c r="CG166" s="173">
        <f t="shared" si="370"/>
        <v>0.51480154889510155</v>
      </c>
      <c r="CH166" s="173">
        <f t="shared" si="472"/>
        <v>0.18198046272135282</v>
      </c>
      <c r="CI166" s="170">
        <v>56</v>
      </c>
      <c r="CJ166" s="217">
        <f t="shared" si="438"/>
        <v>0.56000000000000005</v>
      </c>
      <c r="CK166" s="217">
        <f t="shared" si="372"/>
        <v>0.14000000000000001</v>
      </c>
      <c r="CL166" s="217">
        <f t="shared" si="373"/>
        <v>8.9600000000000009</v>
      </c>
      <c r="CM166" s="217">
        <f t="shared" si="374"/>
        <v>1.1200000000000001</v>
      </c>
      <c r="CN166" s="541">
        <f t="shared" si="375"/>
        <v>19</v>
      </c>
      <c r="CO166" s="443">
        <f t="shared" si="473"/>
        <v>16.7</v>
      </c>
      <c r="CP166" s="443">
        <f t="shared" si="474"/>
        <v>35.700000000000003</v>
      </c>
      <c r="CQ166" s="443"/>
      <c r="CR166" s="217">
        <f t="shared" si="378"/>
        <v>0.4632768361581921</v>
      </c>
      <c r="CS166" s="172">
        <f t="shared" si="379"/>
        <v>19.560577526679221</v>
      </c>
      <c r="CT166" s="172">
        <f t="shared" si="380"/>
        <v>2.7507062146892656</v>
      </c>
      <c r="CU166" s="217">
        <f t="shared" si="381"/>
        <v>1.2225360954174513</v>
      </c>
      <c r="CV166" s="217">
        <f t="shared" si="382"/>
        <v>2.4450721908349027</v>
      </c>
      <c r="CW166" s="217">
        <f t="shared" si="383"/>
        <v>16</v>
      </c>
      <c r="CX166" s="217">
        <f t="shared" si="384"/>
        <v>2.2903209242618745</v>
      </c>
      <c r="CY166" s="217">
        <f t="shared" si="385"/>
        <v>1.446518478481184</v>
      </c>
      <c r="CZ166" s="217">
        <f t="shared" si="386"/>
        <v>1.6457395862959581</v>
      </c>
      <c r="DA166" s="197">
        <f t="shared" si="387"/>
        <v>350</v>
      </c>
      <c r="DB166" s="443">
        <f t="shared" si="388"/>
        <v>323.38827453978024</v>
      </c>
      <c r="DD166" s="217">
        <f t="shared" si="389"/>
        <v>2.1161798052554355</v>
      </c>
      <c r="DE166" s="173">
        <f t="shared" si="390"/>
        <v>1.5206082432973189</v>
      </c>
      <c r="DF166" s="173">
        <f t="shared" si="391"/>
        <v>0.50055918207100247</v>
      </c>
      <c r="DG166" s="173"/>
      <c r="DH166" s="173">
        <f t="shared" si="392"/>
        <v>0.71856287425149712</v>
      </c>
      <c r="DI166" s="545">
        <f t="shared" si="393"/>
        <v>1558.6666666666665</v>
      </c>
      <c r="DJ166" s="528">
        <f t="shared" si="394"/>
        <v>0.125748502994012</v>
      </c>
      <c r="DL166" s="173">
        <f t="shared" si="395"/>
        <v>2.1908902300206647</v>
      </c>
      <c r="DM166" s="173">
        <f t="shared" si="396"/>
        <v>2.2903209242618745</v>
      </c>
      <c r="DN166" s="173">
        <f t="shared" si="397"/>
        <v>2.1557932772310182</v>
      </c>
      <c r="DP166" s="545">
        <f t="shared" si="398"/>
        <v>560</v>
      </c>
      <c r="DQ166" s="460">
        <f t="shared" si="399"/>
        <v>323.38827453978024</v>
      </c>
      <c r="DS166">
        <f t="shared" si="400"/>
        <v>560</v>
      </c>
      <c r="DT166">
        <f t="shared" si="401"/>
        <v>323.38827453978024</v>
      </c>
      <c r="DV166" s="5">
        <f t="shared" si="402"/>
        <v>3.092258064777142</v>
      </c>
      <c r="DW166" s="5">
        <f t="shared" si="403"/>
        <v>1.446518478481184</v>
      </c>
      <c r="DX166" s="5">
        <f t="shared" si="404"/>
        <v>1.6457395862959581</v>
      </c>
      <c r="DY166" s="173">
        <f t="shared" si="405"/>
        <v>0.46778711484593832</v>
      </c>
      <c r="EA166" s="5">
        <f t="shared" si="406"/>
        <v>5.0628146746841445</v>
      </c>
      <c r="EB166" s="5">
        <f t="shared" si="407"/>
        <v>2.5314073373420722</v>
      </c>
      <c r="EC166" s="5">
        <f t="shared" si="408"/>
        <v>0.64674678478999048</v>
      </c>
      <c r="ED166" s="5"/>
      <c r="EE166" s="173">
        <f t="shared" si="409"/>
        <v>0.90439851579863406</v>
      </c>
      <c r="EF166" s="173">
        <f t="shared" si="410"/>
        <v>0.96466918508807131</v>
      </c>
      <c r="EG166" s="173">
        <f t="shared" si="411"/>
        <v>0.23691140280839398</v>
      </c>
      <c r="EH166" s="173"/>
      <c r="EI166" s="528">
        <f t="shared" si="412"/>
        <v>1.6358733507575444E-2</v>
      </c>
      <c r="EJ166" s="528">
        <f t="shared" si="413"/>
        <v>0.50239166666666668</v>
      </c>
      <c r="EK166" s="528">
        <f t="shared" si="414"/>
        <v>3.7189651572074732E-2</v>
      </c>
      <c r="EL166" s="528">
        <f t="shared" si="415"/>
        <v>0.20298639759396575</v>
      </c>
      <c r="EM166">
        <f t="shared" si="416"/>
        <v>8.5500000000000003E-3</v>
      </c>
      <c r="EN166" s="460">
        <f t="shared" si="417"/>
        <v>45.739651572074735</v>
      </c>
      <c r="EP166" s="460">
        <f t="shared" si="439"/>
        <v>767.47644934028256</v>
      </c>
      <c r="EQ166" s="173">
        <f t="shared" si="418"/>
        <v>0.39200000000000002</v>
      </c>
      <c r="ER166" s="173">
        <f t="shared" si="475"/>
        <v>6.2125E-2</v>
      </c>
      <c r="ES166" s="528"/>
      <c r="EU166" s="460">
        <f t="shared" si="420"/>
        <v>454.125</v>
      </c>
      <c r="EV166" s="528">
        <f t="shared" si="421"/>
        <v>2.4538100261363164E-2</v>
      </c>
      <c r="EW166" s="528">
        <f t="shared" si="422"/>
        <v>2.7917599099754508E-2</v>
      </c>
      <c r="EX166" s="528">
        <f t="shared" si="423"/>
        <v>2.8063506390320559E-4</v>
      </c>
      <c r="EY166" s="528">
        <f t="shared" si="424"/>
        <v>0.74648576287198332</v>
      </c>
      <c r="EZ166" s="528"/>
      <c r="FA166" s="625">
        <f t="shared" si="425"/>
        <v>8.4817790530846496E-3</v>
      </c>
      <c r="FB166" s="460">
        <f t="shared" si="426"/>
        <v>807.70387635008888</v>
      </c>
      <c r="FC166" s="173">
        <f t="shared" si="427"/>
        <v>2.029305325690371</v>
      </c>
      <c r="FD166" s="5">
        <f t="shared" si="428"/>
        <v>10.080000000000002</v>
      </c>
      <c r="FE166" s="173">
        <f t="shared" si="429"/>
        <v>0.83241769274864019</v>
      </c>
      <c r="FF166" s="5">
        <f t="shared" si="430"/>
        <v>83.241769274864026</v>
      </c>
      <c r="FG166">
        <f t="shared" si="431"/>
        <v>56.000000000000007</v>
      </c>
      <c r="FI166" s="562">
        <f t="shared" si="432"/>
        <v>-50</v>
      </c>
      <c r="FJ166">
        <f t="shared" si="433"/>
        <v>-50</v>
      </c>
    </row>
    <row r="167" spans="5:166">
      <c r="E167" s="170">
        <v>57</v>
      </c>
      <c r="F167" s="217">
        <f t="shared" si="476"/>
        <v>0.56999999999999995</v>
      </c>
      <c r="G167" s="217">
        <f t="shared" si="444"/>
        <v>0.14249999999999999</v>
      </c>
      <c r="H167" s="217">
        <f t="shared" si="445"/>
        <v>9.1199999999999992</v>
      </c>
      <c r="I167" s="217">
        <f t="shared" si="446"/>
        <v>1.1399999999999999</v>
      </c>
      <c r="J167" s="541">
        <f t="shared" si="447"/>
        <v>18.924710914261333</v>
      </c>
      <c r="K167" s="443">
        <f t="shared" si="448"/>
        <v>16.733216683276694</v>
      </c>
      <c r="L167" s="172">
        <f t="shared" si="449"/>
        <v>35.657927597538027</v>
      </c>
      <c r="M167" s="443"/>
      <c r="N167" s="217">
        <f t="shared" si="450"/>
        <v>0.46927058891756868</v>
      </c>
      <c r="O167" s="172">
        <f t="shared" si="451"/>
        <v>19.735133857400346</v>
      </c>
      <c r="P167" s="172">
        <f t="shared" si="452"/>
        <v>2.7752531986969236</v>
      </c>
      <c r="Q167" s="217">
        <f t="shared" si="322"/>
        <v>1.2334458660875216</v>
      </c>
      <c r="R167" s="217">
        <f t="shared" si="453"/>
        <v>2.4668917321750432</v>
      </c>
      <c r="S167" s="217">
        <f t="shared" si="454"/>
        <v>16</v>
      </c>
      <c r="T167" s="217">
        <f t="shared" si="455"/>
        <v>2.3105999852593229</v>
      </c>
      <c r="U167" s="217">
        <f t="shared" si="326"/>
        <v>1.465132014366314</v>
      </c>
      <c r="V167" s="217">
        <f t="shared" si="327"/>
        <v>1.6570155247450211</v>
      </c>
      <c r="W167" s="197">
        <f t="shared" si="328"/>
        <v>350</v>
      </c>
      <c r="X167" s="443">
        <f t="shared" si="435"/>
        <v>301.01011114861478</v>
      </c>
      <c r="Z167" s="217">
        <f t="shared" si="329"/>
        <v>2.1144786275786083</v>
      </c>
      <c r="AA167" s="173">
        <f t="shared" si="330"/>
        <v>1.5163697459498038</v>
      </c>
      <c r="AB167" s="173">
        <f t="shared" si="456"/>
        <v>0.49876266522719215</v>
      </c>
      <c r="AC167" s="173"/>
      <c r="AD167" s="173">
        <f t="shared" si="332"/>
        <v>0.71713647334722508</v>
      </c>
      <c r="AE167" s="545">
        <f t="shared" si="457"/>
        <v>1589.6555849112858</v>
      </c>
      <c r="AF167" s="528">
        <f t="shared" si="458"/>
        <v>0.12549888283576438</v>
      </c>
      <c r="AH167" s="173">
        <f t="shared" si="459"/>
        <v>2.2103651928390216</v>
      </c>
      <c r="AI167" s="173">
        <f t="shared" si="460"/>
        <v>2.3105999852593229</v>
      </c>
      <c r="AJ167" s="173">
        <f t="shared" si="461"/>
        <v>2.1708148038957944</v>
      </c>
      <c r="AL167" s="545">
        <f t="shared" si="462"/>
        <v>570</v>
      </c>
      <c r="AM167" s="460">
        <f t="shared" si="463"/>
        <v>301.01011114861478</v>
      </c>
      <c r="AO167">
        <f t="shared" si="340"/>
        <v>570</v>
      </c>
      <c r="AP167">
        <f t="shared" si="341"/>
        <v>301.01011114861478</v>
      </c>
      <c r="AR167" s="5">
        <f t="shared" si="443"/>
        <v>3.3221475391113353</v>
      </c>
      <c r="AS167" s="5">
        <f t="shared" si="440"/>
        <v>1.465132014366314</v>
      </c>
      <c r="AT167" s="5">
        <f t="shared" si="441"/>
        <v>1.8570155247450213</v>
      </c>
      <c r="AU167" s="173">
        <f t="shared" si="442"/>
        <v>0.44101955049179797</v>
      </c>
      <c r="AW167" s="5">
        <f t="shared" si="342"/>
        <v>5.2195328011799935</v>
      </c>
      <c r="AX167" s="5">
        <f t="shared" si="343"/>
        <v>2.6097664005899968</v>
      </c>
      <c r="AY167" s="5">
        <f t="shared" si="344"/>
        <v>0.74576135149449541</v>
      </c>
      <c r="AZ167" s="5"/>
      <c r="BA167" s="173">
        <f t="shared" si="345"/>
        <v>0.8859170499729272</v>
      </c>
      <c r="BB167" s="173">
        <f t="shared" si="346"/>
        <v>0.99738411750976219</v>
      </c>
      <c r="BC167" s="173">
        <f t="shared" si="347"/>
        <v>0.24494580532960336</v>
      </c>
      <c r="BD167" s="173"/>
      <c r="BE167" s="528">
        <f t="shared" si="348"/>
        <v>1.5696980388654681E-2</v>
      </c>
      <c r="BF167" s="528">
        <f t="shared" si="464"/>
        <v>0.45261070127247283</v>
      </c>
      <c r="BG167" s="528">
        <f t="shared" si="465"/>
        <v>0.13102017472241576</v>
      </c>
      <c r="BH167" s="528">
        <f t="shared" si="351"/>
        <v>0.18849486195276152</v>
      </c>
      <c r="BI167">
        <f t="shared" si="352"/>
        <v>8.5161199114176002E-3</v>
      </c>
      <c r="BJ167" s="460">
        <f t="shared" si="436"/>
        <v>139.53629463383336</v>
      </c>
      <c r="BK167">
        <f t="shared" si="466"/>
        <v>0.66351537695427198</v>
      </c>
      <c r="BL167" s="460">
        <f t="shared" si="437"/>
        <v>796.33883824772249</v>
      </c>
      <c r="BM167" s="173">
        <f t="shared" si="467"/>
        <v>0.35411249999999994</v>
      </c>
      <c r="BN167" s="173">
        <f t="shared" si="468"/>
        <v>8.8528124999999985E-2</v>
      </c>
      <c r="BO167" s="528"/>
      <c r="BQ167" s="460">
        <f t="shared" si="356"/>
        <v>442.64062499999989</v>
      </c>
      <c r="BR167" s="528">
        <f t="shared" si="357"/>
        <v>2.3545470582982019E-2</v>
      </c>
      <c r="BS167" s="528">
        <f t="shared" si="358"/>
        <v>2.9843252335821815E-2</v>
      </c>
      <c r="BT167" s="528">
        <f t="shared" si="359"/>
        <v>2.9999223774283975E-4</v>
      </c>
      <c r="BU167" s="528">
        <f t="shared" si="360"/>
        <v>0.63787360299090645</v>
      </c>
      <c r="BV167" s="528"/>
      <c r="BW167" s="625">
        <f t="shared" si="469"/>
        <v>8.0352727099358701E-3</v>
      </c>
      <c r="BX167" s="460">
        <f t="shared" si="362"/>
        <v>699.59759085738904</v>
      </c>
      <c r="BY167" s="173">
        <f t="shared" si="363"/>
        <v>1.9385770541051115</v>
      </c>
      <c r="BZ167" s="5">
        <f t="shared" si="364"/>
        <v>10.26</v>
      </c>
      <c r="CA167" s="173">
        <f t="shared" si="365"/>
        <v>0.8410817060459741</v>
      </c>
      <c r="CB167" s="5">
        <f t="shared" si="366"/>
        <v>84.108170604597404</v>
      </c>
      <c r="CC167">
        <f t="shared" si="367"/>
        <v>56.999999999999993</v>
      </c>
      <c r="CE167" s="562">
        <f t="shared" si="470"/>
        <v>-50</v>
      </c>
      <c r="CF167">
        <f t="shared" si="471"/>
        <v>-50</v>
      </c>
      <c r="CG167" s="173">
        <f t="shared" si="370"/>
        <v>0.51480154889510155</v>
      </c>
      <c r="CH167" s="173">
        <f t="shared" si="472"/>
        <v>0.18198046272135282</v>
      </c>
      <c r="CI167" s="170">
        <v>57</v>
      </c>
      <c r="CJ167" s="217">
        <f t="shared" si="438"/>
        <v>0.56999999999999995</v>
      </c>
      <c r="CK167" s="217">
        <f t="shared" si="372"/>
        <v>0.14249999999999999</v>
      </c>
      <c r="CL167" s="217">
        <f t="shared" si="373"/>
        <v>9.1199999999999992</v>
      </c>
      <c r="CM167" s="217">
        <f t="shared" si="374"/>
        <v>1.1399999999999999</v>
      </c>
      <c r="CN167" s="541">
        <f t="shared" si="375"/>
        <v>19</v>
      </c>
      <c r="CO167" s="443">
        <f t="shared" si="473"/>
        <v>16.7</v>
      </c>
      <c r="CP167" s="443">
        <f t="shared" si="474"/>
        <v>35.700000000000003</v>
      </c>
      <c r="CQ167" s="443"/>
      <c r="CR167" s="217">
        <f t="shared" si="378"/>
        <v>0.4632768361581921</v>
      </c>
      <c r="CS167" s="172">
        <f t="shared" si="379"/>
        <v>19.560577526679221</v>
      </c>
      <c r="CT167" s="172">
        <f t="shared" si="380"/>
        <v>2.7507062146892656</v>
      </c>
      <c r="CU167" s="217">
        <f t="shared" si="381"/>
        <v>1.2225360954174513</v>
      </c>
      <c r="CV167" s="217">
        <f t="shared" si="382"/>
        <v>2.4450721908349027</v>
      </c>
      <c r="CW167" s="217">
        <f t="shared" si="383"/>
        <v>16</v>
      </c>
      <c r="CX167" s="217">
        <f t="shared" si="384"/>
        <v>2.3312195121951218</v>
      </c>
      <c r="CY167" s="217">
        <f t="shared" si="385"/>
        <v>1.4723491655969192</v>
      </c>
      <c r="CZ167" s="217">
        <f t="shared" si="386"/>
        <v>1.6751277931940998</v>
      </c>
      <c r="DA167" s="197">
        <f t="shared" si="387"/>
        <v>350</v>
      </c>
      <c r="DB167" s="443">
        <f t="shared" si="388"/>
        <v>317.71479603908239</v>
      </c>
      <c r="DD167" s="217">
        <f t="shared" si="389"/>
        <v>2.1161798052554355</v>
      </c>
      <c r="DE167" s="173">
        <f t="shared" si="390"/>
        <v>1.5206082432973189</v>
      </c>
      <c r="DF167" s="173">
        <f t="shared" si="391"/>
        <v>0.50055918207100247</v>
      </c>
      <c r="DG167" s="173"/>
      <c r="DH167" s="173">
        <f t="shared" si="392"/>
        <v>0.71856287425149712</v>
      </c>
      <c r="DI167" s="545">
        <f t="shared" si="393"/>
        <v>1586.4999999999998</v>
      </c>
      <c r="DJ167" s="528">
        <f t="shared" si="394"/>
        <v>0.125748502994012</v>
      </c>
      <c r="DL167" s="173">
        <f t="shared" si="395"/>
        <v>2.2103651928390216</v>
      </c>
      <c r="DM167" s="173">
        <f t="shared" si="396"/>
        <v>2.3312195121951218</v>
      </c>
      <c r="DN167" s="173">
        <f t="shared" si="397"/>
        <v>2.1860885275519419</v>
      </c>
      <c r="DP167" s="545">
        <f t="shared" si="398"/>
        <v>570</v>
      </c>
      <c r="DQ167" s="460">
        <f t="shared" si="399"/>
        <v>317.71479603908239</v>
      </c>
      <c r="DS167">
        <f t="shared" si="400"/>
        <v>570</v>
      </c>
      <c r="DT167">
        <f t="shared" si="401"/>
        <v>317.71479603908239</v>
      </c>
      <c r="DV167" s="5">
        <f t="shared" si="402"/>
        <v>3.1474769587910196</v>
      </c>
      <c r="DW167" s="5">
        <f t="shared" si="403"/>
        <v>1.4723491655969192</v>
      </c>
      <c r="DX167" s="5">
        <f t="shared" si="404"/>
        <v>1.6751277931941004</v>
      </c>
      <c r="DY167" s="173">
        <f t="shared" si="405"/>
        <v>0.46778711484593827</v>
      </c>
      <c r="EA167" s="5">
        <f t="shared" si="406"/>
        <v>5.2452439024390243</v>
      </c>
      <c r="EB167" s="5">
        <f t="shared" si="407"/>
        <v>2.6226219512195121</v>
      </c>
      <c r="EC167" s="5">
        <f t="shared" si="408"/>
        <v>0.67005111727764</v>
      </c>
      <c r="ED167" s="5"/>
      <c r="EE167" s="173">
        <f t="shared" si="409"/>
        <v>0.92054848929503796</v>
      </c>
      <c r="EF167" s="173">
        <f t="shared" si="410"/>
        <v>0.98189542053607248</v>
      </c>
      <c r="EG167" s="173">
        <f t="shared" si="411"/>
        <v>0.24114196357282955</v>
      </c>
      <c r="EH167" s="173"/>
      <c r="EI167" s="528">
        <f t="shared" si="412"/>
        <v>1.6948190422867535E-2</v>
      </c>
      <c r="EJ167" s="528">
        <f t="shared" si="413"/>
        <v>0.50239166666666668</v>
      </c>
      <c r="EK167" s="528">
        <f t="shared" si="414"/>
        <v>3.6537201544494476E-2</v>
      </c>
      <c r="EL167" s="528">
        <f t="shared" si="415"/>
        <v>0.1994252327238962</v>
      </c>
      <c r="EM167">
        <f t="shared" si="416"/>
        <v>8.5500000000000003E-3</v>
      </c>
      <c r="EN167" s="460">
        <f t="shared" si="417"/>
        <v>45.087201544494476</v>
      </c>
      <c r="EP167" s="460">
        <f t="shared" si="439"/>
        <v>763.85229135792486</v>
      </c>
      <c r="EQ167" s="173">
        <f t="shared" si="418"/>
        <v>0.39899999999999997</v>
      </c>
      <c r="ER167" s="173">
        <f t="shared" si="475"/>
        <v>6.3234374999999995E-2</v>
      </c>
      <c r="ES167" s="528"/>
      <c r="EU167" s="460">
        <f t="shared" si="420"/>
        <v>462.234375</v>
      </c>
      <c r="EV167" s="528">
        <f t="shared" si="421"/>
        <v>2.5422285634301298E-2</v>
      </c>
      <c r="EW167" s="528">
        <f t="shared" si="422"/>
        <v>2.892355850609132E-2</v>
      </c>
      <c r="EX167" s="528">
        <f t="shared" si="423"/>
        <v>2.9074723297879928E-4</v>
      </c>
      <c r="EY167" s="528">
        <f t="shared" si="424"/>
        <v>0.74648576287198398</v>
      </c>
      <c r="EZ167" s="528"/>
      <c r="FA167" s="625">
        <f t="shared" si="425"/>
        <v>8.6332393933183007E-3</v>
      </c>
      <c r="FB167" s="460">
        <f t="shared" si="426"/>
        <v>809.75559363867364</v>
      </c>
      <c r="FC167" s="173">
        <f t="shared" si="427"/>
        <v>2.0358422599965986</v>
      </c>
      <c r="FD167" s="5">
        <f t="shared" si="428"/>
        <v>10.26</v>
      </c>
      <c r="FE167" s="173">
        <f t="shared" si="429"/>
        <v>0.83442840132879503</v>
      </c>
      <c r="FF167" s="5">
        <f t="shared" si="430"/>
        <v>83.442840132879496</v>
      </c>
      <c r="FG167">
        <f t="shared" si="431"/>
        <v>56.999999999999993</v>
      </c>
      <c r="FI167" s="562">
        <f t="shared" si="432"/>
        <v>-50</v>
      </c>
      <c r="FJ167">
        <f t="shared" si="433"/>
        <v>-50</v>
      </c>
    </row>
    <row r="168" spans="5:166">
      <c r="E168" s="170">
        <v>58</v>
      </c>
      <c r="F168" s="217">
        <f t="shared" si="476"/>
        <v>0.57999999999999996</v>
      </c>
      <c r="G168" s="217">
        <f t="shared" si="444"/>
        <v>0.14499999999999999</v>
      </c>
      <c r="H168" s="217">
        <f t="shared" si="445"/>
        <v>9.2799999999999994</v>
      </c>
      <c r="I168" s="217">
        <f t="shared" si="446"/>
        <v>1.1599999999999999</v>
      </c>
      <c r="J168" s="541">
        <f t="shared" si="447"/>
        <v>18.923390053108022</v>
      </c>
      <c r="K168" s="443">
        <f t="shared" si="448"/>
        <v>16.73379943210611</v>
      </c>
      <c r="L168" s="172">
        <f t="shared" si="449"/>
        <v>35.657189485214133</v>
      </c>
      <c r="M168" s="443"/>
      <c r="N168" s="217">
        <f t="shared" si="450"/>
        <v>0.46929664602548299</v>
      </c>
      <c r="O168" s="172">
        <f t="shared" si="451"/>
        <v>19.734852185234626</v>
      </c>
      <c r="P168" s="172">
        <f t="shared" si="452"/>
        <v>2.7752135885486191</v>
      </c>
      <c r="Q168" s="217">
        <f t="shared" si="322"/>
        <v>1.2334282615771641</v>
      </c>
      <c r="R168" s="217">
        <f t="shared" si="453"/>
        <v>2.4668565231543282</v>
      </c>
      <c r="S168" s="217">
        <f t="shared" si="454"/>
        <v>16</v>
      </c>
      <c r="T168" s="217">
        <f t="shared" si="455"/>
        <v>2.3511703844792873</v>
      </c>
      <c r="U168" s="217">
        <f t="shared" si="326"/>
        <v>1.4909614257577231</v>
      </c>
      <c r="V168" s="217">
        <f t="shared" si="327"/>
        <v>1.6860513195597948</v>
      </c>
      <c r="W168" s="197">
        <f t="shared" si="328"/>
        <v>350</v>
      </c>
      <c r="X168" s="443">
        <f t="shared" si="435"/>
        <v>296.11969969215403</v>
      </c>
      <c r="Z168" s="217">
        <f t="shared" si="329"/>
        <v>2.1144484484179955</v>
      </c>
      <c r="AA168" s="173">
        <f t="shared" si="330"/>
        <v>1.5162952970700487</v>
      </c>
      <c r="AB168" s="173">
        <f t="shared" si="456"/>
        <v>0.49873105928073058</v>
      </c>
      <c r="AC168" s="173"/>
      <c r="AD168" s="173">
        <f t="shared" si="332"/>
        <v>0.71711149931535212</v>
      </c>
      <c r="AE168" s="545">
        <f t="shared" si="457"/>
        <v>1617.600611770257</v>
      </c>
      <c r="AF168" s="528">
        <f t="shared" si="458"/>
        <v>0.12549451238018661</v>
      </c>
      <c r="AH168" s="173">
        <f t="shared" si="459"/>
        <v>2.2296700588716192</v>
      </c>
      <c r="AI168" s="173">
        <f t="shared" si="460"/>
        <v>2.3511703844792873</v>
      </c>
      <c r="AJ168" s="173">
        <f t="shared" si="461"/>
        <v>2.2008669514661388</v>
      </c>
      <c r="AL168" s="545">
        <f t="shared" si="462"/>
        <v>580</v>
      </c>
      <c r="AM168" s="460">
        <f t="shared" si="463"/>
        <v>296.11969969215403</v>
      </c>
      <c r="AO168">
        <f t="shared" si="340"/>
        <v>580</v>
      </c>
      <c r="AP168">
        <f t="shared" si="341"/>
        <v>296.11969969215403</v>
      </c>
      <c r="AR168" s="5">
        <f t="shared" si="443"/>
        <v>3.3770127453175176</v>
      </c>
      <c r="AS168" s="5">
        <f t="shared" si="440"/>
        <v>1.4909614257577231</v>
      </c>
      <c r="AT168" s="5">
        <f t="shared" si="441"/>
        <v>1.8860513195597945</v>
      </c>
      <c r="AU168" s="173">
        <f t="shared" si="442"/>
        <v>0.44150304964796278</v>
      </c>
      <c r="AW168" s="5">
        <f t="shared" si="342"/>
        <v>5.4047351683717464</v>
      </c>
      <c r="AX168" s="5">
        <f t="shared" si="343"/>
        <v>2.7023675841858732</v>
      </c>
      <c r="AY168" s="5">
        <f t="shared" si="344"/>
        <v>0.77076377419666009</v>
      </c>
      <c r="AZ168" s="5"/>
      <c r="BA168" s="173">
        <f t="shared" si="345"/>
        <v>0.90196633705494544</v>
      </c>
      <c r="BB168" s="173">
        <f t="shared" si="346"/>
        <v>1.0144575491876653</v>
      </c>
      <c r="BC168" s="173">
        <f t="shared" si="347"/>
        <v>0.24913883928579428</v>
      </c>
      <c r="BD168" s="173"/>
      <c r="BE168" s="528">
        <f t="shared" si="348"/>
        <v>1.6270865463606309E-2</v>
      </c>
      <c r="BF168" s="528">
        <f t="shared" si="464"/>
        <v>0.4530659046237106</v>
      </c>
      <c r="BG168" s="528">
        <f t="shared" si="465"/>
        <v>0.12888253733272836</v>
      </c>
      <c r="BH168" s="528">
        <f t="shared" si="351"/>
        <v>0.18542477168485591</v>
      </c>
      <c r="BI168">
        <f t="shared" si="352"/>
        <v>8.5155255238986097E-3</v>
      </c>
      <c r="BJ168" s="460">
        <f t="shared" si="436"/>
        <v>137.39806285662698</v>
      </c>
      <c r="BK168">
        <f t="shared" si="466"/>
        <v>0.6617128292110519</v>
      </c>
      <c r="BL168" s="460">
        <f t="shared" si="437"/>
        <v>792.1596046287998</v>
      </c>
      <c r="BM168" s="173">
        <f t="shared" si="467"/>
        <v>0.36032499999999995</v>
      </c>
      <c r="BN168" s="173">
        <f t="shared" si="468"/>
        <v>9.0081249999999988E-2</v>
      </c>
      <c r="BO168" s="528"/>
      <c r="BQ168" s="460">
        <f t="shared" si="356"/>
        <v>450.40624999999994</v>
      </c>
      <c r="BR168" s="528">
        <f t="shared" si="357"/>
        <v>2.4406298195409463E-2</v>
      </c>
      <c r="BS168" s="528">
        <f t="shared" si="358"/>
        <v>3.0873723573115328E-2</v>
      </c>
      <c r="BT168" s="528">
        <f t="shared" si="359"/>
        <v>3.1035080620336414E-4</v>
      </c>
      <c r="BU168" s="528">
        <f t="shared" si="360"/>
        <v>0.63951172555732616</v>
      </c>
      <c r="BV168" s="528"/>
      <c r="BW168" s="625">
        <f t="shared" si="469"/>
        <v>8.1847517225356499E-3</v>
      </c>
      <c r="BX168" s="460">
        <f t="shared" si="362"/>
        <v>703.28684985458995</v>
      </c>
      <c r="BY168" s="173">
        <f t="shared" si="363"/>
        <v>1.9458527044833898</v>
      </c>
      <c r="BZ168" s="5">
        <f t="shared" si="364"/>
        <v>10.44</v>
      </c>
      <c r="CA168" s="173">
        <f t="shared" si="365"/>
        <v>0.84289715444629532</v>
      </c>
      <c r="CB168" s="5">
        <f t="shared" si="366"/>
        <v>84.289715444629536</v>
      </c>
      <c r="CC168">
        <f t="shared" si="367"/>
        <v>57.999999999999993</v>
      </c>
      <c r="CE168" s="562">
        <f t="shared" si="470"/>
        <v>-50</v>
      </c>
      <c r="CF168">
        <f t="shared" si="471"/>
        <v>-50</v>
      </c>
      <c r="CG168" s="173">
        <f t="shared" si="370"/>
        <v>0.51480154889510155</v>
      </c>
      <c r="CH168" s="173">
        <f t="shared" si="472"/>
        <v>0.18198046272135285</v>
      </c>
      <c r="CI168" s="170">
        <v>58</v>
      </c>
      <c r="CJ168" s="217">
        <f t="shared" si="438"/>
        <v>0.57999999999999996</v>
      </c>
      <c r="CK168" s="217">
        <f t="shared" si="372"/>
        <v>0.14499999999999999</v>
      </c>
      <c r="CL168" s="217">
        <f t="shared" si="373"/>
        <v>9.2799999999999994</v>
      </c>
      <c r="CM168" s="217">
        <f t="shared" si="374"/>
        <v>1.1599999999999999</v>
      </c>
      <c r="CN168" s="541">
        <f t="shared" si="375"/>
        <v>19</v>
      </c>
      <c r="CO168" s="443">
        <f t="shared" si="473"/>
        <v>16.7</v>
      </c>
      <c r="CP168" s="443">
        <f t="shared" si="474"/>
        <v>35.700000000000003</v>
      </c>
      <c r="CQ168" s="443"/>
      <c r="CR168" s="217">
        <f t="shared" si="378"/>
        <v>0.4632768361581921</v>
      </c>
      <c r="CS168" s="172">
        <f t="shared" si="379"/>
        <v>19.560577526679221</v>
      </c>
      <c r="CT168" s="172">
        <f t="shared" si="380"/>
        <v>2.7507062146892656</v>
      </c>
      <c r="CU168" s="217">
        <f t="shared" si="381"/>
        <v>1.2225360954174513</v>
      </c>
      <c r="CV168" s="217">
        <f t="shared" si="382"/>
        <v>2.4450721908349027</v>
      </c>
      <c r="CW168" s="217">
        <f t="shared" si="383"/>
        <v>16</v>
      </c>
      <c r="CX168" s="217">
        <f t="shared" si="384"/>
        <v>2.3721181001283695</v>
      </c>
      <c r="CY168" s="217">
        <f t="shared" si="385"/>
        <v>1.4981798527126544</v>
      </c>
      <c r="CZ168" s="217">
        <f t="shared" si="386"/>
        <v>1.7045160000922417</v>
      </c>
      <c r="DA168" s="197">
        <f t="shared" si="387"/>
        <v>350</v>
      </c>
      <c r="DB168" s="443">
        <f t="shared" si="388"/>
        <v>312.23695472806378</v>
      </c>
      <c r="DD168" s="217">
        <f t="shared" si="389"/>
        <v>2.1161798052554355</v>
      </c>
      <c r="DE168" s="173">
        <f t="shared" si="390"/>
        <v>1.5206082432973189</v>
      </c>
      <c r="DF168" s="173">
        <f t="shared" si="391"/>
        <v>0.50055918207100247</v>
      </c>
      <c r="DG168" s="173"/>
      <c r="DH168" s="173">
        <f t="shared" si="392"/>
        <v>0.71856287425149712</v>
      </c>
      <c r="DI168" s="545">
        <f t="shared" si="393"/>
        <v>1614.333333333333</v>
      </c>
      <c r="DJ168" s="528">
        <f t="shared" si="394"/>
        <v>0.125748502994012</v>
      </c>
      <c r="DL168" s="173">
        <f t="shared" si="395"/>
        <v>2.2296700588716192</v>
      </c>
      <c r="DM168" s="173">
        <f t="shared" si="396"/>
        <v>2.3721181001283695</v>
      </c>
      <c r="DN168" s="173">
        <f t="shared" si="397"/>
        <v>2.2163837778728661</v>
      </c>
      <c r="DP168" s="545">
        <f t="shared" si="398"/>
        <v>580</v>
      </c>
      <c r="DQ168" s="460">
        <f t="shared" si="399"/>
        <v>312.23695472806378</v>
      </c>
      <c r="DS168">
        <f t="shared" si="400"/>
        <v>580</v>
      </c>
      <c r="DT168">
        <f t="shared" si="401"/>
        <v>312.23695472806378</v>
      </c>
      <c r="DV168" s="5">
        <f t="shared" si="402"/>
        <v>3.2026958528048963</v>
      </c>
      <c r="DW168" s="5">
        <f t="shared" si="403"/>
        <v>1.4981798527126544</v>
      </c>
      <c r="DX168" s="5">
        <f t="shared" si="404"/>
        <v>1.7045160000922419</v>
      </c>
      <c r="DY168" s="173">
        <f t="shared" si="405"/>
        <v>0.46778711484593832</v>
      </c>
      <c r="EA168" s="5">
        <f t="shared" si="406"/>
        <v>5.4309019660833719</v>
      </c>
      <c r="EB168" s="5">
        <f t="shared" si="407"/>
        <v>2.715450983041686</v>
      </c>
      <c r="EC168" s="5">
        <f t="shared" si="408"/>
        <v>0.69376791582701758</v>
      </c>
      <c r="ED168" s="5"/>
      <c r="EE168" s="173">
        <f t="shared" si="409"/>
        <v>0.9366984627914422</v>
      </c>
      <c r="EF168" s="173">
        <f t="shared" si="410"/>
        <v>0.99912165598407365</v>
      </c>
      <c r="EG168" s="173">
        <f t="shared" si="411"/>
        <v>0.24537252433726514</v>
      </c>
      <c r="EH168" s="173"/>
      <c r="EI168" s="528">
        <f t="shared" si="412"/>
        <v>1.7548080203917016E-2</v>
      </c>
      <c r="EJ168" s="528">
        <f t="shared" si="413"/>
        <v>0.50239166666666668</v>
      </c>
      <c r="EK168" s="528">
        <f t="shared" si="414"/>
        <v>3.5907249793727336E-2</v>
      </c>
      <c r="EL168" s="528">
        <f t="shared" si="415"/>
        <v>0.19598686664244977</v>
      </c>
      <c r="EM168">
        <f t="shared" si="416"/>
        <v>8.5500000000000003E-3</v>
      </c>
      <c r="EN168" s="460">
        <f t="shared" si="417"/>
        <v>44.457249793727335</v>
      </c>
      <c r="EP168" s="460">
        <f t="shared" si="439"/>
        <v>760.38386330676087</v>
      </c>
      <c r="EQ168" s="173">
        <f t="shared" si="418"/>
        <v>0.40599999999999997</v>
      </c>
      <c r="ER168" s="173">
        <f t="shared" si="475"/>
        <v>6.4343749999999991E-2</v>
      </c>
      <c r="ES168" s="528"/>
      <c r="EU168" s="460">
        <f t="shared" si="420"/>
        <v>470.34374999999994</v>
      </c>
      <c r="EV168" s="528">
        <f t="shared" si="421"/>
        <v>2.6322120305875524E-2</v>
      </c>
      <c r="EW168" s="528">
        <f t="shared" si="422"/>
        <v>2.9947322503690726E-2</v>
      </c>
      <c r="EX168" s="528">
        <f t="shared" si="423"/>
        <v>3.010383784982089E-4</v>
      </c>
      <c r="EY168" s="528">
        <f t="shared" si="424"/>
        <v>0.74648576287198465</v>
      </c>
      <c r="EZ168" s="528"/>
      <c r="FA168" s="625">
        <f t="shared" si="425"/>
        <v>8.7846997335519553E-3</v>
      </c>
      <c r="FB168" s="460">
        <f t="shared" si="426"/>
        <v>811.84094379360101</v>
      </c>
      <c r="FC168" s="173">
        <f t="shared" si="427"/>
        <v>2.042568557100362</v>
      </c>
      <c r="FD168" s="5">
        <f t="shared" si="428"/>
        <v>10.44</v>
      </c>
      <c r="FE168" s="173">
        <f t="shared" si="429"/>
        <v>0.8363663257480366</v>
      </c>
      <c r="FF168" s="5">
        <f t="shared" si="430"/>
        <v>83.636632574803656</v>
      </c>
      <c r="FG168">
        <f t="shared" si="431"/>
        <v>57.999999999999993</v>
      </c>
      <c r="FI168" s="562">
        <f t="shared" si="432"/>
        <v>-50</v>
      </c>
      <c r="FJ168">
        <f t="shared" si="433"/>
        <v>-50</v>
      </c>
    </row>
    <row r="169" spans="5:166">
      <c r="E169" s="170">
        <v>59</v>
      </c>
      <c r="F169" s="217">
        <f t="shared" si="476"/>
        <v>0.59</v>
      </c>
      <c r="G169" s="217">
        <f t="shared" si="444"/>
        <v>0.14749999999999999</v>
      </c>
      <c r="H169" s="217">
        <f t="shared" si="445"/>
        <v>9.44</v>
      </c>
      <c r="I169" s="217">
        <f t="shared" si="446"/>
        <v>1.18</v>
      </c>
      <c r="J169" s="541">
        <f t="shared" si="447"/>
        <v>18.922069191954712</v>
      </c>
      <c r="K169" s="443">
        <f t="shared" si="448"/>
        <v>16.734382180935526</v>
      </c>
      <c r="L169" s="172">
        <f t="shared" si="449"/>
        <v>35.656451372890238</v>
      </c>
      <c r="M169" s="443"/>
      <c r="N169" s="217">
        <f t="shared" si="450"/>
        <v>0.4693227042121963</v>
      </c>
      <c r="O169" s="172">
        <f t="shared" si="451"/>
        <v>19.734570405463277</v>
      </c>
      <c r="P169" s="172">
        <f t="shared" si="452"/>
        <v>2.7751739632682733</v>
      </c>
      <c r="Q169" s="217">
        <f t="shared" si="322"/>
        <v>1.2334106503414548</v>
      </c>
      <c r="R169" s="217">
        <f t="shared" si="453"/>
        <v>2.4668213006829096</v>
      </c>
      <c r="S169" s="217">
        <f t="shared" si="454"/>
        <v>16</v>
      </c>
      <c r="T169" s="217">
        <f t="shared" si="455"/>
        <v>2.3917419548658252</v>
      </c>
      <c r="U169" s="217">
        <f t="shared" si="326"/>
        <v>1.5167951859404973</v>
      </c>
      <c r="V169" s="217">
        <f t="shared" si="327"/>
        <v>1.7150859319495593</v>
      </c>
      <c r="W169" s="197">
        <f t="shared" si="328"/>
        <v>350</v>
      </c>
      <c r="X169" s="443">
        <f t="shared" si="435"/>
        <v>291.38538476379591</v>
      </c>
      <c r="Z169" s="217">
        <f t="shared" si="329"/>
        <v>2.1144182577282082</v>
      </c>
      <c r="AA169" s="173">
        <f t="shared" si="330"/>
        <v>1.5162208451080108</v>
      </c>
      <c r="AB169" s="173">
        <f t="shared" si="456"/>
        <v>0.49869945030025109</v>
      </c>
      <c r="AC169" s="173"/>
      <c r="AD169" s="173">
        <f t="shared" si="332"/>
        <v>0.7170865270228427</v>
      </c>
      <c r="AE169" s="545">
        <f t="shared" si="457"/>
        <v>1645.5475811253264</v>
      </c>
      <c r="AF169" s="528">
        <f t="shared" si="458"/>
        <v>0.12549014222899749</v>
      </c>
      <c r="AH169" s="173">
        <f t="shared" si="459"/>
        <v>2.2488092087019869</v>
      </c>
      <c r="AI169" s="173">
        <f t="shared" si="460"/>
        <v>2.3917419548658252</v>
      </c>
      <c r="AJ169" s="173">
        <f t="shared" si="461"/>
        <v>2.2309199665672779</v>
      </c>
      <c r="AL169" s="545">
        <f t="shared" si="462"/>
        <v>590</v>
      </c>
      <c r="AM169" s="460">
        <f t="shared" si="463"/>
        <v>291.38538476379591</v>
      </c>
      <c r="AO169">
        <f t="shared" si="340"/>
        <v>590</v>
      </c>
      <c r="AP169">
        <f t="shared" si="341"/>
        <v>291.38538476379591</v>
      </c>
      <c r="AR169" s="5">
        <f t="shared" si="443"/>
        <v>3.4318811178900561</v>
      </c>
      <c r="AS169" s="5">
        <f t="shared" si="440"/>
        <v>1.5167951859404973</v>
      </c>
      <c r="AT169" s="5">
        <f t="shared" si="441"/>
        <v>1.9150859319495588</v>
      </c>
      <c r="AU169" s="173">
        <f t="shared" si="442"/>
        <v>0.44197194886314517</v>
      </c>
      <c r="AW169" s="5">
        <f t="shared" si="342"/>
        <v>5.5931822481555828</v>
      </c>
      <c r="AX169" s="5">
        <f t="shared" si="343"/>
        <v>2.7965911240777914</v>
      </c>
      <c r="AY169" s="5">
        <f t="shared" si="344"/>
        <v>0.79617839422526493</v>
      </c>
      <c r="AZ169" s="5"/>
      <c r="BA169" s="173">
        <f t="shared" si="345"/>
        <v>0.91801768487270563</v>
      </c>
      <c r="BB169" s="173">
        <f t="shared" si="346"/>
        <v>1.0315296359368891</v>
      </c>
      <c r="BC169" s="173">
        <f t="shared" si="347"/>
        <v>0.25333154294332422</v>
      </c>
      <c r="BD169" s="173"/>
      <c r="BE169" s="528">
        <f t="shared" si="348"/>
        <v>1.6855129394780847E-2</v>
      </c>
      <c r="BF169" s="528">
        <f t="shared" si="464"/>
        <v>0.45350603852430688</v>
      </c>
      <c r="BG169" s="528">
        <f t="shared" si="465"/>
        <v>0.12681313147657253</v>
      </c>
      <c r="BH169" s="528">
        <f t="shared" si="351"/>
        <v>0.1824526758971195</v>
      </c>
      <c r="BI169">
        <f t="shared" si="352"/>
        <v>8.514931136379621E-3</v>
      </c>
      <c r="BJ169" s="460">
        <f t="shared" si="436"/>
        <v>135.32806261295215</v>
      </c>
      <c r="BK169">
        <f t="shared" si="466"/>
        <v>0.66000791441946882</v>
      </c>
      <c r="BL169" s="460">
        <f t="shared" si="437"/>
        <v>788.14190642915935</v>
      </c>
      <c r="BM169" s="173">
        <f t="shared" si="467"/>
        <v>0.36653749999999996</v>
      </c>
      <c r="BN169" s="173">
        <f t="shared" si="468"/>
        <v>9.163437499999999E-2</v>
      </c>
      <c r="BO169" s="528"/>
      <c r="BQ169" s="460">
        <f t="shared" si="356"/>
        <v>458.17187499999994</v>
      </c>
      <c r="BR169" s="528">
        <f t="shared" si="357"/>
        <v>2.5282694092171269E-2</v>
      </c>
      <c r="BS169" s="528">
        <f t="shared" si="358"/>
        <v>3.1921601694482722E-2</v>
      </c>
      <c r="BT169" s="528">
        <f t="shared" si="359"/>
        <v>3.2088435325022661E-4</v>
      </c>
      <c r="BU169" s="528">
        <f t="shared" si="360"/>
        <v>0.6410991789478937</v>
      </c>
      <c r="BV169" s="528"/>
      <c r="BW169" s="625">
        <f t="shared" si="469"/>
        <v>8.3342478689680827E-3</v>
      </c>
      <c r="BX169" s="460">
        <f t="shared" si="362"/>
        <v>706.95860695676606</v>
      </c>
      <c r="BY169" s="173">
        <f t="shared" si="363"/>
        <v>1.9532723883859255</v>
      </c>
      <c r="BZ169" s="5">
        <f t="shared" si="364"/>
        <v>10.62</v>
      </c>
      <c r="CA169" s="173">
        <f t="shared" si="365"/>
        <v>0.84464884494269077</v>
      </c>
      <c r="CB169" s="5">
        <f t="shared" si="366"/>
        <v>84.464884494269072</v>
      </c>
      <c r="CC169">
        <f t="shared" si="367"/>
        <v>59</v>
      </c>
      <c r="CE169" s="562">
        <f t="shared" si="470"/>
        <v>-50</v>
      </c>
      <c r="CF169">
        <f t="shared" si="471"/>
        <v>-50</v>
      </c>
      <c r="CG169" s="173">
        <f t="shared" si="370"/>
        <v>0.51480154889510166</v>
      </c>
      <c r="CH169" s="173">
        <f t="shared" si="472"/>
        <v>0.18198046272135288</v>
      </c>
      <c r="CI169" s="170">
        <v>59</v>
      </c>
      <c r="CJ169" s="217">
        <f t="shared" si="438"/>
        <v>0.59</v>
      </c>
      <c r="CK169" s="217">
        <f t="shared" si="372"/>
        <v>0.14749999999999999</v>
      </c>
      <c r="CL169" s="217">
        <f t="shared" si="373"/>
        <v>9.44</v>
      </c>
      <c r="CM169" s="217">
        <f t="shared" si="374"/>
        <v>1.18</v>
      </c>
      <c r="CN169" s="541">
        <f t="shared" si="375"/>
        <v>19</v>
      </c>
      <c r="CO169" s="443">
        <f t="shared" si="473"/>
        <v>16.7</v>
      </c>
      <c r="CP169" s="443">
        <f t="shared" si="474"/>
        <v>35.700000000000003</v>
      </c>
      <c r="CQ169" s="443"/>
      <c r="CR169" s="217">
        <f t="shared" si="378"/>
        <v>0.4632768361581921</v>
      </c>
      <c r="CS169" s="172">
        <f t="shared" si="379"/>
        <v>19.560577526679221</v>
      </c>
      <c r="CT169" s="172">
        <f t="shared" si="380"/>
        <v>2.7507062146892656</v>
      </c>
      <c r="CU169" s="217">
        <f t="shared" si="381"/>
        <v>1.2225360954174513</v>
      </c>
      <c r="CV169" s="217">
        <f t="shared" si="382"/>
        <v>2.4450721908349027</v>
      </c>
      <c r="CW169" s="217">
        <f t="shared" si="383"/>
        <v>16</v>
      </c>
      <c r="CX169" s="217">
        <f t="shared" si="384"/>
        <v>2.4130166880616168</v>
      </c>
      <c r="CY169" s="217">
        <f t="shared" si="385"/>
        <v>1.5240105398283894</v>
      </c>
      <c r="CZ169" s="217">
        <f t="shared" si="386"/>
        <v>1.7339042069903834</v>
      </c>
      <c r="DA169" s="197">
        <f t="shared" si="387"/>
        <v>350</v>
      </c>
      <c r="DB169" s="443">
        <f t="shared" si="388"/>
        <v>306.94480295301196</v>
      </c>
      <c r="DD169" s="217">
        <f t="shared" si="389"/>
        <v>2.1161798052554355</v>
      </c>
      <c r="DE169" s="173">
        <f t="shared" si="390"/>
        <v>1.5206082432973189</v>
      </c>
      <c r="DF169" s="173">
        <f t="shared" si="391"/>
        <v>0.50055918207100247</v>
      </c>
      <c r="DG169" s="173"/>
      <c r="DH169" s="173">
        <f t="shared" si="392"/>
        <v>0.71856287425149712</v>
      </c>
      <c r="DI169" s="545">
        <f t="shared" si="393"/>
        <v>1642.1666666666663</v>
      </c>
      <c r="DJ169" s="528">
        <f t="shared" si="394"/>
        <v>0.125748502994012</v>
      </c>
      <c r="DL169" s="173">
        <f t="shared" si="395"/>
        <v>2.2488092087019869</v>
      </c>
      <c r="DM169" s="173">
        <f t="shared" si="396"/>
        <v>2.4130166880616168</v>
      </c>
      <c r="DN169" s="173">
        <f t="shared" si="397"/>
        <v>2.2466790281937903</v>
      </c>
      <c r="DP169" s="545">
        <f t="shared" si="398"/>
        <v>590</v>
      </c>
      <c r="DQ169" s="460">
        <f t="shared" si="399"/>
        <v>306.94480295301196</v>
      </c>
      <c r="DS169">
        <f t="shared" si="400"/>
        <v>590</v>
      </c>
      <c r="DT169">
        <f t="shared" si="401"/>
        <v>306.94480295301196</v>
      </c>
      <c r="DV169" s="5">
        <f t="shared" si="402"/>
        <v>3.2579147468187726</v>
      </c>
      <c r="DW169" s="5">
        <f t="shared" si="403"/>
        <v>1.5240105398283894</v>
      </c>
      <c r="DX169" s="5">
        <f t="shared" si="404"/>
        <v>1.7339042069903832</v>
      </c>
      <c r="DY169" s="173">
        <f t="shared" si="405"/>
        <v>0.46778711484593838</v>
      </c>
      <c r="EA169" s="5">
        <f t="shared" si="406"/>
        <v>5.6197888656171848</v>
      </c>
      <c r="EB169" s="5">
        <f t="shared" si="407"/>
        <v>2.8098944328085924</v>
      </c>
      <c r="EC169" s="5">
        <f t="shared" si="408"/>
        <v>0.71789718043812345</v>
      </c>
      <c r="ED169" s="5"/>
      <c r="EE169" s="173">
        <f t="shared" si="409"/>
        <v>0.95284843628784632</v>
      </c>
      <c r="EF169" s="173">
        <f t="shared" si="410"/>
        <v>1.0163478914320747</v>
      </c>
      <c r="EG169" s="173">
        <f t="shared" si="411"/>
        <v>0.24960308510170065</v>
      </c>
      <c r="EH169" s="173"/>
      <c r="EI169" s="528">
        <f t="shared" si="412"/>
        <v>1.8158402850723877E-2</v>
      </c>
      <c r="EJ169" s="528">
        <f t="shared" si="413"/>
        <v>0.50239166666666679</v>
      </c>
      <c r="EK169" s="528">
        <f t="shared" si="414"/>
        <v>3.5298652339596379E-2</v>
      </c>
      <c r="EL169" s="528">
        <f t="shared" si="415"/>
        <v>0.19266505534342526</v>
      </c>
      <c r="EM169">
        <f t="shared" si="416"/>
        <v>8.5500000000000003E-3</v>
      </c>
      <c r="EN169" s="460">
        <f t="shared" si="417"/>
        <v>43.848652339596377</v>
      </c>
      <c r="EP169" s="460">
        <f t="shared" si="439"/>
        <v>757.06377720041235</v>
      </c>
      <c r="EQ169" s="173">
        <f t="shared" si="418"/>
        <v>0.41299999999999998</v>
      </c>
      <c r="ER169" s="173">
        <f t="shared" si="475"/>
        <v>6.5453124999999987E-2</v>
      </c>
      <c r="ES169" s="528"/>
      <c r="EU169" s="460">
        <f t="shared" si="420"/>
        <v>478.453125</v>
      </c>
      <c r="EV169" s="528">
        <f t="shared" si="421"/>
        <v>2.7237604276085816E-2</v>
      </c>
      <c r="EW169" s="528">
        <f t="shared" si="422"/>
        <v>3.098889109255273E-2</v>
      </c>
      <c r="EX169" s="528">
        <f t="shared" si="423"/>
        <v>3.1150850046143412E-4</v>
      </c>
      <c r="EY169" s="528">
        <f t="shared" si="424"/>
        <v>0.74648576287198465</v>
      </c>
      <c r="EZ169" s="528"/>
      <c r="FA169" s="625">
        <f t="shared" si="425"/>
        <v>8.9361600737856116E-3</v>
      </c>
      <c r="FB169" s="460">
        <f t="shared" si="426"/>
        <v>813.9599268148703</v>
      </c>
      <c r="FC169" s="173">
        <f t="shared" si="427"/>
        <v>2.0494768290152825</v>
      </c>
      <c r="FD169" s="5">
        <f t="shared" si="428"/>
        <v>10.62</v>
      </c>
      <c r="FE169" s="173">
        <f t="shared" si="429"/>
        <v>0.83823508605172814</v>
      </c>
      <c r="FF169" s="5">
        <f t="shared" si="430"/>
        <v>83.823508605172819</v>
      </c>
      <c r="FG169">
        <f t="shared" si="431"/>
        <v>59</v>
      </c>
      <c r="FI169" s="562">
        <f t="shared" si="432"/>
        <v>-50</v>
      </c>
      <c r="FJ169">
        <f t="shared" si="433"/>
        <v>-50</v>
      </c>
    </row>
    <row r="170" spans="5:166">
      <c r="E170" s="170">
        <v>60</v>
      </c>
      <c r="F170" s="217">
        <f t="shared" si="476"/>
        <v>0.6</v>
      </c>
      <c r="G170" s="217">
        <f t="shared" si="444"/>
        <v>0.15</v>
      </c>
      <c r="H170" s="217">
        <f t="shared" si="445"/>
        <v>9.6</v>
      </c>
      <c r="I170" s="217">
        <f t="shared" si="446"/>
        <v>1.2</v>
      </c>
      <c r="J170" s="541">
        <f t="shared" si="447"/>
        <v>18.920748330801402</v>
      </c>
      <c r="K170" s="443">
        <f t="shared" si="448"/>
        <v>16.734964929764939</v>
      </c>
      <c r="L170" s="172">
        <f t="shared" si="449"/>
        <v>35.655713260566344</v>
      </c>
      <c r="M170" s="443"/>
      <c r="N170" s="217">
        <f t="shared" si="450"/>
        <v>0.46934876347777554</v>
      </c>
      <c r="O170" s="172">
        <f t="shared" si="451"/>
        <v>19.734288518079605</v>
      </c>
      <c r="P170" s="172">
        <f t="shared" si="452"/>
        <v>2.7751343228549445</v>
      </c>
      <c r="Q170" s="217">
        <f t="shared" si="322"/>
        <v>1.2333930323799753</v>
      </c>
      <c r="R170" s="217">
        <f t="shared" si="453"/>
        <v>2.4667860647599507</v>
      </c>
      <c r="S170" s="217">
        <f t="shared" si="454"/>
        <v>16</v>
      </c>
      <c r="T170" s="217">
        <f t="shared" si="455"/>
        <v>2.4323146971336058</v>
      </c>
      <c r="U170" s="217">
        <f t="shared" si="326"/>
        <v>1.542633296278668</v>
      </c>
      <c r="V170" s="217">
        <f t="shared" si="327"/>
        <v>1.7441193625503013</v>
      </c>
      <c r="W170" s="197">
        <f t="shared" si="328"/>
        <v>350</v>
      </c>
      <c r="X170" s="443">
        <f t="shared" si="435"/>
        <v>286.79980998016975</v>
      </c>
      <c r="Z170" s="217">
        <f t="shared" si="329"/>
        <v>2.1143880555085297</v>
      </c>
      <c r="AA170" s="173">
        <f t="shared" si="330"/>
        <v>1.5161463900634984</v>
      </c>
      <c r="AB170" s="173">
        <f t="shared" si="456"/>
        <v>0.49866783828596573</v>
      </c>
      <c r="AC170" s="173"/>
      <c r="AD170" s="173">
        <f t="shared" si="332"/>
        <v>0.7170615564695153</v>
      </c>
      <c r="AE170" s="545">
        <f t="shared" si="457"/>
        <v>1673.496492976494</v>
      </c>
      <c r="AF170" s="528">
        <f t="shared" si="458"/>
        <v>0.12548577238216516</v>
      </c>
      <c r="AH170" s="173">
        <f t="shared" si="459"/>
        <v>2.2677868380553634</v>
      </c>
      <c r="AI170" s="173">
        <f t="shared" si="460"/>
        <v>2.4323146971336058</v>
      </c>
      <c r="AJ170" s="173">
        <f t="shared" si="461"/>
        <v>2.2609738497285967</v>
      </c>
      <c r="AL170" s="545">
        <f t="shared" si="462"/>
        <v>600</v>
      </c>
      <c r="AM170" s="460">
        <f t="shared" si="463"/>
        <v>286.79980998016975</v>
      </c>
      <c r="AO170">
        <f t="shared" si="340"/>
        <v>600</v>
      </c>
      <c r="AP170">
        <f t="shared" si="341"/>
        <v>286.79980998016975</v>
      </c>
      <c r="AR170" s="5">
        <f t="shared" si="443"/>
        <v>3.4867526588289688</v>
      </c>
      <c r="AS170" s="5">
        <f t="shared" si="440"/>
        <v>1.542633296278668</v>
      </c>
      <c r="AT170" s="5">
        <f t="shared" si="441"/>
        <v>1.9441193625503008</v>
      </c>
      <c r="AU170" s="173">
        <f t="shared" si="442"/>
        <v>0.4424269362418049</v>
      </c>
      <c r="AW170" s="5">
        <f t="shared" ref="AW170:AW210" si="477">F170*AS170/Vout_ripple*1000</f>
        <v>5.7848748610450045</v>
      </c>
      <c r="AX170" s="5">
        <f t="shared" ref="AX170:AX210" si="478">G170*AS170/Vout_ripple2*1000</f>
        <v>2.8924374305225022</v>
      </c>
      <c r="AY170" s="5">
        <f t="shared" ref="AY170:AY210" si="479">H170/Efficiency/J170*AT170/Vinripple1</f>
        <v>0.82200527317851846</v>
      </c>
      <c r="AZ170" s="5"/>
      <c r="BA170" s="173">
        <f t="shared" ref="BA170:BA209" si="480">AI170*SQRT(AU170/3)</f>
        <v>0.93407106015451746</v>
      </c>
      <c r="BB170" s="173">
        <f t="shared" ref="BB170:BB210" si="481">AI170*Npri_sec1*SQRT((1-AU170)/3)*(Pout/Pout_total)</f>
        <v>1.0486004243176699</v>
      </c>
      <c r="BC170" s="173">
        <f t="shared" ref="BC170:BC210" si="482">AI170*Npri_sec2*SQRT((1-AU170)/3)*(Pout2/Pout_total)</f>
        <v>0.25752392773683952</v>
      </c>
      <c r="BD170" s="173"/>
      <c r="BE170" s="528">
        <f t="shared" ref="BE170:BE210" si="483">Rdson*BA170^2</f>
        <v>1.7449774908363684E-2</v>
      </c>
      <c r="BF170" s="528">
        <f t="shared" si="464"/>
        <v>0.45393181304403479</v>
      </c>
      <c r="BG170" s="528">
        <f t="shared" si="465"/>
        <v>0.12480874159699848</v>
      </c>
      <c r="BH170" s="528">
        <f t="shared" ref="BH170:BH210" si="484">0.5*(Coss+Csw)*L170^2*AM170*1000</f>
        <v>0.17957395638991264</v>
      </c>
      <c r="BI170">
        <f t="shared" ref="BI170:BI210" si="485">J170*IQ</f>
        <v>8.5143367488606306E-3</v>
      </c>
      <c r="BJ170" s="460">
        <f t="shared" si="436"/>
        <v>133.3230783458591</v>
      </c>
      <c r="BK170">
        <f t="shared" si="466"/>
        <v>0.65839674024802164</v>
      </c>
      <c r="BL170" s="460">
        <f t="shared" si="437"/>
        <v>784.27862268817023</v>
      </c>
      <c r="BM170" s="173">
        <f t="shared" si="467"/>
        <v>0.37274999999999997</v>
      </c>
      <c r="BN170" s="173">
        <f t="shared" si="468"/>
        <v>9.3187499999999993E-2</v>
      </c>
      <c r="BO170" s="528"/>
      <c r="BQ170" s="460">
        <f t="shared" ref="BQ170:BQ210" si="486">SUM(BM170:BP170)*1000</f>
        <v>465.93749999999994</v>
      </c>
      <c r="BR170" s="528">
        <f t="shared" ref="BR170:BR210" si="487">Rdcr_pri*BA170^2</f>
        <v>2.6174662362545526E-2</v>
      </c>
      <c r="BS170" s="528">
        <f t="shared" ref="BS170:BS210" si="488">Rdcr_sec*BB170^2</f>
        <v>3.298688549637592E-2</v>
      </c>
      <c r="BT170" s="528">
        <f t="shared" ref="BT170:BT210" si="489">Rdcr_sec2*BC170^2</f>
        <v>3.3159286678504469E-4</v>
      </c>
      <c r="BU170" s="528">
        <f t="shared" ref="BU170:BU210" si="490">AI170^2.5*AM170^2.5*k_core</f>
        <v>0.64263823698055866</v>
      </c>
      <c r="BV170" s="528"/>
      <c r="BW170" s="625">
        <f t="shared" si="469"/>
        <v>8.4837603420356948E-3</v>
      </c>
      <c r="BX170" s="460">
        <f t="shared" ref="BX170:BX192" si="491">SUM(BR170:BW170)*1000</f>
        <v>710.61513804830076</v>
      </c>
      <c r="BY170" s="173">
        <f t="shared" ref="BY170:BY192" si="492">SUM(BE170:BI170,BM170:BP170,BR170:BW170)</f>
        <v>1.9608312607364715</v>
      </c>
      <c r="BZ170" s="5">
        <f t="shared" ref="BZ170:BZ192" si="493">MIN(H170+I170,O170+P170)</f>
        <v>10.799999999999999</v>
      </c>
      <c r="CA170" s="173">
        <f t="shared" ref="CA170:CA192" si="494">BZ170/(BZ170+BY170)</f>
        <v>0.84633984881770896</v>
      </c>
      <c r="CB170" s="5">
        <f t="shared" ref="CB170:CB192" si="495">CA170*100</f>
        <v>84.6339848817709</v>
      </c>
      <c r="CC170">
        <f t="shared" ref="CC170:CC192" si="496">F170/Iout*100</f>
        <v>60</v>
      </c>
      <c r="CE170" s="562">
        <f t="shared" si="470"/>
        <v>-50</v>
      </c>
      <c r="CF170">
        <f t="shared" si="471"/>
        <v>-50</v>
      </c>
      <c r="CG170" s="173">
        <f t="shared" si="370"/>
        <v>0.51480154889510166</v>
      </c>
      <c r="CH170" s="173">
        <f t="shared" si="472"/>
        <v>0.18198046272135288</v>
      </c>
      <c r="CI170" s="170">
        <v>60</v>
      </c>
      <c r="CJ170" s="217">
        <f t="shared" si="438"/>
        <v>0.6</v>
      </c>
      <c r="CK170" s="217">
        <f t="shared" si="372"/>
        <v>0.15</v>
      </c>
      <c r="CL170" s="217">
        <f t="shared" si="373"/>
        <v>9.6</v>
      </c>
      <c r="CM170" s="217">
        <f t="shared" si="374"/>
        <v>1.2</v>
      </c>
      <c r="CN170" s="541">
        <f t="shared" si="375"/>
        <v>19</v>
      </c>
      <c r="CO170" s="443">
        <f t="shared" si="473"/>
        <v>16.7</v>
      </c>
      <c r="CP170" s="443">
        <f t="shared" si="474"/>
        <v>35.700000000000003</v>
      </c>
      <c r="CQ170" s="443"/>
      <c r="CR170" s="217">
        <f t="shared" si="378"/>
        <v>0.4632768361581921</v>
      </c>
      <c r="CS170" s="172">
        <f t="shared" si="379"/>
        <v>19.560577526679221</v>
      </c>
      <c r="CT170" s="172">
        <f t="shared" si="380"/>
        <v>2.7507062146892656</v>
      </c>
      <c r="CU170" s="217">
        <f t="shared" si="381"/>
        <v>1.2225360954174513</v>
      </c>
      <c r="CV170" s="217">
        <f t="shared" si="382"/>
        <v>2.4450721908349027</v>
      </c>
      <c r="CW170" s="217">
        <f t="shared" si="383"/>
        <v>16</v>
      </c>
      <c r="CX170" s="217">
        <f t="shared" si="384"/>
        <v>2.4539152759948646</v>
      </c>
      <c r="CY170" s="217">
        <f t="shared" si="385"/>
        <v>1.5498412269441251</v>
      </c>
      <c r="CZ170" s="217">
        <f t="shared" si="386"/>
        <v>1.7632924138885255</v>
      </c>
      <c r="DA170" s="197">
        <f t="shared" si="387"/>
        <v>350</v>
      </c>
      <c r="DB170" s="443">
        <f t="shared" si="388"/>
        <v>301.82905623712838</v>
      </c>
      <c r="DD170" s="217">
        <f t="shared" si="389"/>
        <v>2.1161798052554355</v>
      </c>
      <c r="DE170" s="173">
        <f t="shared" si="390"/>
        <v>1.5206082432973189</v>
      </c>
      <c r="DF170" s="173">
        <f t="shared" si="391"/>
        <v>0.50055918207100247</v>
      </c>
      <c r="DG170" s="173"/>
      <c r="DH170" s="173">
        <f t="shared" si="392"/>
        <v>0.71856287425149712</v>
      </c>
      <c r="DI170" s="545">
        <f t="shared" si="393"/>
        <v>1669.9999999999998</v>
      </c>
      <c r="DJ170" s="528">
        <f t="shared" si="394"/>
        <v>0.125748502994012</v>
      </c>
      <c r="DL170" s="173">
        <f t="shared" si="395"/>
        <v>2.2677868380553634</v>
      </c>
      <c r="DM170" s="173">
        <f t="shared" si="396"/>
        <v>2.4539152759948646</v>
      </c>
      <c r="DN170" s="173">
        <f t="shared" si="397"/>
        <v>2.2769742785147145</v>
      </c>
      <c r="DP170" s="545">
        <f t="shared" si="398"/>
        <v>600</v>
      </c>
      <c r="DQ170" s="460">
        <f t="shared" si="399"/>
        <v>301.82905623712838</v>
      </c>
      <c r="DS170">
        <f t="shared" si="400"/>
        <v>600</v>
      </c>
      <c r="DT170">
        <f t="shared" si="401"/>
        <v>301.82905623712838</v>
      </c>
      <c r="DV170" s="5">
        <f t="shared" si="402"/>
        <v>3.3131336408326506</v>
      </c>
      <c r="DW170" s="5">
        <f t="shared" si="403"/>
        <v>1.5498412269441251</v>
      </c>
      <c r="DX170" s="5">
        <f t="shared" si="404"/>
        <v>1.7632924138885255</v>
      </c>
      <c r="DY170" s="173">
        <f t="shared" si="405"/>
        <v>0.46778711484593838</v>
      </c>
      <c r="EA170" s="5">
        <f t="shared" si="406"/>
        <v>5.8119046010404691</v>
      </c>
      <c r="EB170" s="5">
        <f t="shared" si="407"/>
        <v>2.9059523005202346</v>
      </c>
      <c r="EC170" s="5">
        <f t="shared" si="408"/>
        <v>0.74243891111095806</v>
      </c>
      <c r="ED170" s="5"/>
      <c r="EE170" s="173">
        <f t="shared" si="409"/>
        <v>0.96899840978425045</v>
      </c>
      <c r="EF170" s="173">
        <f t="shared" si="410"/>
        <v>1.033574126880076</v>
      </c>
      <c r="EG170" s="173">
        <f t="shared" si="411"/>
        <v>0.25383364586613627</v>
      </c>
      <c r="EH170" s="173"/>
      <c r="EI170" s="528">
        <f t="shared" si="412"/>
        <v>1.8779158363288122E-2</v>
      </c>
      <c r="EJ170" s="528">
        <f t="shared" si="413"/>
        <v>0.50239166666666668</v>
      </c>
      <c r="EK170" s="528">
        <f t="shared" si="414"/>
        <v>3.471034146726977E-2</v>
      </c>
      <c r="EL170" s="528">
        <f t="shared" si="415"/>
        <v>0.18945397108770148</v>
      </c>
      <c r="EM170">
        <f t="shared" si="416"/>
        <v>8.5500000000000003E-3</v>
      </c>
      <c r="EN170" s="460">
        <f t="shared" si="417"/>
        <v>43.260341467269775</v>
      </c>
      <c r="EP170" s="460">
        <f t="shared" si="439"/>
        <v>753.88513758492604</v>
      </c>
      <c r="EQ170" s="173">
        <f t="shared" si="418"/>
        <v>0.42</v>
      </c>
      <c r="ER170" s="173">
        <f t="shared" si="475"/>
        <v>6.6562499999999997E-2</v>
      </c>
      <c r="ES170" s="528"/>
      <c r="EU170" s="460">
        <f t="shared" ref="EU170:EU210" si="497">SUM(EQ170:ET170)*1000</f>
        <v>486.5625</v>
      </c>
      <c r="EV170" s="528">
        <f t="shared" si="421"/>
        <v>2.8168737544932182E-2</v>
      </c>
      <c r="EW170" s="528">
        <f t="shared" si="422"/>
        <v>3.2048264272677339E-2</v>
      </c>
      <c r="EX170" s="528">
        <f t="shared" si="423"/>
        <v>3.2215759886847537E-4</v>
      </c>
      <c r="EY170" s="528">
        <f t="shared" si="424"/>
        <v>0.74648576287198376</v>
      </c>
      <c r="EZ170" s="528"/>
      <c r="FA170" s="625">
        <f t="shared" si="425"/>
        <v>9.0876204140192627E-3</v>
      </c>
      <c r="FB170" s="460">
        <f t="shared" ref="FB170:FB192" si="498">SUM(EV170:FA170)*1000</f>
        <v>816.11254270248105</v>
      </c>
      <c r="FC170" s="173">
        <f t="shared" si="427"/>
        <v>2.0565601802874074</v>
      </c>
      <c r="FD170" s="5">
        <f t="shared" si="428"/>
        <v>10.799999999999999</v>
      </c>
      <c r="FE170" s="173">
        <f t="shared" si="429"/>
        <v>0.84003806994652641</v>
      </c>
      <c r="FF170" s="5">
        <f t="shared" si="430"/>
        <v>84.003806994652635</v>
      </c>
      <c r="FG170">
        <f t="shared" si="431"/>
        <v>60</v>
      </c>
      <c r="FI170" s="562">
        <f t="shared" si="432"/>
        <v>-50</v>
      </c>
      <c r="FJ170">
        <f t="shared" si="433"/>
        <v>-50</v>
      </c>
    </row>
    <row r="171" spans="5:166">
      <c r="E171" s="170">
        <v>61</v>
      </c>
      <c r="F171" s="217">
        <f t="shared" si="476"/>
        <v>0.61</v>
      </c>
      <c r="G171" s="217">
        <f t="shared" si="444"/>
        <v>0.1525</v>
      </c>
      <c r="H171" s="217">
        <f t="shared" si="445"/>
        <v>9.76</v>
      </c>
      <c r="I171" s="217">
        <f t="shared" si="446"/>
        <v>1.22</v>
      </c>
      <c r="J171" s="541">
        <f t="shared" si="447"/>
        <v>18.919427469648092</v>
      </c>
      <c r="K171" s="443">
        <f t="shared" si="448"/>
        <v>16.735547678594354</v>
      </c>
      <c r="L171" s="172">
        <f t="shared" si="449"/>
        <v>35.654975148242443</v>
      </c>
      <c r="M171" s="443"/>
      <c r="N171" s="217">
        <f t="shared" si="450"/>
        <v>0.46937482382228801</v>
      </c>
      <c r="O171" s="172">
        <f t="shared" si="451"/>
        <v>19.734006523076953</v>
      </c>
      <c r="P171" s="172">
        <f t="shared" si="452"/>
        <v>2.7750946673076964</v>
      </c>
      <c r="Q171" s="217">
        <f t="shared" si="322"/>
        <v>1.2333754076923096</v>
      </c>
      <c r="R171" s="217">
        <f t="shared" si="453"/>
        <v>2.4667508153846192</v>
      </c>
      <c r="S171" s="217">
        <f t="shared" si="454"/>
        <v>16</v>
      </c>
      <c r="T171" s="217">
        <f t="shared" si="455"/>
        <v>2.4728886119974303</v>
      </c>
      <c r="U171" s="217">
        <f t="shared" si="326"/>
        <v>1.5684757581367299</v>
      </c>
      <c r="V171" s="217">
        <f t="shared" si="327"/>
        <v>1.7731516119980117</v>
      </c>
      <c r="W171" s="197">
        <f t="shared" si="328"/>
        <v>350</v>
      </c>
      <c r="X171" s="443">
        <f t="shared" si="435"/>
        <v>282.35607405585273</v>
      </c>
      <c r="Z171" s="217">
        <f t="shared" si="329"/>
        <v>2.1143578417582449</v>
      </c>
      <c r="AA171" s="173">
        <f t="shared" si="330"/>
        <v>1.5160719319363201</v>
      </c>
      <c r="AB171" s="173">
        <f t="shared" si="456"/>
        <v>0.49863622323808698</v>
      </c>
      <c r="AC171" s="173"/>
      <c r="AD171" s="173">
        <f t="shared" si="332"/>
        <v>0.71703658765518807</v>
      </c>
      <c r="AE171" s="545">
        <f t="shared" si="457"/>
        <v>1701.4473473237595</v>
      </c>
      <c r="AF171" s="528">
        <f t="shared" si="458"/>
        <v>0.12548140283965792</v>
      </c>
      <c r="AH171" s="173">
        <f t="shared" si="459"/>
        <v>2.2866069685390684</v>
      </c>
      <c r="AI171" s="173">
        <f t="shared" si="460"/>
        <v>2.4728886119974303</v>
      </c>
      <c r="AJ171" s="173">
        <f t="shared" si="461"/>
        <v>2.291028601479578</v>
      </c>
      <c r="AL171" s="545">
        <f t="shared" si="462"/>
        <v>610</v>
      </c>
      <c r="AM171" s="460">
        <f t="shared" si="463"/>
        <v>282.35607405585273</v>
      </c>
      <c r="AO171">
        <f t="shared" si="340"/>
        <v>610</v>
      </c>
      <c r="AP171">
        <f t="shared" si="341"/>
        <v>282.35607405585273</v>
      </c>
      <c r="AR171" s="5">
        <f t="shared" si="443"/>
        <v>3.5416273701347412</v>
      </c>
      <c r="AS171" s="5">
        <f t="shared" si="440"/>
        <v>1.5684757581367299</v>
      </c>
      <c r="AT171" s="5">
        <f t="shared" si="441"/>
        <v>1.9731516119980113</v>
      </c>
      <c r="AU171" s="173">
        <f t="shared" si="442"/>
        <v>0.44286865731926428</v>
      </c>
      <c r="AW171" s="5">
        <f t="shared" si="477"/>
        <v>5.9798138278962822</v>
      </c>
      <c r="AX171" s="5">
        <f t="shared" si="478"/>
        <v>2.9899069139481411</v>
      </c>
      <c r="AY171" s="5">
        <f t="shared" si="479"/>
        <v>0.848244472689761</v>
      </c>
      <c r="AZ171" s="5"/>
      <c r="BA171" s="173">
        <f t="shared" si="480"/>
        <v>0.95012643172919631</v>
      </c>
      <c r="BB171" s="173">
        <f t="shared" si="481"/>
        <v>1.0656699580600633</v>
      </c>
      <c r="BC171" s="173">
        <f t="shared" si="482"/>
        <v>0.26171600440592735</v>
      </c>
      <c r="BD171" s="173"/>
      <c r="BE171" s="528">
        <f t="shared" si="483"/>
        <v>1.8054804725409105E-2</v>
      </c>
      <c r="BF171" s="528">
        <f t="shared" si="464"/>
        <v>0.45434389432465572</v>
      </c>
      <c r="BG171" s="528">
        <f t="shared" si="465"/>
        <v>0.12286635106542869</v>
      </c>
      <c r="BH171" s="528">
        <f t="shared" si="484"/>
        <v>0.17678428066556012</v>
      </c>
      <c r="BI171">
        <f t="shared" si="485"/>
        <v>8.5137423613416419E-3</v>
      </c>
      <c r="BJ171" s="460">
        <f t="shared" si="436"/>
        <v>131.38009342677032</v>
      </c>
      <c r="BK171">
        <f t="shared" si="466"/>
        <v>0.65687565637251744</v>
      </c>
      <c r="BL171" s="460">
        <f t="shared" si="437"/>
        <v>780.5630731423953</v>
      </c>
      <c r="BM171" s="173">
        <f t="shared" si="467"/>
        <v>0.37896249999999998</v>
      </c>
      <c r="BN171" s="173">
        <f t="shared" si="468"/>
        <v>9.4740624999999995E-2</v>
      </c>
      <c r="BO171" s="528"/>
      <c r="BQ171" s="460">
        <f t="shared" si="486"/>
        <v>473.703125</v>
      </c>
      <c r="BR171" s="528">
        <f t="shared" si="487"/>
        <v>2.7082207088113656E-2</v>
      </c>
      <c r="BS171" s="528">
        <f t="shared" si="488"/>
        <v>3.4069573785352109E-2</v>
      </c>
      <c r="BT171" s="528">
        <f t="shared" si="489"/>
        <v>3.4247633481101694E-4</v>
      </c>
      <c r="BU171" s="528">
        <f t="shared" si="490"/>
        <v>0.64413103965494234</v>
      </c>
      <c r="BV171" s="528"/>
      <c r="BW171" s="625">
        <f t="shared" si="469"/>
        <v>8.633288384477791E-3</v>
      </c>
      <c r="BX171" s="460">
        <f t="shared" si="491"/>
        <v>714.25858524769683</v>
      </c>
      <c r="BY171" s="173">
        <f t="shared" si="492"/>
        <v>1.9685247833900918</v>
      </c>
      <c r="BZ171" s="5">
        <f t="shared" si="493"/>
        <v>10.98</v>
      </c>
      <c r="CA171" s="173">
        <f t="shared" si="494"/>
        <v>0.84797304586270361</v>
      </c>
      <c r="CB171" s="5">
        <f t="shared" si="495"/>
        <v>84.797304586270357</v>
      </c>
      <c r="CC171">
        <f t="shared" si="496"/>
        <v>61</v>
      </c>
      <c r="CE171" s="562">
        <f t="shared" si="470"/>
        <v>-50</v>
      </c>
      <c r="CF171">
        <f t="shared" si="471"/>
        <v>-50</v>
      </c>
      <c r="CG171" s="173">
        <f t="shared" si="370"/>
        <v>0.51480154889510155</v>
      </c>
      <c r="CH171" s="173">
        <f t="shared" si="472"/>
        <v>0.18198046272135282</v>
      </c>
      <c r="CI171" s="170">
        <v>61</v>
      </c>
      <c r="CJ171" s="217">
        <f t="shared" si="438"/>
        <v>0.61</v>
      </c>
      <c r="CK171" s="217">
        <f t="shared" si="372"/>
        <v>0.1525</v>
      </c>
      <c r="CL171" s="217">
        <f t="shared" si="373"/>
        <v>9.76</v>
      </c>
      <c r="CM171" s="217">
        <f t="shared" si="374"/>
        <v>1.22</v>
      </c>
      <c r="CN171" s="541">
        <f t="shared" si="375"/>
        <v>19</v>
      </c>
      <c r="CO171" s="443">
        <f t="shared" si="473"/>
        <v>16.7</v>
      </c>
      <c r="CP171" s="443">
        <f t="shared" si="474"/>
        <v>35.700000000000003</v>
      </c>
      <c r="CQ171" s="443"/>
      <c r="CR171" s="217">
        <f t="shared" si="378"/>
        <v>0.4632768361581921</v>
      </c>
      <c r="CS171" s="172">
        <f t="shared" si="379"/>
        <v>19.560577526679221</v>
      </c>
      <c r="CT171" s="172">
        <f t="shared" si="380"/>
        <v>2.7507062146892656</v>
      </c>
      <c r="CU171" s="217">
        <f t="shared" si="381"/>
        <v>1.2225360954174513</v>
      </c>
      <c r="CV171" s="217">
        <f t="shared" si="382"/>
        <v>2.4450721908349027</v>
      </c>
      <c r="CW171" s="217">
        <f t="shared" si="383"/>
        <v>16</v>
      </c>
      <c r="CX171" s="217">
        <f t="shared" si="384"/>
        <v>2.4948138639281128</v>
      </c>
      <c r="CY171" s="217">
        <f t="shared" si="385"/>
        <v>1.575671914059861</v>
      </c>
      <c r="CZ171" s="217">
        <f t="shared" si="386"/>
        <v>1.7926806207866681</v>
      </c>
      <c r="DA171" s="197">
        <f t="shared" si="387"/>
        <v>350</v>
      </c>
      <c r="DB171" s="443">
        <f t="shared" si="388"/>
        <v>296.88103892176554</v>
      </c>
      <c r="DD171" s="217">
        <f t="shared" si="389"/>
        <v>2.1161798052554355</v>
      </c>
      <c r="DE171" s="173">
        <f t="shared" si="390"/>
        <v>1.5206082432973189</v>
      </c>
      <c r="DF171" s="173">
        <f t="shared" si="391"/>
        <v>0.50055918207100247</v>
      </c>
      <c r="DG171" s="173"/>
      <c r="DH171" s="173">
        <f t="shared" si="392"/>
        <v>0.71856287425149712</v>
      </c>
      <c r="DI171" s="545">
        <f t="shared" si="393"/>
        <v>1697.833333333333</v>
      </c>
      <c r="DJ171" s="528">
        <f t="shared" si="394"/>
        <v>0.125748502994012</v>
      </c>
      <c r="DL171" s="173">
        <f t="shared" si="395"/>
        <v>2.2866069685390684</v>
      </c>
      <c r="DM171" s="173">
        <f t="shared" si="396"/>
        <v>2.4948138639281128</v>
      </c>
      <c r="DN171" s="173">
        <f t="shared" si="397"/>
        <v>2.3072695288356391</v>
      </c>
      <c r="DP171" s="545">
        <f t="shared" si="398"/>
        <v>610</v>
      </c>
      <c r="DQ171" s="460">
        <f t="shared" si="399"/>
        <v>296.88103892176554</v>
      </c>
      <c r="DS171">
        <f t="shared" si="400"/>
        <v>610</v>
      </c>
      <c r="DT171">
        <f t="shared" si="401"/>
        <v>296.88103892176554</v>
      </c>
      <c r="DV171" s="5">
        <f t="shared" si="402"/>
        <v>3.3683525348465286</v>
      </c>
      <c r="DW171" s="5">
        <f t="shared" si="403"/>
        <v>1.575671914059861</v>
      </c>
      <c r="DX171" s="5">
        <f t="shared" si="404"/>
        <v>1.7926806207866677</v>
      </c>
      <c r="DY171" s="173">
        <f t="shared" si="405"/>
        <v>0.46778711484593843</v>
      </c>
      <c r="EA171" s="5">
        <f t="shared" si="406"/>
        <v>6.0072491723532195</v>
      </c>
      <c r="EB171" s="5">
        <f t="shared" si="407"/>
        <v>3.0036245861766098</v>
      </c>
      <c r="EC171" s="5">
        <f t="shared" si="408"/>
        <v>0.76739310784552073</v>
      </c>
      <c r="ED171" s="5"/>
      <c r="EE171" s="173">
        <f t="shared" si="409"/>
        <v>0.98514838328065502</v>
      </c>
      <c r="EF171" s="173">
        <f t="shared" si="410"/>
        <v>1.0508003623280773</v>
      </c>
      <c r="EG171" s="173">
        <f t="shared" si="411"/>
        <v>0.25806420663057189</v>
      </c>
      <c r="EH171" s="173"/>
      <c r="EI171" s="528">
        <f t="shared" si="412"/>
        <v>1.9410346741609769E-2</v>
      </c>
      <c r="EJ171" s="528">
        <f t="shared" si="413"/>
        <v>0.50239166666666668</v>
      </c>
      <c r="EK171" s="528">
        <f t="shared" si="414"/>
        <v>3.4141319476003046E-2</v>
      </c>
      <c r="EL171" s="528">
        <f t="shared" si="415"/>
        <v>0.18634816828298501</v>
      </c>
      <c r="EM171">
        <f t="shared" si="416"/>
        <v>8.5500000000000003E-3</v>
      </c>
      <c r="EN171" s="460">
        <f t="shared" si="417"/>
        <v>42.691319476003045</v>
      </c>
      <c r="EP171" s="460">
        <f t="shared" si="439"/>
        <v>750.8415011672646</v>
      </c>
      <c r="EQ171" s="173">
        <f t="shared" si="418"/>
        <v>0.42699999999999999</v>
      </c>
      <c r="ER171" s="173">
        <f t="shared" si="475"/>
        <v>6.7671874999999992E-2</v>
      </c>
      <c r="ES171" s="528"/>
      <c r="EU171" s="460">
        <f t="shared" si="497"/>
        <v>494.671875</v>
      </c>
      <c r="EV171" s="528">
        <f t="shared" si="421"/>
        <v>2.9115520112414649E-2</v>
      </c>
      <c r="EW171" s="528">
        <f t="shared" si="422"/>
        <v>3.3125442044064556E-2</v>
      </c>
      <c r="EX171" s="528">
        <f t="shared" si="423"/>
        <v>3.3298567371933249E-4</v>
      </c>
      <c r="EY171" s="528">
        <f t="shared" si="424"/>
        <v>0.74648576287198387</v>
      </c>
      <c r="EZ171" s="528"/>
      <c r="FA171" s="625">
        <f t="shared" si="425"/>
        <v>9.239080754252919E-3</v>
      </c>
      <c r="FB171" s="460">
        <f t="shared" si="498"/>
        <v>818.29879145643531</v>
      </c>
      <c r="FC171" s="173">
        <f t="shared" si="427"/>
        <v>2.0638121676237002</v>
      </c>
      <c r="FD171" s="5">
        <f t="shared" si="428"/>
        <v>10.98</v>
      </c>
      <c r="FE171" s="173">
        <f t="shared" si="429"/>
        <v>0.84177845087754877</v>
      </c>
      <c r="FF171" s="5">
        <f t="shared" si="430"/>
        <v>84.177845087754875</v>
      </c>
      <c r="FG171">
        <f t="shared" si="431"/>
        <v>61</v>
      </c>
      <c r="FI171" s="562">
        <f t="shared" si="432"/>
        <v>-50</v>
      </c>
      <c r="FJ171">
        <f t="shared" si="433"/>
        <v>-50</v>
      </c>
    </row>
    <row r="172" spans="5:166">
      <c r="E172" s="170">
        <v>62</v>
      </c>
      <c r="F172" s="217">
        <f t="shared" si="476"/>
        <v>0.62</v>
      </c>
      <c r="G172" s="217">
        <f t="shared" si="444"/>
        <v>0.155</v>
      </c>
      <c r="H172" s="217">
        <f t="shared" si="445"/>
        <v>9.92</v>
      </c>
      <c r="I172" s="217">
        <f t="shared" si="446"/>
        <v>1.24</v>
      </c>
      <c r="J172" s="541">
        <f t="shared" si="447"/>
        <v>18.918106608494782</v>
      </c>
      <c r="K172" s="443">
        <f t="shared" si="448"/>
        <v>16.73613042742377</v>
      </c>
      <c r="L172" s="172">
        <f t="shared" si="449"/>
        <v>35.654237035918555</v>
      </c>
      <c r="M172" s="443"/>
      <c r="N172" s="217">
        <f t="shared" si="450"/>
        <v>0.46940088524580031</v>
      </c>
      <c r="O172" s="172">
        <f t="shared" si="451"/>
        <v>19.73372442044861</v>
      </c>
      <c r="P172" s="172">
        <f t="shared" si="452"/>
        <v>2.775054996625586</v>
      </c>
      <c r="Q172" s="217">
        <f t="shared" si="322"/>
        <v>1.2333577762780381</v>
      </c>
      <c r="R172" s="217">
        <f t="shared" si="453"/>
        <v>2.4667155525560762</v>
      </c>
      <c r="S172" s="217">
        <f t="shared" si="454"/>
        <v>16</v>
      </c>
      <c r="T172" s="217">
        <f t="shared" si="455"/>
        <v>2.5134637001722369</v>
      </c>
      <c r="U172" s="217">
        <f t="shared" si="326"/>
        <v>1.5943225728796466</v>
      </c>
      <c r="V172" s="217">
        <f t="shared" si="327"/>
        <v>1.8021826809286929</v>
      </c>
      <c r="W172" s="197">
        <f t="shared" si="328"/>
        <v>350</v>
      </c>
      <c r="X172" s="443">
        <f t="shared" si="435"/>
        <v>278.04769614644658</v>
      </c>
      <c r="Z172" s="217">
        <f t="shared" si="329"/>
        <v>2.1143276164766371</v>
      </c>
      <c r="AA172" s="173">
        <f t="shared" si="330"/>
        <v>1.5159974707262844</v>
      </c>
      <c r="AB172" s="173">
        <f t="shared" si="456"/>
        <v>0.49860460515682681</v>
      </c>
      <c r="AC172" s="173"/>
      <c r="AD172" s="173">
        <f t="shared" si="332"/>
        <v>0.71701162057967938</v>
      </c>
      <c r="AE172" s="545">
        <f t="shared" si="457"/>
        <v>1729.4001441671228</v>
      </c>
      <c r="AF172" s="528">
        <f t="shared" si="458"/>
        <v>0.12547703360144391</v>
      </c>
      <c r="AH172" s="173">
        <f t="shared" si="459"/>
        <v>2.3052734575936351</v>
      </c>
      <c r="AI172" s="173">
        <f t="shared" si="460"/>
        <v>2.5134637001722369</v>
      </c>
      <c r="AJ172" s="173">
        <f t="shared" si="461"/>
        <v>2.3210842223498052</v>
      </c>
      <c r="AL172" s="545">
        <f t="shared" si="462"/>
        <v>620</v>
      </c>
      <c r="AM172" s="460">
        <f t="shared" si="463"/>
        <v>278.04769614644658</v>
      </c>
      <c r="AO172">
        <f t="shared" si="340"/>
        <v>620</v>
      </c>
      <c r="AP172">
        <f t="shared" si="341"/>
        <v>278.04769614644658</v>
      </c>
      <c r="AR172" s="5">
        <f t="shared" si="443"/>
        <v>3.5965052538083397</v>
      </c>
      <c r="AS172" s="5">
        <f t="shared" si="440"/>
        <v>1.5943225728796466</v>
      </c>
      <c r="AT172" s="5">
        <f t="shared" si="441"/>
        <v>2.0021826809286933</v>
      </c>
      <c r="AU172" s="173">
        <f t="shared" si="442"/>
        <v>0.44329771830346093</v>
      </c>
      <c r="AW172" s="5">
        <f t="shared" si="477"/>
        <v>6.1779999699086305</v>
      </c>
      <c r="AX172" s="5">
        <f t="shared" si="478"/>
        <v>3.0889999849543153</v>
      </c>
      <c r="AY172" s="5">
        <f t="shared" si="479"/>
        <v>0.87489605442748053</v>
      </c>
      <c r="AZ172" s="5"/>
      <c r="BA172" s="173">
        <f t="shared" si="480"/>
        <v>0.96618377036449532</v>
      </c>
      <c r="BB172" s="173">
        <f t="shared" si="481"/>
        <v>1.0827382782766197</v>
      </c>
      <c r="BC172" s="173">
        <f t="shared" si="482"/>
        <v>0.26590778304734636</v>
      </c>
      <c r="BD172" s="173"/>
      <c r="BE172" s="528">
        <f t="shared" si="483"/>
        <v>1.8670221562315039E-2</v>
      </c>
      <c r="BF172" s="528">
        <f t="shared" si="464"/>
        <v>0.4547429079251547</v>
      </c>
      <c r="BG172" s="528">
        <f t="shared" si="465"/>
        <v>0.12098312703273133</v>
      </c>
      <c r="BH172" s="528">
        <f t="shared" si="484"/>
        <v>0.17407958017138389</v>
      </c>
      <c r="BI172">
        <f t="shared" si="485"/>
        <v>8.5131479738226514E-3</v>
      </c>
      <c r="BJ172" s="460">
        <f t="shared" si="436"/>
        <v>129.49627500655399</v>
      </c>
      <c r="BK172">
        <f t="shared" si="466"/>
        <v>0.6554412360648606</v>
      </c>
      <c r="BL172" s="460">
        <f t="shared" si="437"/>
        <v>776.98898466540754</v>
      </c>
      <c r="BM172" s="173">
        <f t="shared" si="467"/>
        <v>0.38517499999999999</v>
      </c>
      <c r="BN172" s="173">
        <f t="shared" si="468"/>
        <v>9.6293749999999997E-2</v>
      </c>
      <c r="BO172" s="528"/>
      <c r="BQ172" s="460">
        <f t="shared" si="486"/>
        <v>481.46875</v>
      </c>
      <c r="BR172" s="528">
        <f t="shared" si="487"/>
        <v>2.8005332343472553E-2</v>
      </c>
      <c r="BS172" s="528">
        <f t="shared" si="488"/>
        <v>3.5169665377362561E-2</v>
      </c>
      <c r="BT172" s="528">
        <f t="shared" si="489"/>
        <v>3.535347454257731E-4</v>
      </c>
      <c r="BU172" s="528">
        <f t="shared" si="490"/>
        <v>0.64557960283449656</v>
      </c>
      <c r="BV172" s="528"/>
      <c r="BW172" s="625">
        <f t="shared" si="469"/>
        <v>8.7828312851676096E-3</v>
      </c>
      <c r="BX172" s="460">
        <f t="shared" si="491"/>
        <v>717.89096658592507</v>
      </c>
      <c r="BY172" s="173">
        <f t="shared" si="492"/>
        <v>1.9763487012513326</v>
      </c>
      <c r="BZ172" s="5">
        <f t="shared" si="493"/>
        <v>11.16</v>
      </c>
      <c r="CA172" s="173">
        <f t="shared" si="494"/>
        <v>0.84955113888967715</v>
      </c>
      <c r="CB172" s="5">
        <f t="shared" si="495"/>
        <v>84.955113888967716</v>
      </c>
      <c r="CC172">
        <f t="shared" si="496"/>
        <v>62</v>
      </c>
      <c r="CE172" s="562">
        <f t="shared" si="470"/>
        <v>-50</v>
      </c>
      <c r="CF172">
        <f t="shared" si="471"/>
        <v>-50</v>
      </c>
      <c r="CG172" s="173">
        <f t="shared" si="370"/>
        <v>0.51480154889510155</v>
      </c>
      <c r="CH172" s="173">
        <f t="shared" si="472"/>
        <v>0.18198046272135285</v>
      </c>
      <c r="CI172" s="170">
        <v>62</v>
      </c>
      <c r="CJ172" s="217">
        <f t="shared" si="438"/>
        <v>0.62</v>
      </c>
      <c r="CK172" s="217">
        <f t="shared" si="372"/>
        <v>0.155</v>
      </c>
      <c r="CL172" s="217">
        <f t="shared" si="373"/>
        <v>9.92</v>
      </c>
      <c r="CM172" s="217">
        <f t="shared" si="374"/>
        <v>1.24</v>
      </c>
      <c r="CN172" s="541">
        <f t="shared" si="375"/>
        <v>19</v>
      </c>
      <c r="CO172" s="443">
        <f t="shared" si="473"/>
        <v>16.7</v>
      </c>
      <c r="CP172" s="443">
        <f t="shared" si="474"/>
        <v>35.700000000000003</v>
      </c>
      <c r="CQ172" s="443"/>
      <c r="CR172" s="217">
        <f t="shared" si="378"/>
        <v>0.4632768361581921</v>
      </c>
      <c r="CS172" s="172">
        <f t="shared" si="379"/>
        <v>19.560577526679221</v>
      </c>
      <c r="CT172" s="172">
        <f t="shared" si="380"/>
        <v>2.7507062146892656</v>
      </c>
      <c r="CU172" s="217">
        <f t="shared" si="381"/>
        <v>1.2225360954174513</v>
      </c>
      <c r="CV172" s="217">
        <f t="shared" si="382"/>
        <v>2.4450721908349027</v>
      </c>
      <c r="CW172" s="217">
        <f t="shared" si="383"/>
        <v>16</v>
      </c>
      <c r="CX172" s="217">
        <f t="shared" si="384"/>
        <v>2.5357124518613605</v>
      </c>
      <c r="CY172" s="217">
        <f t="shared" si="385"/>
        <v>1.6015026011755962</v>
      </c>
      <c r="CZ172" s="217">
        <f t="shared" si="386"/>
        <v>1.82206882768481</v>
      </c>
      <c r="DA172" s="197">
        <f t="shared" si="387"/>
        <v>350</v>
      </c>
      <c r="DB172" s="443">
        <f t="shared" si="388"/>
        <v>292.09263506818871</v>
      </c>
      <c r="DD172" s="217">
        <f t="shared" si="389"/>
        <v>2.1161798052554355</v>
      </c>
      <c r="DE172" s="173">
        <f t="shared" si="390"/>
        <v>1.5206082432973189</v>
      </c>
      <c r="DF172" s="173">
        <f t="shared" si="391"/>
        <v>0.50055918207100247</v>
      </c>
      <c r="DG172" s="173"/>
      <c r="DH172" s="173">
        <f t="shared" si="392"/>
        <v>0.71856287425149712</v>
      </c>
      <c r="DI172" s="545">
        <f t="shared" si="393"/>
        <v>1725.6666666666665</v>
      </c>
      <c r="DJ172" s="528">
        <f t="shared" si="394"/>
        <v>0.125748502994012</v>
      </c>
      <c r="DL172" s="173">
        <f t="shared" si="395"/>
        <v>2.3052734575936351</v>
      </c>
      <c r="DM172" s="173">
        <f t="shared" si="396"/>
        <v>2.5357124518613605</v>
      </c>
      <c r="DN172" s="173">
        <f t="shared" si="397"/>
        <v>2.3375647791565632</v>
      </c>
      <c r="DP172" s="545">
        <f t="shared" si="398"/>
        <v>620</v>
      </c>
      <c r="DQ172" s="460">
        <f t="shared" si="399"/>
        <v>292.09263506818871</v>
      </c>
      <c r="DS172">
        <f t="shared" si="400"/>
        <v>620</v>
      </c>
      <c r="DT172">
        <f t="shared" si="401"/>
        <v>292.09263506818871</v>
      </c>
      <c r="DV172" s="5">
        <f t="shared" si="402"/>
        <v>3.4235714288604062</v>
      </c>
      <c r="DW172" s="5">
        <f t="shared" si="403"/>
        <v>1.6015026011755962</v>
      </c>
      <c r="DX172" s="5">
        <f t="shared" si="404"/>
        <v>1.82206882768481</v>
      </c>
      <c r="DY172" s="173">
        <f t="shared" si="405"/>
        <v>0.46778711484593838</v>
      </c>
      <c r="EA172" s="5">
        <f t="shared" si="406"/>
        <v>6.2058225795554351</v>
      </c>
      <c r="EB172" s="5">
        <f t="shared" si="407"/>
        <v>3.1029112897777176</v>
      </c>
      <c r="EC172" s="5">
        <f t="shared" si="408"/>
        <v>0.79275977064181202</v>
      </c>
      <c r="ED172" s="5"/>
      <c r="EE172" s="173">
        <f t="shared" si="409"/>
        <v>1.001298356777059</v>
      </c>
      <c r="EF172" s="173">
        <f t="shared" si="410"/>
        <v>1.0680265977760786</v>
      </c>
      <c r="EG172" s="173">
        <f t="shared" si="411"/>
        <v>0.26229476739500757</v>
      </c>
      <c r="EH172" s="173"/>
      <c r="EI172" s="528">
        <f t="shared" si="412"/>
        <v>2.0051967985688771E-2</v>
      </c>
      <c r="EJ172" s="528">
        <f t="shared" si="413"/>
        <v>0.50239166666666679</v>
      </c>
      <c r="EK172" s="528">
        <f t="shared" si="414"/>
        <v>3.3590653032841707E-2</v>
      </c>
      <c r="EL172" s="528">
        <f t="shared" si="415"/>
        <v>0.18334255266551755</v>
      </c>
      <c r="EM172">
        <f t="shared" si="416"/>
        <v>8.5500000000000003E-3</v>
      </c>
      <c r="EN172" s="460">
        <f t="shared" si="417"/>
        <v>42.140653032841712</v>
      </c>
      <c r="EP172" s="460">
        <f t="shared" si="439"/>
        <v>747.92684035071477</v>
      </c>
      <c r="EQ172" s="173">
        <f t="shared" si="418"/>
        <v>0.434</v>
      </c>
      <c r="ER172" s="173">
        <f t="shared" si="475"/>
        <v>6.8781250000000002E-2</v>
      </c>
      <c r="ES172" s="528"/>
      <c r="EU172" s="460">
        <f t="shared" si="497"/>
        <v>502.78124999999994</v>
      </c>
      <c r="EV172" s="528">
        <f t="shared" si="421"/>
        <v>3.0077951978533152E-2</v>
      </c>
      <c r="EW172" s="528">
        <f t="shared" si="422"/>
        <v>3.4220424406714363E-2</v>
      </c>
      <c r="EX172" s="528">
        <f t="shared" si="423"/>
        <v>3.4399272501400564E-4</v>
      </c>
      <c r="EY172" s="528">
        <f t="shared" si="424"/>
        <v>0.74648576287198332</v>
      </c>
      <c r="EZ172" s="528"/>
      <c r="FA172" s="625">
        <f t="shared" si="425"/>
        <v>9.3905410944865736E-3</v>
      </c>
      <c r="FB172" s="460">
        <f t="shared" si="498"/>
        <v>820.51867307673137</v>
      </c>
      <c r="FC172" s="173">
        <f t="shared" si="427"/>
        <v>2.0712267634274464</v>
      </c>
      <c r="FD172" s="5">
        <f t="shared" si="428"/>
        <v>11.16</v>
      </c>
      <c r="FE172" s="173">
        <f t="shared" si="429"/>
        <v>0.8434592044667738</v>
      </c>
      <c r="FF172" s="5">
        <f t="shared" si="430"/>
        <v>84.345920446677383</v>
      </c>
      <c r="FG172">
        <f t="shared" si="431"/>
        <v>62</v>
      </c>
      <c r="FI172" s="562">
        <f t="shared" si="432"/>
        <v>-50</v>
      </c>
      <c r="FJ172">
        <f t="shared" si="433"/>
        <v>-50</v>
      </c>
    </row>
    <row r="173" spans="5:166">
      <c r="E173" s="170">
        <v>63</v>
      </c>
      <c r="F173" s="217">
        <f t="shared" si="476"/>
        <v>0.63</v>
      </c>
      <c r="G173" s="217">
        <f t="shared" si="444"/>
        <v>0.1575</v>
      </c>
      <c r="H173" s="217">
        <f t="shared" si="445"/>
        <v>10.08</v>
      </c>
      <c r="I173" s="217">
        <f t="shared" si="446"/>
        <v>1.26</v>
      </c>
      <c r="J173" s="541">
        <f t="shared" si="447"/>
        <v>18.916785747341471</v>
      </c>
      <c r="K173" s="443">
        <f t="shared" si="448"/>
        <v>16.736713176253186</v>
      </c>
      <c r="L173" s="172">
        <f t="shared" si="449"/>
        <v>35.653498923594654</v>
      </c>
      <c r="M173" s="443"/>
      <c r="N173" s="217">
        <f t="shared" si="450"/>
        <v>0.4694269477483799</v>
      </c>
      <c r="O173" s="172">
        <f t="shared" si="451"/>
        <v>19.733442210187917</v>
      </c>
      <c r="P173" s="172">
        <f t="shared" si="452"/>
        <v>2.7750153108076758</v>
      </c>
      <c r="Q173" s="217">
        <f t="shared" si="322"/>
        <v>1.2333401381367448</v>
      </c>
      <c r="R173" s="217">
        <f t="shared" si="453"/>
        <v>2.4666802762734896</v>
      </c>
      <c r="S173" s="217">
        <f t="shared" si="454"/>
        <v>16</v>
      </c>
      <c r="T173" s="217">
        <f t="shared" si="455"/>
        <v>2.5540399623730954</v>
      </c>
      <c r="U173" s="217">
        <f t="shared" si="326"/>
        <v>1.6201737418728455</v>
      </c>
      <c r="V173" s="217">
        <f t="shared" si="327"/>
        <v>1.8312125699783519</v>
      </c>
      <c r="W173" s="197">
        <f t="shared" si="328"/>
        <v>350</v>
      </c>
      <c r="X173" s="443">
        <f t="shared" si="435"/>
        <v>273.8685843112051</v>
      </c>
      <c r="Z173" s="217">
        <f t="shared" si="329"/>
        <v>2.1142973796629905</v>
      </c>
      <c r="AA173" s="173">
        <f t="shared" si="330"/>
        <v>1.5159230064332003</v>
      </c>
      <c r="AB173" s="173">
        <f t="shared" si="456"/>
        <v>0.4985729840423978</v>
      </c>
      <c r="AC173" s="173"/>
      <c r="AD173" s="173">
        <f t="shared" si="332"/>
        <v>0.71698665524280769</v>
      </c>
      <c r="AE173" s="545">
        <f t="shared" si="457"/>
        <v>1757.3548835065847</v>
      </c>
      <c r="AF173" s="528">
        <f t="shared" si="458"/>
        <v>0.12547266466749132</v>
      </c>
      <c r="AH173" s="173">
        <f t="shared" si="459"/>
        <v>2.3237900077244502</v>
      </c>
      <c r="AI173" s="173">
        <f t="shared" si="460"/>
        <v>2.5540399623730954</v>
      </c>
      <c r="AJ173" s="173">
        <f t="shared" si="461"/>
        <v>2.3511407128689594</v>
      </c>
      <c r="AL173" s="545">
        <f t="shared" si="462"/>
        <v>630</v>
      </c>
      <c r="AM173" s="460">
        <f t="shared" si="463"/>
        <v>273.8685843112051</v>
      </c>
      <c r="AO173">
        <f t="shared" si="340"/>
        <v>630</v>
      </c>
      <c r="AP173">
        <f t="shared" si="341"/>
        <v>273.8685843112051</v>
      </c>
      <c r="AR173" s="5">
        <f t="shared" si="443"/>
        <v>3.6513863118511982</v>
      </c>
      <c r="AS173" s="5">
        <f t="shared" si="440"/>
        <v>1.6201737418728455</v>
      </c>
      <c r="AT173" s="5">
        <f t="shared" si="441"/>
        <v>2.0312125699783525</v>
      </c>
      <c r="AU173" s="173">
        <f t="shared" si="442"/>
        <v>0.44371468902490396</v>
      </c>
      <c r="AW173" s="5">
        <f t="shared" si="477"/>
        <v>6.3794341086243298</v>
      </c>
      <c r="AX173" s="5">
        <f t="shared" si="478"/>
        <v>3.1897170543121649</v>
      </c>
      <c r="AY173" s="5">
        <f t="shared" si="479"/>
        <v>0.90196008009532191</v>
      </c>
      <c r="AZ173" s="5"/>
      <c r="BA173" s="173">
        <f t="shared" si="480"/>
        <v>0.98224304862022527</v>
      </c>
      <c r="BB173" s="173">
        <f t="shared" si="481"/>
        <v>1.0998054236561574</v>
      </c>
      <c r="BC173" s="173">
        <f t="shared" si="482"/>
        <v>0.27009927316261512</v>
      </c>
      <c r="BD173" s="173"/>
      <c r="BE173" s="528">
        <f t="shared" si="483"/>
        <v>1.9296028131255086E-2</v>
      </c>
      <c r="BF173" s="528">
        <f t="shared" si="464"/>
        <v>0.45512944186586252</v>
      </c>
      <c r="BG173" s="528">
        <f t="shared" si="465"/>
        <v>0.11915640664388419</v>
      </c>
      <c r="BH173" s="528">
        <f t="shared" si="484"/>
        <v>0.17145603050113115</v>
      </c>
      <c r="BI173">
        <f t="shared" si="485"/>
        <v>8.5125535863036627E-3</v>
      </c>
      <c r="BJ173" s="460">
        <f t="shared" si="436"/>
        <v>127.66896023018784</v>
      </c>
      <c r="BK173">
        <f t="shared" si="466"/>
        <v>0.65409025943914034</v>
      </c>
      <c r="BL173" s="460">
        <f t="shared" si="437"/>
        <v>773.55046072843663</v>
      </c>
      <c r="BM173" s="173">
        <f t="shared" si="467"/>
        <v>0.39138749999999994</v>
      </c>
      <c r="BN173" s="173">
        <f t="shared" si="468"/>
        <v>9.7846874999999986E-2</v>
      </c>
      <c r="BO173" s="528"/>
      <c r="BQ173" s="460">
        <f t="shared" si="486"/>
        <v>489.23437499999994</v>
      </c>
      <c r="BR173" s="528">
        <f t="shared" si="487"/>
        <v>2.8944042196882628E-2</v>
      </c>
      <c r="BS173" s="528">
        <f t="shared" si="488"/>
        <v>3.6287159097104997E-2</v>
      </c>
      <c r="BT173" s="528">
        <f t="shared" si="489"/>
        <v>3.6476808681486494E-4</v>
      </c>
      <c r="BU173" s="528">
        <f t="shared" si="490"/>
        <v>0.6469858271017972</v>
      </c>
      <c r="BV173" s="528"/>
      <c r="BW173" s="625">
        <f t="shared" si="469"/>
        <v>8.9323883756518216E-3</v>
      </c>
      <c r="BX173" s="460">
        <f t="shared" si="491"/>
        <v>721.5141848582515</v>
      </c>
      <c r="BY173" s="173">
        <f t="shared" si="492"/>
        <v>1.9842990205866879</v>
      </c>
      <c r="BZ173" s="5">
        <f t="shared" si="493"/>
        <v>11.34</v>
      </c>
      <c r="CA173" s="173">
        <f t="shared" si="494"/>
        <v>0.85107666695855066</v>
      </c>
      <c r="CB173" s="5">
        <f t="shared" si="495"/>
        <v>85.107666695855073</v>
      </c>
      <c r="CC173">
        <f t="shared" si="496"/>
        <v>63</v>
      </c>
      <c r="CE173" s="562">
        <f t="shared" si="470"/>
        <v>-50</v>
      </c>
      <c r="CF173">
        <f t="shared" si="471"/>
        <v>-50</v>
      </c>
      <c r="CG173" s="173">
        <f t="shared" si="370"/>
        <v>0.51480154889510166</v>
      </c>
      <c r="CH173" s="173">
        <f t="shared" si="472"/>
        <v>0.18198046272135288</v>
      </c>
      <c r="CI173" s="170">
        <v>63</v>
      </c>
      <c r="CJ173" s="217">
        <f t="shared" si="438"/>
        <v>0.63</v>
      </c>
      <c r="CK173" s="217">
        <f t="shared" si="372"/>
        <v>0.1575</v>
      </c>
      <c r="CL173" s="217">
        <f t="shared" si="373"/>
        <v>10.08</v>
      </c>
      <c r="CM173" s="217">
        <f t="shared" si="374"/>
        <v>1.26</v>
      </c>
      <c r="CN173" s="541">
        <f t="shared" si="375"/>
        <v>19</v>
      </c>
      <c r="CO173" s="443">
        <f t="shared" si="473"/>
        <v>16.7</v>
      </c>
      <c r="CP173" s="443">
        <f t="shared" si="474"/>
        <v>35.700000000000003</v>
      </c>
      <c r="CQ173" s="443"/>
      <c r="CR173" s="217">
        <f t="shared" si="378"/>
        <v>0.4632768361581921</v>
      </c>
      <c r="CS173" s="172">
        <f t="shared" si="379"/>
        <v>19.560577526679221</v>
      </c>
      <c r="CT173" s="172">
        <f t="shared" si="380"/>
        <v>2.7507062146892656</v>
      </c>
      <c r="CU173" s="217">
        <f t="shared" si="381"/>
        <v>1.2225360954174513</v>
      </c>
      <c r="CV173" s="217">
        <f t="shared" si="382"/>
        <v>2.4450721908349027</v>
      </c>
      <c r="CW173" s="217">
        <f t="shared" si="383"/>
        <v>16</v>
      </c>
      <c r="CX173" s="217">
        <f t="shared" si="384"/>
        <v>2.5766110397946083</v>
      </c>
      <c r="CY173" s="217">
        <f t="shared" si="385"/>
        <v>1.6273332882913314</v>
      </c>
      <c r="CZ173" s="217">
        <f t="shared" si="386"/>
        <v>1.851457034582952</v>
      </c>
      <c r="DA173" s="197">
        <f t="shared" si="387"/>
        <v>350</v>
      </c>
      <c r="DB173" s="443">
        <f t="shared" si="388"/>
        <v>287.45624403536033</v>
      </c>
      <c r="DD173" s="217">
        <f t="shared" si="389"/>
        <v>2.1161798052554355</v>
      </c>
      <c r="DE173" s="173">
        <f t="shared" si="390"/>
        <v>1.5206082432973189</v>
      </c>
      <c r="DF173" s="173">
        <f t="shared" si="391"/>
        <v>0.50055918207100247</v>
      </c>
      <c r="DG173" s="173"/>
      <c r="DH173" s="173">
        <f t="shared" si="392"/>
        <v>0.71856287425149712</v>
      </c>
      <c r="DI173" s="545">
        <f t="shared" si="393"/>
        <v>1753.4999999999998</v>
      </c>
      <c r="DJ173" s="528">
        <f t="shared" si="394"/>
        <v>0.125748502994012</v>
      </c>
      <c r="DL173" s="173">
        <f t="shared" si="395"/>
        <v>2.3237900077244502</v>
      </c>
      <c r="DM173" s="173">
        <f t="shared" si="396"/>
        <v>2.5766110397946083</v>
      </c>
      <c r="DN173" s="173">
        <f t="shared" si="397"/>
        <v>2.3678600294774874</v>
      </c>
      <c r="DP173" s="545">
        <f t="shared" si="398"/>
        <v>630</v>
      </c>
      <c r="DQ173" s="460">
        <f t="shared" si="399"/>
        <v>287.45624403536033</v>
      </c>
      <c r="DS173">
        <f t="shared" si="400"/>
        <v>630</v>
      </c>
      <c r="DT173">
        <f t="shared" si="401"/>
        <v>287.45624403536033</v>
      </c>
      <c r="DV173" s="5">
        <f t="shared" si="402"/>
        <v>3.4787903228742834</v>
      </c>
      <c r="DW173" s="5">
        <f t="shared" si="403"/>
        <v>1.6273332882913314</v>
      </c>
      <c r="DX173" s="5">
        <f t="shared" si="404"/>
        <v>1.851457034582952</v>
      </c>
      <c r="DY173" s="173">
        <f t="shared" si="405"/>
        <v>0.46778711484593838</v>
      </c>
      <c r="EA173" s="5">
        <f t="shared" si="406"/>
        <v>6.4076248226471177</v>
      </c>
      <c r="EB173" s="5">
        <f t="shared" si="407"/>
        <v>3.2038124113235589</v>
      </c>
      <c r="EC173" s="5">
        <f t="shared" si="408"/>
        <v>0.81853889949983138</v>
      </c>
      <c r="ED173" s="5"/>
      <c r="EE173" s="173">
        <f t="shared" si="409"/>
        <v>1.0174483302734632</v>
      </c>
      <c r="EF173" s="173">
        <f t="shared" si="410"/>
        <v>1.0852528332240798</v>
      </c>
      <c r="EG173" s="173">
        <f t="shared" si="411"/>
        <v>0.26652532815944313</v>
      </c>
      <c r="EH173" s="173"/>
      <c r="EI173" s="528">
        <f t="shared" si="412"/>
        <v>2.0704022095525163E-2</v>
      </c>
      <c r="EJ173" s="528">
        <f t="shared" si="413"/>
        <v>0.50239166666666679</v>
      </c>
      <c r="EK173" s="528">
        <f t="shared" si="414"/>
        <v>3.3057468064066439E-2</v>
      </c>
      <c r="EL173" s="528">
        <f t="shared" si="415"/>
        <v>0.18043235341685854</v>
      </c>
      <c r="EM173">
        <f t="shared" si="416"/>
        <v>8.5500000000000003E-3</v>
      </c>
      <c r="EN173" s="460">
        <f t="shared" si="417"/>
        <v>41.607468064066438</v>
      </c>
      <c r="EP173" s="460">
        <f t="shared" si="439"/>
        <v>745.13551024311687</v>
      </c>
      <c r="EQ173" s="173">
        <f t="shared" si="418"/>
        <v>0.44099999999999995</v>
      </c>
      <c r="ER173" s="173">
        <f t="shared" si="475"/>
        <v>6.9890624999999998E-2</v>
      </c>
      <c r="ES173" s="528"/>
      <c r="EU173" s="460">
        <f t="shared" si="497"/>
        <v>510.89062499999994</v>
      </c>
      <c r="EV173" s="528">
        <f t="shared" si="421"/>
        <v>3.1056033143287743E-2</v>
      </c>
      <c r="EW173" s="528">
        <f t="shared" si="422"/>
        <v>3.5333211360626775E-2</v>
      </c>
      <c r="EX173" s="528">
        <f t="shared" si="423"/>
        <v>3.5517875275249423E-4</v>
      </c>
      <c r="EY173" s="528">
        <f t="shared" si="424"/>
        <v>0.74648576287198376</v>
      </c>
      <c r="EZ173" s="528"/>
      <c r="FA173" s="625">
        <f t="shared" si="425"/>
        <v>9.5420014347202282E-3</v>
      </c>
      <c r="FB173" s="460">
        <f t="shared" si="498"/>
        <v>822.77218756337106</v>
      </c>
      <c r="FC173" s="173">
        <f t="shared" si="427"/>
        <v>2.0787983228064877</v>
      </c>
      <c r="FD173" s="5">
        <f t="shared" si="428"/>
        <v>11.34</v>
      </c>
      <c r="FE173" s="173">
        <f t="shared" si="429"/>
        <v>0.84508312348108117</v>
      </c>
      <c r="FF173" s="5">
        <f t="shared" si="430"/>
        <v>84.50831234810812</v>
      </c>
      <c r="FG173">
        <f t="shared" si="431"/>
        <v>63</v>
      </c>
      <c r="FI173" s="562">
        <f t="shared" si="432"/>
        <v>-50</v>
      </c>
      <c r="FJ173">
        <f t="shared" si="433"/>
        <v>-50</v>
      </c>
    </row>
    <row r="174" spans="5:166">
      <c r="E174" s="170">
        <v>64</v>
      </c>
      <c r="F174" s="217">
        <f t="shared" si="476"/>
        <v>0.64</v>
      </c>
      <c r="G174" s="217">
        <f t="shared" ref="G174:G210" si="499">IF(PLOT_TYPE=1, E174/100*Iout2, min_I*EXP(Q174*rr/100))</f>
        <v>0.16</v>
      </c>
      <c r="H174" s="217">
        <f t="shared" ref="H174:H210" si="500">F174*Vout</f>
        <v>10.24</v>
      </c>
      <c r="I174" s="217">
        <f t="shared" ref="I174:I210" si="501">Vout2*G174</f>
        <v>1.28</v>
      </c>
      <c r="J174" s="541">
        <f t="shared" ref="J174:J210" si="502">VIN_min-(F174/CG174/Nps+G174/CH174/(Nps/Nsec1sec2))*(Rdcr_pri+RON/1000)</f>
        <v>18.915464886188165</v>
      </c>
      <c r="K174" s="443">
        <f t="shared" ref="K174:K210" si="503">MAX((S174+Vfwd2+Rdcr_sec*F174/CG174)*Nps,(Vout2+Vfwd22+Rdcr_sec2*G174/CH174)*Nps/Nsec1sec2)</f>
        <v>16.737295925082602</v>
      </c>
      <c r="L174" s="172">
        <f t="shared" ref="L174:L210" si="504">MAX((Vout+Vfwd2+F174/CG174*Rdcr_sec)*Nps+J174, (Vout2+Vfwd22+G174/CH174*Rdcr_sec2)*Nps/Nsec1sec2+J174)</f>
        <v>35.652760811270767</v>
      </c>
      <c r="M174" s="443"/>
      <c r="N174" s="217">
        <f t="shared" ref="N174:N210" si="505">MAX((Vout+Vfwd2+F174/CG174*Rdcr_sec)*Nps/((Vout+Vfwd2+F174/CG174*Rdcr_sec)*Nps+J174), (Vout2+Vfwd22+G174/CH174*Rdcr_sec2)*Nps/Nsec1sec2/((Vout2+Vfwd22+G174/CH174*Rdcr_sec2)*Nps/Nsec1sec2+J174))</f>
        <v>0.46945301133009332</v>
      </c>
      <c r="O174" s="172">
        <f t="shared" ref="O174:O205" si="506">N174*J174*Isw_max*0.5*Efficiency*Pout/(Pout+Pout2)</f>
        <v>19.733159892288164</v>
      </c>
      <c r="P174" s="172">
        <f t="shared" ref="P174:P210" si="507">N174*J174*Isw_max*0.5*Efficiency*(Pout2/Pout_total)</f>
        <v>2.7749756098530232</v>
      </c>
      <c r="Q174" s="217">
        <f t="shared" ref="Q174:Q210" si="508">O174/Vout</f>
        <v>1.2333224932680102</v>
      </c>
      <c r="R174" s="217">
        <f t="shared" ref="R174:R210" si="509">O174/Vout2</f>
        <v>2.4666449865360205</v>
      </c>
      <c r="S174" s="217">
        <f t="shared" ref="S174:S210" si="510">MIN(Vout,O174/F174)</f>
        <v>16</v>
      </c>
      <c r="T174" s="217">
        <f t="shared" ref="T174:T210" si="511">MIN(2*(Vout*F174+Vout2*G174)/(Efficiency*J174*N174), Isw_max)</f>
        <v>2.5946173993152137</v>
      </c>
      <c r="U174" s="217">
        <f t="shared" ref="U174:U210" si="512">L*T174/J174*1000000</f>
        <v>1.646029266482224</v>
      </c>
      <c r="V174" s="217">
        <f t="shared" ref="V174:V210" si="513">L*T174/K174*1000000</f>
        <v>1.860241279783007</v>
      </c>
      <c r="W174" s="197">
        <f t="shared" ref="W174:W210" si="514">IF(1/((350000*L)*(1/J174+1/K174))&gt;Isw_min, 350, 0.001/((Isw_min*L)*(1/J174+1/K174)))</f>
        <v>350</v>
      </c>
      <c r="X174" s="443">
        <f t="shared" si="435"/>
        <v>269.81300677245196</v>
      </c>
      <c r="Z174" s="217">
        <f t="shared" ref="Z174:Z210" si="515">1/((W174*1000*L)*(1/J174+1/K174))</f>
        <v>2.1142671313165891</v>
      </c>
      <c r="AA174" s="173">
        <f t="shared" ref="AA174:AA210" si="516">L*Z174/K174*1000000</f>
        <v>1.5158485390568761</v>
      </c>
      <c r="AB174" s="173">
        <f t="shared" ref="AB174:AB205" si="517">0.5*AA174*Z174*Nps*W174/1000*(Pout/(Pout+Pout2))</f>
        <v>0.49854135989501247</v>
      </c>
      <c r="AC174" s="173"/>
      <c r="AD174" s="173">
        <f t="shared" ref="AD174:AD210" si="518">L*Isw_min/K174*1000000</f>
        <v>0.71696169164439139</v>
      </c>
      <c r="AE174" s="545">
        <f t="shared" ref="AE174:AE205" si="519">MAX(10, F174/(0.5*AD174/1000000*Isw_min*Nps)/1000*Pout_total/Pout)</f>
        <v>1785.3115653421441</v>
      </c>
      <c r="AF174" s="528">
        <f t="shared" ref="AF174:AF210" si="520">0.5*AD174/1000000*Isw_min*Nps*W174*1000*(Pout/Pout_total)</f>
        <v>0.12546829603776849</v>
      </c>
      <c r="AH174" s="173">
        <f t="shared" ref="AH174:AH210" si="521">SQRT((H174+I174)/(0.5*L*Fsw_DCM))</f>
        <v>2.3421601750764793</v>
      </c>
      <c r="AI174" s="173">
        <f t="shared" ref="AI174:AI205" si="522">MAX(IF(F174&gt;AB174,T174,AH174),Isw_min)</f>
        <v>2.5946173993152137</v>
      </c>
      <c r="AJ174" s="173">
        <f t="shared" ref="AJ174:AJ205" si="523">IF(F174&gt;AF174, (AI174-Isw_min)/1.08*0.8+1.2, AE174*0.2/350+1)</f>
        <v>2.381198073566825</v>
      </c>
      <c r="AL174" s="545">
        <f t="shared" ref="AL174:AL210" si="524">F174*1000</f>
        <v>640</v>
      </c>
      <c r="AM174" s="460">
        <f t="shared" ref="AM174:AM210" si="525">IF(F174&gt;AF174, X174, AE174)</f>
        <v>269.81300677245196</v>
      </c>
      <c r="AO174">
        <f t="shared" ref="AO174:AO210" si="526">IF(H174&gt;O174, "",AL174)</f>
        <v>640</v>
      </c>
      <c r="AP174">
        <f t="shared" ref="AP174:AP210" si="527">IF(H174&gt;O174, "",AM174)</f>
        <v>269.81300677245196</v>
      </c>
      <c r="AR174" s="5">
        <f t="shared" si="443"/>
        <v>3.7062705462652312</v>
      </c>
      <c r="AS174" s="5">
        <f t="shared" si="440"/>
        <v>1.646029266482224</v>
      </c>
      <c r="AT174" s="5">
        <f t="shared" si="441"/>
        <v>2.060241279783007</v>
      </c>
      <c r="AU174" s="173">
        <f t="shared" si="442"/>
        <v>0.44412010562502241</v>
      </c>
      <c r="AW174" s="5">
        <f t="shared" si="477"/>
        <v>6.5841170659288961</v>
      </c>
      <c r="AX174" s="5">
        <f t="shared" si="478"/>
        <v>3.2920585329644481</v>
      </c>
      <c r="AY174" s="5">
        <f t="shared" si="479"/>
        <v>0.92943661143210288</v>
      </c>
      <c r="AZ174" s="5"/>
      <c r="BA174" s="173">
        <f t="shared" si="480"/>
        <v>0.99830424071453316</v>
      </c>
      <c r="BB174" s="173">
        <f t="shared" si="481"/>
        <v>1.1168714306405763</v>
      </c>
      <c r="BC174" s="173">
        <f t="shared" si="482"/>
        <v>0.27429048370143561</v>
      </c>
      <c r="BD174" s="173"/>
      <c r="BE174" s="528">
        <f t="shared" si="483"/>
        <v>1.9932227140572412E-2</v>
      </c>
      <c r="BF174" s="528">
        <f t="shared" ref="BF174:BF210" si="528">0.5*L174*AI174*AM174*1000*Tfall</f>
        <v>0.45550404940262129</v>
      </c>
      <c r="BG174" s="528">
        <f t="shared" ref="BG174:BG210" si="529">Qg*Vdd*AM174*1000*0+Qg*J174*AM174*1000</f>
        <v>0.1173836844751468</v>
      </c>
      <c r="BH174" s="528">
        <f t="shared" si="484"/>
        <v>0.16891003335217653</v>
      </c>
      <c r="BI174">
        <f t="shared" si="485"/>
        <v>8.511959198784674E-3</v>
      </c>
      <c r="BJ174" s="460">
        <f t="shared" si="436"/>
        <v>125.89564367393147</v>
      </c>
      <c r="BK174">
        <f t="shared" ref="BK174:BK210" si="530">(BF174+BG174*0+BH174+BI174*0+BE174*(1+RdsonTC*(Ta-25)))/(1-BE174*RdsonTC*ThetaJA)</f>
        <v>0.65281969818355867</v>
      </c>
      <c r="BL174" s="460">
        <f t="shared" si="437"/>
        <v>770.24195356930159</v>
      </c>
      <c r="BM174" s="173">
        <f t="shared" ref="BM174:BM210" si="531">Vfwd2*F174*(1+Diode_TC/1000*(Ta-25))</f>
        <v>0.39759999999999995</v>
      </c>
      <c r="BN174" s="173">
        <f t="shared" ref="BN174:BN210" si="532">Vfwd2*G174*(1+Diode_TC/1000*(Ta-25))</f>
        <v>9.9399999999999988E-2</v>
      </c>
      <c r="BO174" s="528"/>
      <c r="BQ174" s="460">
        <f t="shared" si="486"/>
        <v>496.99999999999994</v>
      </c>
      <c r="BR174" s="528">
        <f t="shared" si="487"/>
        <v>2.9898340710858617E-2</v>
      </c>
      <c r="BS174" s="528">
        <f t="shared" si="488"/>
        <v>3.7422053777433829E-2</v>
      </c>
      <c r="BT174" s="528">
        <f t="shared" si="489"/>
        <v>3.7617634724583759E-4</v>
      </c>
      <c r="BU174" s="528">
        <f t="shared" si="490"/>
        <v>0.64835150586797718</v>
      </c>
      <c r="BV174" s="528"/>
      <c r="BW174" s="625">
        <f t="shared" ref="BW174:BW210" si="533">0.5*Lleak*0.000000001*AI174^2*AM174*1000</f>
        <v>9.0819590269968931E-3</v>
      </c>
      <c r="BX174" s="460">
        <f t="shared" si="491"/>
        <v>725.13003573051242</v>
      </c>
      <c r="BY174" s="173">
        <f t="shared" si="492"/>
        <v>1.9923719892998137</v>
      </c>
      <c r="BZ174" s="5">
        <f t="shared" si="493"/>
        <v>11.52</v>
      </c>
      <c r="CA174" s="173">
        <f t="shared" si="494"/>
        <v>0.85255201744908038</v>
      </c>
      <c r="CB174" s="5">
        <f t="shared" si="495"/>
        <v>85.255201744908035</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0.51480154889510166</v>
      </c>
      <c r="CH174" s="173">
        <f t="shared" ref="CH174:CH210" si="537">MIN(SQRT(2*DT174*1000*Ls2_*(CM174+CK174*Vfwd22))/(Vout2+Vfwd22), 1-DY174)</f>
        <v>0.18198046272135288</v>
      </c>
      <c r="CI174" s="170">
        <v>64</v>
      </c>
      <c r="CJ174" s="217">
        <f t="shared" si="438"/>
        <v>0.64</v>
      </c>
      <c r="CK174" s="217">
        <f t="shared" ref="CK174:CK210" si="538">IF(PLOT_TYPE=1, CI174/100*Iout2, min_I*EXP(CU174*rr/100))</f>
        <v>0.16</v>
      </c>
      <c r="CL174" s="217">
        <f t="shared" ref="CL174:CL210" si="539">CJ174*Vout</f>
        <v>10.24</v>
      </c>
      <c r="CM174" s="217">
        <f t="shared" ref="CM174:CM210" si="540">Vout2*CK174</f>
        <v>1.28</v>
      </c>
      <c r="CN174" s="541">
        <f t="shared" ref="CN174:CN212" si="541">VIN_min</f>
        <v>19</v>
      </c>
      <c r="CO174" s="443">
        <f t="shared" ref="CO174:CO210" si="542">(CW174+Vfwd2)*Nps</f>
        <v>16.7</v>
      </c>
      <c r="CP174" s="443">
        <f t="shared" ref="CP174:CP210" si="543">(Vout+Vfwd2)*Nps+CN174</f>
        <v>35.700000000000003</v>
      </c>
      <c r="CQ174" s="443"/>
      <c r="CR174" s="217">
        <f t="shared" ref="CR174:CR210" si="544">(Vout+Vfwd1)*Nps/((Vout+Vfwd1)*Nps+CN174)</f>
        <v>0.4632768361581921</v>
      </c>
      <c r="CS174" s="172">
        <f t="shared" ref="CS174:CS210" si="545">CR174*CN174*Isw_max*0.5*Efficiency*Pout/(Pout+Pout2)</f>
        <v>19.560577526679221</v>
      </c>
      <c r="CT174" s="172">
        <f t="shared" ref="CT174:CT210" si="546">CR174*CN174*Isw_max*0.5*Efficiency*(Pout2/Pout_total)</f>
        <v>2.7507062146892656</v>
      </c>
      <c r="CU174" s="217">
        <f t="shared" ref="CU174:CU210" si="547">CS174/Vout</f>
        <v>1.2225360954174513</v>
      </c>
      <c r="CV174" s="217">
        <f t="shared" ref="CV174:CV210" si="548">CS174/Vout2</f>
        <v>2.4450721908349027</v>
      </c>
      <c r="CW174" s="217">
        <f t="shared" ref="CW174:CW210" si="549">MIN(Vout,CS174/CJ174)</f>
        <v>16</v>
      </c>
      <c r="CX174" s="217">
        <f t="shared" ref="CX174:CX210" si="550">MIN(2*(Vout*CJ174+Vout2*CK174)/(Efficiency*CN174*CR174), Isw_max)</f>
        <v>2.617509627727856</v>
      </c>
      <c r="CY174" s="217">
        <f t="shared" ref="CY174:CY210" si="551">L*CX174/CN174*1000000</f>
        <v>1.6531639754070668</v>
      </c>
      <c r="CZ174" s="217">
        <f t="shared" ref="CZ174:CZ210" si="552">L*CX174/CO174*1000000</f>
        <v>1.8808452414810941</v>
      </c>
      <c r="DA174" s="197">
        <f t="shared" ref="DA174:DA210" si="553">IF(1/((350000*L)*(1/CN174+1/CO174))&gt;Isw_min, 350, 0.001/((Isw_min*L)*(1/CN174+1/CO174)))</f>
        <v>350</v>
      </c>
      <c r="DB174" s="443">
        <f t="shared" ref="DB174:DB210" si="554">MIN(1/(CY174+CZ174)*1000, 350)</f>
        <v>282.96474022230785</v>
      </c>
      <c r="DD174" s="217">
        <f t="shared" ref="DD174:DD210" si="555">1/((DA174*1000*L)*(1/CN174+1/CO174))</f>
        <v>2.1161798052554355</v>
      </c>
      <c r="DE174" s="173">
        <f t="shared" ref="DE174:DE210" si="556">L*DD174/CO174*1000000</f>
        <v>1.5206082432973189</v>
      </c>
      <c r="DF174" s="173">
        <f t="shared" ref="DF174:DF210" si="557">0.5*DE174*DD174*Nps*DA174/1000*(Pout/(Pout+Pout2))</f>
        <v>0.50055918207100247</v>
      </c>
      <c r="DG174" s="173"/>
      <c r="DH174" s="173">
        <f t="shared" ref="DH174:DH210" si="558">L*Isw_min/CO174*1000000</f>
        <v>0.71856287425149712</v>
      </c>
      <c r="DI174" s="545">
        <f t="shared" ref="DI174:DI210" si="559">MAX(10, CJ174/(0.5*DH174/1000000*Isw_min*Nps)/1000*Pout_total/Pout)</f>
        <v>1781.3333333333333</v>
      </c>
      <c r="DJ174" s="528">
        <f t="shared" ref="DJ174:DJ210" si="560">0.5*DH174/1000000*Isw_min*Nps*DA174*1000*(Pout/Pout_total)</f>
        <v>0.125748502994012</v>
      </c>
      <c r="DL174" s="173">
        <f t="shared" ref="DL174:DL210" si="561">SQRT((CL174+CM174)/(0.5*L*Fsw_DCM))</f>
        <v>2.3421601750764793</v>
      </c>
      <c r="DM174" s="173">
        <f t="shared" ref="DM174:DM210" si="562">MAX(IF(CJ174&gt;DF174,CX174,DL174),Isw_min)</f>
        <v>2.617509627727856</v>
      </c>
      <c r="DN174" s="173">
        <f t="shared" ref="DN174:DN210" si="563">IF(CJ174&gt;DJ174, (DM174-Isw_min)/1.08*0.8+1.2, DI174*0.2/350+1)</f>
        <v>2.398155279798412</v>
      </c>
      <c r="DP174" s="545">
        <f t="shared" ref="DP174:DP210" si="564">CJ174*1000</f>
        <v>640</v>
      </c>
      <c r="DQ174" s="460">
        <f t="shared" ref="DQ174:DQ210" si="565">IF(CJ174&gt;DJ174, DB174, DI174)</f>
        <v>282.96474022230785</v>
      </c>
      <c r="DS174">
        <f t="shared" ref="DS174:DS192" si="566">IF(CL174&gt;CS174, "",DP174)</f>
        <v>640</v>
      </c>
      <c r="DT174">
        <f t="shared" ref="DT174:DT193" si="567">IF(CL174&gt;CS174, "",DQ174)</f>
        <v>282.96474022230785</v>
      </c>
      <c r="DV174" s="5">
        <f t="shared" ref="DV174:DV210" si="568">1/DQ174*1000</f>
        <v>3.5340092168881605</v>
      </c>
      <c r="DW174" s="5">
        <f t="shared" ref="DW174:DW210" si="569">L*DM174/CN174*1000000</f>
        <v>1.6531639754070668</v>
      </c>
      <c r="DX174" s="5">
        <f t="shared" ref="DX174:DX210" si="570">DV174-DW174</f>
        <v>1.8808452414810937</v>
      </c>
      <c r="DY174" s="173">
        <f t="shared" ref="DY174:DY210" si="571">DW174/DV174</f>
        <v>0.46778711484593843</v>
      </c>
      <c r="EA174" s="5">
        <f t="shared" ref="EA174:EA210" si="572">CJ174*DW174/Vout_ripple*1000</f>
        <v>6.6126559016282673</v>
      </c>
      <c r="EB174" s="5">
        <f t="shared" ref="EB174:EB210" si="573">CK174*DW174/Vout_ripple2*1000</f>
        <v>3.3063279508141337</v>
      </c>
      <c r="EC174" s="5">
        <f t="shared" ref="EC174:EC210" si="574">CL174/Efficiency/CN174*DX174/Vinripple1</f>
        <v>0.8447304944195787</v>
      </c>
      <c r="ED174" s="5"/>
      <c r="EE174" s="173">
        <f t="shared" ref="EE174:EE210" si="575">DM174*SQRT(DY174/3)</f>
        <v>1.0335983037698675</v>
      </c>
      <c r="EF174" s="173">
        <f t="shared" ref="EF174:EF210" si="576">DM174*Npri_sec1*SQRT((1-DY174)/3)*(Pout/Pout_total)</f>
        <v>1.1024790686720811</v>
      </c>
      <c r="EG174" s="173">
        <f t="shared" ref="EG174:EG210" si="577">DM174*Npri_sec2*SQRT((1-DY174)/3)*(Pout2/Pout_total)</f>
        <v>0.2707558889238787</v>
      </c>
      <c r="EH174" s="173"/>
      <c r="EI174" s="528">
        <f t="shared" ref="EI174:EI210" si="578">Rdson*EE174^2</f>
        <v>2.1366509071118946E-2</v>
      </c>
      <c r="EJ174" s="528">
        <f t="shared" ref="EJ174:EJ210" si="579">0.5*CP174*DM174*DQ174*1000*Trise</f>
        <v>0.50239166666666679</v>
      </c>
      <c r="EK174" s="528">
        <f t="shared" ref="EK174:EK210" si="580">Qg*Vdd*DQ174*1000</f>
        <v>3.2540945125565407E-2</v>
      </c>
      <c r="EL174" s="528">
        <f t="shared" ref="EL174:EL210" si="581">0.5*(Coss+Csw)*CP174^2*DQ174*1000</f>
        <v>0.17761309789472013</v>
      </c>
      <c r="EM174">
        <f t="shared" ref="EM174:EM210" si="582">CN174*IQ</f>
        <v>8.5500000000000003E-3</v>
      </c>
      <c r="EN174" s="460">
        <f t="shared" ref="EN174:EN210" si="583">(EK174+EM174)*1000</f>
        <v>41.090945125565412</v>
      </c>
      <c r="EP174" s="460">
        <f t="shared" si="439"/>
        <v>742.46221875807112</v>
      </c>
      <c r="EQ174" s="173">
        <f t="shared" ref="EQ174:EQ210" si="584">Vfwd2*CJ174</f>
        <v>0.44799999999999995</v>
      </c>
      <c r="ER174" s="173">
        <f t="shared" ref="ER174:ER210" si="585">Vfwd22*CK174*(1+Diode_TC/1000*(Ta-25))</f>
        <v>7.0999999999999994E-2</v>
      </c>
      <c r="ES174" s="528"/>
      <c r="EU174" s="460">
        <f t="shared" si="497"/>
        <v>518.99999999999989</v>
      </c>
      <c r="EV174" s="528">
        <f t="shared" ref="EV174:EV210" si="586">Rdcr_pri*EE174^2</f>
        <v>3.2049763606678418E-2</v>
      </c>
      <c r="EW174" s="528">
        <f t="shared" ref="EW174:EW210" si="587">Rdcr_sec*EF174^2</f>
        <v>3.6463802905801777E-2</v>
      </c>
      <c r="EX174" s="528">
        <f t="shared" ref="EX174:EX210" si="588">Rdcr_sec2*EG174^2</f>
        <v>3.6654375693479868E-4</v>
      </c>
      <c r="EY174" s="528">
        <f t="shared" ref="EY174:EY210" si="589">DM174^2.5*DQ174^2.5*k_core</f>
        <v>0.74648576287198398</v>
      </c>
      <c r="EZ174" s="528"/>
      <c r="FA174" s="625">
        <f t="shared" ref="FA174:FA210" si="590">0.5*Lleak*0.000000001*DM174^2*DQ174*1000</f>
        <v>9.6934617749538845E-3</v>
      </c>
      <c r="FB174" s="460">
        <f t="shared" si="498"/>
        <v>825.0593349163529</v>
      </c>
      <c r="FC174" s="173">
        <f t="shared" ref="FC174:FC210" si="591">SUM(EI174:EM174,EQ174:ET174,EV174:FA174)</f>
        <v>2.0865215536744239</v>
      </c>
      <c r="FD174" s="5">
        <f t="shared" ref="FD174:FD210" si="592">MIN(CL174+CM174,CS174+CT174)</f>
        <v>11.52</v>
      </c>
      <c r="FE174" s="173">
        <f t="shared" ref="FE174:FE210" si="593">FD174/(FD174+FC174)</f>
        <v>0.84665283147911075</v>
      </c>
      <c r="FF174" s="5">
        <f t="shared" ref="FF174:FF210" si="594">FE174*100</f>
        <v>84.665283147911069</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0.65</v>
      </c>
      <c r="G175" s="217">
        <f t="shared" si="499"/>
        <v>0.16250000000000001</v>
      </c>
      <c r="H175" s="217">
        <f t="shared" si="500"/>
        <v>10.4</v>
      </c>
      <c r="I175" s="217">
        <f t="shared" si="501"/>
        <v>1.3</v>
      </c>
      <c r="J175" s="541">
        <f t="shared" si="502"/>
        <v>18.914144025034854</v>
      </c>
      <c r="K175" s="443">
        <f t="shared" si="503"/>
        <v>16.737878673912018</v>
      </c>
      <c r="L175" s="172">
        <f t="shared" si="504"/>
        <v>35.652022698946872</v>
      </c>
      <c r="M175" s="443"/>
      <c r="N175" s="217">
        <f t="shared" si="505"/>
        <v>0.46947907599100791</v>
      </c>
      <c r="O175" s="172">
        <f t="shared" si="506"/>
        <v>19.732877466742682</v>
      </c>
      <c r="P175" s="172">
        <f t="shared" si="507"/>
        <v>2.7749358937606896</v>
      </c>
      <c r="Q175" s="217">
        <f t="shared" si="508"/>
        <v>1.2333048416714176</v>
      </c>
      <c r="R175" s="217">
        <f t="shared" si="509"/>
        <v>2.4666096833428353</v>
      </c>
      <c r="S175" s="217">
        <f t="shared" si="510"/>
        <v>16</v>
      </c>
      <c r="T175" s="217">
        <f t="shared" si="511"/>
        <v>2.6351960117139308</v>
      </c>
      <c r="U175" s="217">
        <f t="shared" si="512"/>
        <v>1.6718891480741431</v>
      </c>
      <c r="V175" s="217">
        <f t="shared" si="513"/>
        <v>1.8892688109786806</v>
      </c>
      <c r="W175" s="197">
        <f t="shared" si="514"/>
        <v>350</v>
      </c>
      <c r="X175" s="443">
        <f t="shared" ref="X175:X210" si="599">MIN(1/(U175+V175+0.2)*1000, 350)</f>
        <v>265.87556568664587</v>
      </c>
      <c r="Z175" s="217">
        <f t="shared" si="515"/>
        <v>2.1142368714367157</v>
      </c>
      <c r="AA175" s="173">
        <f t="shared" si="516"/>
        <v>1.5157740685971199</v>
      </c>
      <c r="AB175" s="173">
        <f t="shared" si="517"/>
        <v>0.49850973271488291</v>
      </c>
      <c r="AC175" s="173"/>
      <c r="AD175" s="173">
        <f t="shared" si="518"/>
        <v>0.71693672978424872</v>
      </c>
      <c r="AE175" s="545">
        <f t="shared" si="519"/>
        <v>1813.270189673802</v>
      </c>
      <c r="AF175" s="528">
        <f t="shared" si="520"/>
        <v>0.12546392771224354</v>
      </c>
      <c r="AH175" s="173">
        <f t="shared" si="521"/>
        <v>2.3603873774083297</v>
      </c>
      <c r="AI175" s="173">
        <f t="shared" si="522"/>
        <v>2.6351960117139308</v>
      </c>
      <c r="AJ175" s="173">
        <f t="shared" si="523"/>
        <v>2.411256304973282</v>
      </c>
      <c r="AL175" s="545">
        <f t="shared" si="524"/>
        <v>650</v>
      </c>
      <c r="AM175" s="460">
        <f t="shared" si="525"/>
        <v>265.87556568664587</v>
      </c>
      <c r="AO175">
        <f t="shared" si="526"/>
        <v>650</v>
      </c>
      <c r="AP175">
        <f t="shared" si="527"/>
        <v>265.87556568664587</v>
      </c>
      <c r="AR175" s="5">
        <f t="shared" si="443"/>
        <v>3.7611579590528241</v>
      </c>
      <c r="AS175" s="5">
        <f t="shared" si="440"/>
        <v>1.6718891480741431</v>
      </c>
      <c r="AT175" s="5">
        <f t="shared" si="441"/>
        <v>2.0892688109786812</v>
      </c>
      <c r="AU175" s="173">
        <f t="shared" si="442"/>
        <v>0.44451447300957719</v>
      </c>
      <c r="AW175" s="5">
        <f t="shared" si="477"/>
        <v>6.7920496640512065</v>
      </c>
      <c r="AX175" s="5">
        <f t="shared" si="478"/>
        <v>3.3960248320256032</v>
      </c>
      <c r="AY175" s="5">
        <f t="shared" si="479"/>
        <v>0.95732571021182489</v>
      </c>
      <c r="AZ175" s="5"/>
      <c r="BA175" s="173">
        <f t="shared" si="480"/>
        <v>1.0143673224019729</v>
      </c>
      <c r="BB175" s="173">
        <f t="shared" si="481"/>
        <v>1.133936333586409</v>
      </c>
      <c r="BC175" s="173">
        <f t="shared" si="482"/>
        <v>0.27848142310136814</v>
      </c>
      <c r="BD175" s="173"/>
      <c r="BE175" s="528">
        <f t="shared" si="483"/>
        <v>2.0578821295138962E-2</v>
      </c>
      <c r="BF175" s="528">
        <f t="shared" si="528"/>
        <v>0.45586725155851321</v>
      </c>
      <c r="BG175" s="528">
        <f t="shared" si="529"/>
        <v>0.1156626010691012</v>
      </c>
      <c r="BH175" s="528">
        <f t="shared" si="484"/>
        <v>0.16643820005948678</v>
      </c>
      <c r="BI175">
        <f t="shared" si="485"/>
        <v>8.5113648112656835E-3</v>
      </c>
      <c r="BJ175" s="460">
        <f t="shared" ref="BJ175:BJ210" si="600">(BG175+BI175)*1000</f>
        <v>124.17396588036689</v>
      </c>
      <c r="BK175">
        <f t="shared" si="530"/>
        <v>0.651626701626701</v>
      </c>
      <c r="BL175" s="460">
        <f t="shared" ref="BL175:BL210" si="601">SUM(BE175:BI175)*1000</f>
        <v>767.05823879350578</v>
      </c>
      <c r="BM175" s="173">
        <f t="shared" si="531"/>
        <v>0.40381249999999996</v>
      </c>
      <c r="BN175" s="173">
        <f t="shared" si="532"/>
        <v>0.10095312499999999</v>
      </c>
      <c r="BO175" s="528"/>
      <c r="BQ175" s="460">
        <f t="shared" si="486"/>
        <v>504.765625</v>
      </c>
      <c r="BR175" s="528">
        <f t="shared" si="487"/>
        <v>3.0868231942708442E-2</v>
      </c>
      <c r="BS175" s="528">
        <f t="shared" si="488"/>
        <v>3.8574348258821632E-2</v>
      </c>
      <c r="BT175" s="528">
        <f t="shared" si="489"/>
        <v>3.8775951506281613E-4</v>
      </c>
      <c r="BU175" s="528">
        <f t="shared" si="490"/>
        <v>0.64967833280842613</v>
      </c>
      <c r="BV175" s="528"/>
      <c r="BW175" s="625">
        <f t="shared" si="533"/>
        <v>9.2315426469110444E-3</v>
      </c>
      <c r="BX175" s="460">
        <f t="shared" si="491"/>
        <v>728.74021517193012</v>
      </c>
      <c r="BY175" s="173">
        <f t="shared" si="492"/>
        <v>2.0005640789654358</v>
      </c>
      <c r="BZ175" s="5">
        <f t="shared" si="493"/>
        <v>11.700000000000001</v>
      </c>
      <c r="CA175" s="173">
        <f t="shared" si="494"/>
        <v>0.85397943709216217</v>
      </c>
      <c r="CB175" s="5">
        <f t="shared" si="495"/>
        <v>85.397943709216221</v>
      </c>
      <c r="CC175">
        <f t="shared" si="496"/>
        <v>65</v>
      </c>
      <c r="CE175" s="562">
        <f t="shared" si="534"/>
        <v>-50</v>
      </c>
      <c r="CF175">
        <f t="shared" si="535"/>
        <v>-50</v>
      </c>
      <c r="CG175" s="173">
        <f t="shared" si="536"/>
        <v>0.51480154889510155</v>
      </c>
      <c r="CH175" s="173">
        <f t="shared" si="537"/>
        <v>0.18198046272135288</v>
      </c>
      <c r="CI175" s="170">
        <v>65</v>
      </c>
      <c r="CJ175" s="217">
        <f t="shared" ref="CJ175:CJ210" si="602">IF(PLOT_TYPE=1, CI175/100*Iout_max, min_I*EXP(CS175*rr/100))</f>
        <v>0.65</v>
      </c>
      <c r="CK175" s="217">
        <f t="shared" si="538"/>
        <v>0.16250000000000001</v>
      </c>
      <c r="CL175" s="217">
        <f t="shared" si="539"/>
        <v>10.4</v>
      </c>
      <c r="CM175" s="217">
        <f t="shared" si="540"/>
        <v>1.3</v>
      </c>
      <c r="CN175" s="541">
        <f t="shared" si="541"/>
        <v>19</v>
      </c>
      <c r="CO175" s="443">
        <f t="shared" si="542"/>
        <v>16.7</v>
      </c>
      <c r="CP175" s="443">
        <f t="shared" si="543"/>
        <v>35.700000000000003</v>
      </c>
      <c r="CQ175" s="443"/>
      <c r="CR175" s="217">
        <f t="shared" si="544"/>
        <v>0.4632768361581921</v>
      </c>
      <c r="CS175" s="172">
        <f t="shared" si="545"/>
        <v>19.560577526679221</v>
      </c>
      <c r="CT175" s="172">
        <f t="shared" si="546"/>
        <v>2.7507062146892656</v>
      </c>
      <c r="CU175" s="217">
        <f t="shared" si="547"/>
        <v>1.2225360954174513</v>
      </c>
      <c r="CV175" s="217">
        <f t="shared" si="548"/>
        <v>2.4450721908349027</v>
      </c>
      <c r="CW175" s="217">
        <f t="shared" si="549"/>
        <v>16</v>
      </c>
      <c r="CX175" s="217">
        <f t="shared" si="550"/>
        <v>2.6584082156611042</v>
      </c>
      <c r="CY175" s="217">
        <f t="shared" si="551"/>
        <v>1.6789946625228027</v>
      </c>
      <c r="CZ175" s="217">
        <f t="shared" si="552"/>
        <v>1.9102334483792367</v>
      </c>
      <c r="DA175" s="197">
        <f t="shared" si="553"/>
        <v>350</v>
      </c>
      <c r="DB175" s="443">
        <f t="shared" si="554"/>
        <v>278.61143652657995</v>
      </c>
      <c r="DD175" s="217">
        <f t="shared" si="555"/>
        <v>2.1161798052554355</v>
      </c>
      <c r="DE175" s="173">
        <f t="shared" si="556"/>
        <v>1.5206082432973189</v>
      </c>
      <c r="DF175" s="173">
        <f t="shared" si="557"/>
        <v>0.50055918207100247</v>
      </c>
      <c r="DG175" s="173"/>
      <c r="DH175" s="173">
        <f t="shared" si="558"/>
        <v>0.71856287425149712</v>
      </c>
      <c r="DI175" s="545">
        <f t="shared" si="559"/>
        <v>1809.1666666666665</v>
      </c>
      <c r="DJ175" s="528">
        <f t="shared" si="560"/>
        <v>0.125748502994012</v>
      </c>
      <c r="DL175" s="173">
        <f t="shared" si="561"/>
        <v>2.3603873774083297</v>
      </c>
      <c r="DM175" s="173">
        <f t="shared" si="562"/>
        <v>2.6584082156611042</v>
      </c>
      <c r="DN175" s="173">
        <f t="shared" si="563"/>
        <v>2.4284505301193366</v>
      </c>
      <c r="DP175" s="545">
        <f t="shared" si="564"/>
        <v>650</v>
      </c>
      <c r="DQ175" s="460">
        <f t="shared" si="565"/>
        <v>278.61143652657995</v>
      </c>
      <c r="DS175">
        <f t="shared" si="566"/>
        <v>650</v>
      </c>
      <c r="DT175">
        <f t="shared" si="567"/>
        <v>278.61143652657995</v>
      </c>
      <c r="DV175" s="5">
        <f t="shared" si="568"/>
        <v>3.589228110902039</v>
      </c>
      <c r="DW175" s="5">
        <f t="shared" si="569"/>
        <v>1.6789946625228027</v>
      </c>
      <c r="DX175" s="5">
        <f t="shared" si="570"/>
        <v>1.9102334483792363</v>
      </c>
      <c r="DY175" s="173">
        <f t="shared" si="571"/>
        <v>0.46778711484593843</v>
      </c>
      <c r="EA175" s="5">
        <f t="shared" si="572"/>
        <v>6.8209158164988866</v>
      </c>
      <c r="EB175" s="5">
        <f t="shared" si="573"/>
        <v>3.4104579082494433</v>
      </c>
      <c r="EC175" s="5">
        <f t="shared" si="574"/>
        <v>0.87133455540105509</v>
      </c>
      <c r="ED175" s="5"/>
      <c r="EE175" s="173">
        <f t="shared" si="575"/>
        <v>1.0497482772662718</v>
      </c>
      <c r="EF175" s="173">
        <f t="shared" si="576"/>
        <v>1.1197053041200824</v>
      </c>
      <c r="EG175" s="173">
        <f t="shared" si="577"/>
        <v>0.27498644968831437</v>
      </c>
      <c r="EH175" s="173"/>
      <c r="EI175" s="528">
        <f t="shared" si="578"/>
        <v>2.203942891247011E-2</v>
      </c>
      <c r="EJ175" s="528">
        <f t="shared" si="579"/>
        <v>0.50239166666666668</v>
      </c>
      <c r="EK175" s="528">
        <f t="shared" si="580"/>
        <v>3.2040315200556703E-2</v>
      </c>
      <c r="EL175" s="528">
        <f t="shared" si="581"/>
        <v>0.17488058869633977</v>
      </c>
      <c r="EM175">
        <f t="shared" si="582"/>
        <v>8.5500000000000003E-3</v>
      </c>
      <c r="EN175" s="460">
        <f t="shared" si="583"/>
        <v>40.590315200556702</v>
      </c>
      <c r="EP175" s="460">
        <f t="shared" ref="EP175:EP210" si="603">SUM(EI175:EM175)*1000</f>
        <v>739.90199947603332</v>
      </c>
      <c r="EQ175" s="173">
        <f t="shared" si="584"/>
        <v>0.45499999999999996</v>
      </c>
      <c r="ER175" s="173">
        <f t="shared" si="585"/>
        <v>7.2109375000000003E-2</v>
      </c>
      <c r="ES175" s="528"/>
      <c r="EU175" s="460">
        <f t="shared" si="497"/>
        <v>527.109375</v>
      </c>
      <c r="EV175" s="528">
        <f t="shared" si="586"/>
        <v>3.3059143368705163E-2</v>
      </c>
      <c r="EW175" s="528">
        <f t="shared" si="587"/>
        <v>3.7612199042239385E-2</v>
      </c>
      <c r="EX175" s="528">
        <f t="shared" si="588"/>
        <v>3.7808773756091928E-4</v>
      </c>
      <c r="EY175" s="528">
        <f t="shared" si="589"/>
        <v>0.74648576287198498</v>
      </c>
      <c r="EZ175" s="528"/>
      <c r="FA175" s="625">
        <f t="shared" si="590"/>
        <v>9.8449221151875373E-3</v>
      </c>
      <c r="FB175" s="460">
        <f t="shared" si="498"/>
        <v>827.38011513567801</v>
      </c>
      <c r="FC175" s="173">
        <f t="shared" si="591"/>
        <v>2.0943914896117111</v>
      </c>
      <c r="FD175" s="5">
        <f t="shared" si="592"/>
        <v>11.700000000000001</v>
      </c>
      <c r="FE175" s="173">
        <f t="shared" si="593"/>
        <v>0.84817079526929795</v>
      </c>
      <c r="FF175" s="5">
        <f t="shared" si="594"/>
        <v>84.817079526929788</v>
      </c>
      <c r="FG175">
        <f t="shared" si="595"/>
        <v>65</v>
      </c>
      <c r="FI175" s="562">
        <f t="shared" si="596"/>
        <v>-50</v>
      </c>
      <c r="FJ175">
        <f t="shared" si="597"/>
        <v>-50</v>
      </c>
    </row>
    <row r="176" spans="5:166">
      <c r="E176" s="170">
        <v>66</v>
      </c>
      <c r="F176" s="217">
        <f t="shared" si="598"/>
        <v>0.66</v>
      </c>
      <c r="G176" s="217">
        <f t="shared" si="499"/>
        <v>0.16500000000000001</v>
      </c>
      <c r="H176" s="217">
        <f t="shared" si="500"/>
        <v>10.56</v>
      </c>
      <c r="I176" s="217">
        <f t="shared" si="501"/>
        <v>1.32</v>
      </c>
      <c r="J176" s="541">
        <f t="shared" si="502"/>
        <v>18.912823163881544</v>
      </c>
      <c r="K176" s="443">
        <f t="shared" si="503"/>
        <v>16.738461422741434</v>
      </c>
      <c r="L176" s="172">
        <f t="shared" si="504"/>
        <v>35.651284586622978</v>
      </c>
      <c r="M176" s="443"/>
      <c r="N176" s="217">
        <f t="shared" si="505"/>
        <v>0.46950514173119062</v>
      </c>
      <c r="O176" s="172">
        <f t="shared" si="506"/>
        <v>19.732594933544775</v>
      </c>
      <c r="P176" s="172">
        <f t="shared" si="507"/>
        <v>2.7748961625297341</v>
      </c>
      <c r="Q176" s="217">
        <f t="shared" si="508"/>
        <v>1.2332871833465484</v>
      </c>
      <c r="R176" s="217">
        <f t="shared" si="509"/>
        <v>2.4665743666930968</v>
      </c>
      <c r="S176" s="217">
        <f t="shared" si="510"/>
        <v>16</v>
      </c>
      <c r="T176" s="217">
        <f t="shared" si="511"/>
        <v>2.675775800284721</v>
      </c>
      <c r="U176" s="217">
        <f t="shared" si="512"/>
        <v>1.6977533880154332</v>
      </c>
      <c r="V176" s="217">
        <f t="shared" si="513"/>
        <v>1.9182951642014048</v>
      </c>
      <c r="W176" s="197">
        <f t="shared" si="514"/>
        <v>350</v>
      </c>
      <c r="X176" s="443">
        <f t="shared" si="599"/>
        <v>262.05117317469006</v>
      </c>
      <c r="Z176" s="217">
        <f t="shared" si="515"/>
        <v>2.1142066000226549</v>
      </c>
      <c r="AA176" s="173">
        <f t="shared" si="516"/>
        <v>1.5156995950537411</v>
      </c>
      <c r="AB176" s="173">
        <f t="shared" si="517"/>
        <v>0.49847810250222213</v>
      </c>
      <c r="AC176" s="173"/>
      <c r="AD176" s="173">
        <f t="shared" si="518"/>
        <v>0.71691176966219838</v>
      </c>
      <c r="AE176" s="545">
        <f t="shared" si="519"/>
        <v>1841.2307565015578</v>
      </c>
      <c r="AF176" s="528">
        <f t="shared" si="520"/>
        <v>0.12545955969088471</v>
      </c>
      <c r="AH176" s="173">
        <f t="shared" si="521"/>
        <v>2.3784749015162756</v>
      </c>
      <c r="AI176" s="173">
        <f t="shared" si="522"/>
        <v>2.675775800284721</v>
      </c>
      <c r="AJ176" s="173">
        <f t="shared" si="523"/>
        <v>2.4413154076183119</v>
      </c>
      <c r="AL176" s="545">
        <f t="shared" si="524"/>
        <v>660</v>
      </c>
      <c r="AM176" s="460">
        <f t="shared" si="525"/>
        <v>262.05117317469006</v>
      </c>
      <c r="AO176">
        <f t="shared" si="526"/>
        <v>660</v>
      </c>
      <c r="AP176">
        <f t="shared" si="527"/>
        <v>262.05117317469006</v>
      </c>
      <c r="AR176" s="5">
        <f t="shared" si="443"/>
        <v>3.8160485522168384</v>
      </c>
      <c r="AS176" s="5">
        <f t="shared" si="440"/>
        <v>1.6977533880154332</v>
      </c>
      <c r="AT176" s="5">
        <f t="shared" si="441"/>
        <v>2.1182951642014052</v>
      </c>
      <c r="AU176" s="173">
        <f t="shared" si="442"/>
        <v>0.44489826709074903</v>
      </c>
      <c r="AW176" s="5">
        <f t="shared" si="477"/>
        <v>7.0032327255636631</v>
      </c>
      <c r="AX176" s="5">
        <f t="shared" si="478"/>
        <v>3.5016163627818315</v>
      </c>
      <c r="AY176" s="5">
        <f t="shared" si="479"/>
        <v>0.98562743824368348</v>
      </c>
      <c r="AZ176" s="5"/>
      <c r="BA176" s="173">
        <f t="shared" si="480"/>
        <v>1.0304322708621887</v>
      </c>
      <c r="BB176" s="173">
        <f t="shared" si="481"/>
        <v>1.151000164912632</v>
      </c>
      <c r="BC176" s="173">
        <f t="shared" si="482"/>
        <v>0.28267209932413162</v>
      </c>
      <c r="BD176" s="173"/>
      <c r="BE176" s="528">
        <f t="shared" si="483"/>
        <v>2.1235813296684142E-2</v>
      </c>
      <c r="BF176" s="528">
        <f t="shared" si="528"/>
        <v>0.45621953943751903</v>
      </c>
      <c r="BG176" s="528">
        <f t="shared" si="529"/>
        <v>0.11399093245723409</v>
      </c>
      <c r="BH176" s="528">
        <f t="shared" si="484"/>
        <v>0.16403733654789937</v>
      </c>
      <c r="BI176">
        <f t="shared" si="485"/>
        <v>8.5107704237466948E-3</v>
      </c>
      <c r="BJ176" s="460">
        <f t="shared" si="600"/>
        <v>122.50170288098077</v>
      </c>
      <c r="BK176">
        <f t="shared" si="530"/>
        <v>0.65050858400406875</v>
      </c>
      <c r="BL176" s="460">
        <f t="shared" si="601"/>
        <v>763.99439216308326</v>
      </c>
      <c r="BM176" s="173">
        <f t="shared" si="531"/>
        <v>0.41002499999999997</v>
      </c>
      <c r="BN176" s="173">
        <f t="shared" si="532"/>
        <v>0.10250624999999999</v>
      </c>
      <c r="BO176" s="528"/>
      <c r="BQ176" s="460">
        <f t="shared" si="486"/>
        <v>512.53125</v>
      </c>
      <c r="BR176" s="528">
        <f t="shared" si="487"/>
        <v>3.1853719945026213E-2</v>
      </c>
      <c r="BS176" s="528">
        <f t="shared" si="488"/>
        <v>3.9744041388867182E-2</v>
      </c>
      <c r="BT176" s="528">
        <f t="shared" si="489"/>
        <v>3.9951757868155868E-4</v>
      </c>
      <c r="BU176" s="528">
        <f t="shared" si="490"/>
        <v>0.65096790868905607</v>
      </c>
      <c r="BV176" s="528"/>
      <c r="BW176" s="625">
        <f t="shared" si="533"/>
        <v>9.3811386771141102E-3</v>
      </c>
      <c r="BX176" s="460">
        <f t="shared" si="491"/>
        <v>732.3463262787451</v>
      </c>
      <c r="BY176" s="173">
        <f t="shared" si="492"/>
        <v>2.0088719684418286</v>
      </c>
      <c r="BZ176" s="5">
        <f t="shared" si="493"/>
        <v>11.88</v>
      </c>
      <c r="CA176" s="173">
        <f t="shared" si="494"/>
        <v>0.85536104206256847</v>
      </c>
      <c r="CB176" s="5">
        <f t="shared" si="495"/>
        <v>85.536104206256852</v>
      </c>
      <c r="CC176">
        <f t="shared" si="496"/>
        <v>66</v>
      </c>
      <c r="CE176" s="562">
        <f t="shared" si="534"/>
        <v>-50</v>
      </c>
      <c r="CF176">
        <f t="shared" si="535"/>
        <v>-50</v>
      </c>
      <c r="CG176" s="173">
        <f t="shared" si="536"/>
        <v>0.51480154889510166</v>
      </c>
      <c r="CH176" s="173">
        <f t="shared" si="537"/>
        <v>0.18198046272135288</v>
      </c>
      <c r="CI176" s="170">
        <v>66</v>
      </c>
      <c r="CJ176" s="217">
        <f t="shared" si="602"/>
        <v>0.66</v>
      </c>
      <c r="CK176" s="217">
        <f t="shared" si="538"/>
        <v>0.16500000000000001</v>
      </c>
      <c r="CL176" s="217">
        <f t="shared" si="539"/>
        <v>10.56</v>
      </c>
      <c r="CM176" s="217">
        <f t="shared" si="540"/>
        <v>1.32</v>
      </c>
      <c r="CN176" s="541">
        <f t="shared" si="541"/>
        <v>19</v>
      </c>
      <c r="CO176" s="443">
        <f t="shared" si="542"/>
        <v>16.7</v>
      </c>
      <c r="CP176" s="443">
        <f t="shared" si="543"/>
        <v>35.700000000000003</v>
      </c>
      <c r="CQ176" s="443"/>
      <c r="CR176" s="217">
        <f t="shared" si="544"/>
        <v>0.4632768361581921</v>
      </c>
      <c r="CS176" s="172">
        <f t="shared" si="545"/>
        <v>19.560577526679221</v>
      </c>
      <c r="CT176" s="172">
        <f t="shared" si="546"/>
        <v>2.7507062146892656</v>
      </c>
      <c r="CU176" s="217">
        <f t="shared" si="547"/>
        <v>1.2225360954174513</v>
      </c>
      <c r="CV176" s="217">
        <f t="shared" si="548"/>
        <v>2.4450721908349027</v>
      </c>
      <c r="CW176" s="217">
        <f t="shared" si="549"/>
        <v>16</v>
      </c>
      <c r="CX176" s="217">
        <f t="shared" si="550"/>
        <v>2.6993068035943515</v>
      </c>
      <c r="CY176" s="217">
        <f t="shared" si="551"/>
        <v>1.7048253496385377</v>
      </c>
      <c r="CZ176" s="217">
        <f t="shared" si="552"/>
        <v>1.9396216552773786</v>
      </c>
      <c r="DA176" s="197">
        <f t="shared" si="553"/>
        <v>350</v>
      </c>
      <c r="DB176" s="443">
        <f t="shared" si="554"/>
        <v>274.39005112466214</v>
      </c>
      <c r="DD176" s="217">
        <f t="shared" si="555"/>
        <v>2.1161798052554355</v>
      </c>
      <c r="DE176" s="173">
        <f t="shared" si="556"/>
        <v>1.5206082432973189</v>
      </c>
      <c r="DF176" s="173">
        <f t="shared" si="557"/>
        <v>0.50055918207100247</v>
      </c>
      <c r="DG176" s="173"/>
      <c r="DH176" s="173">
        <f t="shared" si="558"/>
        <v>0.71856287425149712</v>
      </c>
      <c r="DI176" s="545">
        <f t="shared" si="559"/>
        <v>1836.9999999999998</v>
      </c>
      <c r="DJ176" s="528">
        <f t="shared" si="560"/>
        <v>0.125748502994012</v>
      </c>
      <c r="DL176" s="173">
        <f t="shared" si="561"/>
        <v>2.3784749015162756</v>
      </c>
      <c r="DM176" s="173">
        <f t="shared" si="562"/>
        <v>2.6993068035943515</v>
      </c>
      <c r="DN176" s="173">
        <f t="shared" si="563"/>
        <v>2.4587457804402604</v>
      </c>
      <c r="DP176" s="545">
        <f t="shared" si="564"/>
        <v>660</v>
      </c>
      <c r="DQ176" s="460">
        <f t="shared" si="565"/>
        <v>274.39005112466214</v>
      </c>
      <c r="DS176">
        <f t="shared" si="566"/>
        <v>660</v>
      </c>
      <c r="DT176">
        <f t="shared" si="567"/>
        <v>274.39005112466214</v>
      </c>
      <c r="DV176" s="5">
        <f t="shared" si="568"/>
        <v>3.6444470049159161</v>
      </c>
      <c r="DW176" s="5">
        <f t="shared" si="569"/>
        <v>1.7048253496385377</v>
      </c>
      <c r="DX176" s="5">
        <f t="shared" si="570"/>
        <v>1.9396216552773784</v>
      </c>
      <c r="DY176" s="173">
        <f t="shared" si="571"/>
        <v>0.46778711484593838</v>
      </c>
      <c r="EA176" s="5">
        <f t="shared" si="572"/>
        <v>7.0324045672589683</v>
      </c>
      <c r="EB176" s="5">
        <f t="shared" si="573"/>
        <v>3.5162022836294842</v>
      </c>
      <c r="EC176" s="5">
        <f t="shared" si="574"/>
        <v>0.89835108244425921</v>
      </c>
      <c r="ED176" s="5"/>
      <c r="EE176" s="173">
        <f t="shared" si="575"/>
        <v>1.0658982507626757</v>
      </c>
      <c r="EF176" s="173">
        <f t="shared" si="576"/>
        <v>1.1369315395680837</v>
      </c>
      <c r="EG176" s="173">
        <f t="shared" si="577"/>
        <v>0.27921701045274994</v>
      </c>
      <c r="EH176" s="173"/>
      <c r="EI176" s="528">
        <f t="shared" si="578"/>
        <v>2.2722781619578639E-2</v>
      </c>
      <c r="EJ176" s="528">
        <f t="shared" si="579"/>
        <v>0.50239166666666668</v>
      </c>
      <c r="EK176" s="528">
        <f t="shared" si="580"/>
        <v>3.1554855879336152E-2</v>
      </c>
      <c r="EL176" s="528">
        <f t="shared" si="581"/>
        <v>0.17223088280700133</v>
      </c>
      <c r="EM176">
        <f t="shared" si="582"/>
        <v>8.5500000000000003E-3</v>
      </c>
      <c r="EN176" s="460">
        <f t="shared" si="583"/>
        <v>40.104855879336156</v>
      </c>
      <c r="EP176" s="460">
        <f t="shared" si="603"/>
        <v>737.45018697258286</v>
      </c>
      <c r="EQ176" s="173">
        <f t="shared" si="584"/>
        <v>0.46199999999999997</v>
      </c>
      <c r="ER176" s="173">
        <f t="shared" si="585"/>
        <v>7.3218749999999999E-2</v>
      </c>
      <c r="ES176" s="528"/>
      <c r="EU176" s="460">
        <f t="shared" si="497"/>
        <v>535.21875</v>
      </c>
      <c r="EV176" s="528">
        <f t="shared" si="586"/>
        <v>3.4084172429367961E-2</v>
      </c>
      <c r="EW176" s="528">
        <f t="shared" si="587"/>
        <v>3.8778399769939589E-2</v>
      </c>
      <c r="EX176" s="528">
        <f t="shared" si="588"/>
        <v>3.8981069463085537E-4</v>
      </c>
      <c r="EY176" s="528">
        <f t="shared" si="589"/>
        <v>0.74648576287198487</v>
      </c>
      <c r="EZ176" s="528"/>
      <c r="FA176" s="625">
        <f t="shared" si="590"/>
        <v>9.9963824554211919E-3</v>
      </c>
      <c r="FB176" s="460">
        <f t="shared" si="498"/>
        <v>829.73452822134448</v>
      </c>
      <c r="FC176" s="173">
        <f t="shared" si="591"/>
        <v>2.1024034651939276</v>
      </c>
      <c r="FD176" s="5">
        <f t="shared" si="592"/>
        <v>11.88</v>
      </c>
      <c r="FE176" s="173">
        <f t="shared" si="593"/>
        <v>0.84963933629669663</v>
      </c>
      <c r="FF176" s="5">
        <f t="shared" si="594"/>
        <v>84.963933629669668</v>
      </c>
      <c r="FG176">
        <f t="shared" si="595"/>
        <v>66</v>
      </c>
      <c r="FI176" s="562">
        <f t="shared" si="596"/>
        <v>-50</v>
      </c>
      <c r="FJ176">
        <f t="shared" si="597"/>
        <v>-50</v>
      </c>
    </row>
    <row r="177" spans="5:166">
      <c r="E177" s="170">
        <v>67</v>
      </c>
      <c r="F177" s="217">
        <f t="shared" si="598"/>
        <v>0.67</v>
      </c>
      <c r="G177" s="217">
        <f t="shared" si="499"/>
        <v>0.16750000000000001</v>
      </c>
      <c r="H177" s="217">
        <f t="shared" si="500"/>
        <v>10.72</v>
      </c>
      <c r="I177" s="217">
        <f t="shared" si="501"/>
        <v>1.34</v>
      </c>
      <c r="J177" s="541">
        <f t="shared" si="502"/>
        <v>18.911502302728234</v>
      </c>
      <c r="K177" s="443">
        <f t="shared" si="503"/>
        <v>16.73904417157085</v>
      </c>
      <c r="L177" s="172">
        <f t="shared" si="504"/>
        <v>35.650546474299084</v>
      </c>
      <c r="M177" s="443"/>
      <c r="N177" s="217">
        <f t="shared" si="505"/>
        <v>0.46953120855070851</v>
      </c>
      <c r="O177" s="172">
        <f t="shared" si="506"/>
        <v>19.732312292687766</v>
      </c>
      <c r="P177" s="172">
        <f t="shared" si="507"/>
        <v>2.7748564161592171</v>
      </c>
      <c r="Q177" s="217">
        <f t="shared" si="508"/>
        <v>1.2332695182929854</v>
      </c>
      <c r="R177" s="217">
        <f t="shared" si="509"/>
        <v>2.4665390365859707</v>
      </c>
      <c r="S177" s="217">
        <f t="shared" si="510"/>
        <v>16</v>
      </c>
      <c r="T177" s="217">
        <f t="shared" si="511"/>
        <v>2.7163567657431935</v>
      </c>
      <c r="U177" s="217">
        <f t="shared" si="512"/>
        <v>1.7236219876733896</v>
      </c>
      <c r="V177" s="217">
        <f t="shared" si="513"/>
        <v>1.9473203400872185</v>
      </c>
      <c r="W177" s="197">
        <f t="shared" si="514"/>
        <v>350</v>
      </c>
      <c r="X177" s="443">
        <f t="shared" si="599"/>
        <v>258.33502938766679</v>
      </c>
      <c r="Z177" s="217">
        <f t="shared" si="515"/>
        <v>2.1141763170736896</v>
      </c>
      <c r="AA177" s="173">
        <f t="shared" si="516"/>
        <v>1.5156251184265475</v>
      </c>
      <c r="AB177" s="173">
        <f t="shared" si="517"/>
        <v>0.49844646925724201</v>
      </c>
      <c r="AC177" s="173"/>
      <c r="AD177" s="173">
        <f t="shared" si="518"/>
        <v>0.71688681127805864</v>
      </c>
      <c r="AE177" s="545">
        <f t="shared" si="519"/>
        <v>1869.1932658254118</v>
      </c>
      <c r="AF177" s="528">
        <f t="shared" si="520"/>
        <v>0.12545519197366026</v>
      </c>
      <c r="AH177" s="173">
        <f t="shared" si="521"/>
        <v>2.3964259101539405</v>
      </c>
      <c r="AI177" s="173">
        <f t="shared" si="522"/>
        <v>2.7163567657431935</v>
      </c>
      <c r="AJ177" s="173">
        <f t="shared" si="523"/>
        <v>2.4713753820319955</v>
      </c>
      <c r="AL177" s="545">
        <f t="shared" si="524"/>
        <v>670</v>
      </c>
      <c r="AM177" s="460">
        <f t="shared" si="525"/>
        <v>258.33502938766679</v>
      </c>
      <c r="AO177">
        <f t="shared" si="526"/>
        <v>670</v>
      </c>
      <c r="AP177">
        <f t="shared" si="527"/>
        <v>258.33502938766679</v>
      </c>
      <c r="AR177" s="5">
        <f t="shared" si="443"/>
        <v>3.8709423277606083</v>
      </c>
      <c r="AS177" s="5">
        <f t="shared" si="440"/>
        <v>1.7236219876733896</v>
      </c>
      <c r="AT177" s="5">
        <f t="shared" si="441"/>
        <v>2.1473203400872185</v>
      </c>
      <c r="AU177" s="173">
        <f t="shared" si="442"/>
        <v>0.4452719368388337</v>
      </c>
      <c r="AW177" s="5">
        <f t="shared" si="477"/>
        <v>7.2176670733823203</v>
      </c>
      <c r="AX177" s="5">
        <f t="shared" si="478"/>
        <v>3.6088335366911601</v>
      </c>
      <c r="AY177" s="5">
        <f t="shared" si="479"/>
        <v>1.0143418573720848</v>
      </c>
      <c r="AZ177" s="5"/>
      <c r="BA177" s="173">
        <f t="shared" si="480"/>
        <v>1.0464990645981329</v>
      </c>
      <c r="BB177" s="173">
        <f t="shared" si="481"/>
        <v>1.1680629552360782</v>
      </c>
      <c r="BC177" s="173">
        <f t="shared" si="482"/>
        <v>0.28686251988886041</v>
      </c>
      <c r="BD177" s="173"/>
      <c r="BE177" s="528">
        <f t="shared" si="483"/>
        <v>2.1903205844095344E-2</v>
      </c>
      <c r="BF177" s="528">
        <f t="shared" si="528"/>
        <v>0.45656137634170763</v>
      </c>
      <c r="BG177" s="528">
        <f t="shared" si="529"/>
        <v>0.11236658057222522</v>
      </c>
      <c r="BH177" s="528">
        <f t="shared" si="484"/>
        <v>0.16170442956220116</v>
      </c>
      <c r="BI177">
        <f t="shared" si="485"/>
        <v>8.5101760362277044E-3</v>
      </c>
      <c r="BJ177" s="460">
        <f t="shared" si="600"/>
        <v>120.87675660845292</v>
      </c>
      <c r="BK177">
        <f t="shared" si="530"/>
        <v>0.64946281280595886</v>
      </c>
      <c r="BL177" s="460">
        <f t="shared" si="601"/>
        <v>761.04576835645696</v>
      </c>
      <c r="BM177" s="173">
        <f t="shared" si="531"/>
        <v>0.41623749999999993</v>
      </c>
      <c r="BN177" s="173">
        <f t="shared" si="532"/>
        <v>0.10405937499999998</v>
      </c>
      <c r="BO177" s="528"/>
      <c r="BQ177" s="460">
        <f t="shared" si="486"/>
        <v>520.29687499999989</v>
      </c>
      <c r="BR177" s="528">
        <f t="shared" si="487"/>
        <v>3.2854808766143016E-2</v>
      </c>
      <c r="BS177" s="528">
        <f t="shared" si="488"/>
        <v>4.0931132021845208E-2</v>
      </c>
      <c r="BT177" s="528">
        <f t="shared" si="489"/>
        <v>4.1145052658493424E-4</v>
      </c>
      <c r="BU177" s="528">
        <f t="shared" si="490"/>
        <v>0.65222174764047836</v>
      </c>
      <c r="BV177" s="528"/>
      <c r="BW177" s="625">
        <f t="shared" si="533"/>
        <v>9.5307465909307901E-3</v>
      </c>
      <c r="BX177" s="460">
        <f t="shared" si="491"/>
        <v>735.94988554598228</v>
      </c>
      <c r="BY177" s="173">
        <f t="shared" si="492"/>
        <v>2.017292528902439</v>
      </c>
      <c r="BZ177" s="5">
        <f t="shared" si="493"/>
        <v>12.06</v>
      </c>
      <c r="CA177" s="173">
        <f t="shared" si="494"/>
        <v>0.85669882722400736</v>
      </c>
      <c r="CB177" s="5">
        <f t="shared" si="495"/>
        <v>85.669882722400743</v>
      </c>
      <c r="CC177">
        <f t="shared" si="496"/>
        <v>67</v>
      </c>
      <c r="CE177" s="562">
        <f t="shared" si="534"/>
        <v>-50</v>
      </c>
      <c r="CF177">
        <f t="shared" si="535"/>
        <v>-50</v>
      </c>
      <c r="CG177" s="173">
        <f t="shared" si="536"/>
        <v>0.51480154889510155</v>
      </c>
      <c r="CH177" s="173">
        <f t="shared" si="537"/>
        <v>0.18198046272135285</v>
      </c>
      <c r="CI177" s="170">
        <v>67</v>
      </c>
      <c r="CJ177" s="217">
        <f t="shared" si="602"/>
        <v>0.67</v>
      </c>
      <c r="CK177" s="217">
        <f t="shared" si="538"/>
        <v>0.16750000000000001</v>
      </c>
      <c r="CL177" s="217">
        <f t="shared" si="539"/>
        <v>10.72</v>
      </c>
      <c r="CM177" s="217">
        <f t="shared" si="540"/>
        <v>1.34</v>
      </c>
      <c r="CN177" s="541">
        <f t="shared" si="541"/>
        <v>19</v>
      </c>
      <c r="CO177" s="443">
        <f t="shared" si="542"/>
        <v>16.7</v>
      </c>
      <c r="CP177" s="443">
        <f t="shared" si="543"/>
        <v>35.700000000000003</v>
      </c>
      <c r="CQ177" s="443"/>
      <c r="CR177" s="217">
        <f t="shared" si="544"/>
        <v>0.4632768361581921</v>
      </c>
      <c r="CS177" s="172">
        <f t="shared" si="545"/>
        <v>19.560577526679221</v>
      </c>
      <c r="CT177" s="172">
        <f t="shared" si="546"/>
        <v>2.7507062146892656</v>
      </c>
      <c r="CU177" s="217">
        <f t="shared" si="547"/>
        <v>1.2225360954174513</v>
      </c>
      <c r="CV177" s="217">
        <f t="shared" si="548"/>
        <v>2.4450721908349027</v>
      </c>
      <c r="CW177" s="217">
        <f t="shared" si="549"/>
        <v>16</v>
      </c>
      <c r="CX177" s="217">
        <f t="shared" si="550"/>
        <v>2.7402053915275992</v>
      </c>
      <c r="CY177" s="217">
        <f t="shared" si="551"/>
        <v>1.7306560367542734</v>
      </c>
      <c r="CZ177" s="217">
        <f t="shared" si="552"/>
        <v>1.9690098621755205</v>
      </c>
      <c r="DA177" s="197">
        <f t="shared" si="553"/>
        <v>350</v>
      </c>
      <c r="DB177" s="443">
        <f t="shared" si="554"/>
        <v>270.29467722727907</v>
      </c>
      <c r="DD177" s="217">
        <f t="shared" si="555"/>
        <v>2.1161798052554355</v>
      </c>
      <c r="DE177" s="173">
        <f t="shared" si="556"/>
        <v>1.5206082432973189</v>
      </c>
      <c r="DF177" s="173">
        <f t="shared" si="557"/>
        <v>0.50055918207100247</v>
      </c>
      <c r="DG177" s="173"/>
      <c r="DH177" s="173">
        <f t="shared" si="558"/>
        <v>0.71856287425149712</v>
      </c>
      <c r="DI177" s="545">
        <f t="shared" si="559"/>
        <v>1864.8333333333333</v>
      </c>
      <c r="DJ177" s="528">
        <f t="shared" si="560"/>
        <v>0.125748502994012</v>
      </c>
      <c r="DL177" s="173">
        <f t="shared" si="561"/>
        <v>2.3964259101539405</v>
      </c>
      <c r="DM177" s="173">
        <f t="shared" si="562"/>
        <v>2.7402053915275992</v>
      </c>
      <c r="DN177" s="173">
        <f t="shared" si="563"/>
        <v>2.4890410307611845</v>
      </c>
      <c r="DP177" s="545">
        <f t="shared" si="564"/>
        <v>670</v>
      </c>
      <c r="DQ177" s="460">
        <f t="shared" si="565"/>
        <v>270.29467722727907</v>
      </c>
      <c r="DS177">
        <f t="shared" si="566"/>
        <v>670</v>
      </c>
      <c r="DT177">
        <f t="shared" si="567"/>
        <v>270.29467722727907</v>
      </c>
      <c r="DV177" s="5">
        <f t="shared" si="568"/>
        <v>3.6996658989297941</v>
      </c>
      <c r="DW177" s="5">
        <f t="shared" si="569"/>
        <v>1.7306560367542734</v>
      </c>
      <c r="DX177" s="5">
        <f t="shared" si="570"/>
        <v>1.9690098621755208</v>
      </c>
      <c r="DY177" s="173">
        <f t="shared" si="571"/>
        <v>0.46778711484593838</v>
      </c>
      <c r="EA177" s="5">
        <f t="shared" si="572"/>
        <v>7.2471221539085198</v>
      </c>
      <c r="EB177" s="5">
        <f t="shared" si="573"/>
        <v>3.6235610769542599</v>
      </c>
      <c r="EC177" s="5">
        <f t="shared" si="574"/>
        <v>0.92578007554919206</v>
      </c>
      <c r="ED177" s="5"/>
      <c r="EE177" s="173">
        <f t="shared" si="575"/>
        <v>1.0820482242590799</v>
      </c>
      <c r="EF177" s="173">
        <f t="shared" si="576"/>
        <v>1.154157775016085</v>
      </c>
      <c r="EG177" s="173">
        <f t="shared" si="577"/>
        <v>0.28344757121718556</v>
      </c>
      <c r="EH177" s="173"/>
      <c r="EI177" s="528">
        <f t="shared" si="578"/>
        <v>2.341656719244456E-2</v>
      </c>
      <c r="EJ177" s="528">
        <f t="shared" si="579"/>
        <v>0.50239166666666668</v>
      </c>
      <c r="EK177" s="528">
        <f t="shared" si="580"/>
        <v>3.1083887881137095E-2</v>
      </c>
      <c r="EL177" s="528">
        <f t="shared" si="581"/>
        <v>0.16966027261585201</v>
      </c>
      <c r="EM177">
        <f t="shared" si="582"/>
        <v>8.5500000000000003E-3</v>
      </c>
      <c r="EN177" s="460">
        <f t="shared" si="583"/>
        <v>39.633887881137092</v>
      </c>
      <c r="EP177" s="460">
        <f t="shared" si="603"/>
        <v>735.10239435610038</v>
      </c>
      <c r="EQ177" s="173">
        <f t="shared" si="584"/>
        <v>0.46899999999999997</v>
      </c>
      <c r="ER177" s="173">
        <f t="shared" si="585"/>
        <v>7.4328124999999995E-2</v>
      </c>
      <c r="ES177" s="528"/>
      <c r="EU177" s="460">
        <f t="shared" si="497"/>
        <v>543.32812499999989</v>
      </c>
      <c r="EV177" s="528">
        <f t="shared" si="586"/>
        <v>3.5124850788666839E-2</v>
      </c>
      <c r="EW177" s="528">
        <f t="shared" si="587"/>
        <v>3.9962405088902392E-2</v>
      </c>
      <c r="EX177" s="528">
        <f t="shared" si="588"/>
        <v>4.0171262814460743E-4</v>
      </c>
      <c r="EY177" s="528">
        <f t="shared" si="589"/>
        <v>0.74648576287198476</v>
      </c>
      <c r="EZ177" s="528"/>
      <c r="FA177" s="625">
        <f t="shared" si="590"/>
        <v>1.0147842795654843E-2</v>
      </c>
      <c r="FB177" s="460">
        <f t="shared" si="498"/>
        <v>832.12257417335343</v>
      </c>
      <c r="FC177" s="173">
        <f t="shared" si="591"/>
        <v>2.1105530935294543</v>
      </c>
      <c r="FD177" s="5">
        <f t="shared" si="592"/>
        <v>12.06</v>
      </c>
      <c r="FE177" s="173">
        <f t="shared" si="593"/>
        <v>0.85106064106325019</v>
      </c>
      <c r="FF177" s="5">
        <f t="shared" si="594"/>
        <v>85.106064106325022</v>
      </c>
      <c r="FG177">
        <f t="shared" si="595"/>
        <v>67</v>
      </c>
      <c r="FI177" s="562">
        <f t="shared" si="596"/>
        <v>-50</v>
      </c>
      <c r="FJ177">
        <f t="shared" si="597"/>
        <v>-50</v>
      </c>
    </row>
    <row r="178" spans="5:166">
      <c r="E178" s="170">
        <v>68</v>
      </c>
      <c r="F178" s="217">
        <f t="shared" si="598"/>
        <v>0.68</v>
      </c>
      <c r="G178" s="217">
        <f t="shared" si="499"/>
        <v>0.17</v>
      </c>
      <c r="H178" s="217">
        <f t="shared" si="500"/>
        <v>10.88</v>
      </c>
      <c r="I178" s="217">
        <f t="shared" si="501"/>
        <v>1.36</v>
      </c>
      <c r="J178" s="541">
        <f t="shared" si="502"/>
        <v>18.910181441574924</v>
      </c>
      <c r="K178" s="443">
        <f t="shared" si="503"/>
        <v>16.739626920400266</v>
      </c>
      <c r="L178" s="172">
        <f t="shared" si="504"/>
        <v>35.64980836197519</v>
      </c>
      <c r="M178" s="443"/>
      <c r="N178" s="217">
        <f t="shared" si="505"/>
        <v>0.46955727644962858</v>
      </c>
      <c r="O178" s="172">
        <f t="shared" si="506"/>
        <v>19.732029544164963</v>
      </c>
      <c r="P178" s="172">
        <f t="shared" si="507"/>
        <v>2.7748166546481978</v>
      </c>
      <c r="Q178" s="217">
        <f t="shared" si="508"/>
        <v>1.2332518465103102</v>
      </c>
      <c r="R178" s="217">
        <f t="shared" si="509"/>
        <v>2.4665036930206203</v>
      </c>
      <c r="S178" s="217">
        <f t="shared" si="510"/>
        <v>16</v>
      </c>
      <c r="T178" s="217">
        <f t="shared" si="511"/>
        <v>2.7569389088050928</v>
      </c>
      <c r="U178" s="217">
        <f t="shared" si="512"/>
        <v>1.7494949484157776</v>
      </c>
      <c r="V178" s="217">
        <f t="shared" si="513"/>
        <v>1.9763443392721711</v>
      </c>
      <c r="W178" s="197">
        <f t="shared" si="514"/>
        <v>350</v>
      </c>
      <c r="X178" s="443">
        <f t="shared" si="599"/>
        <v>254.72260240916066</v>
      </c>
      <c r="Z178" s="217">
        <f t="shared" si="515"/>
        <v>2.1141460225891029</v>
      </c>
      <c r="AA178" s="173">
        <f t="shared" si="516"/>
        <v>1.5155506387153468</v>
      </c>
      <c r="AB178" s="173">
        <f t="shared" si="517"/>
        <v>0.49841483298015493</v>
      </c>
      <c r="AC178" s="173"/>
      <c r="AD178" s="173">
        <f t="shared" si="518"/>
        <v>0.7168618546316482</v>
      </c>
      <c r="AE178" s="545">
        <f t="shared" si="519"/>
        <v>1897.1577176453634</v>
      </c>
      <c r="AF178" s="528">
        <f t="shared" si="520"/>
        <v>0.12545082456053844</v>
      </c>
      <c r="AH178" s="173">
        <f t="shared" si="521"/>
        <v>2.4142434484888695</v>
      </c>
      <c r="AI178" s="173">
        <f t="shared" si="522"/>
        <v>2.7569389088050928</v>
      </c>
      <c r="AJ178" s="173">
        <f t="shared" si="523"/>
        <v>2.5014362287445131</v>
      </c>
      <c r="AL178" s="545">
        <f t="shared" si="524"/>
        <v>680</v>
      </c>
      <c r="AM178" s="460">
        <f t="shared" si="525"/>
        <v>254.72260240916066</v>
      </c>
      <c r="AO178">
        <f t="shared" si="526"/>
        <v>680</v>
      </c>
      <c r="AP178">
        <f t="shared" si="527"/>
        <v>254.72260240916066</v>
      </c>
      <c r="AR178" s="5">
        <f t="shared" si="443"/>
        <v>3.9258392876879493</v>
      </c>
      <c r="AS178" s="5">
        <f t="shared" si="440"/>
        <v>1.7494949484157776</v>
      </c>
      <c r="AT178" s="5">
        <f t="shared" si="441"/>
        <v>2.1763443392721715</v>
      </c>
      <c r="AU178" s="173">
        <f t="shared" si="442"/>
        <v>0.44563590616214716</v>
      </c>
      <c r="AW178" s="5">
        <f t="shared" si="477"/>
        <v>7.4353535307670562</v>
      </c>
      <c r="AX178" s="5">
        <f t="shared" si="478"/>
        <v>3.7176767653835281</v>
      </c>
      <c r="AY178" s="5">
        <f t="shared" si="479"/>
        <v>1.0434690294766575</v>
      </c>
      <c r="AZ178" s="5"/>
      <c r="BA178" s="173">
        <f t="shared" si="480"/>
        <v>1.0625676833428903</v>
      </c>
      <c r="BB178" s="173">
        <f t="shared" si="481"/>
        <v>1.1851247334956472</v>
      </c>
      <c r="BC178" s="173">
        <f t="shared" si="482"/>
        <v>0.29105269190260746</v>
      </c>
      <c r="BD178" s="173"/>
      <c r="BE178" s="528">
        <f t="shared" si="483"/>
        <v>2.2581001633693538E-2</v>
      </c>
      <c r="BF178" s="528">
        <f t="shared" si="528"/>
        <v>0.45689319971114917</v>
      </c>
      <c r="BG178" s="528">
        <f t="shared" si="529"/>
        <v>0.1107875644630297</v>
      </c>
      <c r="BH178" s="528">
        <f t="shared" si="484"/>
        <v>0.15943663405018343</v>
      </c>
      <c r="BI178">
        <f t="shared" si="485"/>
        <v>8.5095816487087157E-3</v>
      </c>
      <c r="BJ178" s="460">
        <f t="shared" si="600"/>
        <v>119.29714611173841</v>
      </c>
      <c r="BK178">
        <f t="shared" si="530"/>
        <v>0.64848699810106258</v>
      </c>
      <c r="BL178" s="460">
        <f t="shared" si="601"/>
        <v>758.20798150676444</v>
      </c>
      <c r="BM178" s="173">
        <f t="shared" si="531"/>
        <v>0.42244999999999994</v>
      </c>
      <c r="BN178" s="173">
        <f t="shared" si="532"/>
        <v>0.10561249999999998</v>
      </c>
      <c r="BO178" s="528"/>
      <c r="BQ178" s="460">
        <f t="shared" si="486"/>
        <v>528.06249999999989</v>
      </c>
      <c r="BR178" s="528">
        <f t="shared" si="487"/>
        <v>3.3871502450540304E-2</v>
      </c>
      <c r="BS178" s="528">
        <f t="shared" si="488"/>
        <v>4.2135619018293859E-2</v>
      </c>
      <c r="BT178" s="528">
        <f t="shared" si="489"/>
        <v>4.2355834731877073E-4</v>
      </c>
      <c r="BU178" s="528">
        <f t="shared" si="490"/>
        <v>0.65344128293141224</v>
      </c>
      <c r="BV178" s="528"/>
      <c r="BW178" s="625">
        <f t="shared" si="533"/>
        <v>9.6803658910853112E-3</v>
      </c>
      <c r="BX178" s="460">
        <f t="shared" si="491"/>
        <v>739.55232863865047</v>
      </c>
      <c r="BY178" s="173">
        <f t="shared" si="492"/>
        <v>2.0258228101454145</v>
      </c>
      <c r="BZ178" s="5">
        <f t="shared" si="493"/>
        <v>12.24</v>
      </c>
      <c r="CA178" s="173">
        <f t="shared" si="494"/>
        <v>0.85799467460757239</v>
      </c>
      <c r="CB178" s="5">
        <f t="shared" si="495"/>
        <v>85.799467460757242</v>
      </c>
      <c r="CC178">
        <f t="shared" si="496"/>
        <v>68</v>
      </c>
      <c r="CE178" s="562">
        <f t="shared" si="534"/>
        <v>-50</v>
      </c>
      <c r="CF178">
        <f t="shared" si="535"/>
        <v>-50</v>
      </c>
      <c r="CG178" s="173">
        <f t="shared" si="536"/>
        <v>0.51480154889510166</v>
      </c>
      <c r="CH178" s="173">
        <f t="shared" si="537"/>
        <v>0.18198046272135288</v>
      </c>
      <c r="CI178" s="170">
        <v>68</v>
      </c>
      <c r="CJ178" s="217">
        <f t="shared" si="602"/>
        <v>0.68</v>
      </c>
      <c r="CK178" s="217">
        <f t="shared" si="538"/>
        <v>0.17</v>
      </c>
      <c r="CL178" s="217">
        <f t="shared" si="539"/>
        <v>10.88</v>
      </c>
      <c r="CM178" s="217">
        <f t="shared" si="540"/>
        <v>1.36</v>
      </c>
      <c r="CN178" s="541">
        <f t="shared" si="541"/>
        <v>19</v>
      </c>
      <c r="CO178" s="443">
        <f t="shared" si="542"/>
        <v>16.7</v>
      </c>
      <c r="CP178" s="443">
        <f t="shared" si="543"/>
        <v>35.700000000000003</v>
      </c>
      <c r="CQ178" s="443"/>
      <c r="CR178" s="217">
        <f t="shared" si="544"/>
        <v>0.4632768361581921</v>
      </c>
      <c r="CS178" s="172">
        <f t="shared" si="545"/>
        <v>19.560577526679221</v>
      </c>
      <c r="CT178" s="172">
        <f t="shared" si="546"/>
        <v>2.7507062146892656</v>
      </c>
      <c r="CU178" s="217">
        <f t="shared" si="547"/>
        <v>1.2225360954174513</v>
      </c>
      <c r="CV178" s="217">
        <f t="shared" si="548"/>
        <v>2.4450721908349027</v>
      </c>
      <c r="CW178" s="217">
        <f t="shared" si="549"/>
        <v>16</v>
      </c>
      <c r="CX178" s="217">
        <f t="shared" si="550"/>
        <v>2.781103979460847</v>
      </c>
      <c r="CY178" s="217">
        <f t="shared" si="551"/>
        <v>1.7564867238700086</v>
      </c>
      <c r="CZ178" s="217">
        <f t="shared" si="552"/>
        <v>1.9983980690736625</v>
      </c>
      <c r="DA178" s="197">
        <f t="shared" si="553"/>
        <v>350</v>
      </c>
      <c r="DB178" s="443">
        <f t="shared" si="554"/>
        <v>266.31975550334852</v>
      </c>
      <c r="DD178" s="217">
        <f t="shared" si="555"/>
        <v>2.1161798052554355</v>
      </c>
      <c r="DE178" s="173">
        <f t="shared" si="556"/>
        <v>1.5206082432973189</v>
      </c>
      <c r="DF178" s="173">
        <f t="shared" si="557"/>
        <v>0.50055918207100247</v>
      </c>
      <c r="DG178" s="173"/>
      <c r="DH178" s="173">
        <f t="shared" si="558"/>
        <v>0.71856287425149712</v>
      </c>
      <c r="DI178" s="545">
        <f t="shared" si="559"/>
        <v>1892.6666666666665</v>
      </c>
      <c r="DJ178" s="528">
        <f t="shared" si="560"/>
        <v>0.125748502994012</v>
      </c>
      <c r="DL178" s="173">
        <f t="shared" si="561"/>
        <v>2.4142434484888695</v>
      </c>
      <c r="DM178" s="173">
        <f t="shared" si="562"/>
        <v>2.781103979460847</v>
      </c>
      <c r="DN178" s="173">
        <f t="shared" si="563"/>
        <v>2.5193362810821087</v>
      </c>
      <c r="DP178" s="545">
        <f t="shared" si="564"/>
        <v>680</v>
      </c>
      <c r="DQ178" s="460">
        <f t="shared" si="565"/>
        <v>266.31975550334852</v>
      </c>
      <c r="DS178">
        <f t="shared" si="566"/>
        <v>680</v>
      </c>
      <c r="DT178">
        <f t="shared" si="567"/>
        <v>266.31975550334852</v>
      </c>
      <c r="DV178" s="5">
        <f t="shared" si="568"/>
        <v>3.7548847929436713</v>
      </c>
      <c r="DW178" s="5">
        <f t="shared" si="569"/>
        <v>1.7564867238700086</v>
      </c>
      <c r="DX178" s="5">
        <f t="shared" si="570"/>
        <v>1.9983980690736627</v>
      </c>
      <c r="DY178" s="173">
        <f t="shared" si="571"/>
        <v>0.46778711484593832</v>
      </c>
      <c r="EA178" s="5">
        <f t="shared" si="572"/>
        <v>7.4650685764475364</v>
      </c>
      <c r="EB178" s="5">
        <f t="shared" si="573"/>
        <v>3.7325342882237682</v>
      </c>
      <c r="EC178" s="5">
        <f t="shared" si="574"/>
        <v>0.95362153471585298</v>
      </c>
      <c r="ED178" s="5"/>
      <c r="EE178" s="173">
        <f t="shared" si="575"/>
        <v>1.098198197755484</v>
      </c>
      <c r="EF178" s="173">
        <f t="shared" si="576"/>
        <v>1.1713840104640865</v>
      </c>
      <c r="EG178" s="173">
        <f t="shared" si="577"/>
        <v>0.28767813198162118</v>
      </c>
      <c r="EH178" s="173"/>
      <c r="EI178" s="528">
        <f t="shared" si="578"/>
        <v>2.4120785631067863E-2</v>
      </c>
      <c r="EJ178" s="528">
        <f t="shared" si="579"/>
        <v>0.50239166666666668</v>
      </c>
      <c r="EK178" s="528">
        <f t="shared" si="580"/>
        <v>3.0626771882885085E-2</v>
      </c>
      <c r="EL178" s="528">
        <f t="shared" si="581"/>
        <v>0.16716526860679537</v>
      </c>
      <c r="EM178">
        <f t="shared" si="582"/>
        <v>8.5500000000000003E-3</v>
      </c>
      <c r="EN178" s="460">
        <f t="shared" si="583"/>
        <v>39.176771882885085</v>
      </c>
      <c r="EP178" s="460">
        <f t="shared" si="603"/>
        <v>732.85449278741498</v>
      </c>
      <c r="EQ178" s="173">
        <f t="shared" si="584"/>
        <v>0.47599999999999998</v>
      </c>
      <c r="ER178" s="173">
        <f t="shared" si="585"/>
        <v>7.5437500000000005E-2</v>
      </c>
      <c r="ES178" s="528"/>
      <c r="EU178" s="460">
        <f t="shared" si="497"/>
        <v>551.4375</v>
      </c>
      <c r="EV178" s="528">
        <f t="shared" si="586"/>
        <v>3.6181178446601792E-2</v>
      </c>
      <c r="EW178" s="528">
        <f t="shared" si="587"/>
        <v>4.1164214999127806E-2</v>
      </c>
      <c r="EX178" s="528">
        <f t="shared" si="588"/>
        <v>4.1379353810217526E-4</v>
      </c>
      <c r="EY178" s="528">
        <f t="shared" si="589"/>
        <v>0.74648576287198454</v>
      </c>
      <c r="EZ178" s="528"/>
      <c r="FA178" s="625">
        <f t="shared" si="590"/>
        <v>1.0299303135888501E-2</v>
      </c>
      <c r="FB178" s="460">
        <f t="shared" si="498"/>
        <v>834.54425299170475</v>
      </c>
      <c r="FC178" s="173">
        <f t="shared" si="591"/>
        <v>2.1188362457791197</v>
      </c>
      <c r="FD178" s="5">
        <f t="shared" si="592"/>
        <v>12.24</v>
      </c>
      <c r="FE178" s="173">
        <f t="shared" si="593"/>
        <v>0.85243677067478452</v>
      </c>
      <c r="FF178" s="5">
        <f t="shared" si="594"/>
        <v>85.243677067478458</v>
      </c>
      <c r="FG178">
        <f t="shared" si="595"/>
        <v>68</v>
      </c>
      <c r="FI178" s="562">
        <f t="shared" si="596"/>
        <v>-50</v>
      </c>
      <c r="FJ178">
        <f t="shared" si="597"/>
        <v>-50</v>
      </c>
    </row>
    <row r="179" spans="5:166">
      <c r="E179" s="170">
        <v>69</v>
      </c>
      <c r="F179" s="217">
        <f t="shared" si="598"/>
        <v>0.69</v>
      </c>
      <c r="G179" s="217">
        <f t="shared" si="499"/>
        <v>0.17249999999999999</v>
      </c>
      <c r="H179" s="217">
        <f t="shared" si="500"/>
        <v>11.04</v>
      </c>
      <c r="I179" s="217">
        <f t="shared" si="501"/>
        <v>1.38</v>
      </c>
      <c r="J179" s="541">
        <f t="shared" si="502"/>
        <v>18.908860580421614</v>
      </c>
      <c r="K179" s="443">
        <f t="shared" si="503"/>
        <v>16.740209669229682</v>
      </c>
      <c r="L179" s="172">
        <f t="shared" si="504"/>
        <v>35.649070249651295</v>
      </c>
      <c r="M179" s="443"/>
      <c r="N179" s="217">
        <f t="shared" si="505"/>
        <v>0.46958334542801794</v>
      </c>
      <c r="O179" s="172">
        <f t="shared" si="506"/>
        <v>19.731746687969675</v>
      </c>
      <c r="P179" s="172">
        <f t="shared" si="507"/>
        <v>2.7747768779957358</v>
      </c>
      <c r="Q179" s="217">
        <f t="shared" si="508"/>
        <v>1.2332341679981047</v>
      </c>
      <c r="R179" s="217">
        <f t="shared" si="509"/>
        <v>2.4664683359962094</v>
      </c>
      <c r="S179" s="217">
        <f t="shared" si="510"/>
        <v>16</v>
      </c>
      <c r="T179" s="217">
        <f t="shared" si="511"/>
        <v>2.7975222301862961</v>
      </c>
      <c r="U179" s="217">
        <f t="shared" si="512"/>
        <v>1.775372271610828</v>
      </c>
      <c r="V179" s="217">
        <f t="shared" si="513"/>
        <v>2.0053671623923175</v>
      </c>
      <c r="W179" s="197">
        <f t="shared" si="514"/>
        <v>350</v>
      </c>
      <c r="X179" s="443">
        <f t="shared" si="599"/>
        <v>251.20960981723223</v>
      </c>
      <c r="Z179" s="217">
        <f t="shared" si="515"/>
        <v>2.1141157165681794</v>
      </c>
      <c r="AA179" s="173">
        <f t="shared" si="516"/>
        <v>1.5154761559199486</v>
      </c>
      <c r="AB179" s="173">
        <f t="shared" si="517"/>
        <v>0.49838319367117423</v>
      </c>
      <c r="AC179" s="173"/>
      <c r="AD179" s="173">
        <f t="shared" si="518"/>
        <v>0.71683689972278553</v>
      </c>
      <c r="AE179" s="545">
        <f t="shared" si="519"/>
        <v>1925.1241119614131</v>
      </c>
      <c r="AF179" s="528">
        <f t="shared" si="520"/>
        <v>0.12544645745148744</v>
      </c>
      <c r="AH179" s="173">
        <f t="shared" si="521"/>
        <v>2.4319304501333323</v>
      </c>
      <c r="AI179" s="173">
        <f t="shared" si="522"/>
        <v>2.7975222301862961</v>
      </c>
      <c r="AJ179" s="173">
        <f t="shared" si="523"/>
        <v>2.5314979482861455</v>
      </c>
      <c r="AL179" s="545">
        <f t="shared" si="524"/>
        <v>690</v>
      </c>
      <c r="AM179" s="460">
        <f t="shared" si="525"/>
        <v>251.20960981723223</v>
      </c>
      <c r="AO179">
        <f t="shared" si="526"/>
        <v>690</v>
      </c>
      <c r="AP179">
        <f t="shared" si="527"/>
        <v>251.20960981723223</v>
      </c>
      <c r="AR179" s="5">
        <f t="shared" si="443"/>
        <v>3.9807394340031457</v>
      </c>
      <c r="AS179" s="5">
        <f t="shared" ref="AS179:AS242" si="604">L*AI179/J179*1000000</f>
        <v>1.775372271610828</v>
      </c>
      <c r="AT179" s="5">
        <f t="shared" ref="AT179:AT242" si="605">AR179-AS179</f>
        <v>2.2053671623923177</v>
      </c>
      <c r="AU179" s="173">
        <f t="shared" ref="AU179:AU242" si="606">AS179/AR179</f>
        <v>0.44599057563168931</v>
      </c>
      <c r="AW179" s="5">
        <f t="shared" si="477"/>
        <v>7.656292921321695</v>
      </c>
      <c r="AX179" s="5">
        <f t="shared" si="478"/>
        <v>3.8281464606608475</v>
      </c>
      <c r="AY179" s="5">
        <f t="shared" si="479"/>
        <v>1.0730090164722619</v>
      </c>
      <c r="AZ179" s="5"/>
      <c r="BA179" s="173">
        <f t="shared" si="480"/>
        <v>1.0786381079742631</v>
      </c>
      <c r="BB179" s="173">
        <f t="shared" si="481"/>
        <v>1.2021855270663808</v>
      </c>
      <c r="BC179" s="173">
        <f t="shared" si="482"/>
        <v>0.29524262208836116</v>
      </c>
      <c r="BD179" s="173"/>
      <c r="BE179" s="528">
        <f t="shared" si="483"/>
        <v>2.3269203359485961E-2</v>
      </c>
      <c r="BF179" s="528">
        <f t="shared" si="528"/>
        <v>0.45721542290363437</v>
      </c>
      <c r="BG179" s="528">
        <f t="shared" si="529"/>
        <v>0.10925201223541162</v>
      </c>
      <c r="BH179" s="528">
        <f t="shared" si="484"/>
        <v>0.15723126158759471</v>
      </c>
      <c r="BI179">
        <f t="shared" si="485"/>
        <v>8.5089872611897252E-3</v>
      </c>
      <c r="BJ179" s="460">
        <f t="shared" si="600"/>
        <v>117.76099949660134</v>
      </c>
      <c r="BK179">
        <f t="shared" si="530"/>
        <v>0.64757888274178166</v>
      </c>
      <c r="BL179" s="460">
        <f t="shared" si="601"/>
        <v>755.47688734731639</v>
      </c>
      <c r="BM179" s="173">
        <f t="shared" si="531"/>
        <v>0.42866249999999989</v>
      </c>
      <c r="BN179" s="173">
        <f t="shared" si="532"/>
        <v>0.10716562499999997</v>
      </c>
      <c r="BO179" s="528"/>
      <c r="BQ179" s="460">
        <f t="shared" si="486"/>
        <v>535.82812499999989</v>
      </c>
      <c r="BR179" s="528">
        <f t="shared" si="487"/>
        <v>3.4903805039228936E-2</v>
      </c>
      <c r="BS179" s="528">
        <f t="shared" si="488"/>
        <v>4.3357501244636158E-2</v>
      </c>
      <c r="BT179" s="528">
        <f t="shared" si="489"/>
        <v>4.3584102948805421E-4</v>
      </c>
      <c r="BU179" s="528">
        <f t="shared" si="490"/>
        <v>0.65462787228724961</v>
      </c>
      <c r="BV179" s="528"/>
      <c r="BW179" s="625">
        <f t="shared" si="533"/>
        <v>9.8299961076783269E-3</v>
      </c>
      <c r="BX179" s="460">
        <f t="shared" si="491"/>
        <v>743.1550157082811</v>
      </c>
      <c r="BY179" s="173">
        <f t="shared" si="492"/>
        <v>2.0344600280555976</v>
      </c>
      <c r="BZ179" s="5">
        <f t="shared" si="493"/>
        <v>12.419999999999998</v>
      </c>
      <c r="CA179" s="173">
        <f t="shared" si="494"/>
        <v>0.85925036119600573</v>
      </c>
      <c r="CB179" s="5">
        <f t="shared" si="495"/>
        <v>85.925036119600577</v>
      </c>
      <c r="CC179">
        <f t="shared" si="496"/>
        <v>69</v>
      </c>
      <c r="CE179" s="562">
        <f t="shared" si="534"/>
        <v>-50</v>
      </c>
      <c r="CF179">
        <f t="shared" si="535"/>
        <v>-50</v>
      </c>
      <c r="CG179" s="173">
        <f t="shared" si="536"/>
        <v>0.51480154889510166</v>
      </c>
      <c r="CH179" s="173">
        <f t="shared" si="537"/>
        <v>0.18198046272135288</v>
      </c>
      <c r="CI179" s="170">
        <v>69</v>
      </c>
      <c r="CJ179" s="217">
        <f t="shared" si="602"/>
        <v>0.69</v>
      </c>
      <c r="CK179" s="217">
        <f t="shared" si="538"/>
        <v>0.17249999999999999</v>
      </c>
      <c r="CL179" s="217">
        <f t="shared" si="539"/>
        <v>11.04</v>
      </c>
      <c r="CM179" s="217">
        <f t="shared" si="540"/>
        <v>1.38</v>
      </c>
      <c r="CN179" s="541">
        <f t="shared" si="541"/>
        <v>19</v>
      </c>
      <c r="CO179" s="443">
        <f t="shared" si="542"/>
        <v>16.7</v>
      </c>
      <c r="CP179" s="443">
        <f t="shared" si="543"/>
        <v>35.700000000000003</v>
      </c>
      <c r="CQ179" s="443"/>
      <c r="CR179" s="217">
        <f t="shared" si="544"/>
        <v>0.4632768361581921</v>
      </c>
      <c r="CS179" s="172">
        <f t="shared" si="545"/>
        <v>19.560577526679221</v>
      </c>
      <c r="CT179" s="172">
        <f t="shared" si="546"/>
        <v>2.7507062146892656</v>
      </c>
      <c r="CU179" s="217">
        <f t="shared" si="547"/>
        <v>1.2225360954174513</v>
      </c>
      <c r="CV179" s="217">
        <f t="shared" si="548"/>
        <v>2.4450721908349027</v>
      </c>
      <c r="CW179" s="217">
        <f t="shared" si="549"/>
        <v>16</v>
      </c>
      <c r="CX179" s="217">
        <f t="shared" si="550"/>
        <v>2.8220025673940943</v>
      </c>
      <c r="CY179" s="217">
        <f t="shared" si="551"/>
        <v>1.7823174109857436</v>
      </c>
      <c r="CZ179" s="217">
        <f t="shared" si="552"/>
        <v>2.0277862759718044</v>
      </c>
      <c r="DA179" s="197">
        <f t="shared" si="553"/>
        <v>350</v>
      </c>
      <c r="DB179" s="443">
        <f t="shared" si="554"/>
        <v>262.46004890185077</v>
      </c>
      <c r="DD179" s="217">
        <f t="shared" si="555"/>
        <v>2.1161798052554355</v>
      </c>
      <c r="DE179" s="173">
        <f t="shared" si="556"/>
        <v>1.5206082432973189</v>
      </c>
      <c r="DF179" s="173">
        <f t="shared" si="557"/>
        <v>0.50055918207100247</v>
      </c>
      <c r="DG179" s="173"/>
      <c r="DH179" s="173">
        <f t="shared" si="558"/>
        <v>0.71856287425149712</v>
      </c>
      <c r="DI179" s="545">
        <f t="shared" si="559"/>
        <v>1920.4999999999995</v>
      </c>
      <c r="DJ179" s="528">
        <f t="shared" si="560"/>
        <v>0.125748502994012</v>
      </c>
      <c r="DL179" s="173">
        <f t="shared" si="561"/>
        <v>2.4319304501333323</v>
      </c>
      <c r="DM179" s="173">
        <f t="shared" si="562"/>
        <v>2.8220025673940943</v>
      </c>
      <c r="DN179" s="173">
        <f t="shared" si="563"/>
        <v>2.5496315314030324</v>
      </c>
      <c r="DP179" s="545">
        <f t="shared" si="564"/>
        <v>690</v>
      </c>
      <c r="DQ179" s="460">
        <f t="shared" si="565"/>
        <v>262.46004890185077</v>
      </c>
      <c r="DS179">
        <f t="shared" si="566"/>
        <v>690</v>
      </c>
      <c r="DT179">
        <f t="shared" si="567"/>
        <v>262.46004890185077</v>
      </c>
      <c r="DV179" s="5">
        <f t="shared" si="568"/>
        <v>3.810103686957548</v>
      </c>
      <c r="DW179" s="5">
        <f t="shared" si="569"/>
        <v>1.7823174109857436</v>
      </c>
      <c r="DX179" s="5">
        <f t="shared" si="570"/>
        <v>2.0277862759718044</v>
      </c>
      <c r="DY179" s="173">
        <f t="shared" si="571"/>
        <v>0.46778711484593832</v>
      </c>
      <c r="EA179" s="5">
        <f t="shared" si="572"/>
        <v>7.68624383487602</v>
      </c>
      <c r="EB179" s="5">
        <f t="shared" si="573"/>
        <v>3.84312191743801</v>
      </c>
      <c r="EC179" s="5">
        <f t="shared" si="574"/>
        <v>0.98187545994424197</v>
      </c>
      <c r="ED179" s="5"/>
      <c r="EE179" s="173">
        <f t="shared" si="575"/>
        <v>1.1143481712518879</v>
      </c>
      <c r="EF179" s="173">
        <f t="shared" si="576"/>
        <v>1.1886102459120875</v>
      </c>
      <c r="EG179" s="173">
        <f t="shared" si="577"/>
        <v>0.29190869274605674</v>
      </c>
      <c r="EH179" s="173"/>
      <c r="EI179" s="528">
        <f t="shared" si="578"/>
        <v>2.4835436935448537E-2</v>
      </c>
      <c r="EJ179" s="528">
        <f t="shared" si="579"/>
        <v>0.50239166666666668</v>
      </c>
      <c r="EK179" s="528">
        <f t="shared" si="580"/>
        <v>3.0182905623712841E-2</v>
      </c>
      <c r="EL179" s="528">
        <f t="shared" si="581"/>
        <v>0.16474258355452301</v>
      </c>
      <c r="EM179">
        <f t="shared" si="582"/>
        <v>8.5500000000000003E-3</v>
      </c>
      <c r="EN179" s="460">
        <f t="shared" si="583"/>
        <v>38.732905623712846</v>
      </c>
      <c r="EP179" s="460">
        <f t="shared" si="603"/>
        <v>730.70259278035098</v>
      </c>
      <c r="EQ179" s="173">
        <f t="shared" si="584"/>
        <v>0.48299999999999993</v>
      </c>
      <c r="ER179" s="173">
        <f t="shared" si="585"/>
        <v>7.6546874999999986E-2</v>
      </c>
      <c r="ES179" s="528"/>
      <c r="EU179" s="460">
        <f t="shared" si="497"/>
        <v>559.54687499999989</v>
      </c>
      <c r="EV179" s="528">
        <f t="shared" si="586"/>
        <v>3.7253155403172804E-2</v>
      </c>
      <c r="EW179" s="528">
        <f t="shared" si="587"/>
        <v>4.2383829500615797E-2</v>
      </c>
      <c r="EX179" s="528">
        <f t="shared" si="588"/>
        <v>4.2605342450355885E-4</v>
      </c>
      <c r="EY179" s="528">
        <f t="shared" si="589"/>
        <v>0.74648576287198487</v>
      </c>
      <c r="EZ179" s="528"/>
      <c r="FA179" s="625">
        <f t="shared" si="590"/>
        <v>1.0450763476122154E-2</v>
      </c>
      <c r="FB179" s="460">
        <f t="shared" si="498"/>
        <v>836.99956467639925</v>
      </c>
      <c r="FC179" s="173">
        <f t="shared" si="591"/>
        <v>2.1272490324567497</v>
      </c>
      <c r="FD179" s="5">
        <f t="shared" si="592"/>
        <v>12.419999999999998</v>
      </c>
      <c r="FE179" s="173">
        <f t="shared" si="593"/>
        <v>0.85376966959797085</v>
      </c>
      <c r="FF179" s="5">
        <f t="shared" si="594"/>
        <v>85.376966959797087</v>
      </c>
      <c r="FG179">
        <f t="shared" si="595"/>
        <v>69</v>
      </c>
      <c r="FI179" s="562">
        <f t="shared" si="596"/>
        <v>-50</v>
      </c>
      <c r="FJ179">
        <f t="shared" si="597"/>
        <v>-50</v>
      </c>
    </row>
    <row r="180" spans="5:166">
      <c r="E180" s="170">
        <v>70</v>
      </c>
      <c r="F180" s="217">
        <f t="shared" si="598"/>
        <v>0.7</v>
      </c>
      <c r="G180" s="217">
        <f t="shared" si="499"/>
        <v>0.17499999999999999</v>
      </c>
      <c r="H180" s="217">
        <f t="shared" si="500"/>
        <v>11.2</v>
      </c>
      <c r="I180" s="217">
        <f t="shared" si="501"/>
        <v>1.4</v>
      </c>
      <c r="J180" s="541">
        <f t="shared" si="502"/>
        <v>18.907539719268303</v>
      </c>
      <c r="K180" s="443">
        <f t="shared" si="503"/>
        <v>16.740792418059097</v>
      </c>
      <c r="L180" s="172">
        <f t="shared" si="504"/>
        <v>35.648332137327401</v>
      </c>
      <c r="M180" s="443"/>
      <c r="N180" s="217">
        <f t="shared" si="505"/>
        <v>0.46960941548594354</v>
      </c>
      <c r="O180" s="172">
        <f t="shared" si="506"/>
        <v>19.731463724095217</v>
      </c>
      <c r="P180" s="172">
        <f t="shared" si="507"/>
        <v>2.77473708620089</v>
      </c>
      <c r="Q180" s="217">
        <f t="shared" si="508"/>
        <v>1.2332164827559511</v>
      </c>
      <c r="R180" s="217">
        <f t="shared" si="509"/>
        <v>2.4664329655119022</v>
      </c>
      <c r="S180" s="217">
        <f t="shared" si="510"/>
        <v>16</v>
      </c>
      <c r="T180" s="217">
        <f t="shared" si="511"/>
        <v>2.8381067306028185</v>
      </c>
      <c r="U180" s="217">
        <f t="shared" si="512"/>
        <v>1.8012539586272407</v>
      </c>
      <c r="V180" s="217">
        <f t="shared" si="513"/>
        <v>2.0343888100837204</v>
      </c>
      <c r="W180" s="197">
        <f t="shared" si="514"/>
        <v>350</v>
      </c>
      <c r="X180" s="443">
        <f t="shared" si="599"/>
        <v>247.7920017483147</v>
      </c>
      <c r="Z180" s="217">
        <f t="shared" si="515"/>
        <v>2.114085399010202</v>
      </c>
      <c r="AA180" s="173">
        <f t="shared" si="516"/>
        <v>1.5154016700401614</v>
      </c>
      <c r="AB180" s="173">
        <f t="shared" si="517"/>
        <v>0.49835155133051251</v>
      </c>
      <c r="AC180" s="173"/>
      <c r="AD180" s="173">
        <f t="shared" si="518"/>
        <v>0.71681194655128899</v>
      </c>
      <c r="AE180" s="545">
        <f t="shared" si="519"/>
        <v>1953.092448773561</v>
      </c>
      <c r="AF180" s="528">
        <f t="shared" si="520"/>
        <v>0.12544209064647557</v>
      </c>
      <c r="AH180" s="173">
        <f t="shared" si="521"/>
        <v>2.4494897427831779</v>
      </c>
      <c r="AI180" s="173">
        <f t="shared" si="522"/>
        <v>2.8381067306028185</v>
      </c>
      <c r="AJ180" s="173">
        <f t="shared" si="523"/>
        <v>2.5615605411872728</v>
      </c>
      <c r="AL180" s="545">
        <f t="shared" si="524"/>
        <v>700</v>
      </c>
      <c r="AM180" s="460">
        <f t="shared" si="525"/>
        <v>247.7920017483147</v>
      </c>
      <c r="AO180">
        <f t="shared" si="526"/>
        <v>700</v>
      </c>
      <c r="AP180">
        <f t="shared" si="527"/>
        <v>247.7920017483147</v>
      </c>
      <c r="AR180" s="5">
        <f t="shared" si="443"/>
        <v>4.0356427687109608</v>
      </c>
      <c r="AS180" s="5">
        <f t="shared" si="604"/>
        <v>1.8012539586272407</v>
      </c>
      <c r="AT180" s="5">
        <f t="shared" si="605"/>
        <v>2.2343888100837201</v>
      </c>
      <c r="AU180" s="173">
        <f t="shared" si="606"/>
        <v>0.44633632406532003</v>
      </c>
      <c r="AW180" s="5">
        <f t="shared" si="477"/>
        <v>7.8804860689941778</v>
      </c>
      <c r="AX180" s="5">
        <f t="shared" si="478"/>
        <v>3.9402430344970889</v>
      </c>
      <c r="AY180" s="5">
        <f t="shared" si="479"/>
        <v>1.1029618803090062</v>
      </c>
      <c r="AZ180" s="5"/>
      <c r="BA180" s="173">
        <f t="shared" si="480"/>
        <v>1.0947103204363811</v>
      </c>
      <c r="BB180" s="173">
        <f t="shared" si="481"/>
        <v>1.2192453618643579</v>
      </c>
      <c r="BC180" s="173">
        <f t="shared" si="482"/>
        <v>0.29943231681080551</v>
      </c>
      <c r="BD180" s="173"/>
      <c r="BE180" s="528">
        <f t="shared" si="483"/>
        <v>2.396781371339848E-2</v>
      </c>
      <c r="BF180" s="528">
        <f t="shared" si="528"/>
        <v>0.45752843682941896</v>
      </c>
      <c r="BG180" s="528">
        <f t="shared" si="529"/>
        <v>0.10775815364898503</v>
      </c>
      <c r="BH180" s="528">
        <f t="shared" si="484"/>
        <v>0.15508576974597216</v>
      </c>
      <c r="BI180">
        <f t="shared" si="485"/>
        <v>8.5083928736707365E-3</v>
      </c>
      <c r="BJ180" s="460">
        <f t="shared" si="600"/>
        <v>116.26654652265576</v>
      </c>
      <c r="BK180">
        <f t="shared" si="530"/>
        <v>0.64673633336746461</v>
      </c>
      <c r="BL180" s="460">
        <f t="shared" si="601"/>
        <v>752.84856681144538</v>
      </c>
      <c r="BM180" s="173">
        <f t="shared" si="531"/>
        <v>0.4348749999999999</v>
      </c>
      <c r="BN180" s="173">
        <f t="shared" si="532"/>
        <v>0.10871874999999998</v>
      </c>
      <c r="BO180" s="528"/>
      <c r="BQ180" s="460">
        <f t="shared" si="486"/>
        <v>543.59374999999989</v>
      </c>
      <c r="BR180" s="528">
        <f t="shared" si="487"/>
        <v>3.5951720570097719E-2</v>
      </c>
      <c r="BS180" s="528">
        <f t="shared" si="488"/>
        <v>4.4596777572832473E-2</v>
      </c>
      <c r="BT180" s="528">
        <f t="shared" si="489"/>
        <v>4.4829856175343296E-4</v>
      </c>
      <c r="BU180" s="528">
        <f t="shared" si="490"/>
        <v>0.65578280279496959</v>
      </c>
      <c r="BV180" s="528"/>
      <c r="BW180" s="625">
        <f t="shared" si="533"/>
        <v>9.9796367963285431E-3</v>
      </c>
      <c r="BX180" s="460">
        <f t="shared" si="491"/>
        <v>746.75923629598174</v>
      </c>
      <c r="BY180" s="173">
        <f t="shared" si="492"/>
        <v>2.0432015531074268</v>
      </c>
      <c r="BZ180" s="5">
        <f t="shared" si="493"/>
        <v>12.6</v>
      </c>
      <c r="CA180" s="173">
        <f t="shared" si="494"/>
        <v>0.86046756607855068</v>
      </c>
      <c r="CB180" s="5">
        <f t="shared" si="495"/>
        <v>86.046756607855073</v>
      </c>
      <c r="CC180">
        <f t="shared" si="496"/>
        <v>70</v>
      </c>
      <c r="CE180" s="562">
        <f t="shared" si="534"/>
        <v>-50</v>
      </c>
      <c r="CF180">
        <f t="shared" si="535"/>
        <v>-50</v>
      </c>
      <c r="CG180" s="173">
        <f t="shared" si="536"/>
        <v>0.51480154889510155</v>
      </c>
      <c r="CH180" s="173">
        <f t="shared" si="537"/>
        <v>0.18198046272135285</v>
      </c>
      <c r="CI180" s="170">
        <v>70</v>
      </c>
      <c r="CJ180" s="217">
        <f t="shared" si="602"/>
        <v>0.7</v>
      </c>
      <c r="CK180" s="217">
        <f t="shared" si="538"/>
        <v>0.17499999999999999</v>
      </c>
      <c r="CL180" s="217">
        <f t="shared" si="539"/>
        <v>11.2</v>
      </c>
      <c r="CM180" s="217">
        <f t="shared" si="540"/>
        <v>1.4</v>
      </c>
      <c r="CN180" s="541">
        <f t="shared" si="541"/>
        <v>19</v>
      </c>
      <c r="CO180" s="443">
        <f t="shared" si="542"/>
        <v>16.7</v>
      </c>
      <c r="CP180" s="443">
        <f t="shared" si="543"/>
        <v>35.700000000000003</v>
      </c>
      <c r="CQ180" s="443"/>
      <c r="CR180" s="217">
        <f t="shared" si="544"/>
        <v>0.4632768361581921</v>
      </c>
      <c r="CS180" s="172">
        <f t="shared" si="545"/>
        <v>19.560577526679221</v>
      </c>
      <c r="CT180" s="172">
        <f t="shared" si="546"/>
        <v>2.7507062146892656</v>
      </c>
      <c r="CU180" s="217">
        <f t="shared" si="547"/>
        <v>1.2225360954174513</v>
      </c>
      <c r="CV180" s="217">
        <f t="shared" si="548"/>
        <v>2.4450721908349027</v>
      </c>
      <c r="CW180" s="217">
        <f t="shared" si="549"/>
        <v>16</v>
      </c>
      <c r="CX180" s="217">
        <f t="shared" si="550"/>
        <v>2.8629011553273425</v>
      </c>
      <c r="CY180" s="217">
        <f t="shared" si="551"/>
        <v>1.8081480981014795</v>
      </c>
      <c r="CZ180" s="217">
        <f t="shared" si="552"/>
        <v>2.057174482869947</v>
      </c>
      <c r="DA180" s="197">
        <f t="shared" si="553"/>
        <v>350</v>
      </c>
      <c r="DB180" s="443">
        <f t="shared" si="554"/>
        <v>258.71061963182427</v>
      </c>
      <c r="DD180" s="217">
        <f t="shared" si="555"/>
        <v>2.1161798052554355</v>
      </c>
      <c r="DE180" s="173">
        <f t="shared" si="556"/>
        <v>1.5206082432973189</v>
      </c>
      <c r="DF180" s="173">
        <f t="shared" si="557"/>
        <v>0.50055918207100247</v>
      </c>
      <c r="DG180" s="173"/>
      <c r="DH180" s="173">
        <f t="shared" si="558"/>
        <v>0.71856287425149712</v>
      </c>
      <c r="DI180" s="545">
        <f t="shared" si="559"/>
        <v>1948.333333333333</v>
      </c>
      <c r="DJ180" s="528">
        <f t="shared" si="560"/>
        <v>0.125748502994012</v>
      </c>
      <c r="DL180" s="173">
        <f t="shared" si="561"/>
        <v>2.4494897427831779</v>
      </c>
      <c r="DM180" s="173">
        <f t="shared" si="562"/>
        <v>2.8629011553273425</v>
      </c>
      <c r="DN180" s="173">
        <f t="shared" si="563"/>
        <v>2.5799267817239571</v>
      </c>
      <c r="DP180" s="545">
        <f t="shared" si="564"/>
        <v>700</v>
      </c>
      <c r="DQ180" s="460">
        <f t="shared" si="565"/>
        <v>258.71061963182427</v>
      </c>
      <c r="DS180">
        <f t="shared" si="566"/>
        <v>700</v>
      </c>
      <c r="DT180">
        <f t="shared" si="567"/>
        <v>258.71061963182427</v>
      </c>
      <c r="DV180" s="5">
        <f t="shared" si="568"/>
        <v>3.8653225809714264</v>
      </c>
      <c r="DW180" s="5">
        <f t="shared" si="569"/>
        <v>1.8081480981014795</v>
      </c>
      <c r="DX180" s="5">
        <f t="shared" si="570"/>
        <v>2.057174482869947</v>
      </c>
      <c r="DY180" s="173">
        <f t="shared" si="571"/>
        <v>0.46778711484593832</v>
      </c>
      <c r="EA180" s="5">
        <f t="shared" si="572"/>
        <v>7.9106479291939715</v>
      </c>
      <c r="EB180" s="5">
        <f t="shared" si="573"/>
        <v>3.9553239645969858</v>
      </c>
      <c r="EC180" s="5">
        <f t="shared" si="574"/>
        <v>1.0105418512343596</v>
      </c>
      <c r="ED180" s="5"/>
      <c r="EE180" s="173">
        <f t="shared" si="575"/>
        <v>1.1304981447482922</v>
      </c>
      <c r="EF180" s="173">
        <f t="shared" si="576"/>
        <v>1.2058364813600888</v>
      </c>
      <c r="EG180" s="173">
        <f t="shared" si="577"/>
        <v>0.29613925351049236</v>
      </c>
      <c r="EH180" s="173"/>
      <c r="EI180" s="528">
        <f t="shared" si="578"/>
        <v>2.5560521105586615E-2</v>
      </c>
      <c r="EJ180" s="528">
        <f t="shared" si="579"/>
        <v>0.50239166666666668</v>
      </c>
      <c r="EK180" s="528">
        <f t="shared" si="580"/>
        <v>2.9751721257659795E-2</v>
      </c>
      <c r="EL180" s="528">
        <f t="shared" si="581"/>
        <v>0.16238911807517267</v>
      </c>
      <c r="EM180">
        <f t="shared" si="582"/>
        <v>8.5500000000000003E-3</v>
      </c>
      <c r="EN180" s="460">
        <f t="shared" si="583"/>
        <v>38.301721257659793</v>
      </c>
      <c r="EP180" s="460">
        <f t="shared" si="603"/>
        <v>728.64302710508571</v>
      </c>
      <c r="EQ180" s="173">
        <f t="shared" si="584"/>
        <v>0.48999999999999994</v>
      </c>
      <c r="ER180" s="173">
        <f t="shared" si="585"/>
        <v>7.7656249999999996E-2</v>
      </c>
      <c r="ES180" s="528"/>
      <c r="EU180" s="460">
        <f t="shared" si="497"/>
        <v>567.65625</v>
      </c>
      <c r="EV180" s="528">
        <f t="shared" si="586"/>
        <v>3.8340781658379924E-2</v>
      </c>
      <c r="EW180" s="528">
        <f t="shared" si="587"/>
        <v>4.3621248593366399E-2</v>
      </c>
      <c r="EX180" s="528">
        <f t="shared" si="588"/>
        <v>4.384922873487583E-4</v>
      </c>
      <c r="EY180" s="528">
        <f t="shared" si="589"/>
        <v>0.74648576287198465</v>
      </c>
      <c r="EZ180" s="528"/>
      <c r="FA180" s="625">
        <f t="shared" si="590"/>
        <v>1.0602223816355809E-2</v>
      </c>
      <c r="FB180" s="460">
        <f t="shared" si="498"/>
        <v>839.48850922743543</v>
      </c>
      <c r="FC180" s="173">
        <f t="shared" si="591"/>
        <v>2.135787786332521</v>
      </c>
      <c r="FD180" s="5">
        <f t="shared" si="592"/>
        <v>12.6</v>
      </c>
      <c r="FE180" s="173">
        <f t="shared" si="593"/>
        <v>0.85506117370165513</v>
      </c>
      <c r="FF180" s="5">
        <f t="shared" si="594"/>
        <v>85.506117370165512</v>
      </c>
      <c r="FG180">
        <f t="shared" si="595"/>
        <v>70</v>
      </c>
      <c r="FI180" s="562">
        <f t="shared" si="596"/>
        <v>-50</v>
      </c>
      <c r="FJ180">
        <f t="shared" si="597"/>
        <v>-50</v>
      </c>
    </row>
    <row r="181" spans="5:166">
      <c r="E181" s="170">
        <v>71</v>
      </c>
      <c r="F181" s="217">
        <f t="shared" si="598"/>
        <v>0.71</v>
      </c>
      <c r="G181" s="217">
        <f t="shared" si="499"/>
        <v>0.17749999999999999</v>
      </c>
      <c r="H181" s="217">
        <f t="shared" si="500"/>
        <v>11.36</v>
      </c>
      <c r="I181" s="217">
        <f t="shared" si="501"/>
        <v>1.42</v>
      </c>
      <c r="J181" s="541">
        <f t="shared" si="502"/>
        <v>18.906218858114993</v>
      </c>
      <c r="K181" s="443">
        <f t="shared" si="503"/>
        <v>16.741375166888513</v>
      </c>
      <c r="L181" s="172">
        <f t="shared" si="504"/>
        <v>35.647594025003507</v>
      </c>
      <c r="M181" s="443"/>
      <c r="N181" s="217">
        <f t="shared" si="505"/>
        <v>0.46963548662347254</v>
      </c>
      <c r="O181" s="172">
        <f t="shared" si="506"/>
        <v>19.731180652534906</v>
      </c>
      <c r="P181" s="172">
        <f t="shared" si="507"/>
        <v>2.7746972792627211</v>
      </c>
      <c r="Q181" s="217">
        <f t="shared" si="508"/>
        <v>1.2331987907834316</v>
      </c>
      <c r="R181" s="217">
        <f t="shared" si="509"/>
        <v>2.4663975815668633</v>
      </c>
      <c r="S181" s="217">
        <f t="shared" si="510"/>
        <v>16</v>
      </c>
      <c r="T181" s="217">
        <f t="shared" si="511"/>
        <v>2.8786924107708063</v>
      </c>
      <c r="U181" s="217">
        <f t="shared" si="512"/>
        <v>1.8271400108341835</v>
      </c>
      <c r="V181" s="217">
        <f t="shared" si="513"/>
        <v>2.0634092829824531</v>
      </c>
      <c r="W181" s="197">
        <f t="shared" si="514"/>
        <v>350</v>
      </c>
      <c r="X181" s="443">
        <f t="shared" si="599"/>
        <v>244.46594532221422</v>
      </c>
      <c r="Z181" s="217">
        <f t="shared" si="515"/>
        <v>2.1140550699144542</v>
      </c>
      <c r="AA181" s="173">
        <f t="shared" si="516"/>
        <v>1.5153271810757929</v>
      </c>
      <c r="AB181" s="173">
        <f t="shared" si="517"/>
        <v>0.49831990595838249</v>
      </c>
      <c r="AC181" s="173"/>
      <c r="AD181" s="173">
        <f t="shared" si="518"/>
        <v>0.71678699511697719</v>
      </c>
      <c r="AE181" s="545">
        <f t="shared" si="519"/>
        <v>1981.0627280818076</v>
      </c>
      <c r="AF181" s="528">
        <f t="shared" si="520"/>
        <v>0.12543772414547102</v>
      </c>
      <c r="AH181" s="173">
        <f t="shared" si="521"/>
        <v>2.4669240534954224</v>
      </c>
      <c r="AI181" s="173">
        <f t="shared" si="522"/>
        <v>2.8786924107708063</v>
      </c>
      <c r="AJ181" s="173">
        <f t="shared" si="523"/>
        <v>2.5916240079783748</v>
      </c>
      <c r="AL181" s="545">
        <f t="shared" si="524"/>
        <v>710</v>
      </c>
      <c r="AM181" s="460">
        <f t="shared" si="525"/>
        <v>244.46594532221422</v>
      </c>
      <c r="AO181">
        <f t="shared" si="526"/>
        <v>710</v>
      </c>
      <c r="AP181">
        <f t="shared" si="527"/>
        <v>244.46594532221422</v>
      </c>
      <c r="AR181" s="5">
        <f t="shared" si="443"/>
        <v>4.090549293816637</v>
      </c>
      <c r="AS181" s="5">
        <f t="shared" si="604"/>
        <v>1.8271400108341835</v>
      </c>
      <c r="AT181" s="5">
        <f t="shared" si="605"/>
        <v>2.2634092829824537</v>
      </c>
      <c r="AU181" s="173">
        <f t="shared" si="606"/>
        <v>0.44667350998461941</v>
      </c>
      <c r="AW181" s="5">
        <f t="shared" si="477"/>
        <v>8.1079337980766901</v>
      </c>
      <c r="AX181" s="5">
        <f t="shared" si="478"/>
        <v>4.0539668990383451</v>
      </c>
      <c r="AY181" s="5">
        <f t="shared" si="479"/>
        <v>1.1333276829722589</v>
      </c>
      <c r="AZ181" s="5"/>
      <c r="BA181" s="173">
        <f t="shared" si="480"/>
        <v>1.1107843036676628</v>
      </c>
      <c r="BB181" s="173">
        <f t="shared" si="481"/>
        <v>1.2363042624432539</v>
      </c>
      <c r="BC181" s="173">
        <f t="shared" si="482"/>
        <v>0.30362178210003438</v>
      </c>
      <c r="BD181" s="173"/>
      <c r="BE181" s="528">
        <f t="shared" si="483"/>
        <v>2.4676835385489093E-2</v>
      </c>
      <c r="BF181" s="528">
        <f t="shared" si="528"/>
        <v>0.45783261145458959</v>
      </c>
      <c r="BG181" s="528">
        <f t="shared" si="529"/>
        <v>0.10630431330920838</v>
      </c>
      <c r="BH181" s="528">
        <f t="shared" si="484"/>
        <v>0.15299775231494886</v>
      </c>
      <c r="BI181">
        <f t="shared" si="485"/>
        <v>8.507798486151746E-3</v>
      </c>
      <c r="BJ181" s="460">
        <f t="shared" si="600"/>
        <v>114.81211179536012</v>
      </c>
      <c r="BK181">
        <f t="shared" si="530"/>
        <v>0.64595733213075679</v>
      </c>
      <c r="BL181" s="460">
        <f t="shared" si="601"/>
        <v>750.31931095038772</v>
      </c>
      <c r="BM181" s="173">
        <f t="shared" si="531"/>
        <v>0.44108749999999991</v>
      </c>
      <c r="BN181" s="173">
        <f t="shared" si="532"/>
        <v>0.11027187499999998</v>
      </c>
      <c r="BO181" s="528"/>
      <c r="BQ181" s="460">
        <f t="shared" si="486"/>
        <v>551.35937499999989</v>
      </c>
      <c r="BR181" s="528">
        <f t="shared" si="487"/>
        <v>3.7015253078233633E-2</v>
      </c>
      <c r="BS181" s="528">
        <f t="shared" si="488"/>
        <v>4.5853446880060732E-2</v>
      </c>
      <c r="BT181" s="528">
        <f t="shared" si="489"/>
        <v>4.6093093282800377E-4</v>
      </c>
      <c r="BU181" s="528">
        <f t="shared" si="490"/>
        <v>0.65690729543137627</v>
      </c>
      <c r="BV181" s="528"/>
      <c r="BW181" s="625">
        <f t="shared" si="533"/>
        <v>1.0129287536463683E-2</v>
      </c>
      <c r="BX181" s="460">
        <f t="shared" si="491"/>
        <v>750.36621385896228</v>
      </c>
      <c r="BY181" s="173">
        <f t="shared" si="492"/>
        <v>2.0520448998093501</v>
      </c>
      <c r="BZ181" s="5">
        <f t="shared" si="493"/>
        <v>12.78</v>
      </c>
      <c r="CA181" s="173">
        <f t="shared" si="494"/>
        <v>0.86164787703442514</v>
      </c>
      <c r="CB181" s="5">
        <f t="shared" si="495"/>
        <v>86.164787703442514</v>
      </c>
      <c r="CC181">
        <f t="shared" si="496"/>
        <v>71</v>
      </c>
      <c r="CE181" s="562">
        <f t="shared" si="534"/>
        <v>-50</v>
      </c>
      <c r="CF181">
        <f t="shared" si="535"/>
        <v>-50</v>
      </c>
      <c r="CG181" s="173">
        <f t="shared" si="536"/>
        <v>0.51480154889510166</v>
      </c>
      <c r="CH181" s="173">
        <f t="shared" si="537"/>
        <v>0.18198046272135288</v>
      </c>
      <c r="CI181" s="170">
        <v>71</v>
      </c>
      <c r="CJ181" s="217">
        <f t="shared" si="602"/>
        <v>0.71</v>
      </c>
      <c r="CK181" s="217">
        <f t="shared" si="538"/>
        <v>0.17749999999999999</v>
      </c>
      <c r="CL181" s="217">
        <f t="shared" si="539"/>
        <v>11.36</v>
      </c>
      <c r="CM181" s="217">
        <f t="shared" si="540"/>
        <v>1.42</v>
      </c>
      <c r="CN181" s="541">
        <f t="shared" si="541"/>
        <v>19</v>
      </c>
      <c r="CO181" s="443">
        <f t="shared" si="542"/>
        <v>16.7</v>
      </c>
      <c r="CP181" s="443">
        <f t="shared" si="543"/>
        <v>35.700000000000003</v>
      </c>
      <c r="CQ181" s="443"/>
      <c r="CR181" s="217">
        <f t="shared" si="544"/>
        <v>0.4632768361581921</v>
      </c>
      <c r="CS181" s="172">
        <f t="shared" si="545"/>
        <v>19.560577526679221</v>
      </c>
      <c r="CT181" s="172">
        <f t="shared" si="546"/>
        <v>2.7507062146892656</v>
      </c>
      <c r="CU181" s="217">
        <f t="shared" si="547"/>
        <v>1.2225360954174513</v>
      </c>
      <c r="CV181" s="217">
        <f t="shared" si="548"/>
        <v>2.4450721908349027</v>
      </c>
      <c r="CW181" s="217">
        <f t="shared" si="549"/>
        <v>16</v>
      </c>
      <c r="CX181" s="217">
        <f t="shared" si="550"/>
        <v>2.9037997432605902</v>
      </c>
      <c r="CY181" s="217">
        <f t="shared" si="551"/>
        <v>1.8339787852172149</v>
      </c>
      <c r="CZ181" s="217">
        <f t="shared" si="552"/>
        <v>2.0865626897680891</v>
      </c>
      <c r="DA181" s="197">
        <f t="shared" si="553"/>
        <v>350</v>
      </c>
      <c r="DB181" s="443">
        <f t="shared" si="554"/>
        <v>255.06680808771409</v>
      </c>
      <c r="DD181" s="217">
        <f t="shared" si="555"/>
        <v>2.1161798052554355</v>
      </c>
      <c r="DE181" s="173">
        <f t="shared" si="556"/>
        <v>1.5206082432973189</v>
      </c>
      <c r="DF181" s="173">
        <f t="shared" si="557"/>
        <v>0.50055918207100247</v>
      </c>
      <c r="DG181" s="173"/>
      <c r="DH181" s="173">
        <f t="shared" si="558"/>
        <v>0.71856287425149712</v>
      </c>
      <c r="DI181" s="545">
        <f t="shared" si="559"/>
        <v>1976.1666666666663</v>
      </c>
      <c r="DJ181" s="528">
        <f t="shared" si="560"/>
        <v>0.125748502994012</v>
      </c>
      <c r="DL181" s="173">
        <f t="shared" si="561"/>
        <v>2.4669240534954224</v>
      </c>
      <c r="DM181" s="173">
        <f t="shared" si="562"/>
        <v>2.9037997432605902</v>
      </c>
      <c r="DN181" s="173">
        <f t="shared" si="563"/>
        <v>2.6102220320448817</v>
      </c>
      <c r="DP181" s="545">
        <f t="shared" si="564"/>
        <v>710</v>
      </c>
      <c r="DQ181" s="460">
        <f t="shared" si="565"/>
        <v>255.06680808771409</v>
      </c>
      <c r="DS181">
        <f t="shared" si="566"/>
        <v>710</v>
      </c>
      <c r="DT181">
        <f t="shared" si="567"/>
        <v>255.06680808771409</v>
      </c>
      <c r="DV181" s="5">
        <f t="shared" si="568"/>
        <v>3.9205414749853031</v>
      </c>
      <c r="DW181" s="5">
        <f t="shared" si="569"/>
        <v>1.8339787852172149</v>
      </c>
      <c r="DX181" s="5">
        <f t="shared" si="570"/>
        <v>2.0865626897680882</v>
      </c>
      <c r="DY181" s="173">
        <f t="shared" si="571"/>
        <v>0.46778711484593843</v>
      </c>
      <c r="EA181" s="5">
        <f t="shared" si="572"/>
        <v>8.1382808594013909</v>
      </c>
      <c r="EB181" s="5">
        <f t="shared" si="573"/>
        <v>4.0691404297006954</v>
      </c>
      <c r="EC181" s="5">
        <f t="shared" si="574"/>
        <v>1.0396207085862053</v>
      </c>
      <c r="ED181" s="5"/>
      <c r="EE181" s="173">
        <f t="shared" si="575"/>
        <v>1.1466481182446968</v>
      </c>
      <c r="EF181" s="173">
        <f t="shared" si="576"/>
        <v>1.2230627168080899</v>
      </c>
      <c r="EG181" s="173">
        <f t="shared" si="577"/>
        <v>0.30036981427492798</v>
      </c>
      <c r="EH181" s="173"/>
      <c r="EI181" s="528">
        <f t="shared" si="578"/>
        <v>2.6296038141482084E-2</v>
      </c>
      <c r="EJ181" s="528">
        <f t="shared" si="579"/>
        <v>0.50239166666666668</v>
      </c>
      <c r="EK181" s="528">
        <f t="shared" si="580"/>
        <v>2.9332682930087124E-2</v>
      </c>
      <c r="EL181" s="528">
        <f t="shared" si="581"/>
        <v>0.16010194739805755</v>
      </c>
      <c r="EM181">
        <f t="shared" si="582"/>
        <v>8.5500000000000003E-3</v>
      </c>
      <c r="EN181" s="460">
        <f t="shared" si="583"/>
        <v>37.882682930087128</v>
      </c>
      <c r="EP181" s="460">
        <f t="shared" si="603"/>
        <v>726.67233513629344</v>
      </c>
      <c r="EQ181" s="173">
        <f t="shared" si="584"/>
        <v>0.49699999999999994</v>
      </c>
      <c r="ER181" s="173">
        <f t="shared" si="585"/>
        <v>7.8765624999999992E-2</v>
      </c>
      <c r="ES181" s="528"/>
      <c r="EU181" s="460">
        <f t="shared" si="497"/>
        <v>575.765625</v>
      </c>
      <c r="EV181" s="528">
        <f t="shared" si="586"/>
        <v>3.9444057212223126E-2</v>
      </c>
      <c r="EW181" s="528">
        <f t="shared" si="587"/>
        <v>4.4876472277379578E-2</v>
      </c>
      <c r="EX181" s="528">
        <f t="shared" si="588"/>
        <v>4.5111012663777368E-4</v>
      </c>
      <c r="EY181" s="528">
        <f t="shared" si="589"/>
        <v>0.74648576287198398</v>
      </c>
      <c r="EZ181" s="528"/>
      <c r="FA181" s="625">
        <f t="shared" si="590"/>
        <v>1.0753684156589463E-2</v>
      </c>
      <c r="FB181" s="460">
        <f t="shared" si="498"/>
        <v>842.01108664481399</v>
      </c>
      <c r="FC181" s="173">
        <f t="shared" si="591"/>
        <v>2.1444490467811073</v>
      </c>
      <c r="FD181" s="5">
        <f t="shared" si="592"/>
        <v>12.78</v>
      </c>
      <c r="FE181" s="173">
        <f t="shared" si="593"/>
        <v>0.85631301764914258</v>
      </c>
      <c r="FF181" s="5">
        <f t="shared" si="594"/>
        <v>85.631301764914255</v>
      </c>
      <c r="FG181">
        <f t="shared" si="595"/>
        <v>71</v>
      </c>
      <c r="FI181" s="562">
        <f t="shared" si="596"/>
        <v>-50</v>
      </c>
      <c r="FJ181">
        <f t="shared" si="597"/>
        <v>-50</v>
      </c>
    </row>
    <row r="182" spans="5:166">
      <c r="E182" s="170">
        <v>72</v>
      </c>
      <c r="F182" s="217">
        <f t="shared" si="598"/>
        <v>0.72</v>
      </c>
      <c r="G182" s="217">
        <f t="shared" si="499"/>
        <v>0.18</v>
      </c>
      <c r="H182" s="217">
        <f t="shared" si="500"/>
        <v>11.52</v>
      </c>
      <c r="I182" s="217">
        <f t="shared" si="501"/>
        <v>1.44</v>
      </c>
      <c r="J182" s="541">
        <f t="shared" si="502"/>
        <v>18.904897996961683</v>
      </c>
      <c r="K182" s="443">
        <f t="shared" si="503"/>
        <v>16.741957915717929</v>
      </c>
      <c r="L182" s="172">
        <f t="shared" si="504"/>
        <v>35.646855912679612</v>
      </c>
      <c r="M182" s="443"/>
      <c r="N182" s="217">
        <f t="shared" si="505"/>
        <v>0.4696615588406719</v>
      </c>
      <c r="O182" s="172">
        <f t="shared" si="506"/>
        <v>19.730897473282042</v>
      </c>
      <c r="P182" s="172">
        <f t="shared" si="507"/>
        <v>2.7746574571802873</v>
      </c>
      <c r="Q182" s="217">
        <f t="shared" si="508"/>
        <v>1.2331810920801276</v>
      </c>
      <c r="R182" s="217">
        <f t="shared" si="509"/>
        <v>2.4663621841602552</v>
      </c>
      <c r="S182" s="217">
        <f t="shared" si="510"/>
        <v>16</v>
      </c>
      <c r="T182" s="217">
        <f t="shared" si="511"/>
        <v>2.9192792714065425</v>
      </c>
      <c r="U182" s="217">
        <f t="shared" si="512"/>
        <v>1.8530304296012921</v>
      </c>
      <c r="V182" s="217">
        <f t="shared" si="513"/>
        <v>2.0924285817245942</v>
      </c>
      <c r="W182" s="197">
        <f t="shared" si="514"/>
        <v>350</v>
      </c>
      <c r="X182" s="443">
        <f t="shared" si="599"/>
        <v>241.22781030228043</v>
      </c>
      <c r="Z182" s="217">
        <f t="shared" si="515"/>
        <v>2.1140247292802186</v>
      </c>
      <c r="AA182" s="173">
        <f t="shared" si="516"/>
        <v>1.5152526890266513</v>
      </c>
      <c r="AB182" s="173">
        <f t="shared" si="517"/>
        <v>0.49828825755499606</v>
      </c>
      <c r="AC182" s="173"/>
      <c r="AD182" s="173">
        <f t="shared" si="518"/>
        <v>0.71676204541966893</v>
      </c>
      <c r="AE182" s="545">
        <f t="shared" si="519"/>
        <v>2009.0349498861513</v>
      </c>
      <c r="AF182" s="528">
        <f t="shared" si="520"/>
        <v>0.12543335794844207</v>
      </c>
      <c r="AH182" s="173">
        <f t="shared" si="521"/>
        <v>2.4842360136324753</v>
      </c>
      <c r="AI182" s="173">
        <f t="shared" si="522"/>
        <v>2.9192792714065425</v>
      </c>
      <c r="AJ182" s="173">
        <f t="shared" si="523"/>
        <v>2.6216883491900314</v>
      </c>
      <c r="AL182" s="545">
        <f t="shared" si="524"/>
        <v>720</v>
      </c>
      <c r="AM182" s="460">
        <f t="shared" si="525"/>
        <v>241.22781030228043</v>
      </c>
      <c r="AO182">
        <f t="shared" si="526"/>
        <v>720</v>
      </c>
      <c r="AP182">
        <f t="shared" si="527"/>
        <v>241.22781030228043</v>
      </c>
      <c r="AR182" s="5">
        <f t="shared" si="443"/>
        <v>4.1454590113258867</v>
      </c>
      <c r="AS182" s="5">
        <f t="shared" si="604"/>
        <v>1.8530304296012921</v>
      </c>
      <c r="AT182" s="5">
        <f t="shared" si="605"/>
        <v>2.2924285817245948</v>
      </c>
      <c r="AU182" s="173">
        <f t="shared" si="606"/>
        <v>0.4470024729562137</v>
      </c>
      <c r="AW182" s="5">
        <f t="shared" si="477"/>
        <v>8.3386369332058123</v>
      </c>
      <c r="AX182" s="5">
        <f t="shared" si="478"/>
        <v>4.1693184666029062</v>
      </c>
      <c r="AY182" s="5">
        <f t="shared" si="479"/>
        <v>1.1641064864826582</v>
      </c>
      <c r="AZ182" s="5"/>
      <c r="BA182" s="173">
        <f t="shared" si="480"/>
        <v>1.1268600415345444</v>
      </c>
      <c r="BB182" s="173">
        <f t="shared" si="481"/>
        <v>1.2533622520833323</v>
      </c>
      <c r="BC182" s="173">
        <f t="shared" si="482"/>
        <v>0.30781102367340663</v>
      </c>
      <c r="BD182" s="173"/>
      <c r="BE182" s="528">
        <f t="shared" si="483"/>
        <v>2.5396271064144705E-2</v>
      </c>
      <c r="BF182" s="528">
        <f t="shared" si="528"/>
        <v>0.45812829718520681</v>
      </c>
      <c r="BG182" s="528">
        <f t="shared" si="529"/>
        <v>0.1048889043992858</v>
      </c>
      <c r="BH182" s="528">
        <f t="shared" si="484"/>
        <v>0.1509649302999774</v>
      </c>
      <c r="BI182">
        <f t="shared" si="485"/>
        <v>8.5072040986327573E-3</v>
      </c>
      <c r="BJ182" s="460">
        <f t="shared" si="600"/>
        <v>113.39610849791856</v>
      </c>
      <c r="BK182">
        <f t="shared" si="530"/>
        <v>0.64523996908015635</v>
      </c>
      <c r="BL182" s="460">
        <f t="shared" si="601"/>
        <v>747.88560704724739</v>
      </c>
      <c r="BM182" s="173">
        <f t="shared" si="531"/>
        <v>0.44729999999999998</v>
      </c>
      <c r="BN182" s="173">
        <f t="shared" si="532"/>
        <v>0.11182499999999999</v>
      </c>
      <c r="BO182" s="528"/>
      <c r="BQ182" s="460">
        <f t="shared" si="486"/>
        <v>559.125</v>
      </c>
      <c r="BR182" s="528">
        <f t="shared" si="487"/>
        <v>3.8094406596217052E-2</v>
      </c>
      <c r="BS182" s="528">
        <f t="shared" si="488"/>
        <v>4.7127508048422077E-2</v>
      </c>
      <c r="BT182" s="528">
        <f t="shared" si="489"/>
        <v>4.7373813147435248E-4</v>
      </c>
      <c r="BU182" s="528">
        <f t="shared" si="490"/>
        <v>0.65800250924796244</v>
      </c>
      <c r="BV182" s="528"/>
      <c r="BW182" s="625">
        <f t="shared" si="533"/>
        <v>1.0278947929747073E-2</v>
      </c>
      <c r="BX182" s="460">
        <f t="shared" si="491"/>
        <v>753.97710995382295</v>
      </c>
      <c r="BY182" s="173">
        <f t="shared" si="492"/>
        <v>2.0609877170010704</v>
      </c>
      <c r="BZ182" s="5">
        <f t="shared" si="493"/>
        <v>12.959999999999999</v>
      </c>
      <c r="CA182" s="173">
        <f t="shared" si="494"/>
        <v>0.86279279659696406</v>
      </c>
      <c r="CB182" s="5">
        <f t="shared" si="495"/>
        <v>86.2792796596964</v>
      </c>
      <c r="CC182">
        <f t="shared" si="496"/>
        <v>72</v>
      </c>
      <c r="CE182" s="562">
        <f t="shared" si="534"/>
        <v>-50</v>
      </c>
      <c r="CF182">
        <f t="shared" si="535"/>
        <v>-50</v>
      </c>
      <c r="CG182" s="173">
        <f t="shared" si="536"/>
        <v>0.51480154889510166</v>
      </c>
      <c r="CH182" s="173">
        <f t="shared" si="537"/>
        <v>0.18198046272135288</v>
      </c>
      <c r="CI182" s="170">
        <v>72</v>
      </c>
      <c r="CJ182" s="217">
        <f t="shared" si="602"/>
        <v>0.72</v>
      </c>
      <c r="CK182" s="217">
        <f t="shared" si="538"/>
        <v>0.18</v>
      </c>
      <c r="CL182" s="217">
        <f t="shared" si="539"/>
        <v>11.52</v>
      </c>
      <c r="CM182" s="217">
        <f t="shared" si="540"/>
        <v>1.44</v>
      </c>
      <c r="CN182" s="541">
        <f t="shared" si="541"/>
        <v>19</v>
      </c>
      <c r="CO182" s="443">
        <f t="shared" si="542"/>
        <v>16.7</v>
      </c>
      <c r="CP182" s="443">
        <f t="shared" si="543"/>
        <v>35.700000000000003</v>
      </c>
      <c r="CQ182" s="443"/>
      <c r="CR182" s="217">
        <f t="shared" si="544"/>
        <v>0.4632768361581921</v>
      </c>
      <c r="CS182" s="172">
        <f t="shared" si="545"/>
        <v>19.560577526679221</v>
      </c>
      <c r="CT182" s="172">
        <f t="shared" si="546"/>
        <v>2.7507062146892656</v>
      </c>
      <c r="CU182" s="217">
        <f t="shared" si="547"/>
        <v>1.2225360954174513</v>
      </c>
      <c r="CV182" s="217">
        <f t="shared" si="548"/>
        <v>2.4450721908349027</v>
      </c>
      <c r="CW182" s="217">
        <f t="shared" si="549"/>
        <v>16</v>
      </c>
      <c r="CX182" s="217">
        <f t="shared" si="550"/>
        <v>2.9446983311938379</v>
      </c>
      <c r="CY182" s="217">
        <f t="shared" si="551"/>
        <v>1.8598094723329504</v>
      </c>
      <c r="CZ182" s="217">
        <f t="shared" si="552"/>
        <v>2.1159508966662308</v>
      </c>
      <c r="DA182" s="197">
        <f t="shared" si="553"/>
        <v>350</v>
      </c>
      <c r="DB182" s="443">
        <f t="shared" si="554"/>
        <v>251.5242135309403</v>
      </c>
      <c r="DD182" s="217">
        <f t="shared" si="555"/>
        <v>2.1161798052554355</v>
      </c>
      <c r="DE182" s="173">
        <f t="shared" si="556"/>
        <v>1.5206082432973189</v>
      </c>
      <c r="DF182" s="173">
        <f t="shared" si="557"/>
        <v>0.50055918207100247</v>
      </c>
      <c r="DG182" s="173"/>
      <c r="DH182" s="173">
        <f t="shared" si="558"/>
        <v>0.71856287425149712</v>
      </c>
      <c r="DI182" s="545">
        <f t="shared" si="559"/>
        <v>2003.9999999999998</v>
      </c>
      <c r="DJ182" s="528">
        <f t="shared" si="560"/>
        <v>0.125748502994012</v>
      </c>
      <c r="DL182" s="173">
        <f t="shared" si="561"/>
        <v>2.4842360136324753</v>
      </c>
      <c r="DM182" s="173">
        <f t="shared" si="562"/>
        <v>2.9446983311938379</v>
      </c>
      <c r="DN182" s="173">
        <f t="shared" si="563"/>
        <v>2.6405172823658059</v>
      </c>
      <c r="DP182" s="545">
        <f t="shared" si="564"/>
        <v>720</v>
      </c>
      <c r="DQ182" s="460">
        <f t="shared" si="565"/>
        <v>251.5242135309403</v>
      </c>
      <c r="DS182">
        <f t="shared" si="566"/>
        <v>720</v>
      </c>
      <c r="DT182">
        <f t="shared" si="567"/>
        <v>251.5242135309403</v>
      </c>
      <c r="DV182" s="5">
        <f t="shared" si="568"/>
        <v>3.9757603689991812</v>
      </c>
      <c r="DW182" s="5">
        <f t="shared" si="569"/>
        <v>1.8598094723329504</v>
      </c>
      <c r="DX182" s="5">
        <f t="shared" si="570"/>
        <v>2.1159508966662308</v>
      </c>
      <c r="DY182" s="173">
        <f t="shared" si="571"/>
        <v>0.46778711484593838</v>
      </c>
      <c r="EA182" s="5">
        <f t="shared" si="572"/>
        <v>8.3691426254982755</v>
      </c>
      <c r="EB182" s="5">
        <f t="shared" si="573"/>
        <v>4.1845713127491377</v>
      </c>
      <c r="EC182" s="5">
        <f t="shared" si="574"/>
        <v>1.0691120319997796</v>
      </c>
      <c r="ED182" s="5"/>
      <c r="EE182" s="173">
        <f t="shared" si="575"/>
        <v>1.1627980917411007</v>
      </c>
      <c r="EF182" s="173">
        <f t="shared" si="576"/>
        <v>1.2402889522560914</v>
      </c>
      <c r="EG182" s="173">
        <f t="shared" si="577"/>
        <v>0.3046003750393636</v>
      </c>
      <c r="EH182" s="173"/>
      <c r="EI182" s="528">
        <f t="shared" si="578"/>
        <v>2.7041988043134905E-2</v>
      </c>
      <c r="EJ182" s="528">
        <f t="shared" si="579"/>
        <v>0.50239166666666679</v>
      </c>
      <c r="EK182" s="528">
        <f t="shared" si="580"/>
        <v>2.892528455605814E-2</v>
      </c>
      <c r="EL182" s="528">
        <f t="shared" si="581"/>
        <v>0.15787830923975121</v>
      </c>
      <c r="EM182">
        <f t="shared" si="582"/>
        <v>8.5500000000000003E-3</v>
      </c>
      <c r="EN182" s="460">
        <f t="shared" si="583"/>
        <v>37.475284556058142</v>
      </c>
      <c r="EP182" s="460">
        <f t="shared" si="603"/>
        <v>724.78724850561105</v>
      </c>
      <c r="EQ182" s="173">
        <f t="shared" si="584"/>
        <v>0.504</v>
      </c>
      <c r="ER182" s="173">
        <f t="shared" si="585"/>
        <v>7.9874999999999988E-2</v>
      </c>
      <c r="ES182" s="528"/>
      <c r="EU182" s="460">
        <f t="shared" si="497"/>
        <v>583.875</v>
      </c>
      <c r="EV182" s="528">
        <f t="shared" si="586"/>
        <v>4.0562982064702352E-2</v>
      </c>
      <c r="EW182" s="528">
        <f t="shared" si="587"/>
        <v>4.6149500552655383E-2</v>
      </c>
      <c r="EX182" s="528">
        <f t="shared" si="588"/>
        <v>4.6390694237060477E-4</v>
      </c>
      <c r="EY182" s="528">
        <f t="shared" si="589"/>
        <v>0.74648576287198465</v>
      </c>
      <c r="EZ182" s="528"/>
      <c r="FA182" s="625">
        <f t="shared" si="590"/>
        <v>1.0905144496823119E-2</v>
      </c>
      <c r="FB182" s="460">
        <f t="shared" si="498"/>
        <v>844.56729692853605</v>
      </c>
      <c r="FC182" s="173">
        <f t="shared" si="591"/>
        <v>2.1532295454341472</v>
      </c>
      <c r="FD182" s="5">
        <f t="shared" si="592"/>
        <v>12.959999999999999</v>
      </c>
      <c r="FE182" s="173">
        <f t="shared" si="593"/>
        <v>0.85752684170110693</v>
      </c>
      <c r="FF182" s="5">
        <f t="shared" si="594"/>
        <v>85.752684170110697</v>
      </c>
      <c r="FG182">
        <f t="shared" si="595"/>
        <v>72</v>
      </c>
      <c r="FI182" s="562">
        <f t="shared" si="596"/>
        <v>-50</v>
      </c>
      <c r="FJ182">
        <f t="shared" si="597"/>
        <v>-50</v>
      </c>
    </row>
    <row r="183" spans="5:166">
      <c r="E183" s="170">
        <v>73</v>
      </c>
      <c r="F183" s="217">
        <f t="shared" si="598"/>
        <v>0.73</v>
      </c>
      <c r="G183" s="217">
        <f t="shared" si="499"/>
        <v>0.1825</v>
      </c>
      <c r="H183" s="217">
        <f t="shared" si="500"/>
        <v>11.68</v>
      </c>
      <c r="I183" s="217">
        <f t="shared" si="501"/>
        <v>1.46</v>
      </c>
      <c r="J183" s="541">
        <f t="shared" si="502"/>
        <v>18.903577135808373</v>
      </c>
      <c r="K183" s="443">
        <f t="shared" si="503"/>
        <v>16.742540664547345</v>
      </c>
      <c r="L183" s="172">
        <f t="shared" si="504"/>
        <v>35.646117800355718</v>
      </c>
      <c r="M183" s="443"/>
      <c r="N183" s="217">
        <f t="shared" si="505"/>
        <v>0.46968763213760878</v>
      </c>
      <c r="O183" s="172">
        <f t="shared" si="506"/>
        <v>19.730614186329944</v>
      </c>
      <c r="P183" s="172">
        <f t="shared" si="507"/>
        <v>2.7746176199526484</v>
      </c>
      <c r="Q183" s="217">
        <f t="shared" si="508"/>
        <v>1.2331633866456215</v>
      </c>
      <c r="R183" s="217">
        <f t="shared" si="509"/>
        <v>2.4663267732912431</v>
      </c>
      <c r="S183" s="217">
        <f t="shared" si="510"/>
        <v>16</v>
      </c>
      <c r="T183" s="217">
        <f t="shared" si="511"/>
        <v>2.9598673132264457</v>
      </c>
      <c r="U183" s="217">
        <f t="shared" si="512"/>
        <v>1.8789252162986705</v>
      </c>
      <c r="V183" s="217">
        <f t="shared" si="513"/>
        <v>2.1214467069462324</v>
      </c>
      <c r="W183" s="197">
        <f t="shared" si="514"/>
        <v>350</v>
      </c>
      <c r="X183" s="443">
        <f t="shared" si="599"/>
        <v>238.07415587795671</v>
      </c>
      <c r="Z183" s="217">
        <f t="shared" si="515"/>
        <v>2.11399437710678</v>
      </c>
      <c r="AA183" s="173">
        <f t="shared" si="516"/>
        <v>1.5151781938925462</v>
      </c>
      <c r="AB183" s="173">
        <f t="shared" si="517"/>
        <v>0.4982566061205676</v>
      </c>
      <c r="AC183" s="173"/>
      <c r="AD183" s="173">
        <f t="shared" si="518"/>
        <v>0.71673709745918279</v>
      </c>
      <c r="AE183" s="545">
        <f t="shared" si="519"/>
        <v>2037.0091141865933</v>
      </c>
      <c r="AF183" s="528">
        <f t="shared" si="520"/>
        <v>0.12542899205535699</v>
      </c>
      <c r="AH183" s="173">
        <f t="shared" si="521"/>
        <v>2.5014281634983759</v>
      </c>
      <c r="AI183" s="173">
        <f t="shared" si="522"/>
        <v>2.9598673132264457</v>
      </c>
      <c r="AJ183" s="173">
        <f t="shared" si="523"/>
        <v>2.6517535653529229</v>
      </c>
      <c r="AL183" s="545">
        <f t="shared" si="524"/>
        <v>730</v>
      </c>
      <c r="AM183" s="460">
        <f t="shared" si="525"/>
        <v>238.07415587795671</v>
      </c>
      <c r="AO183">
        <f t="shared" si="526"/>
        <v>730</v>
      </c>
      <c r="AP183">
        <f t="shared" si="527"/>
        <v>238.07415587795671</v>
      </c>
      <c r="AR183" s="5">
        <f t="shared" si="443"/>
        <v>4.2003719232449042</v>
      </c>
      <c r="AS183" s="5">
        <f t="shared" si="604"/>
        <v>1.8789252162986705</v>
      </c>
      <c r="AT183" s="5">
        <f t="shared" si="605"/>
        <v>2.3214467069462339</v>
      </c>
      <c r="AU183" s="173">
        <f t="shared" si="606"/>
        <v>0.44732353482811316</v>
      </c>
      <c r="AW183" s="5">
        <f t="shared" si="477"/>
        <v>8.5725962993626847</v>
      </c>
      <c r="AX183" s="5">
        <f t="shared" si="478"/>
        <v>4.2862981496813424</v>
      </c>
      <c r="AY183" s="5">
        <f t="shared" si="479"/>
        <v>1.195298352896129</v>
      </c>
      <c r="AZ183" s="5"/>
      <c r="BA183" s="173">
        <f t="shared" si="480"/>
        <v>1.1429375187704376</v>
      </c>
      <c r="BB183" s="173">
        <f t="shared" si="481"/>
        <v>1.2704193528735519</v>
      </c>
      <c r="BC183" s="173">
        <f t="shared" si="482"/>
        <v>0.31200004695571054</v>
      </c>
      <c r="BD183" s="173"/>
      <c r="BE183" s="528">
        <f t="shared" si="483"/>
        <v>2.6126123436262489E-2</v>
      </c>
      <c r="BF183" s="528">
        <f t="shared" si="528"/>
        <v>0.45841582614310944</v>
      </c>
      <c r="BG183" s="528">
        <f t="shared" si="529"/>
        <v>0.10351042290267269</v>
      </c>
      <c r="BH183" s="528">
        <f t="shared" si="484"/>
        <v>0.14898514362466256</v>
      </c>
      <c r="BI183">
        <f t="shared" si="485"/>
        <v>8.5066097111137669E-3</v>
      </c>
      <c r="BJ183" s="460">
        <f t="shared" si="600"/>
        <v>112.01703261378645</v>
      </c>
      <c r="BK183">
        <f t="shared" si="530"/>
        <v>0.64458243513885694</v>
      </c>
      <c r="BL183" s="460">
        <f t="shared" si="601"/>
        <v>745.54412581782083</v>
      </c>
      <c r="BM183" s="173">
        <f t="shared" si="531"/>
        <v>0.45351249999999999</v>
      </c>
      <c r="BN183" s="173">
        <f t="shared" si="532"/>
        <v>0.113378125</v>
      </c>
      <c r="BO183" s="528"/>
      <c r="BQ183" s="460">
        <f t="shared" si="486"/>
        <v>566.890625</v>
      </c>
      <c r="BR183" s="528">
        <f t="shared" si="487"/>
        <v>3.9189185154393728E-2</v>
      </c>
      <c r="BS183" s="528">
        <f t="shared" si="488"/>
        <v>4.8418959964669633E-2</v>
      </c>
      <c r="BT183" s="528">
        <f t="shared" si="489"/>
        <v>4.8672014650182792E-4</v>
      </c>
      <c r="BU183" s="528">
        <f t="shared" si="490"/>
        <v>0.65906954524230799</v>
      </c>
      <c r="BV183" s="528"/>
      <c r="BW183" s="625">
        <f t="shared" si="533"/>
        <v>1.0428617598627274E-2</v>
      </c>
      <c r="BX183" s="460">
        <f t="shared" si="491"/>
        <v>757.59302810650047</v>
      </c>
      <c r="BY183" s="173">
        <f t="shared" si="492"/>
        <v>2.0700277789243215</v>
      </c>
      <c r="BZ183" s="5">
        <f t="shared" si="493"/>
        <v>13.14</v>
      </c>
      <c r="CA183" s="173">
        <f t="shared" si="494"/>
        <v>0.86390374764517897</v>
      </c>
      <c r="CB183" s="5">
        <f t="shared" si="495"/>
        <v>86.390374764517901</v>
      </c>
      <c r="CC183">
        <f t="shared" si="496"/>
        <v>73</v>
      </c>
      <c r="CE183" s="562">
        <f t="shared" si="534"/>
        <v>-50</v>
      </c>
      <c r="CF183">
        <f t="shared" si="535"/>
        <v>-50</v>
      </c>
      <c r="CG183" s="173">
        <f t="shared" si="536"/>
        <v>0.51480154889510155</v>
      </c>
      <c r="CH183" s="173">
        <f t="shared" si="537"/>
        <v>0.18198046272135288</v>
      </c>
      <c r="CI183" s="170">
        <v>73</v>
      </c>
      <c r="CJ183" s="217">
        <f t="shared" si="602"/>
        <v>0.73</v>
      </c>
      <c r="CK183" s="217">
        <f t="shared" si="538"/>
        <v>0.1825</v>
      </c>
      <c r="CL183" s="217">
        <f t="shared" si="539"/>
        <v>11.68</v>
      </c>
      <c r="CM183" s="217">
        <f t="shared" si="540"/>
        <v>1.46</v>
      </c>
      <c r="CN183" s="541">
        <f t="shared" si="541"/>
        <v>19</v>
      </c>
      <c r="CO183" s="443">
        <f t="shared" si="542"/>
        <v>16.7</v>
      </c>
      <c r="CP183" s="443">
        <f t="shared" si="543"/>
        <v>35.700000000000003</v>
      </c>
      <c r="CQ183" s="443"/>
      <c r="CR183" s="217">
        <f t="shared" si="544"/>
        <v>0.4632768361581921</v>
      </c>
      <c r="CS183" s="172">
        <f t="shared" si="545"/>
        <v>19.560577526679221</v>
      </c>
      <c r="CT183" s="172">
        <f t="shared" si="546"/>
        <v>2.7507062146892656</v>
      </c>
      <c r="CU183" s="217">
        <f t="shared" si="547"/>
        <v>1.2225360954174513</v>
      </c>
      <c r="CV183" s="217">
        <f t="shared" si="548"/>
        <v>2.4450721908349027</v>
      </c>
      <c r="CW183" s="217">
        <f t="shared" si="549"/>
        <v>16</v>
      </c>
      <c r="CX183" s="217">
        <f t="shared" si="550"/>
        <v>2.9855969191270857</v>
      </c>
      <c r="CY183" s="217">
        <f t="shared" si="551"/>
        <v>1.8856401594486858</v>
      </c>
      <c r="CZ183" s="217">
        <f t="shared" si="552"/>
        <v>2.145339103564373</v>
      </c>
      <c r="DA183" s="197">
        <f t="shared" si="553"/>
        <v>350</v>
      </c>
      <c r="DB183" s="443">
        <f t="shared" si="554"/>
        <v>248.07867635928358</v>
      </c>
      <c r="DD183" s="217">
        <f t="shared" si="555"/>
        <v>2.1161798052554355</v>
      </c>
      <c r="DE183" s="173">
        <f t="shared" si="556"/>
        <v>1.5206082432973189</v>
      </c>
      <c r="DF183" s="173">
        <f t="shared" si="557"/>
        <v>0.50055918207100247</v>
      </c>
      <c r="DG183" s="173"/>
      <c r="DH183" s="173">
        <f t="shared" si="558"/>
        <v>0.71856287425149712</v>
      </c>
      <c r="DI183" s="545">
        <f t="shared" si="559"/>
        <v>2031.833333333333</v>
      </c>
      <c r="DJ183" s="528">
        <f t="shared" si="560"/>
        <v>0.125748502994012</v>
      </c>
      <c r="DL183" s="173">
        <f t="shared" si="561"/>
        <v>2.5014281634983759</v>
      </c>
      <c r="DM183" s="173">
        <f t="shared" si="562"/>
        <v>2.9855969191270857</v>
      </c>
      <c r="DN183" s="173">
        <f t="shared" si="563"/>
        <v>2.67081253268673</v>
      </c>
      <c r="DP183" s="545">
        <f t="shared" si="564"/>
        <v>730</v>
      </c>
      <c r="DQ183" s="460">
        <f t="shared" si="565"/>
        <v>248.07867635928358</v>
      </c>
      <c r="DS183">
        <f t="shared" si="566"/>
        <v>730</v>
      </c>
      <c r="DT183">
        <f t="shared" si="567"/>
        <v>248.07867635928358</v>
      </c>
      <c r="DV183" s="5">
        <f t="shared" si="568"/>
        <v>4.0309792630130588</v>
      </c>
      <c r="DW183" s="5">
        <f t="shared" si="569"/>
        <v>1.8856401594486858</v>
      </c>
      <c r="DX183" s="5">
        <f t="shared" si="570"/>
        <v>2.145339103564373</v>
      </c>
      <c r="DY183" s="173">
        <f t="shared" si="571"/>
        <v>0.46778711484593838</v>
      </c>
      <c r="EA183" s="5">
        <f t="shared" si="572"/>
        <v>8.6032332274846279</v>
      </c>
      <c r="EB183" s="5">
        <f t="shared" si="573"/>
        <v>4.301616613742314</v>
      </c>
      <c r="EC183" s="5">
        <f t="shared" si="574"/>
        <v>1.099015821475082</v>
      </c>
      <c r="ED183" s="5"/>
      <c r="EE183" s="173">
        <f t="shared" si="575"/>
        <v>1.1789480652375048</v>
      </c>
      <c r="EF183" s="173">
        <f t="shared" si="576"/>
        <v>1.2575151877040927</v>
      </c>
      <c r="EG183" s="173">
        <f t="shared" si="577"/>
        <v>0.30883093580379917</v>
      </c>
      <c r="EH183" s="173"/>
      <c r="EI183" s="528">
        <f t="shared" si="578"/>
        <v>2.779837081054512E-2</v>
      </c>
      <c r="EJ183" s="528">
        <f t="shared" si="579"/>
        <v>0.50239166666666679</v>
      </c>
      <c r="EK183" s="528">
        <f t="shared" si="580"/>
        <v>2.8529047781317613E-2</v>
      </c>
      <c r="EL183" s="528">
        <f t="shared" si="581"/>
        <v>0.1557155926748231</v>
      </c>
      <c r="EM183">
        <f t="shared" si="582"/>
        <v>8.5500000000000003E-3</v>
      </c>
      <c r="EN183" s="460">
        <f t="shared" si="583"/>
        <v>37.079047781317612</v>
      </c>
      <c r="EP183" s="460">
        <f t="shared" si="603"/>
        <v>722.98467793335249</v>
      </c>
      <c r="EQ183" s="173">
        <f t="shared" si="584"/>
        <v>0.51100000000000001</v>
      </c>
      <c r="ER183" s="173">
        <f t="shared" si="585"/>
        <v>8.0984374999999997E-2</v>
      </c>
      <c r="ES183" s="528"/>
      <c r="EU183" s="460">
        <f t="shared" si="497"/>
        <v>591.984375</v>
      </c>
      <c r="EV183" s="528">
        <f t="shared" si="586"/>
        <v>4.169755621581768E-2</v>
      </c>
      <c r="EW183" s="528">
        <f t="shared" si="587"/>
        <v>4.7440333419193778E-2</v>
      </c>
      <c r="EX183" s="528">
        <f t="shared" si="588"/>
        <v>4.7688273454725167E-4</v>
      </c>
      <c r="EY183" s="528">
        <f t="shared" si="589"/>
        <v>0.74648576287198465</v>
      </c>
      <c r="EZ183" s="528"/>
      <c r="FA183" s="625">
        <f t="shared" si="590"/>
        <v>1.1056604837056774E-2</v>
      </c>
      <c r="FB183" s="460">
        <f t="shared" si="498"/>
        <v>847.15714007860015</v>
      </c>
      <c r="FC183" s="173">
        <f t="shared" si="591"/>
        <v>2.1621261930119524</v>
      </c>
      <c r="FD183" s="5">
        <f t="shared" si="592"/>
        <v>13.14</v>
      </c>
      <c r="FE183" s="173">
        <f t="shared" si="593"/>
        <v>0.85870419798267417</v>
      </c>
      <c r="FF183" s="5">
        <f t="shared" si="594"/>
        <v>85.87041979826742</v>
      </c>
      <c r="FG183">
        <f t="shared" si="595"/>
        <v>73</v>
      </c>
      <c r="FI183" s="562">
        <f t="shared" si="596"/>
        <v>-50</v>
      </c>
      <c r="FJ183">
        <f t="shared" si="597"/>
        <v>-50</v>
      </c>
    </row>
    <row r="184" spans="5:166">
      <c r="E184" s="170">
        <v>74</v>
      </c>
      <c r="F184" s="217">
        <f t="shared" si="598"/>
        <v>0.74</v>
      </c>
      <c r="G184" s="217">
        <f t="shared" si="499"/>
        <v>0.185</v>
      </c>
      <c r="H184" s="217">
        <f t="shared" si="500"/>
        <v>11.84</v>
      </c>
      <c r="I184" s="217">
        <f t="shared" si="501"/>
        <v>1.48</v>
      </c>
      <c r="J184" s="541">
        <f t="shared" si="502"/>
        <v>18.902256274655063</v>
      </c>
      <c r="K184" s="443">
        <f t="shared" si="503"/>
        <v>16.743123413376761</v>
      </c>
      <c r="L184" s="172">
        <f t="shared" si="504"/>
        <v>35.645379688031824</v>
      </c>
      <c r="M184" s="443"/>
      <c r="N184" s="217">
        <f t="shared" si="505"/>
        <v>0.46971370651435024</v>
      </c>
      <c r="O184" s="172">
        <f t="shared" si="506"/>
        <v>19.730330791671918</v>
      </c>
      <c r="P184" s="172">
        <f t="shared" si="507"/>
        <v>2.7745777675788634</v>
      </c>
      <c r="Q184" s="217">
        <f t="shared" si="508"/>
        <v>1.2331456744794949</v>
      </c>
      <c r="R184" s="217">
        <f t="shared" si="509"/>
        <v>2.4662913489589897</v>
      </c>
      <c r="S184" s="217">
        <f t="shared" si="510"/>
        <v>16</v>
      </c>
      <c r="T184" s="217">
        <f t="shared" si="511"/>
        <v>3.0004565369470666</v>
      </c>
      <c r="U184" s="217">
        <f t="shared" si="512"/>
        <v>1.9048243722968909</v>
      </c>
      <c r="V184" s="217">
        <f t="shared" si="513"/>
        <v>2.1504636592834623</v>
      </c>
      <c r="W184" s="197">
        <f t="shared" si="514"/>
        <v>350</v>
      </c>
      <c r="X184" s="443">
        <f t="shared" si="599"/>
        <v>235.00171846854141</v>
      </c>
      <c r="Z184" s="217">
        <f t="shared" si="515"/>
        <v>2.1139640133934199</v>
      </c>
      <c r="AA184" s="173">
        <f t="shared" si="516"/>
        <v>1.5151036956732851</v>
      </c>
      <c r="AB184" s="173">
        <f t="shared" si="517"/>
        <v>0.49822495165530895</v>
      </c>
      <c r="AC184" s="173"/>
      <c r="AD184" s="173">
        <f t="shared" si="518"/>
        <v>0.71671215123533716</v>
      </c>
      <c r="AE184" s="545">
        <f t="shared" si="519"/>
        <v>2064.9852209831338</v>
      </c>
      <c r="AF184" s="528">
        <f t="shared" si="520"/>
        <v>0.12542462646618402</v>
      </c>
      <c r="AH184" s="173">
        <f t="shared" si="521"/>
        <v>2.5185029566901727</v>
      </c>
      <c r="AI184" s="173">
        <f t="shared" si="522"/>
        <v>3.0004565369470666</v>
      </c>
      <c r="AJ184" s="173">
        <f t="shared" si="523"/>
        <v>2.6818196569978268</v>
      </c>
      <c r="AL184" s="545">
        <f t="shared" si="524"/>
        <v>740</v>
      </c>
      <c r="AM184" s="460">
        <f t="shared" si="525"/>
        <v>235.00171846854141</v>
      </c>
      <c r="AO184">
        <f t="shared" si="526"/>
        <v>740</v>
      </c>
      <c r="AP184">
        <f t="shared" si="527"/>
        <v>235.00171846854141</v>
      </c>
      <c r="AR184" s="5">
        <f t="shared" si="443"/>
        <v>4.2552880315803536</v>
      </c>
      <c r="AS184" s="5">
        <f t="shared" si="604"/>
        <v>1.9048243722968909</v>
      </c>
      <c r="AT184" s="5">
        <f t="shared" si="605"/>
        <v>2.3504636592834629</v>
      </c>
      <c r="AU184" s="173">
        <f t="shared" si="606"/>
        <v>0.44763700087053004</v>
      </c>
      <c r="AW184" s="5">
        <f t="shared" si="477"/>
        <v>8.8098127218731204</v>
      </c>
      <c r="AX184" s="5">
        <f t="shared" si="478"/>
        <v>4.4049063609365602</v>
      </c>
      <c r="AY184" s="5">
        <f t="shared" si="479"/>
        <v>1.2269033443038908</v>
      </c>
      <c r="AZ184" s="5"/>
      <c r="BA184" s="173">
        <f t="shared" si="480"/>
        <v>1.1590167209194442</v>
      </c>
      <c r="BB184" s="173">
        <f t="shared" si="481"/>
        <v>1.287475585787397</v>
      </c>
      <c r="BC184" s="173">
        <f t="shared" si="482"/>
        <v>0.31618885709778716</v>
      </c>
      <c r="BD184" s="173"/>
      <c r="BE184" s="528">
        <f t="shared" si="483"/>
        <v>2.6866395187417215E-2</v>
      </c>
      <c r="BF184" s="528">
        <f t="shared" si="528"/>
        <v>0.45869551334314795</v>
      </c>
      <c r="BG184" s="528">
        <f t="shared" si="529"/>
        <v>0.10216744227196432</v>
      </c>
      <c r="BH184" s="528">
        <f t="shared" si="484"/>
        <v>0.14705634347419139</v>
      </c>
      <c r="BI184">
        <f t="shared" si="485"/>
        <v>8.5060153235947782E-3</v>
      </c>
      <c r="BJ184" s="460">
        <f t="shared" si="600"/>
        <v>110.6734575955591</v>
      </c>
      <c r="BK184">
        <f t="shared" si="530"/>
        <v>0.64398301562612992</v>
      </c>
      <c r="BL184" s="460">
        <f t="shared" si="601"/>
        <v>743.2917096003157</v>
      </c>
      <c r="BM184" s="173">
        <f t="shared" si="531"/>
        <v>0.45972499999999999</v>
      </c>
      <c r="BN184" s="173">
        <f t="shared" si="532"/>
        <v>0.11493125</v>
      </c>
      <c r="BO184" s="528"/>
      <c r="BQ184" s="460">
        <f t="shared" si="486"/>
        <v>574.65625</v>
      </c>
      <c r="BR184" s="528">
        <f t="shared" si="487"/>
        <v>4.0299592781125819E-2</v>
      </c>
      <c r="BS184" s="528">
        <f t="shared" si="488"/>
        <v>4.972780151995803E-2</v>
      </c>
      <c r="BT184" s="528">
        <f t="shared" si="489"/>
        <v>4.9987696676402431E-4</v>
      </c>
      <c r="BU184" s="528">
        <f t="shared" si="490"/>
        <v>0.66010944994304843</v>
      </c>
      <c r="BV184" s="528"/>
      <c r="BW184" s="625">
        <f t="shared" si="533"/>
        <v>1.0578296184999838E-2</v>
      </c>
      <c r="BX184" s="460">
        <f t="shared" si="491"/>
        <v>761.2150173958961</v>
      </c>
      <c r="BY184" s="173">
        <f t="shared" si="492"/>
        <v>2.0791629769962121</v>
      </c>
      <c r="BZ184" s="5">
        <f t="shared" si="493"/>
        <v>13.32</v>
      </c>
      <c r="CA184" s="173">
        <f t="shared" si="494"/>
        <v>0.86498207856478071</v>
      </c>
      <c r="CB184" s="5">
        <f t="shared" si="495"/>
        <v>86.498207856478075</v>
      </c>
      <c r="CC184">
        <f t="shared" si="496"/>
        <v>74</v>
      </c>
      <c r="CE184" s="562">
        <f t="shared" si="534"/>
        <v>-50</v>
      </c>
      <c r="CF184">
        <f t="shared" si="535"/>
        <v>-50</v>
      </c>
      <c r="CG184" s="173">
        <f t="shared" si="536"/>
        <v>0.51480154889510166</v>
      </c>
      <c r="CH184" s="173">
        <f t="shared" si="537"/>
        <v>0.18198046272135288</v>
      </c>
      <c r="CI184" s="170">
        <v>74</v>
      </c>
      <c r="CJ184" s="217">
        <f t="shared" si="602"/>
        <v>0.74</v>
      </c>
      <c r="CK184" s="217">
        <f t="shared" si="538"/>
        <v>0.185</v>
      </c>
      <c r="CL184" s="217">
        <f t="shared" si="539"/>
        <v>11.84</v>
      </c>
      <c r="CM184" s="217">
        <f t="shared" si="540"/>
        <v>1.48</v>
      </c>
      <c r="CN184" s="541">
        <f t="shared" si="541"/>
        <v>19</v>
      </c>
      <c r="CO184" s="443">
        <f t="shared" si="542"/>
        <v>16.7</v>
      </c>
      <c r="CP184" s="443">
        <f t="shared" si="543"/>
        <v>35.700000000000003</v>
      </c>
      <c r="CQ184" s="443"/>
      <c r="CR184" s="217">
        <f t="shared" si="544"/>
        <v>0.4632768361581921</v>
      </c>
      <c r="CS184" s="172">
        <f t="shared" si="545"/>
        <v>19.560577526679221</v>
      </c>
      <c r="CT184" s="172">
        <f t="shared" si="546"/>
        <v>2.7507062146892656</v>
      </c>
      <c r="CU184" s="217">
        <f t="shared" si="547"/>
        <v>1.2225360954174513</v>
      </c>
      <c r="CV184" s="217">
        <f t="shared" si="548"/>
        <v>2.4450721908349027</v>
      </c>
      <c r="CW184" s="217">
        <f t="shared" si="549"/>
        <v>16</v>
      </c>
      <c r="CX184" s="217">
        <f t="shared" si="550"/>
        <v>3.0264955070603334</v>
      </c>
      <c r="CY184" s="217">
        <f t="shared" si="551"/>
        <v>1.911470846564421</v>
      </c>
      <c r="CZ184" s="217">
        <f t="shared" si="552"/>
        <v>2.1747273104625151</v>
      </c>
      <c r="DA184" s="197">
        <f t="shared" si="553"/>
        <v>350</v>
      </c>
      <c r="DB184" s="443">
        <f t="shared" si="554"/>
        <v>244.72626181388787</v>
      </c>
      <c r="DD184" s="217">
        <f t="shared" si="555"/>
        <v>2.1161798052554355</v>
      </c>
      <c r="DE184" s="173">
        <f t="shared" si="556"/>
        <v>1.5206082432973189</v>
      </c>
      <c r="DF184" s="173">
        <f t="shared" si="557"/>
        <v>0.50055918207100247</v>
      </c>
      <c r="DG184" s="173"/>
      <c r="DH184" s="173">
        <f t="shared" si="558"/>
        <v>0.71856287425149712</v>
      </c>
      <c r="DI184" s="545">
        <f t="shared" si="559"/>
        <v>2059.6666666666661</v>
      </c>
      <c r="DJ184" s="528">
        <f t="shared" si="560"/>
        <v>0.125748502994012</v>
      </c>
      <c r="DL184" s="173">
        <f t="shared" si="561"/>
        <v>2.5185029566901727</v>
      </c>
      <c r="DM184" s="173">
        <f t="shared" si="562"/>
        <v>3.0264955070603334</v>
      </c>
      <c r="DN184" s="173">
        <f t="shared" si="563"/>
        <v>2.7011077830076546</v>
      </c>
      <c r="DP184" s="545">
        <f t="shared" si="564"/>
        <v>740</v>
      </c>
      <c r="DQ184" s="460">
        <f t="shared" si="565"/>
        <v>244.72626181388787</v>
      </c>
      <c r="DS184">
        <f t="shared" si="566"/>
        <v>740</v>
      </c>
      <c r="DT184">
        <f t="shared" si="567"/>
        <v>244.72626181388787</v>
      </c>
      <c r="DV184" s="5">
        <f t="shared" si="568"/>
        <v>4.0861981570269359</v>
      </c>
      <c r="DW184" s="5">
        <f t="shared" si="569"/>
        <v>1.911470846564421</v>
      </c>
      <c r="DX184" s="5">
        <f t="shared" si="570"/>
        <v>2.1747273104625151</v>
      </c>
      <c r="DY184" s="173">
        <f t="shared" si="571"/>
        <v>0.46778711484593838</v>
      </c>
      <c r="EA184" s="5">
        <f t="shared" si="572"/>
        <v>8.8405526653604465</v>
      </c>
      <c r="EB184" s="5">
        <f t="shared" si="573"/>
        <v>4.4202763326802232</v>
      </c>
      <c r="EC184" s="5">
        <f t="shared" si="574"/>
        <v>1.1293320770121129</v>
      </c>
      <c r="ED184" s="5"/>
      <c r="EE184" s="173">
        <f t="shared" si="575"/>
        <v>1.1950980387339092</v>
      </c>
      <c r="EF184" s="173">
        <f t="shared" si="576"/>
        <v>1.2747414231520937</v>
      </c>
      <c r="EG184" s="173">
        <f t="shared" si="577"/>
        <v>0.31306149656823479</v>
      </c>
      <c r="EH184" s="173"/>
      <c r="EI184" s="528">
        <f t="shared" si="578"/>
        <v>2.8565186443712726E-2</v>
      </c>
      <c r="EJ184" s="528">
        <f t="shared" si="579"/>
        <v>0.50239166666666679</v>
      </c>
      <c r="EK184" s="528">
        <f t="shared" si="580"/>
        <v>2.8143520108597109E-2</v>
      </c>
      <c r="EL184" s="528">
        <f t="shared" si="581"/>
        <v>0.15361132790894713</v>
      </c>
      <c r="EM184">
        <f t="shared" si="582"/>
        <v>8.5500000000000003E-3</v>
      </c>
      <c r="EN184" s="460">
        <f t="shared" si="583"/>
        <v>36.693520108597113</v>
      </c>
      <c r="EP184" s="460">
        <f t="shared" si="603"/>
        <v>721.26170112792374</v>
      </c>
      <c r="EQ184" s="173">
        <f t="shared" si="584"/>
        <v>0.51800000000000002</v>
      </c>
      <c r="ER184" s="173">
        <f t="shared" si="585"/>
        <v>8.2093749999999993E-2</v>
      </c>
      <c r="ES184" s="528"/>
      <c r="EU184" s="460">
        <f t="shared" si="497"/>
        <v>600.09375</v>
      </c>
      <c r="EV184" s="528">
        <f t="shared" si="586"/>
        <v>4.2847779665569088E-2</v>
      </c>
      <c r="EW184" s="528">
        <f t="shared" si="587"/>
        <v>4.8748970876994757E-2</v>
      </c>
      <c r="EX184" s="528">
        <f t="shared" si="588"/>
        <v>4.9003750316771444E-4</v>
      </c>
      <c r="EY184" s="528">
        <f t="shared" si="589"/>
        <v>0.74648576287198465</v>
      </c>
      <c r="EZ184" s="528"/>
      <c r="FA184" s="625">
        <f t="shared" si="590"/>
        <v>1.1208065177290429E-2</v>
      </c>
      <c r="FB184" s="460">
        <f t="shared" si="498"/>
        <v>849.78061609500662</v>
      </c>
      <c r="FC184" s="173">
        <f t="shared" si="591"/>
        <v>2.1711360672229305</v>
      </c>
      <c r="FD184" s="5">
        <f t="shared" si="592"/>
        <v>13.32</v>
      </c>
      <c r="FE184" s="173">
        <f t="shared" si="593"/>
        <v>0.85984655626279405</v>
      </c>
      <c r="FF184" s="5">
        <f t="shared" si="594"/>
        <v>85.984655626279405</v>
      </c>
      <c r="FG184">
        <f t="shared" si="595"/>
        <v>74</v>
      </c>
      <c r="FI184" s="562">
        <f t="shared" si="596"/>
        <v>-50</v>
      </c>
      <c r="FJ184">
        <f t="shared" si="597"/>
        <v>-50</v>
      </c>
    </row>
    <row r="185" spans="5:166">
      <c r="E185" s="170">
        <v>75</v>
      </c>
      <c r="F185" s="217">
        <f t="shared" si="598"/>
        <v>0.75</v>
      </c>
      <c r="G185" s="217">
        <f t="shared" si="499"/>
        <v>0.1875</v>
      </c>
      <c r="H185" s="217">
        <f t="shared" si="500"/>
        <v>12</v>
      </c>
      <c r="I185" s="217">
        <f t="shared" si="501"/>
        <v>1.5</v>
      </c>
      <c r="J185" s="541">
        <f t="shared" si="502"/>
        <v>18.900935413501752</v>
      </c>
      <c r="K185" s="443">
        <f t="shared" si="503"/>
        <v>16.743706162206177</v>
      </c>
      <c r="L185" s="172">
        <f t="shared" si="504"/>
        <v>35.644641575707929</v>
      </c>
      <c r="M185" s="443"/>
      <c r="N185" s="217">
        <f t="shared" si="505"/>
        <v>0.46973978197096333</v>
      </c>
      <c r="O185" s="172">
        <f t="shared" si="506"/>
        <v>19.730047289301275</v>
      </c>
      <c r="P185" s="172">
        <f t="shared" si="507"/>
        <v>2.7745379000579917</v>
      </c>
      <c r="Q185" s="217">
        <f t="shared" si="508"/>
        <v>1.2331279555813297</v>
      </c>
      <c r="R185" s="217">
        <f t="shared" si="509"/>
        <v>2.4662559111626594</v>
      </c>
      <c r="S185" s="217">
        <f t="shared" si="510"/>
        <v>16</v>
      </c>
      <c r="T185" s="217">
        <f t="shared" si="511"/>
        <v>3.0410469432850942</v>
      </c>
      <c r="U185" s="217">
        <f t="shared" si="512"/>
        <v>1.9307278989669958</v>
      </c>
      <c r="V185" s="217">
        <f t="shared" si="513"/>
        <v>2.1794794393723889</v>
      </c>
      <c r="W185" s="197">
        <f t="shared" si="514"/>
        <v>350</v>
      </c>
      <c r="X185" s="443">
        <f t="shared" si="599"/>
        <v>232.00740045727704</v>
      </c>
      <c r="Z185" s="217">
        <f t="shared" si="515"/>
        <v>2.113933638139422</v>
      </c>
      <c r="AA185" s="173">
        <f t="shared" si="516"/>
        <v>1.5150291943686762</v>
      </c>
      <c r="AB185" s="173">
        <f t="shared" si="517"/>
        <v>0.49819329415943303</v>
      </c>
      <c r="AC185" s="173"/>
      <c r="AD185" s="173">
        <f t="shared" si="518"/>
        <v>0.71668720674795106</v>
      </c>
      <c r="AE185" s="545">
        <f t="shared" si="519"/>
        <v>2092.9632702757722</v>
      </c>
      <c r="AF185" s="528">
        <f t="shared" si="520"/>
        <v>0.12542026118089145</v>
      </c>
      <c r="AH185" s="173">
        <f t="shared" si="521"/>
        <v>2.5354627641855494</v>
      </c>
      <c r="AI185" s="173">
        <f t="shared" si="522"/>
        <v>3.0410469432850942</v>
      </c>
      <c r="AJ185" s="173">
        <f t="shared" si="523"/>
        <v>2.7118866246556252</v>
      </c>
      <c r="AL185" s="545">
        <f t="shared" si="524"/>
        <v>750</v>
      </c>
      <c r="AM185" s="460">
        <f t="shared" si="525"/>
        <v>232.00740045727704</v>
      </c>
      <c r="AO185">
        <f t="shared" si="526"/>
        <v>750</v>
      </c>
      <c r="AP185">
        <f t="shared" si="527"/>
        <v>232.00740045727704</v>
      </c>
      <c r="AR185" s="5">
        <f t="shared" si="443"/>
        <v>4.3102073383393851</v>
      </c>
      <c r="AS185" s="5">
        <f t="shared" si="604"/>
        <v>1.9307278989669958</v>
      </c>
      <c r="AT185" s="5">
        <f t="shared" si="605"/>
        <v>2.379479439372389</v>
      </c>
      <c r="AU185" s="173">
        <f t="shared" si="606"/>
        <v>0.44794316082967295</v>
      </c>
      <c r="AW185" s="5">
        <f t="shared" si="477"/>
        <v>9.0502870264077924</v>
      </c>
      <c r="AX185" s="5">
        <f t="shared" si="478"/>
        <v>4.5251435132038962</v>
      </c>
      <c r="AY185" s="5">
        <f t="shared" si="479"/>
        <v>1.258921522832475</v>
      </c>
      <c r="AZ185" s="5"/>
      <c r="BA185" s="173">
        <f t="shared" si="480"/>
        <v>1.1750976342844008</v>
      </c>
      <c r="BB185" s="173">
        <f t="shared" si="481"/>
        <v>1.3045309707529917</v>
      </c>
      <c r="BC185" s="173">
        <f t="shared" si="482"/>
        <v>0.32037745899374942</v>
      </c>
      <c r="BD185" s="173"/>
      <c r="BE185" s="528">
        <f t="shared" si="483"/>
        <v>2.7617089002015913E-2</v>
      </c>
      <c r="BF185" s="528">
        <f t="shared" si="528"/>
        <v>0.45896765778061904</v>
      </c>
      <c r="BG185" s="528">
        <f t="shared" si="529"/>
        <v>0.10085860850444091</v>
      </c>
      <c r="BH185" s="528">
        <f t="shared" si="484"/>
        <v>0.14517658522280516</v>
      </c>
      <c r="BI185">
        <f t="shared" si="485"/>
        <v>8.5054209360757877E-3</v>
      </c>
      <c r="BJ185" s="460">
        <f t="shared" si="600"/>
        <v>109.36402944051669</v>
      </c>
      <c r="BK185">
        <f t="shared" si="530"/>
        <v>0.64344008427296429</v>
      </c>
      <c r="BL185" s="460">
        <f t="shared" si="601"/>
        <v>741.12536144595686</v>
      </c>
      <c r="BM185" s="173">
        <f t="shared" si="531"/>
        <v>0.46593749999999989</v>
      </c>
      <c r="BN185" s="173">
        <f t="shared" si="532"/>
        <v>0.11648437499999997</v>
      </c>
      <c r="BO185" s="528"/>
      <c r="BQ185" s="460">
        <f t="shared" si="486"/>
        <v>582.42187499999989</v>
      </c>
      <c r="BR185" s="528">
        <f t="shared" si="487"/>
        <v>4.1425633503023862E-2</v>
      </c>
      <c r="BS185" s="528">
        <f t="shared" si="488"/>
        <v>5.1054031609612284E-2</v>
      </c>
      <c r="BT185" s="528">
        <f t="shared" si="489"/>
        <v>5.1320858115645794E-4</v>
      </c>
      <c r="BU185" s="528">
        <f t="shared" si="490"/>
        <v>0.66112321873279378</v>
      </c>
      <c r="BV185" s="528"/>
      <c r="BW185" s="625">
        <f t="shared" si="533"/>
        <v>1.0727983348971123E-2</v>
      </c>
      <c r="BX185" s="460">
        <f t="shared" si="491"/>
        <v>764.84407577555749</v>
      </c>
      <c r="BY185" s="173">
        <f t="shared" si="492"/>
        <v>2.0883913122215145</v>
      </c>
      <c r="BZ185" s="5">
        <f t="shared" si="493"/>
        <v>13.5</v>
      </c>
      <c r="CA185" s="173">
        <f t="shared" si="494"/>
        <v>0.86602906801651902</v>
      </c>
      <c r="CB185" s="5">
        <f t="shared" si="495"/>
        <v>86.602906801651898</v>
      </c>
      <c r="CC185">
        <f t="shared" si="496"/>
        <v>75</v>
      </c>
      <c r="CE185" s="562">
        <f t="shared" si="534"/>
        <v>-50</v>
      </c>
      <c r="CF185">
        <f t="shared" si="535"/>
        <v>-50</v>
      </c>
      <c r="CG185" s="173">
        <f t="shared" si="536"/>
        <v>0.51480154889510166</v>
      </c>
      <c r="CH185" s="173">
        <f t="shared" si="537"/>
        <v>0.18198046272135288</v>
      </c>
      <c r="CI185" s="170">
        <v>75</v>
      </c>
      <c r="CJ185" s="217">
        <f t="shared" si="602"/>
        <v>0.75</v>
      </c>
      <c r="CK185" s="217">
        <f t="shared" si="538"/>
        <v>0.1875</v>
      </c>
      <c r="CL185" s="217">
        <f t="shared" si="539"/>
        <v>12</v>
      </c>
      <c r="CM185" s="217">
        <f t="shared" si="540"/>
        <v>1.5</v>
      </c>
      <c r="CN185" s="541">
        <f t="shared" si="541"/>
        <v>19</v>
      </c>
      <c r="CO185" s="443">
        <f t="shared" si="542"/>
        <v>16.7</v>
      </c>
      <c r="CP185" s="443">
        <f t="shared" si="543"/>
        <v>35.700000000000003</v>
      </c>
      <c r="CQ185" s="443"/>
      <c r="CR185" s="217">
        <f t="shared" si="544"/>
        <v>0.4632768361581921</v>
      </c>
      <c r="CS185" s="172">
        <f t="shared" si="545"/>
        <v>19.560577526679221</v>
      </c>
      <c r="CT185" s="172">
        <f t="shared" si="546"/>
        <v>2.7507062146892656</v>
      </c>
      <c r="CU185" s="217">
        <f t="shared" si="547"/>
        <v>1.2225360954174513</v>
      </c>
      <c r="CV185" s="217">
        <f t="shared" si="548"/>
        <v>2.4450721908349027</v>
      </c>
      <c r="CW185" s="217">
        <f t="shared" si="549"/>
        <v>16</v>
      </c>
      <c r="CX185" s="217">
        <f t="shared" si="550"/>
        <v>3.0673940949935812</v>
      </c>
      <c r="CY185" s="217">
        <f t="shared" si="551"/>
        <v>1.9373015336801565</v>
      </c>
      <c r="CZ185" s="217">
        <f t="shared" si="552"/>
        <v>2.2041155173606573</v>
      </c>
      <c r="DA185" s="197">
        <f t="shared" si="553"/>
        <v>350</v>
      </c>
      <c r="DB185" s="443">
        <f t="shared" si="554"/>
        <v>241.46324498970267</v>
      </c>
      <c r="DD185" s="217">
        <f t="shared" si="555"/>
        <v>2.1161798052554355</v>
      </c>
      <c r="DE185" s="173">
        <f t="shared" si="556"/>
        <v>1.5206082432973189</v>
      </c>
      <c r="DF185" s="173">
        <f t="shared" si="557"/>
        <v>0.50055918207100247</v>
      </c>
      <c r="DG185" s="173"/>
      <c r="DH185" s="173">
        <f t="shared" si="558"/>
        <v>0.71856287425149712</v>
      </c>
      <c r="DI185" s="545">
        <f t="shared" si="559"/>
        <v>2087.4999999999995</v>
      </c>
      <c r="DJ185" s="528">
        <f t="shared" si="560"/>
        <v>0.125748502994012</v>
      </c>
      <c r="DL185" s="173">
        <f t="shared" si="561"/>
        <v>2.5354627641855494</v>
      </c>
      <c r="DM185" s="173">
        <f t="shared" si="562"/>
        <v>3.0673940949935812</v>
      </c>
      <c r="DN185" s="173">
        <f t="shared" si="563"/>
        <v>2.7314030333285784</v>
      </c>
      <c r="DP185" s="545">
        <f t="shared" si="564"/>
        <v>750</v>
      </c>
      <c r="DQ185" s="460">
        <f t="shared" si="565"/>
        <v>241.46324498970267</v>
      </c>
      <c r="DS185">
        <f t="shared" si="566"/>
        <v>750</v>
      </c>
      <c r="DT185">
        <f t="shared" si="567"/>
        <v>241.46324498970267</v>
      </c>
      <c r="DV185" s="5">
        <f t="shared" si="568"/>
        <v>4.1414170510408139</v>
      </c>
      <c r="DW185" s="5">
        <f t="shared" si="569"/>
        <v>1.9373015336801565</v>
      </c>
      <c r="DX185" s="5">
        <f t="shared" si="570"/>
        <v>2.2041155173606573</v>
      </c>
      <c r="DY185" s="173">
        <f t="shared" si="571"/>
        <v>0.46778711484593832</v>
      </c>
      <c r="EA185" s="5">
        <f t="shared" si="572"/>
        <v>9.0811009391257329</v>
      </c>
      <c r="EB185" s="5">
        <f t="shared" si="573"/>
        <v>4.5405504695628665</v>
      </c>
      <c r="EC185" s="5">
        <f t="shared" si="574"/>
        <v>1.160060798610872</v>
      </c>
      <c r="ED185" s="5"/>
      <c r="EE185" s="173">
        <f t="shared" si="575"/>
        <v>1.2112480122303131</v>
      </c>
      <c r="EF185" s="173">
        <f t="shared" si="576"/>
        <v>1.2919676586000952</v>
      </c>
      <c r="EG185" s="173">
        <f t="shared" si="577"/>
        <v>0.31729205733267046</v>
      </c>
      <c r="EH185" s="173"/>
      <c r="EI185" s="528">
        <f t="shared" si="578"/>
        <v>2.9342434942637694E-2</v>
      </c>
      <c r="EJ185" s="528">
        <f t="shared" si="579"/>
        <v>0.50239166666666668</v>
      </c>
      <c r="EK185" s="528">
        <f t="shared" si="580"/>
        <v>2.7768273173815809E-2</v>
      </c>
      <c r="EL185" s="528">
        <f t="shared" si="581"/>
        <v>0.15156317687016116</v>
      </c>
      <c r="EM185">
        <f t="shared" si="582"/>
        <v>8.5500000000000003E-3</v>
      </c>
      <c r="EN185" s="460">
        <f t="shared" si="583"/>
        <v>36.318273173815804</v>
      </c>
      <c r="EP185" s="460">
        <f t="shared" si="603"/>
        <v>719.61555165328127</v>
      </c>
      <c r="EQ185" s="173">
        <f t="shared" si="584"/>
        <v>0.52499999999999991</v>
      </c>
      <c r="ER185" s="173">
        <f t="shared" si="585"/>
        <v>8.3203124999999989E-2</v>
      </c>
      <c r="ES185" s="528"/>
      <c r="EU185" s="460">
        <f t="shared" si="497"/>
        <v>608.203125</v>
      </c>
      <c r="EV185" s="528">
        <f t="shared" si="586"/>
        <v>4.4013652413956536E-2</v>
      </c>
      <c r="EW185" s="528">
        <f t="shared" si="587"/>
        <v>5.0075412926058362E-2</v>
      </c>
      <c r="EX185" s="528">
        <f t="shared" si="588"/>
        <v>5.0337124823199319E-4</v>
      </c>
      <c r="EY185" s="528">
        <f t="shared" si="589"/>
        <v>0.74648576287198432</v>
      </c>
      <c r="EZ185" s="528"/>
      <c r="FA185" s="625">
        <f t="shared" si="590"/>
        <v>1.1359525517524081E-2</v>
      </c>
      <c r="FB185" s="460">
        <f t="shared" si="498"/>
        <v>852.43772497775524</v>
      </c>
      <c r="FC185" s="173">
        <f t="shared" si="591"/>
        <v>2.1802564016310368</v>
      </c>
      <c r="FD185" s="5">
        <f t="shared" si="592"/>
        <v>13.5</v>
      </c>
      <c r="FE185" s="173">
        <f t="shared" si="593"/>
        <v>0.86095530928918673</v>
      </c>
      <c r="FF185" s="5">
        <f t="shared" si="594"/>
        <v>86.095530928918677</v>
      </c>
      <c r="FG185">
        <f t="shared" si="595"/>
        <v>75</v>
      </c>
      <c r="FI185" s="562">
        <f t="shared" si="596"/>
        <v>-50</v>
      </c>
      <c r="FJ185">
        <f t="shared" si="597"/>
        <v>-50</v>
      </c>
    </row>
    <row r="186" spans="5:166">
      <c r="E186" s="170">
        <v>76</v>
      </c>
      <c r="F186" s="217">
        <f t="shared" si="598"/>
        <v>0.76</v>
      </c>
      <c r="G186" s="217">
        <f t="shared" si="499"/>
        <v>0.19</v>
      </c>
      <c r="H186" s="217">
        <f t="shared" si="500"/>
        <v>12.16</v>
      </c>
      <c r="I186" s="217">
        <f t="shared" si="501"/>
        <v>1.52</v>
      </c>
      <c r="J186" s="541">
        <f t="shared" si="502"/>
        <v>18.899614552348442</v>
      </c>
      <c r="K186" s="443">
        <f t="shared" si="503"/>
        <v>16.744288911035593</v>
      </c>
      <c r="L186" s="172">
        <f t="shared" si="504"/>
        <v>35.643903463384035</v>
      </c>
      <c r="M186" s="443"/>
      <c r="N186" s="217">
        <f t="shared" si="505"/>
        <v>0.46976585850751512</v>
      </c>
      <c r="O186" s="172">
        <f t="shared" si="506"/>
        <v>19.729763679211317</v>
      </c>
      <c r="P186" s="172">
        <f t="shared" si="507"/>
        <v>2.7744980173890914</v>
      </c>
      <c r="Q186" s="217">
        <f t="shared" si="508"/>
        <v>1.2331102299507073</v>
      </c>
      <c r="R186" s="217">
        <f t="shared" si="509"/>
        <v>2.4662204599014146</v>
      </c>
      <c r="S186" s="217">
        <f t="shared" si="510"/>
        <v>16</v>
      </c>
      <c r="T186" s="217">
        <f t="shared" si="511"/>
        <v>3.0816385329573515</v>
      </c>
      <c r="U186" s="217">
        <f t="shared" si="512"/>
        <v>1.9566357976804967</v>
      </c>
      <c r="V186" s="217">
        <f t="shared" si="513"/>
        <v>2.2084940478491255</v>
      </c>
      <c r="W186" s="197">
        <f t="shared" si="514"/>
        <v>350</v>
      </c>
      <c r="X186" s="443">
        <f t="shared" si="599"/>
        <v>229.08825977401591</v>
      </c>
      <c r="Z186" s="217">
        <f t="shared" si="515"/>
        <v>2.1139032513440692</v>
      </c>
      <c r="AA186" s="173">
        <f t="shared" si="516"/>
        <v>1.514954689978528</v>
      </c>
      <c r="AB186" s="173">
        <f t="shared" si="517"/>
        <v>0.49816163363315324</v>
      </c>
      <c r="AC186" s="173"/>
      <c r="AD186" s="173">
        <f t="shared" si="518"/>
        <v>0.71666226399684296</v>
      </c>
      <c r="AE186" s="545">
        <f t="shared" si="519"/>
        <v>2120.943262064508</v>
      </c>
      <c r="AF186" s="528">
        <f t="shared" si="520"/>
        <v>0.12541589619944754</v>
      </c>
      <c r="AH186" s="173">
        <f t="shared" si="521"/>
        <v>2.5523098781859765</v>
      </c>
      <c r="AI186" s="173">
        <f t="shared" si="522"/>
        <v>3.0816385329573515</v>
      </c>
      <c r="AJ186" s="173">
        <f t="shared" si="523"/>
        <v>2.7419544688572977</v>
      </c>
      <c r="AL186" s="545">
        <f t="shared" si="524"/>
        <v>760</v>
      </c>
      <c r="AM186" s="460">
        <f t="shared" si="525"/>
        <v>229.08825977401591</v>
      </c>
      <c r="AO186">
        <f t="shared" si="526"/>
        <v>760</v>
      </c>
      <c r="AP186">
        <f t="shared" si="527"/>
        <v>229.08825977401591</v>
      </c>
      <c r="AR186" s="5">
        <f t="shared" si="443"/>
        <v>4.3651298455296219</v>
      </c>
      <c r="AS186" s="5">
        <f t="shared" si="604"/>
        <v>1.9566357976804967</v>
      </c>
      <c r="AT186" s="5">
        <f t="shared" si="605"/>
        <v>2.4084940478491252</v>
      </c>
      <c r="AU186" s="173">
        <f t="shared" si="606"/>
        <v>0.44824228990216847</v>
      </c>
      <c r="AW186" s="5">
        <f t="shared" si="477"/>
        <v>9.2940200389823584</v>
      </c>
      <c r="AX186" s="5">
        <f t="shared" si="478"/>
        <v>4.6470100194911792</v>
      </c>
      <c r="AY186" s="5">
        <f t="shared" si="479"/>
        <v>1.2913529506437367</v>
      </c>
      <c r="AZ186" s="5"/>
      <c r="BA186" s="173">
        <f t="shared" si="480"/>
        <v>1.1911802458788709</v>
      </c>
      <c r="BB186" s="173">
        <f t="shared" si="481"/>
        <v>1.321585526717989</v>
      </c>
      <c r="BC186" s="173">
        <f t="shared" si="482"/>
        <v>0.32456585729691789</v>
      </c>
      <c r="BD186" s="173"/>
      <c r="BE186" s="528">
        <f t="shared" si="483"/>
        <v>2.8378207563440949E-2</v>
      </c>
      <c r="BF186" s="528">
        <f t="shared" si="528"/>
        <v>0.45923254343679137</v>
      </c>
      <c r="BG186" s="528">
        <f t="shared" si="529"/>
        <v>9.9582635588534946E-2</v>
      </c>
      <c r="BH186" s="528">
        <f t="shared" si="484"/>
        <v>0.14334402189399231</v>
      </c>
      <c r="BI186">
        <f t="shared" si="485"/>
        <v>8.504826548556799E-3</v>
      </c>
      <c r="BJ186" s="460">
        <f t="shared" si="600"/>
        <v>108.08746213709175</v>
      </c>
      <c r="BK186">
        <f t="shared" si="530"/>
        <v>0.64295209768853112</v>
      </c>
      <c r="BL186" s="460">
        <f t="shared" si="601"/>
        <v>739.04223503131641</v>
      </c>
      <c r="BM186" s="173">
        <f t="shared" si="531"/>
        <v>0.4721499999999999</v>
      </c>
      <c r="BN186" s="173">
        <f t="shared" si="532"/>
        <v>0.11803749999999998</v>
      </c>
      <c r="BO186" s="528"/>
      <c r="BQ186" s="460">
        <f t="shared" si="486"/>
        <v>590.18749999999989</v>
      </c>
      <c r="BR186" s="528">
        <f t="shared" si="487"/>
        <v>4.2567311345161417E-2</v>
      </c>
      <c r="BS186" s="528">
        <f t="shared" si="488"/>
        <v>5.2397649132913927E-2</v>
      </c>
      <c r="BT186" s="528">
        <f t="shared" si="489"/>
        <v>5.2671497861441635E-4</v>
      </c>
      <c r="BU186" s="528">
        <f t="shared" si="490"/>
        <v>0.6621117989310511</v>
      </c>
      <c r="BV186" s="528"/>
      <c r="BW186" s="625">
        <f t="shared" si="533"/>
        <v>1.0877678767715242E-2</v>
      </c>
      <c r="BX186" s="460">
        <f t="shared" si="491"/>
        <v>768.48115315545613</v>
      </c>
      <c r="BY186" s="173">
        <f t="shared" si="492"/>
        <v>2.0977108881867723</v>
      </c>
      <c r="BZ186" s="5">
        <f t="shared" si="493"/>
        <v>13.68</v>
      </c>
      <c r="CA186" s="173">
        <f t="shared" si="494"/>
        <v>0.86704592934597446</v>
      </c>
      <c r="CB186" s="5">
        <f t="shared" si="495"/>
        <v>86.704592934597443</v>
      </c>
      <c r="CC186">
        <f t="shared" si="496"/>
        <v>76</v>
      </c>
      <c r="CE186" s="562">
        <f t="shared" si="534"/>
        <v>-50</v>
      </c>
      <c r="CF186">
        <f t="shared" si="535"/>
        <v>-50</v>
      </c>
      <c r="CG186" s="173">
        <f t="shared" si="536"/>
        <v>0.51480154889510155</v>
      </c>
      <c r="CH186" s="173">
        <f t="shared" si="537"/>
        <v>0.18198046272135285</v>
      </c>
      <c r="CI186" s="170">
        <v>76</v>
      </c>
      <c r="CJ186" s="217">
        <f t="shared" si="602"/>
        <v>0.76</v>
      </c>
      <c r="CK186" s="217">
        <f t="shared" si="538"/>
        <v>0.19</v>
      </c>
      <c r="CL186" s="217">
        <f t="shared" si="539"/>
        <v>12.16</v>
      </c>
      <c r="CM186" s="217">
        <f t="shared" si="540"/>
        <v>1.52</v>
      </c>
      <c r="CN186" s="541">
        <f t="shared" si="541"/>
        <v>19</v>
      </c>
      <c r="CO186" s="443">
        <f t="shared" si="542"/>
        <v>16.7</v>
      </c>
      <c r="CP186" s="443">
        <f t="shared" si="543"/>
        <v>35.700000000000003</v>
      </c>
      <c r="CQ186" s="443"/>
      <c r="CR186" s="217">
        <f t="shared" si="544"/>
        <v>0.4632768361581921</v>
      </c>
      <c r="CS186" s="172">
        <f t="shared" si="545"/>
        <v>19.560577526679221</v>
      </c>
      <c r="CT186" s="172">
        <f t="shared" si="546"/>
        <v>2.7507062146892656</v>
      </c>
      <c r="CU186" s="217">
        <f t="shared" si="547"/>
        <v>1.2225360954174513</v>
      </c>
      <c r="CV186" s="217">
        <f t="shared" si="548"/>
        <v>2.4450721908349027</v>
      </c>
      <c r="CW186" s="217">
        <f t="shared" si="549"/>
        <v>16</v>
      </c>
      <c r="CX186" s="217">
        <f t="shared" si="550"/>
        <v>3.1082926829268289</v>
      </c>
      <c r="CY186" s="217">
        <f t="shared" si="551"/>
        <v>1.9631322207958923</v>
      </c>
      <c r="CZ186" s="217">
        <f t="shared" si="552"/>
        <v>2.2335037242587998</v>
      </c>
      <c r="DA186" s="197">
        <f t="shared" si="553"/>
        <v>350</v>
      </c>
      <c r="DB186" s="443">
        <f t="shared" si="554"/>
        <v>238.2860970293118</v>
      </c>
      <c r="DD186" s="217">
        <f t="shared" si="555"/>
        <v>2.1161798052554355</v>
      </c>
      <c r="DE186" s="173">
        <f t="shared" si="556"/>
        <v>1.5206082432973189</v>
      </c>
      <c r="DF186" s="173">
        <f t="shared" si="557"/>
        <v>0.50055918207100247</v>
      </c>
      <c r="DG186" s="173"/>
      <c r="DH186" s="173">
        <f t="shared" si="558"/>
        <v>0.71856287425149712</v>
      </c>
      <c r="DI186" s="545">
        <f t="shared" si="559"/>
        <v>2115.333333333333</v>
      </c>
      <c r="DJ186" s="528">
        <f t="shared" si="560"/>
        <v>0.125748502994012</v>
      </c>
      <c r="DL186" s="173">
        <f t="shared" si="561"/>
        <v>2.5523098781859765</v>
      </c>
      <c r="DM186" s="173">
        <f t="shared" si="562"/>
        <v>3.1082926829268289</v>
      </c>
      <c r="DN186" s="173">
        <f t="shared" si="563"/>
        <v>2.761698283649503</v>
      </c>
      <c r="DP186" s="545">
        <f t="shared" si="564"/>
        <v>760</v>
      </c>
      <c r="DQ186" s="460">
        <f t="shared" si="565"/>
        <v>238.2860970293118</v>
      </c>
      <c r="DS186">
        <f t="shared" si="566"/>
        <v>760</v>
      </c>
      <c r="DT186">
        <f t="shared" si="567"/>
        <v>238.2860970293118</v>
      </c>
      <c r="DV186" s="5">
        <f t="shared" si="568"/>
        <v>4.196635945054692</v>
      </c>
      <c r="DW186" s="5">
        <f t="shared" si="569"/>
        <v>1.9631322207958923</v>
      </c>
      <c r="DX186" s="5">
        <f t="shared" si="570"/>
        <v>2.2335037242587994</v>
      </c>
      <c r="DY186" s="173">
        <f t="shared" si="571"/>
        <v>0.46778711484593838</v>
      </c>
      <c r="EA186" s="5">
        <f t="shared" si="572"/>
        <v>9.324878048780489</v>
      </c>
      <c r="EB186" s="5">
        <f t="shared" si="573"/>
        <v>4.6624390243902445</v>
      </c>
      <c r="EC186" s="5">
        <f t="shared" si="574"/>
        <v>1.1912019862713594</v>
      </c>
      <c r="ED186" s="5"/>
      <c r="EE186" s="173">
        <f t="shared" si="575"/>
        <v>1.2273979857267174</v>
      </c>
      <c r="EF186" s="173">
        <f t="shared" si="576"/>
        <v>1.3091938940480963</v>
      </c>
      <c r="EG186" s="173">
        <f t="shared" si="577"/>
        <v>0.32152261809710597</v>
      </c>
      <c r="EH186" s="173"/>
      <c r="EI186" s="528">
        <f t="shared" si="578"/>
        <v>3.0130116307320064E-2</v>
      </c>
      <c r="EJ186" s="528">
        <f t="shared" si="579"/>
        <v>0.50239166666666657</v>
      </c>
      <c r="EK186" s="528">
        <f t="shared" si="580"/>
        <v>2.7402901158370858E-2</v>
      </c>
      <c r="EL186" s="528">
        <f t="shared" si="581"/>
        <v>0.14956892454292217</v>
      </c>
      <c r="EM186">
        <f t="shared" si="582"/>
        <v>8.5500000000000003E-3</v>
      </c>
      <c r="EN186" s="460">
        <f t="shared" si="583"/>
        <v>35.952901158370864</v>
      </c>
      <c r="EP186" s="460">
        <f t="shared" si="603"/>
        <v>718.04360867527964</v>
      </c>
      <c r="EQ186" s="173">
        <f t="shared" si="584"/>
        <v>0.53199999999999992</v>
      </c>
      <c r="ER186" s="173">
        <f t="shared" si="585"/>
        <v>8.4312499999999999E-2</v>
      </c>
      <c r="ES186" s="528"/>
      <c r="EU186" s="460">
        <f t="shared" si="497"/>
        <v>616.31249999999989</v>
      </c>
      <c r="EV186" s="528">
        <f t="shared" si="586"/>
        <v>4.5195174460980092E-2</v>
      </c>
      <c r="EW186" s="528">
        <f t="shared" si="587"/>
        <v>5.1419659566384536E-2</v>
      </c>
      <c r="EX186" s="528">
        <f t="shared" si="588"/>
        <v>5.1688396974008727E-4</v>
      </c>
      <c r="EY186" s="528">
        <f t="shared" si="589"/>
        <v>0.74648576287198476</v>
      </c>
      <c r="EZ186" s="528"/>
      <c r="FA186" s="625">
        <f t="shared" si="590"/>
        <v>1.1510985857757736E-2</v>
      </c>
      <c r="FB186" s="460">
        <f t="shared" si="498"/>
        <v>855.12846672684725</v>
      </c>
      <c r="FC186" s="173">
        <f t="shared" si="591"/>
        <v>2.1894845754021262</v>
      </c>
      <c r="FD186" s="5">
        <f t="shared" si="592"/>
        <v>13.68</v>
      </c>
      <c r="FE186" s="173">
        <f t="shared" si="593"/>
        <v>0.86203177771785666</v>
      </c>
      <c r="FF186" s="5">
        <f t="shared" si="594"/>
        <v>86.203177771785661</v>
      </c>
      <c r="FG186">
        <f t="shared" si="595"/>
        <v>76</v>
      </c>
      <c r="FI186" s="562">
        <f t="shared" si="596"/>
        <v>-50</v>
      </c>
      <c r="FJ186">
        <f t="shared" si="597"/>
        <v>-50</v>
      </c>
    </row>
    <row r="187" spans="5:166">
      <c r="E187" s="170">
        <v>77</v>
      </c>
      <c r="F187" s="217">
        <f t="shared" si="598"/>
        <v>0.77</v>
      </c>
      <c r="G187" s="217">
        <f t="shared" si="499"/>
        <v>0.1925</v>
      </c>
      <c r="H187" s="217">
        <f t="shared" si="500"/>
        <v>12.32</v>
      </c>
      <c r="I187" s="217">
        <f t="shared" si="501"/>
        <v>1.54</v>
      </c>
      <c r="J187" s="541">
        <f t="shared" si="502"/>
        <v>18.898293691195132</v>
      </c>
      <c r="K187" s="443">
        <f t="shared" si="503"/>
        <v>16.744871659865005</v>
      </c>
      <c r="L187" s="172">
        <f t="shared" si="504"/>
        <v>35.643165351060134</v>
      </c>
      <c r="M187" s="443"/>
      <c r="N187" s="217">
        <f t="shared" si="505"/>
        <v>0.46979193612407272</v>
      </c>
      <c r="O187" s="172">
        <f t="shared" si="506"/>
        <v>19.729479961395356</v>
      </c>
      <c r="P187" s="172">
        <f t="shared" si="507"/>
        <v>2.7744581195712219</v>
      </c>
      <c r="Q187" s="217">
        <f t="shared" si="508"/>
        <v>1.2330924975872097</v>
      </c>
      <c r="R187" s="217">
        <f t="shared" si="509"/>
        <v>2.4661849951744195</v>
      </c>
      <c r="S187" s="217">
        <f t="shared" si="510"/>
        <v>16</v>
      </c>
      <c r="T187" s="217">
        <f t="shared" si="511"/>
        <v>3.1222313066807956</v>
      </c>
      <c r="U187" s="217">
        <f t="shared" si="512"/>
        <v>1.9825480698093725</v>
      </c>
      <c r="V187" s="217">
        <f t="shared" si="513"/>
        <v>2.2375074853497923</v>
      </c>
      <c r="W187" s="197">
        <f t="shared" si="514"/>
        <v>350</v>
      </c>
      <c r="X187" s="443">
        <f t="shared" si="599"/>
        <v>226.24150025281531</v>
      </c>
      <c r="Z187" s="217">
        <f t="shared" si="515"/>
        <v>2.1138728530066451</v>
      </c>
      <c r="AA187" s="173">
        <f t="shared" si="516"/>
        <v>1.5148801825026494</v>
      </c>
      <c r="AB187" s="173">
        <f t="shared" si="517"/>
        <v>0.49812997007668264</v>
      </c>
      <c r="AC187" s="173"/>
      <c r="AD187" s="173">
        <f t="shared" si="518"/>
        <v>0.7166373229818318</v>
      </c>
      <c r="AE187" s="545">
        <f t="shared" si="519"/>
        <v>2148.9251963493425</v>
      </c>
      <c r="AF187" s="528">
        <f t="shared" si="520"/>
        <v>0.12541153152182055</v>
      </c>
      <c r="AH187" s="173">
        <f t="shared" si="521"/>
        <v>2.5690465157330258</v>
      </c>
      <c r="AI187" s="173">
        <f t="shared" si="522"/>
        <v>3.1222313066807956</v>
      </c>
      <c r="AJ187" s="173">
        <f t="shared" si="523"/>
        <v>2.7720231901339227</v>
      </c>
      <c r="AL187" s="545">
        <f t="shared" si="524"/>
        <v>770</v>
      </c>
      <c r="AM187" s="460">
        <f t="shared" si="525"/>
        <v>226.24150025281531</v>
      </c>
      <c r="AO187">
        <f t="shared" si="526"/>
        <v>770</v>
      </c>
      <c r="AP187">
        <f t="shared" si="527"/>
        <v>226.24150025281531</v>
      </c>
      <c r="AR187" s="5">
        <f t="shared" si="443"/>
        <v>4.4200555551591654</v>
      </c>
      <c r="AS187" s="5">
        <f t="shared" si="604"/>
        <v>1.9825480698093725</v>
      </c>
      <c r="AT187" s="5">
        <f t="shared" si="605"/>
        <v>2.4375074853497929</v>
      </c>
      <c r="AU187" s="173">
        <f t="shared" si="606"/>
        <v>0.44853464963699563</v>
      </c>
      <c r="AW187" s="5">
        <f t="shared" si="477"/>
        <v>9.5410125859576045</v>
      </c>
      <c r="AX187" s="5">
        <f t="shared" si="478"/>
        <v>4.7705062929788022</v>
      </c>
      <c r="AY187" s="5">
        <f t="shared" si="479"/>
        <v>1.324197689934864</v>
      </c>
      <c r="AZ187" s="5"/>
      <c r="BA187" s="173">
        <f t="shared" si="480"/>
        <v>1.2072645433827329</v>
      </c>
      <c r="BB187" s="173">
        <f t="shared" si="481"/>
        <v>1.3386392717096856</v>
      </c>
      <c r="BC187" s="173">
        <f t="shared" si="482"/>
        <v>0.3287540564345845</v>
      </c>
      <c r="BD187" s="173"/>
      <c r="BE187" s="528">
        <f t="shared" si="483"/>
        <v>2.9149753554182371E-2</v>
      </c>
      <c r="BF187" s="528">
        <f t="shared" si="528"/>
        <v>0.45949044020963159</v>
      </c>
      <c r="BG187" s="528">
        <f t="shared" si="529"/>
        <v>9.8338301289028929E-2</v>
      </c>
      <c r="BH187" s="528">
        <f t="shared" si="484"/>
        <v>0.14155689810716718</v>
      </c>
      <c r="BI187">
        <f t="shared" si="485"/>
        <v>8.5042321610378085E-3</v>
      </c>
      <c r="BJ187" s="460">
        <f t="shared" si="600"/>
        <v>106.84253345006674</v>
      </c>
      <c r="BK187">
        <f t="shared" si="530"/>
        <v>0.6425175902383492</v>
      </c>
      <c r="BL187" s="460">
        <f t="shared" si="601"/>
        <v>737.03962532104799</v>
      </c>
      <c r="BM187" s="173">
        <f t="shared" si="531"/>
        <v>0.47836249999999991</v>
      </c>
      <c r="BN187" s="173">
        <f t="shared" si="532"/>
        <v>0.11959062499999998</v>
      </c>
      <c r="BO187" s="528"/>
      <c r="BQ187" s="460">
        <f t="shared" si="486"/>
        <v>597.95312499999989</v>
      </c>
      <c r="BR187" s="528">
        <f t="shared" si="487"/>
        <v>4.3724630331273558E-2</v>
      </c>
      <c r="BS187" s="528">
        <f t="shared" si="488"/>
        <v>5.3758652992903118E-2</v>
      </c>
      <c r="BT187" s="528">
        <f t="shared" si="489"/>
        <v>5.4039614811096984E-4</v>
      </c>
      <c r="BU187" s="528">
        <f t="shared" si="490"/>
        <v>0.66307609265708889</v>
      </c>
      <c r="BV187" s="528"/>
      <c r="BW187" s="625">
        <f t="shared" si="533"/>
        <v>1.1027382134415994E-2</v>
      </c>
      <c r="BX187" s="460">
        <f t="shared" si="491"/>
        <v>772.12715426379248</v>
      </c>
      <c r="BY187" s="173">
        <f t="shared" si="492"/>
        <v>2.1071199045848403</v>
      </c>
      <c r="BZ187" s="5">
        <f t="shared" si="493"/>
        <v>13.86</v>
      </c>
      <c r="CA187" s="173">
        <f t="shared" si="494"/>
        <v>0.86803381466561191</v>
      </c>
      <c r="CB187" s="5">
        <f t="shared" si="495"/>
        <v>86.803381466561191</v>
      </c>
      <c r="CC187">
        <f t="shared" si="496"/>
        <v>77</v>
      </c>
      <c r="CE187" s="562">
        <f t="shared" si="534"/>
        <v>-50</v>
      </c>
      <c r="CF187">
        <f t="shared" si="535"/>
        <v>-50</v>
      </c>
      <c r="CG187" s="173">
        <f t="shared" si="536"/>
        <v>0.51480154889510166</v>
      </c>
      <c r="CH187" s="173">
        <f t="shared" si="537"/>
        <v>0.18198046272135288</v>
      </c>
      <c r="CI187" s="170">
        <v>77</v>
      </c>
      <c r="CJ187" s="217">
        <f t="shared" si="602"/>
        <v>0.77</v>
      </c>
      <c r="CK187" s="217">
        <f t="shared" si="538"/>
        <v>0.1925</v>
      </c>
      <c r="CL187" s="217">
        <f t="shared" si="539"/>
        <v>12.32</v>
      </c>
      <c r="CM187" s="217">
        <f t="shared" si="540"/>
        <v>1.54</v>
      </c>
      <c r="CN187" s="541">
        <f t="shared" si="541"/>
        <v>19</v>
      </c>
      <c r="CO187" s="443">
        <f t="shared" si="542"/>
        <v>16.7</v>
      </c>
      <c r="CP187" s="443">
        <f t="shared" si="543"/>
        <v>35.700000000000003</v>
      </c>
      <c r="CQ187" s="443"/>
      <c r="CR187" s="217">
        <f t="shared" si="544"/>
        <v>0.4632768361581921</v>
      </c>
      <c r="CS187" s="172">
        <f t="shared" si="545"/>
        <v>19.560577526679221</v>
      </c>
      <c r="CT187" s="172">
        <f t="shared" si="546"/>
        <v>2.7507062146892656</v>
      </c>
      <c r="CU187" s="217">
        <f t="shared" si="547"/>
        <v>1.2225360954174513</v>
      </c>
      <c r="CV187" s="217">
        <f t="shared" si="548"/>
        <v>2.4450721908349027</v>
      </c>
      <c r="CW187" s="217">
        <f t="shared" si="549"/>
        <v>16</v>
      </c>
      <c r="CX187" s="217">
        <f t="shared" si="550"/>
        <v>3.1491912708600767</v>
      </c>
      <c r="CY187" s="217">
        <f t="shared" si="551"/>
        <v>1.9889629079116273</v>
      </c>
      <c r="CZ187" s="217">
        <f t="shared" si="552"/>
        <v>2.2628919311569411</v>
      </c>
      <c r="DA187" s="197">
        <f t="shared" si="553"/>
        <v>350</v>
      </c>
      <c r="DB187" s="443">
        <f t="shared" si="554"/>
        <v>235.19147239256756</v>
      </c>
      <c r="DD187" s="217">
        <f t="shared" si="555"/>
        <v>2.1161798052554355</v>
      </c>
      <c r="DE187" s="173">
        <f t="shared" si="556"/>
        <v>1.5206082432973189</v>
      </c>
      <c r="DF187" s="173">
        <f t="shared" si="557"/>
        <v>0.50055918207100247</v>
      </c>
      <c r="DG187" s="173"/>
      <c r="DH187" s="173">
        <f t="shared" si="558"/>
        <v>0.71856287425149712</v>
      </c>
      <c r="DI187" s="545">
        <f t="shared" si="559"/>
        <v>2143.1666666666665</v>
      </c>
      <c r="DJ187" s="528">
        <f t="shared" si="560"/>
        <v>0.125748502994012</v>
      </c>
      <c r="DL187" s="173">
        <f t="shared" si="561"/>
        <v>2.5690465157330258</v>
      </c>
      <c r="DM187" s="173">
        <f t="shared" si="562"/>
        <v>3.1491912708600767</v>
      </c>
      <c r="DN187" s="173">
        <f t="shared" si="563"/>
        <v>2.7919935339704272</v>
      </c>
      <c r="DP187" s="545">
        <f t="shared" si="564"/>
        <v>770</v>
      </c>
      <c r="DQ187" s="460">
        <f t="shared" si="565"/>
        <v>235.19147239256756</v>
      </c>
      <c r="DS187">
        <f t="shared" si="566"/>
        <v>770</v>
      </c>
      <c r="DT187">
        <f t="shared" si="567"/>
        <v>235.19147239256756</v>
      </c>
      <c r="DV187" s="5">
        <f t="shared" si="568"/>
        <v>4.2518548390685682</v>
      </c>
      <c r="DW187" s="5">
        <f t="shared" si="569"/>
        <v>1.9889629079116273</v>
      </c>
      <c r="DX187" s="5">
        <f t="shared" si="570"/>
        <v>2.2628919311569407</v>
      </c>
      <c r="DY187" s="173">
        <f t="shared" si="571"/>
        <v>0.46778711484593843</v>
      </c>
      <c r="EA187" s="5">
        <f t="shared" si="572"/>
        <v>9.5718839943247058</v>
      </c>
      <c r="EB187" s="5">
        <f t="shared" si="573"/>
        <v>4.7859419971623529</v>
      </c>
      <c r="EC187" s="5">
        <f t="shared" si="574"/>
        <v>1.2227556399935748</v>
      </c>
      <c r="ED187" s="5"/>
      <c r="EE187" s="173">
        <f t="shared" si="575"/>
        <v>1.2435479592231218</v>
      </c>
      <c r="EF187" s="173">
        <f t="shared" si="576"/>
        <v>1.3264201294960973</v>
      </c>
      <c r="EG187" s="173">
        <f t="shared" si="577"/>
        <v>0.32575317886154154</v>
      </c>
      <c r="EH187" s="173"/>
      <c r="EI187" s="528">
        <f t="shared" si="578"/>
        <v>3.092823053775982E-2</v>
      </c>
      <c r="EJ187" s="528">
        <f t="shared" si="579"/>
        <v>0.50239166666666668</v>
      </c>
      <c r="EK187" s="528">
        <f t="shared" si="580"/>
        <v>2.704701932514527E-2</v>
      </c>
      <c r="EL187" s="528">
        <f t="shared" si="581"/>
        <v>0.1476264709774297</v>
      </c>
      <c r="EM187">
        <f t="shared" si="582"/>
        <v>8.5500000000000003E-3</v>
      </c>
      <c r="EN187" s="460">
        <f t="shared" si="583"/>
        <v>35.597019325145276</v>
      </c>
      <c r="EP187" s="460">
        <f t="shared" si="603"/>
        <v>716.5433875070014</v>
      </c>
      <c r="EQ187" s="173">
        <f t="shared" si="584"/>
        <v>0.53899999999999992</v>
      </c>
      <c r="ER187" s="173">
        <f t="shared" si="585"/>
        <v>8.5421874999999994E-2</v>
      </c>
      <c r="ES187" s="528"/>
      <c r="EU187" s="460">
        <f t="shared" si="497"/>
        <v>624.42187499999989</v>
      </c>
      <c r="EV187" s="528">
        <f t="shared" si="586"/>
        <v>4.6392345806639729E-2</v>
      </c>
      <c r="EW187" s="528">
        <f t="shared" si="587"/>
        <v>5.2781710797973308E-2</v>
      </c>
      <c r="EX187" s="528">
        <f t="shared" si="588"/>
        <v>5.3057566769199743E-4</v>
      </c>
      <c r="EY187" s="528">
        <f t="shared" si="589"/>
        <v>0.74648576287198465</v>
      </c>
      <c r="EZ187" s="528"/>
      <c r="FA187" s="625">
        <f t="shared" si="590"/>
        <v>1.1662446197991391E-2</v>
      </c>
      <c r="FB187" s="460">
        <f t="shared" si="498"/>
        <v>857.85284134228118</v>
      </c>
      <c r="FC187" s="173">
        <f t="shared" si="591"/>
        <v>2.1988181038492827</v>
      </c>
      <c r="FD187" s="5">
        <f t="shared" si="592"/>
        <v>13.86</v>
      </c>
      <c r="FE187" s="173">
        <f t="shared" si="593"/>
        <v>0.86307721467234066</v>
      </c>
      <c r="FF187" s="5">
        <f t="shared" si="594"/>
        <v>86.30772146723406</v>
      </c>
      <c r="FG187">
        <f t="shared" si="595"/>
        <v>77</v>
      </c>
      <c r="FI187" s="562">
        <f t="shared" si="596"/>
        <v>-50</v>
      </c>
      <c r="FJ187">
        <f t="shared" si="597"/>
        <v>-50</v>
      </c>
    </row>
    <row r="188" spans="5:166">
      <c r="E188" s="170">
        <v>78</v>
      </c>
      <c r="F188" s="217">
        <f t="shared" si="598"/>
        <v>0.78</v>
      </c>
      <c r="G188" s="217">
        <f t="shared" si="499"/>
        <v>0.19500000000000001</v>
      </c>
      <c r="H188" s="217">
        <f t="shared" si="500"/>
        <v>12.48</v>
      </c>
      <c r="I188" s="217">
        <f t="shared" si="501"/>
        <v>1.56</v>
      </c>
      <c r="J188" s="541">
        <f t="shared" si="502"/>
        <v>18.896972830041822</v>
      </c>
      <c r="K188" s="443">
        <f t="shared" si="503"/>
        <v>16.745454408694421</v>
      </c>
      <c r="L188" s="172">
        <f t="shared" si="504"/>
        <v>35.642427238736246</v>
      </c>
      <c r="M188" s="443"/>
      <c r="N188" s="217">
        <f t="shared" si="505"/>
        <v>0.46981801482070318</v>
      </c>
      <c r="O188" s="172">
        <f t="shared" si="506"/>
        <v>19.729196135846696</v>
      </c>
      <c r="P188" s="172">
        <f t="shared" si="507"/>
        <v>2.7744182066034417</v>
      </c>
      <c r="Q188" s="217">
        <f t="shared" si="508"/>
        <v>1.2330747584904185</v>
      </c>
      <c r="R188" s="217">
        <f t="shared" si="509"/>
        <v>2.466149516980837</v>
      </c>
      <c r="S188" s="217">
        <f t="shared" si="510"/>
        <v>16</v>
      </c>
      <c r="T188" s="217">
        <f t="shared" si="511"/>
        <v>3.162825265172521</v>
      </c>
      <c r="U188" s="217">
        <f t="shared" si="512"/>
        <v>2.0084647167260736</v>
      </c>
      <c r="V188" s="217">
        <f t="shared" si="513"/>
        <v>2.2665197525105185</v>
      </c>
      <c r="W188" s="197">
        <f t="shared" si="514"/>
        <v>350</v>
      </c>
      <c r="X188" s="443">
        <f t="shared" si="599"/>
        <v>223.46446269803354</v>
      </c>
      <c r="Z188" s="217">
        <f t="shared" si="515"/>
        <v>2.113842443126432</v>
      </c>
      <c r="AA188" s="173">
        <f t="shared" si="516"/>
        <v>1.5148056719408478</v>
      </c>
      <c r="AB188" s="173">
        <f t="shared" si="517"/>
        <v>0.49809830349023393</v>
      </c>
      <c r="AC188" s="173"/>
      <c r="AD188" s="173">
        <f t="shared" si="518"/>
        <v>0.71661238370273606</v>
      </c>
      <c r="AE188" s="545">
        <f t="shared" si="519"/>
        <v>2176.9090731302745</v>
      </c>
      <c r="AF188" s="528">
        <f t="shared" si="520"/>
        <v>0.12540716714797881</v>
      </c>
      <c r="AH188" s="173">
        <f t="shared" si="521"/>
        <v>2.585674822114004</v>
      </c>
      <c r="AI188" s="173">
        <f t="shared" si="522"/>
        <v>3.162825265172521</v>
      </c>
      <c r="AJ188" s="173">
        <f t="shared" si="523"/>
        <v>2.8020927890166822</v>
      </c>
      <c r="AL188" s="545">
        <f t="shared" si="524"/>
        <v>780</v>
      </c>
      <c r="AM188" s="460">
        <f t="shared" si="525"/>
        <v>223.46446269803354</v>
      </c>
      <c r="AO188">
        <f t="shared" si="526"/>
        <v>780</v>
      </c>
      <c r="AP188">
        <f t="shared" si="527"/>
        <v>223.46446269803354</v>
      </c>
      <c r="AR188" s="5">
        <f t="shared" si="443"/>
        <v>4.4749844692365928</v>
      </c>
      <c r="AS188" s="5">
        <f t="shared" si="604"/>
        <v>2.0084647167260736</v>
      </c>
      <c r="AT188" s="5">
        <f t="shared" si="605"/>
        <v>2.4665197525105191</v>
      </c>
      <c r="AU188" s="173">
        <f t="shared" si="606"/>
        <v>0.44882048877115016</v>
      </c>
      <c r="AW188" s="5">
        <f t="shared" si="477"/>
        <v>9.7912654940396102</v>
      </c>
      <c r="AX188" s="5">
        <f t="shared" si="478"/>
        <v>4.8956327470198051</v>
      </c>
      <c r="AY188" s="5">
        <f t="shared" si="479"/>
        <v>1.3574558029383916</v>
      </c>
      <c r="AZ188" s="5"/>
      <c r="BA188" s="173">
        <f t="shared" si="480"/>
        <v>1.2233505151010637</v>
      </c>
      <c r="BB188" s="173">
        <f t="shared" si="481"/>
        <v>1.3556922228907653</v>
      </c>
      <c r="BC188" s="173">
        <f t="shared" si="482"/>
        <v>0.33294206062170267</v>
      </c>
      <c r="BD188" s="173"/>
      <c r="BE188" s="528">
        <f t="shared" si="483"/>
        <v>2.9931729655960759E-2</v>
      </c>
      <c r="BF188" s="528">
        <f t="shared" si="528"/>
        <v>0.45974160477614479</v>
      </c>
      <c r="BG188" s="528">
        <f t="shared" si="529"/>
        <v>9.7124443241946593E-2</v>
      </c>
      <c r="BH188" s="528">
        <f t="shared" si="484"/>
        <v>0.13981354446913286</v>
      </c>
      <c r="BI188">
        <f t="shared" si="485"/>
        <v>8.5036377735188198E-3</v>
      </c>
      <c r="BJ188" s="460">
        <f t="shared" si="600"/>
        <v>105.62808101546543</v>
      </c>
      <c r="BK188">
        <f t="shared" si="530"/>
        <v>0.64213516929886083</v>
      </c>
      <c r="BL188" s="460">
        <f t="shared" si="601"/>
        <v>735.11495991670381</v>
      </c>
      <c r="BM188" s="173">
        <f t="shared" si="531"/>
        <v>0.48457499999999992</v>
      </c>
      <c r="BN188" s="173">
        <f t="shared" si="532"/>
        <v>0.12114374999999998</v>
      </c>
      <c r="BO188" s="528"/>
      <c r="BQ188" s="460">
        <f t="shared" si="486"/>
        <v>605.71874999999989</v>
      </c>
      <c r="BR188" s="528">
        <f t="shared" si="487"/>
        <v>4.4897594483941136E-2</v>
      </c>
      <c r="BS188" s="528">
        <f t="shared" si="488"/>
        <v>5.5137042096195132E-2</v>
      </c>
      <c r="BT188" s="528">
        <f t="shared" si="489"/>
        <v>5.5425207865512775E-4</v>
      </c>
      <c r="BU188" s="528">
        <f t="shared" si="490"/>
        <v>0.66401695949084982</v>
      </c>
      <c r="BV188" s="528"/>
      <c r="BW188" s="625">
        <f t="shared" si="533"/>
        <v>1.1177093157286603E-2</v>
      </c>
      <c r="BX188" s="460">
        <f t="shared" si="491"/>
        <v>775.7829413069278</v>
      </c>
      <c r="BY188" s="173">
        <f t="shared" si="492"/>
        <v>2.1166166512236315</v>
      </c>
      <c r="BZ188" s="5">
        <f t="shared" si="493"/>
        <v>14.040000000000001</v>
      </c>
      <c r="CA188" s="173">
        <f t="shared" si="494"/>
        <v>0.86899381863694036</v>
      </c>
      <c r="CB188" s="5">
        <f t="shared" si="495"/>
        <v>86.899381863694032</v>
      </c>
      <c r="CC188">
        <f t="shared" si="496"/>
        <v>78</v>
      </c>
      <c r="CE188" s="562">
        <f t="shared" si="534"/>
        <v>-50</v>
      </c>
      <c r="CF188">
        <f t="shared" si="535"/>
        <v>-50</v>
      </c>
      <c r="CG188" s="173">
        <f t="shared" si="536"/>
        <v>0.51480154889510155</v>
      </c>
      <c r="CH188" s="173">
        <f t="shared" si="537"/>
        <v>0.18198046272135282</v>
      </c>
      <c r="CI188" s="170">
        <v>78</v>
      </c>
      <c r="CJ188" s="217">
        <f t="shared" si="602"/>
        <v>0.78</v>
      </c>
      <c r="CK188" s="217">
        <f t="shared" si="538"/>
        <v>0.19500000000000001</v>
      </c>
      <c r="CL188" s="217">
        <f t="shared" si="539"/>
        <v>12.48</v>
      </c>
      <c r="CM188" s="217">
        <f t="shared" si="540"/>
        <v>1.56</v>
      </c>
      <c r="CN188" s="541">
        <f t="shared" si="541"/>
        <v>19</v>
      </c>
      <c r="CO188" s="443">
        <f t="shared" si="542"/>
        <v>16.7</v>
      </c>
      <c r="CP188" s="443">
        <f t="shared" si="543"/>
        <v>35.700000000000003</v>
      </c>
      <c r="CQ188" s="443"/>
      <c r="CR188" s="217">
        <f t="shared" si="544"/>
        <v>0.4632768361581921</v>
      </c>
      <c r="CS188" s="172">
        <f t="shared" si="545"/>
        <v>19.560577526679221</v>
      </c>
      <c r="CT188" s="172">
        <f t="shared" si="546"/>
        <v>2.7507062146892656</v>
      </c>
      <c r="CU188" s="217">
        <f t="shared" si="547"/>
        <v>1.2225360954174513</v>
      </c>
      <c r="CV188" s="217">
        <f t="shared" si="548"/>
        <v>2.4450721908349027</v>
      </c>
      <c r="CW188" s="217">
        <f t="shared" si="549"/>
        <v>16</v>
      </c>
      <c r="CX188" s="217">
        <f t="shared" si="550"/>
        <v>3.1900898587933249</v>
      </c>
      <c r="CY188" s="217">
        <f t="shared" si="551"/>
        <v>2.0147935950273634</v>
      </c>
      <c r="CZ188" s="217">
        <f t="shared" si="552"/>
        <v>2.2922801380550841</v>
      </c>
      <c r="DA188" s="197">
        <f t="shared" si="553"/>
        <v>350</v>
      </c>
      <c r="DB188" s="443">
        <f t="shared" si="554"/>
        <v>232.17619710548328</v>
      </c>
      <c r="DD188" s="217">
        <f t="shared" si="555"/>
        <v>2.1161798052554355</v>
      </c>
      <c r="DE188" s="173">
        <f t="shared" si="556"/>
        <v>1.5206082432973189</v>
      </c>
      <c r="DF188" s="173">
        <f t="shared" si="557"/>
        <v>0.50055918207100247</v>
      </c>
      <c r="DG188" s="173"/>
      <c r="DH188" s="173">
        <f t="shared" si="558"/>
        <v>0.71856287425149712</v>
      </c>
      <c r="DI188" s="545">
        <f t="shared" si="559"/>
        <v>2171</v>
      </c>
      <c r="DJ188" s="528">
        <f t="shared" si="560"/>
        <v>0.125748502994012</v>
      </c>
      <c r="DL188" s="173">
        <f t="shared" si="561"/>
        <v>2.585674822114004</v>
      </c>
      <c r="DM188" s="173">
        <f t="shared" si="562"/>
        <v>3.1900898587933249</v>
      </c>
      <c r="DN188" s="173">
        <f t="shared" si="563"/>
        <v>2.8222887842913513</v>
      </c>
      <c r="DP188" s="545">
        <f t="shared" si="564"/>
        <v>780</v>
      </c>
      <c r="DQ188" s="460">
        <f t="shared" si="565"/>
        <v>232.17619710548328</v>
      </c>
      <c r="DS188">
        <f t="shared" si="566"/>
        <v>780</v>
      </c>
      <c r="DT188">
        <f t="shared" si="567"/>
        <v>232.17619710548328</v>
      </c>
      <c r="DV188" s="5">
        <f t="shared" si="568"/>
        <v>4.3070737330824471</v>
      </c>
      <c r="DW188" s="5">
        <f t="shared" si="569"/>
        <v>2.0147935950273634</v>
      </c>
      <c r="DX188" s="5">
        <f t="shared" si="570"/>
        <v>2.2922801380550837</v>
      </c>
      <c r="DY188" s="173">
        <f t="shared" si="571"/>
        <v>0.46778711484593843</v>
      </c>
      <c r="EA188" s="5">
        <f t="shared" si="572"/>
        <v>9.8221187757583959</v>
      </c>
      <c r="EB188" s="5">
        <f t="shared" si="573"/>
        <v>4.9110593878791979</v>
      </c>
      <c r="EC188" s="5">
        <f t="shared" si="574"/>
        <v>1.2547217597775193</v>
      </c>
      <c r="ED188" s="5"/>
      <c r="EE188" s="173">
        <f t="shared" si="575"/>
        <v>1.2596979327195261</v>
      </c>
      <c r="EF188" s="173">
        <f t="shared" si="576"/>
        <v>1.3436463649440988</v>
      </c>
      <c r="EG188" s="173">
        <f t="shared" si="577"/>
        <v>0.32998373962597721</v>
      </c>
      <c r="EH188" s="173"/>
      <c r="EI188" s="528">
        <f t="shared" si="578"/>
        <v>3.1736777633956957E-2</v>
      </c>
      <c r="EJ188" s="528">
        <f t="shared" si="579"/>
        <v>0.50239166666666668</v>
      </c>
      <c r="EK188" s="528">
        <f t="shared" si="580"/>
        <v>2.6700262667130582E-2</v>
      </c>
      <c r="EL188" s="528">
        <f t="shared" si="581"/>
        <v>0.14573382391361647</v>
      </c>
      <c r="EM188">
        <f t="shared" si="582"/>
        <v>8.5500000000000003E-3</v>
      </c>
      <c r="EN188" s="460">
        <f t="shared" si="583"/>
        <v>35.250262667130585</v>
      </c>
      <c r="EP188" s="460">
        <f t="shared" si="603"/>
        <v>715.11253088137062</v>
      </c>
      <c r="EQ188" s="173">
        <f t="shared" si="584"/>
        <v>0.54599999999999993</v>
      </c>
      <c r="ER188" s="173">
        <f t="shared" si="585"/>
        <v>8.6531250000000004E-2</v>
      </c>
      <c r="ES188" s="528"/>
      <c r="EU188" s="460">
        <f t="shared" si="497"/>
        <v>632.53125</v>
      </c>
      <c r="EV188" s="528">
        <f t="shared" si="586"/>
        <v>4.7605166450935432E-2</v>
      </c>
      <c r="EW188" s="528">
        <f t="shared" si="587"/>
        <v>5.4161566620824705E-2</v>
      </c>
      <c r="EX188" s="528">
        <f t="shared" si="588"/>
        <v>5.4444634208772357E-4</v>
      </c>
      <c r="EY188" s="528">
        <f t="shared" si="589"/>
        <v>0.74648576287198432</v>
      </c>
      <c r="EZ188" s="528"/>
      <c r="FA188" s="625">
        <f t="shared" si="590"/>
        <v>1.1813906538225045E-2</v>
      </c>
      <c r="FB188" s="460">
        <f t="shared" si="498"/>
        <v>860.61084882405714</v>
      </c>
      <c r="FC188" s="173">
        <f t="shared" si="591"/>
        <v>2.2082546297054275</v>
      </c>
      <c r="FD188" s="5">
        <f t="shared" si="592"/>
        <v>14.040000000000001</v>
      </c>
      <c r="FE188" s="173">
        <f t="shared" si="593"/>
        <v>0.86409280996444715</v>
      </c>
      <c r="FF188" s="5">
        <f t="shared" si="594"/>
        <v>86.409280996444721</v>
      </c>
      <c r="FG188">
        <f t="shared" si="595"/>
        <v>78</v>
      </c>
      <c r="FI188" s="562">
        <f t="shared" si="596"/>
        <v>-50</v>
      </c>
      <c r="FJ188">
        <f t="shared" si="597"/>
        <v>-50</v>
      </c>
    </row>
    <row r="189" spans="5:166">
      <c r="E189" s="170">
        <v>79</v>
      </c>
      <c r="F189" s="217">
        <f t="shared" si="598"/>
        <v>0.79</v>
      </c>
      <c r="G189" s="217">
        <f t="shared" si="499"/>
        <v>0.19750000000000001</v>
      </c>
      <c r="H189" s="217">
        <f t="shared" si="500"/>
        <v>12.64</v>
      </c>
      <c r="I189" s="217">
        <f t="shared" si="501"/>
        <v>1.58</v>
      </c>
      <c r="J189" s="541">
        <f t="shared" si="502"/>
        <v>18.895651968888515</v>
      </c>
      <c r="K189" s="443">
        <f t="shared" si="503"/>
        <v>16.746037157523837</v>
      </c>
      <c r="L189" s="172">
        <f t="shared" si="504"/>
        <v>35.641689126412352</v>
      </c>
      <c r="M189" s="443"/>
      <c r="N189" s="217">
        <f t="shared" si="505"/>
        <v>0.46984409459747378</v>
      </c>
      <c r="O189" s="172">
        <f t="shared" si="506"/>
        <v>19.728912202558661</v>
      </c>
      <c r="P189" s="172">
        <f t="shared" si="507"/>
        <v>2.7743782784848117</v>
      </c>
      <c r="Q189" s="217">
        <f t="shared" si="508"/>
        <v>1.2330570126599163</v>
      </c>
      <c r="R189" s="217">
        <f t="shared" si="509"/>
        <v>2.4661140253198326</v>
      </c>
      <c r="S189" s="217">
        <f t="shared" si="510"/>
        <v>16</v>
      </c>
      <c r="T189" s="217">
        <f t="shared" si="511"/>
        <v>3.2034204091497522</v>
      </c>
      <c r="U189" s="217">
        <f t="shared" si="512"/>
        <v>2.0343857398035157</v>
      </c>
      <c r="V189" s="217">
        <f t="shared" si="513"/>
        <v>2.2955308499674398</v>
      </c>
      <c r="W189" s="197">
        <f t="shared" si="514"/>
        <v>350</v>
      </c>
      <c r="X189" s="443">
        <f t="shared" si="599"/>
        <v>220.75461659892562</v>
      </c>
      <c r="Z189" s="217">
        <f t="shared" si="515"/>
        <v>2.1138120217027132</v>
      </c>
      <c r="AA189" s="173">
        <f t="shared" si="516"/>
        <v>1.5147311582929319</v>
      </c>
      <c r="AB189" s="173">
        <f t="shared" si="517"/>
        <v>0.4980666338740205</v>
      </c>
      <c r="AC189" s="173"/>
      <c r="AD189" s="173">
        <f t="shared" si="518"/>
        <v>0.71658744615937464</v>
      </c>
      <c r="AE189" s="545">
        <f t="shared" si="519"/>
        <v>2204.8948924073052</v>
      </c>
      <c r="AF189" s="528">
        <f t="shared" si="520"/>
        <v>0.12540280307789059</v>
      </c>
      <c r="AH189" s="173">
        <f t="shared" si="521"/>
        <v>2.6021968740717085</v>
      </c>
      <c r="AI189" s="173">
        <f t="shared" si="522"/>
        <v>3.2034204091497522</v>
      </c>
      <c r="AJ189" s="173">
        <f t="shared" si="523"/>
        <v>2.8321632660368534</v>
      </c>
      <c r="AL189" s="545">
        <f t="shared" si="524"/>
        <v>790</v>
      </c>
      <c r="AM189" s="460">
        <f t="shared" si="525"/>
        <v>220.75461659892562</v>
      </c>
      <c r="AO189">
        <f t="shared" si="526"/>
        <v>790</v>
      </c>
      <c r="AP189">
        <f t="shared" si="527"/>
        <v>220.75461659892562</v>
      </c>
      <c r="AR189" s="5">
        <f t="shared" si="443"/>
        <v>4.5299165897709566</v>
      </c>
      <c r="AS189" s="5">
        <f t="shared" si="604"/>
        <v>2.0343857398035157</v>
      </c>
      <c r="AT189" s="5">
        <f t="shared" si="605"/>
        <v>2.4955308499674409</v>
      </c>
      <c r="AU189" s="173">
        <f t="shared" si="606"/>
        <v>0.4491000440046467</v>
      </c>
      <c r="AW189" s="5">
        <f t="shared" si="477"/>
        <v>10.044779590279861</v>
      </c>
      <c r="AX189" s="5">
        <f t="shared" si="478"/>
        <v>5.0223897951399303</v>
      </c>
      <c r="AY189" s="5">
        <f t="shared" si="479"/>
        <v>1.3911273519222171</v>
      </c>
      <c r="AZ189" s="5"/>
      <c r="BA189" s="173">
        <f t="shared" si="480"/>
        <v>1.2394381499260232</v>
      </c>
      <c r="BB189" s="173">
        <f t="shared" si="481"/>
        <v>1.3727443966110415</v>
      </c>
      <c r="BC189" s="173">
        <f t="shared" si="482"/>
        <v>0.337129873873594</v>
      </c>
      <c r="BD189" s="173"/>
      <c r="BE189" s="528">
        <f t="shared" si="483"/>
        <v>3.0724138549840862E-2</v>
      </c>
      <c r="BF189" s="528">
        <f t="shared" si="528"/>
        <v>0.45998628139211495</v>
      </c>
      <c r="BG189" s="528">
        <f t="shared" si="529"/>
        <v>9.5939955332910526E-2</v>
      </c>
      <c r="BH189" s="528">
        <f t="shared" si="484"/>
        <v>0.13811237237265897</v>
      </c>
      <c r="BI189">
        <f t="shared" si="485"/>
        <v>8.5030433859998311E-3</v>
      </c>
      <c r="BJ189" s="460">
        <f t="shared" si="600"/>
        <v>104.44299871891036</v>
      </c>
      <c r="BK189">
        <f t="shared" si="530"/>
        <v>0.64180351085653675</v>
      </c>
      <c r="BL189" s="460">
        <f t="shared" si="601"/>
        <v>733.26579103352503</v>
      </c>
      <c r="BM189" s="173">
        <f t="shared" si="531"/>
        <v>0.49078749999999993</v>
      </c>
      <c r="BN189" s="173">
        <f t="shared" si="532"/>
        <v>0.12269687499999998</v>
      </c>
      <c r="BO189" s="528"/>
      <c r="BQ189" s="460">
        <f t="shared" si="486"/>
        <v>613.48437499999989</v>
      </c>
      <c r="BR189" s="528">
        <f t="shared" si="487"/>
        <v>4.6086207824761291E-2</v>
      </c>
      <c r="BS189" s="528">
        <f t="shared" si="488"/>
        <v>5.6532815352810378E-2</v>
      </c>
      <c r="BT189" s="528">
        <f t="shared" si="489"/>
        <v>5.6828275929012701E-4</v>
      </c>
      <c r="BU189" s="528">
        <f t="shared" si="490"/>
        <v>0.66493521894828478</v>
      </c>
      <c r="BV189" s="528"/>
      <c r="BW189" s="625">
        <f t="shared" si="533"/>
        <v>1.1326811558660546E-2</v>
      </c>
      <c r="BX189" s="460">
        <f t="shared" si="491"/>
        <v>779.44933644380706</v>
      </c>
      <c r="BY189" s="173">
        <f t="shared" si="492"/>
        <v>2.1261995024773319</v>
      </c>
      <c r="BZ189" s="5">
        <f t="shared" si="493"/>
        <v>14.22</v>
      </c>
      <c r="CA189" s="173">
        <f t="shared" si="494"/>
        <v>0.86992698197797613</v>
      </c>
      <c r="CB189" s="5">
        <f t="shared" si="495"/>
        <v>86.992698197797608</v>
      </c>
      <c r="CC189">
        <f t="shared" si="496"/>
        <v>79</v>
      </c>
      <c r="CE189" s="562">
        <f t="shared" si="534"/>
        <v>-50</v>
      </c>
      <c r="CF189">
        <f t="shared" si="535"/>
        <v>-50</v>
      </c>
      <c r="CG189" s="173">
        <f t="shared" si="536"/>
        <v>0.51480154889510155</v>
      </c>
      <c r="CH189" s="173">
        <f t="shared" si="537"/>
        <v>0.18198046272135285</v>
      </c>
      <c r="CI189" s="170">
        <v>79</v>
      </c>
      <c r="CJ189" s="217">
        <f t="shared" si="602"/>
        <v>0.79</v>
      </c>
      <c r="CK189" s="217">
        <f t="shared" si="538"/>
        <v>0.19750000000000001</v>
      </c>
      <c r="CL189" s="217">
        <f t="shared" si="539"/>
        <v>12.64</v>
      </c>
      <c r="CM189" s="217">
        <f t="shared" si="540"/>
        <v>1.58</v>
      </c>
      <c r="CN189" s="541">
        <f t="shared" si="541"/>
        <v>19</v>
      </c>
      <c r="CO189" s="443">
        <f t="shared" si="542"/>
        <v>16.7</v>
      </c>
      <c r="CP189" s="443">
        <f t="shared" si="543"/>
        <v>35.700000000000003</v>
      </c>
      <c r="CQ189" s="443"/>
      <c r="CR189" s="217">
        <f t="shared" si="544"/>
        <v>0.4632768361581921</v>
      </c>
      <c r="CS189" s="172">
        <f t="shared" si="545"/>
        <v>19.560577526679221</v>
      </c>
      <c r="CT189" s="172">
        <f t="shared" si="546"/>
        <v>2.7507062146892656</v>
      </c>
      <c r="CU189" s="217">
        <f t="shared" si="547"/>
        <v>1.2225360954174513</v>
      </c>
      <c r="CV189" s="217">
        <f t="shared" si="548"/>
        <v>2.4450721908349027</v>
      </c>
      <c r="CW189" s="217">
        <f t="shared" si="549"/>
        <v>16</v>
      </c>
      <c r="CX189" s="217">
        <f t="shared" si="550"/>
        <v>3.2309884467265726</v>
      </c>
      <c r="CY189" s="217">
        <f t="shared" si="551"/>
        <v>2.0406242821430989</v>
      </c>
      <c r="CZ189" s="217">
        <f t="shared" si="552"/>
        <v>2.3216683449532258</v>
      </c>
      <c r="DA189" s="197">
        <f t="shared" si="553"/>
        <v>350</v>
      </c>
      <c r="DB189" s="443">
        <f t="shared" si="554"/>
        <v>229.2372579016164</v>
      </c>
      <c r="DD189" s="217">
        <f t="shared" si="555"/>
        <v>2.1161798052554355</v>
      </c>
      <c r="DE189" s="173">
        <f t="shared" si="556"/>
        <v>1.5206082432973189</v>
      </c>
      <c r="DF189" s="173">
        <f t="shared" si="557"/>
        <v>0.50055918207100247</v>
      </c>
      <c r="DG189" s="173"/>
      <c r="DH189" s="173">
        <f t="shared" si="558"/>
        <v>0.71856287425149712</v>
      </c>
      <c r="DI189" s="545">
        <f t="shared" si="559"/>
        <v>2198.833333333333</v>
      </c>
      <c r="DJ189" s="528">
        <f t="shared" si="560"/>
        <v>0.125748502994012</v>
      </c>
      <c r="DL189" s="173">
        <f t="shared" si="561"/>
        <v>2.6021968740717085</v>
      </c>
      <c r="DM189" s="173">
        <f t="shared" si="562"/>
        <v>3.2309884467265726</v>
      </c>
      <c r="DN189" s="173">
        <f t="shared" si="563"/>
        <v>2.8525840346122759</v>
      </c>
      <c r="DP189" s="545">
        <f t="shared" si="564"/>
        <v>790</v>
      </c>
      <c r="DQ189" s="460">
        <f t="shared" si="565"/>
        <v>229.2372579016164</v>
      </c>
      <c r="DS189">
        <f t="shared" si="566"/>
        <v>790</v>
      </c>
      <c r="DT189">
        <f t="shared" si="567"/>
        <v>229.2372579016164</v>
      </c>
      <c r="DV189" s="5">
        <f t="shared" si="568"/>
        <v>4.3622926270963251</v>
      </c>
      <c r="DW189" s="5">
        <f t="shared" si="569"/>
        <v>2.0406242821430989</v>
      </c>
      <c r="DX189" s="5">
        <f t="shared" si="570"/>
        <v>2.3216683449532263</v>
      </c>
      <c r="DY189" s="173">
        <f t="shared" si="571"/>
        <v>0.46778711484593838</v>
      </c>
      <c r="EA189" s="5">
        <f t="shared" si="572"/>
        <v>10.075582393081552</v>
      </c>
      <c r="EB189" s="5">
        <f t="shared" si="573"/>
        <v>5.037791196540776</v>
      </c>
      <c r="EC189" s="5">
        <f t="shared" si="574"/>
        <v>1.287100345623192</v>
      </c>
      <c r="ED189" s="5"/>
      <c r="EE189" s="173">
        <f t="shared" si="575"/>
        <v>1.2758479062159302</v>
      </c>
      <c r="EF189" s="173">
        <f t="shared" si="576"/>
        <v>1.3608726003921003</v>
      </c>
      <c r="EG189" s="173">
        <f t="shared" si="577"/>
        <v>0.33421430039041283</v>
      </c>
      <c r="EH189" s="173"/>
      <c r="EI189" s="528">
        <f t="shared" si="578"/>
        <v>3.2555757595911464E-2</v>
      </c>
      <c r="EJ189" s="528">
        <f t="shared" si="579"/>
        <v>0.50239166666666668</v>
      </c>
      <c r="EK189" s="528">
        <f t="shared" si="580"/>
        <v>2.6362284658685887E-2</v>
      </c>
      <c r="EL189" s="528">
        <f t="shared" si="581"/>
        <v>0.14388909196534283</v>
      </c>
      <c r="EM189">
        <f t="shared" si="582"/>
        <v>8.5500000000000003E-3</v>
      </c>
      <c r="EN189" s="460">
        <f t="shared" si="583"/>
        <v>34.912284658685884</v>
      </c>
      <c r="EP189" s="460">
        <f t="shared" si="603"/>
        <v>713.74880088660677</v>
      </c>
      <c r="EQ189" s="173">
        <f t="shared" si="584"/>
        <v>0.55299999999999994</v>
      </c>
      <c r="ER189" s="173">
        <f t="shared" si="585"/>
        <v>8.7640625E-2</v>
      </c>
      <c r="ES189" s="528"/>
      <c r="EU189" s="460">
        <f t="shared" si="497"/>
        <v>640.640625</v>
      </c>
      <c r="EV189" s="528">
        <f t="shared" si="586"/>
        <v>4.8833636393867196E-2</v>
      </c>
      <c r="EW189" s="528">
        <f t="shared" si="587"/>
        <v>5.5559227034938714E-2</v>
      </c>
      <c r="EX189" s="528">
        <f t="shared" si="588"/>
        <v>5.5849599292726547E-4</v>
      </c>
      <c r="EY189" s="528">
        <f t="shared" si="589"/>
        <v>0.74648576287198376</v>
      </c>
      <c r="EZ189" s="528"/>
      <c r="FA189" s="625">
        <f t="shared" si="590"/>
        <v>1.19653668784587E-2</v>
      </c>
      <c r="FB189" s="460">
        <f t="shared" si="498"/>
        <v>863.40248917217571</v>
      </c>
      <c r="FC189" s="173">
        <f t="shared" si="591"/>
        <v>2.2177919150587821</v>
      </c>
      <c r="FD189" s="5">
        <f t="shared" si="592"/>
        <v>14.22</v>
      </c>
      <c r="FE189" s="173">
        <f t="shared" si="593"/>
        <v>0.8650796940051878</v>
      </c>
      <c r="FF189" s="5">
        <f t="shared" si="594"/>
        <v>86.507969400518775</v>
      </c>
      <c r="FG189">
        <f t="shared" si="595"/>
        <v>79</v>
      </c>
      <c r="FI189" s="562">
        <f t="shared" si="596"/>
        <v>-50</v>
      </c>
      <c r="FJ189">
        <f t="shared" si="597"/>
        <v>-50</v>
      </c>
    </row>
    <row r="190" spans="5:166">
      <c r="E190" s="170">
        <v>80</v>
      </c>
      <c r="F190" s="217">
        <f t="shared" si="598"/>
        <v>0.8</v>
      </c>
      <c r="G190" s="217">
        <f t="shared" si="499"/>
        <v>0.2</v>
      </c>
      <c r="H190" s="217">
        <f t="shared" si="500"/>
        <v>12.8</v>
      </c>
      <c r="I190" s="217">
        <f t="shared" si="501"/>
        <v>1.6</v>
      </c>
      <c r="J190" s="541">
        <f t="shared" si="502"/>
        <v>18.894331107735205</v>
      </c>
      <c r="K190" s="443">
        <f t="shared" si="503"/>
        <v>16.746619906353253</v>
      </c>
      <c r="L190" s="172">
        <f t="shared" si="504"/>
        <v>35.640951014088458</v>
      </c>
      <c r="M190" s="443"/>
      <c r="N190" s="217">
        <f t="shared" si="505"/>
        <v>0.46987017545445142</v>
      </c>
      <c r="O190" s="172">
        <f t="shared" si="506"/>
        <v>19.728628161524533</v>
      </c>
      <c r="P190" s="172">
        <f t="shared" si="507"/>
        <v>2.7743383352143876</v>
      </c>
      <c r="Q190" s="217">
        <f t="shared" si="508"/>
        <v>1.2330392600952833</v>
      </c>
      <c r="R190" s="217">
        <f t="shared" si="509"/>
        <v>2.4660785201905666</v>
      </c>
      <c r="S190" s="217">
        <f t="shared" si="510"/>
        <v>16</v>
      </c>
      <c r="T190" s="217">
        <f t="shared" si="511"/>
        <v>3.2440167393298567</v>
      </c>
      <c r="U190" s="217">
        <f t="shared" si="512"/>
        <v>2.0603111404150924</v>
      </c>
      <c r="V190" s="217">
        <f t="shared" si="513"/>
        <v>2.3245407783567047</v>
      </c>
      <c r="W190" s="197">
        <f t="shared" si="514"/>
        <v>350</v>
      </c>
      <c r="X190" s="443">
        <f t="shared" si="599"/>
        <v>218.10955243847496</v>
      </c>
      <c r="Z190" s="217">
        <f t="shared" si="515"/>
        <v>2.113781588734772</v>
      </c>
      <c r="AA190" s="173">
        <f t="shared" si="516"/>
        <v>1.5146566415587104</v>
      </c>
      <c r="AB190" s="173">
        <f t="shared" si="517"/>
        <v>0.4980349612282558</v>
      </c>
      <c r="AC190" s="173"/>
      <c r="AD190" s="173">
        <f t="shared" si="518"/>
        <v>0.71656251035156648</v>
      </c>
      <c r="AE190" s="545">
        <f t="shared" si="519"/>
        <v>2232.8826541804333</v>
      </c>
      <c r="AF190" s="528">
        <f t="shared" si="520"/>
        <v>0.12539843931152414</v>
      </c>
      <c r="AH190" s="173">
        <f t="shared" si="521"/>
        <v>2.6186146828319083</v>
      </c>
      <c r="AI190" s="173">
        <f t="shared" si="522"/>
        <v>3.2440167393298567</v>
      </c>
      <c r="AJ190" s="173">
        <f t="shared" si="523"/>
        <v>2.8622346217258201</v>
      </c>
      <c r="AL190" s="545">
        <f t="shared" si="524"/>
        <v>800</v>
      </c>
      <c r="AM190" s="460">
        <f t="shared" si="525"/>
        <v>218.10955243847496</v>
      </c>
      <c r="AO190">
        <f t="shared" si="526"/>
        <v>800</v>
      </c>
      <c r="AP190">
        <f t="shared" si="527"/>
        <v>218.10955243847496</v>
      </c>
      <c r="AR190" s="5">
        <f t="shared" si="443"/>
        <v>4.5848519187717987</v>
      </c>
      <c r="AS190" s="5">
        <f t="shared" si="604"/>
        <v>2.0603111404150924</v>
      </c>
      <c r="AT190" s="5">
        <f t="shared" si="605"/>
        <v>2.5245407783567062</v>
      </c>
      <c r="AU190" s="173">
        <f t="shared" si="606"/>
        <v>0.44937354071993968</v>
      </c>
      <c r="AW190" s="5">
        <f t="shared" si="477"/>
        <v>10.301555702075463</v>
      </c>
      <c r="AX190" s="5">
        <f t="shared" si="478"/>
        <v>5.1507778510377316</v>
      </c>
      <c r="AY190" s="5">
        <f t="shared" si="479"/>
        <v>1.4252123991896113</v>
      </c>
      <c r="AZ190" s="5"/>
      <c r="BA190" s="173">
        <f t="shared" si="480"/>
        <v>1.2555274373015044</v>
      </c>
      <c r="BB190" s="173">
        <f t="shared" si="481"/>
        <v>1.3897958084555282</v>
      </c>
      <c r="BC190" s="173">
        <f t="shared" si="482"/>
        <v>0.34131750001775468</v>
      </c>
      <c r="BD190" s="173"/>
      <c r="BE190" s="528">
        <f t="shared" si="483"/>
        <v>3.1526982916337661E-2</v>
      </c>
      <c r="BF190" s="528">
        <f t="shared" si="528"/>
        <v>0.46022470263449089</v>
      </c>
      <c r="BG190" s="528">
        <f t="shared" si="529"/>
        <v>9.4783784335247048E-2</v>
      </c>
      <c r="BH190" s="528">
        <f t="shared" si="484"/>
        <v>0.13645186916811095</v>
      </c>
      <c r="BI190">
        <f t="shared" si="485"/>
        <v>8.5024489984808424E-3</v>
      </c>
      <c r="BJ190" s="460">
        <f t="shared" si="600"/>
        <v>103.28623333372788</v>
      </c>
      <c r="BK190">
        <f t="shared" si="530"/>
        <v>0.64152135542269018</v>
      </c>
      <c r="BL190" s="460">
        <f t="shared" si="601"/>
        <v>731.48978805266745</v>
      </c>
      <c r="BM190" s="173">
        <f t="shared" si="531"/>
        <v>0.49699999999999994</v>
      </c>
      <c r="BN190" s="173">
        <f t="shared" si="532"/>
        <v>0.12424999999999999</v>
      </c>
      <c r="BO190" s="528"/>
      <c r="BQ190" s="460">
        <f t="shared" si="486"/>
        <v>621.25</v>
      </c>
      <c r="BR190" s="528">
        <f t="shared" si="487"/>
        <v>4.7290474374506487E-2</v>
      </c>
      <c r="BS190" s="528">
        <f t="shared" si="488"/>
        <v>5.7945971676016651E-2</v>
      </c>
      <c r="BT190" s="528">
        <f t="shared" si="489"/>
        <v>5.8248817909184989E-4</v>
      </c>
      <c r="BU190" s="528">
        <f t="shared" si="490"/>
        <v>0.6658316527860626</v>
      </c>
      <c r="BV190" s="528"/>
      <c r="BW190" s="625">
        <f t="shared" si="533"/>
        <v>1.147653707414766E-2</v>
      </c>
      <c r="BX190" s="460">
        <f t="shared" si="491"/>
        <v>783.1271240898252</v>
      </c>
      <c r="BY190" s="173">
        <f t="shared" si="492"/>
        <v>2.1358669121424927</v>
      </c>
      <c r="BZ190" s="5">
        <f t="shared" si="493"/>
        <v>14.4</v>
      </c>
      <c r="CA190" s="173">
        <f t="shared" si="494"/>
        <v>0.87083429471882734</v>
      </c>
      <c r="CB190" s="5">
        <f t="shared" si="495"/>
        <v>87.083429471882738</v>
      </c>
      <c r="CC190">
        <f t="shared" si="496"/>
        <v>80</v>
      </c>
      <c r="CE190" s="562">
        <f t="shared" si="534"/>
        <v>-50</v>
      </c>
      <c r="CF190">
        <f t="shared" si="535"/>
        <v>-50</v>
      </c>
      <c r="CG190" s="173">
        <f t="shared" si="536"/>
        <v>0.51480154889510166</v>
      </c>
      <c r="CH190" s="173">
        <f t="shared" si="537"/>
        <v>0.18198046272135288</v>
      </c>
      <c r="CI190" s="170">
        <v>80</v>
      </c>
      <c r="CJ190" s="217">
        <f t="shared" si="602"/>
        <v>0.8</v>
      </c>
      <c r="CK190" s="217">
        <f t="shared" si="538"/>
        <v>0.2</v>
      </c>
      <c r="CL190" s="217">
        <f t="shared" si="539"/>
        <v>12.8</v>
      </c>
      <c r="CM190" s="217">
        <f t="shared" si="540"/>
        <v>1.6</v>
      </c>
      <c r="CN190" s="541">
        <f t="shared" si="541"/>
        <v>19</v>
      </c>
      <c r="CO190" s="443">
        <f t="shared" si="542"/>
        <v>16.7</v>
      </c>
      <c r="CP190" s="443">
        <f t="shared" si="543"/>
        <v>35.700000000000003</v>
      </c>
      <c r="CQ190" s="443"/>
      <c r="CR190" s="217">
        <f t="shared" si="544"/>
        <v>0.4632768361581921</v>
      </c>
      <c r="CS190" s="172">
        <f t="shared" si="545"/>
        <v>19.560577526679221</v>
      </c>
      <c r="CT190" s="172">
        <f t="shared" si="546"/>
        <v>2.7507062146892656</v>
      </c>
      <c r="CU190" s="217">
        <f t="shared" si="547"/>
        <v>1.2225360954174513</v>
      </c>
      <c r="CV190" s="217">
        <f t="shared" si="548"/>
        <v>2.4450721908349027</v>
      </c>
      <c r="CW190" s="217">
        <f t="shared" si="549"/>
        <v>16</v>
      </c>
      <c r="CX190" s="217">
        <f t="shared" si="550"/>
        <v>3.2718870346598199</v>
      </c>
      <c r="CY190" s="217">
        <f t="shared" si="551"/>
        <v>2.0664549692588339</v>
      </c>
      <c r="CZ190" s="217">
        <f t="shared" si="552"/>
        <v>2.351056551851368</v>
      </c>
      <c r="DA190" s="197">
        <f t="shared" si="553"/>
        <v>350</v>
      </c>
      <c r="DB190" s="443">
        <f t="shared" si="554"/>
        <v>226.37179217784626</v>
      </c>
      <c r="DD190" s="217">
        <f t="shared" si="555"/>
        <v>2.1161798052554355</v>
      </c>
      <c r="DE190" s="173">
        <f t="shared" si="556"/>
        <v>1.5206082432973189</v>
      </c>
      <c r="DF190" s="173">
        <f t="shared" si="557"/>
        <v>0.50055918207100247</v>
      </c>
      <c r="DG190" s="173"/>
      <c r="DH190" s="173">
        <f t="shared" si="558"/>
        <v>0.71856287425149712</v>
      </c>
      <c r="DI190" s="545">
        <f t="shared" si="559"/>
        <v>2226.6666666666665</v>
      </c>
      <c r="DJ190" s="528">
        <f t="shared" si="560"/>
        <v>0.125748502994012</v>
      </c>
      <c r="DL190" s="173">
        <f t="shared" si="561"/>
        <v>2.6186146828319083</v>
      </c>
      <c r="DM190" s="173">
        <f t="shared" si="562"/>
        <v>3.2718870346598199</v>
      </c>
      <c r="DN190" s="173">
        <f t="shared" si="563"/>
        <v>2.8828792849331997</v>
      </c>
      <c r="DP190" s="545">
        <f t="shared" si="564"/>
        <v>800</v>
      </c>
      <c r="DQ190" s="460">
        <f t="shared" si="565"/>
        <v>226.37179217784626</v>
      </c>
      <c r="DS190">
        <f t="shared" si="566"/>
        <v>800</v>
      </c>
      <c r="DT190">
        <f t="shared" si="567"/>
        <v>226.37179217784626</v>
      </c>
      <c r="DV190" s="5">
        <f t="shared" si="568"/>
        <v>4.4175115211102014</v>
      </c>
      <c r="DW190" s="5">
        <f t="shared" si="569"/>
        <v>2.0664549692588339</v>
      </c>
      <c r="DX190" s="5">
        <f t="shared" si="570"/>
        <v>2.3510565518513675</v>
      </c>
      <c r="DY190" s="173">
        <f t="shared" si="571"/>
        <v>0.46778711484593843</v>
      </c>
      <c r="EA190" s="5">
        <f t="shared" si="572"/>
        <v>10.332274846294171</v>
      </c>
      <c r="EB190" s="5">
        <f t="shared" si="573"/>
        <v>5.1661374231470854</v>
      </c>
      <c r="EC190" s="5">
        <f t="shared" si="574"/>
        <v>1.3198913975305919</v>
      </c>
      <c r="ED190" s="5"/>
      <c r="EE190" s="173">
        <f t="shared" si="575"/>
        <v>1.2919978797123344</v>
      </c>
      <c r="EF190" s="173">
        <f t="shared" si="576"/>
        <v>1.3780988358401012</v>
      </c>
      <c r="EG190" s="173">
        <f t="shared" si="577"/>
        <v>0.3384448611548484</v>
      </c>
      <c r="EH190" s="173"/>
      <c r="EI190" s="528">
        <f t="shared" si="578"/>
        <v>3.3385170423623357E-2</v>
      </c>
      <c r="EJ190" s="528">
        <f t="shared" si="579"/>
        <v>0.50239166666666668</v>
      </c>
      <c r="EK190" s="528">
        <f t="shared" si="580"/>
        <v>2.6032756100452324E-2</v>
      </c>
      <c r="EL190" s="528">
        <f t="shared" si="581"/>
        <v>0.14209047831577609</v>
      </c>
      <c r="EM190">
        <f t="shared" si="582"/>
        <v>8.5500000000000003E-3</v>
      </c>
      <c r="EN190" s="460">
        <f t="shared" si="583"/>
        <v>34.582756100452329</v>
      </c>
      <c r="EP190" s="460">
        <f t="shared" si="603"/>
        <v>712.45007150651838</v>
      </c>
      <c r="EQ190" s="173">
        <f t="shared" si="584"/>
        <v>0.55999999999999994</v>
      </c>
      <c r="ER190" s="173">
        <f t="shared" si="585"/>
        <v>8.8749999999999996E-2</v>
      </c>
      <c r="ES190" s="528"/>
      <c r="EU190" s="460">
        <f t="shared" si="497"/>
        <v>648.74999999999989</v>
      </c>
      <c r="EV190" s="528">
        <f t="shared" si="586"/>
        <v>5.0077755635435026E-2</v>
      </c>
      <c r="EW190" s="528">
        <f t="shared" si="587"/>
        <v>5.6974692040315265E-2</v>
      </c>
      <c r="EX190" s="528">
        <f t="shared" si="588"/>
        <v>5.7272462021062313E-4</v>
      </c>
      <c r="EY190" s="528">
        <f t="shared" si="589"/>
        <v>0.74648576287198432</v>
      </c>
      <c r="EZ190" s="528"/>
      <c r="FA190" s="625">
        <f t="shared" si="590"/>
        <v>1.2116827218692354E-2</v>
      </c>
      <c r="FB190" s="460">
        <f t="shared" si="498"/>
        <v>866.22776238663755</v>
      </c>
      <c r="FC190" s="173">
        <f t="shared" si="591"/>
        <v>2.2274278338931559</v>
      </c>
      <c r="FD190" s="5">
        <f t="shared" si="592"/>
        <v>14.4</v>
      </c>
      <c r="FE190" s="173">
        <f t="shared" si="593"/>
        <v>0.86603894143189153</v>
      </c>
      <c r="FF190" s="5">
        <f t="shared" si="594"/>
        <v>86.603894143189152</v>
      </c>
      <c r="FG190">
        <f t="shared" si="595"/>
        <v>80</v>
      </c>
      <c r="FI190" s="562">
        <f t="shared" si="596"/>
        <v>-50</v>
      </c>
      <c r="FJ190">
        <f t="shared" si="597"/>
        <v>-50</v>
      </c>
    </row>
    <row r="191" spans="5:166">
      <c r="E191" s="170">
        <v>81</v>
      </c>
      <c r="F191" s="217">
        <f t="shared" si="598"/>
        <v>0.81</v>
      </c>
      <c r="G191" s="217">
        <f t="shared" si="499"/>
        <v>0.20250000000000001</v>
      </c>
      <c r="H191" s="217">
        <f t="shared" si="500"/>
        <v>12.96</v>
      </c>
      <c r="I191" s="217">
        <f t="shared" si="501"/>
        <v>1.62</v>
      </c>
      <c r="J191" s="541">
        <f t="shared" si="502"/>
        <v>18.893010246581895</v>
      </c>
      <c r="K191" s="443">
        <f t="shared" si="503"/>
        <v>16.747202655182669</v>
      </c>
      <c r="L191" s="172">
        <f t="shared" si="504"/>
        <v>35.640212901764563</v>
      </c>
      <c r="M191" s="443"/>
      <c r="N191" s="217">
        <f t="shared" si="505"/>
        <v>0.46989625739170338</v>
      </c>
      <c r="O191" s="172">
        <f t="shared" si="506"/>
        <v>19.728344012737637</v>
      </c>
      <c r="P191" s="172">
        <f t="shared" si="507"/>
        <v>2.7742983767912301</v>
      </c>
      <c r="Q191" s="217">
        <f t="shared" si="508"/>
        <v>1.2330215007961023</v>
      </c>
      <c r="R191" s="217">
        <f t="shared" si="509"/>
        <v>2.4660430015922046</v>
      </c>
      <c r="S191" s="217">
        <f t="shared" si="510"/>
        <v>16</v>
      </c>
      <c r="T191" s="217">
        <f t="shared" si="511"/>
        <v>3.2846142564303316</v>
      </c>
      <c r="U191" s="217">
        <f t="shared" si="512"/>
        <v>2.0862409199346605</v>
      </c>
      <c r="V191" s="217">
        <f t="shared" si="513"/>
        <v>2.3535495383144664</v>
      </c>
      <c r="W191" s="197">
        <f t="shared" si="514"/>
        <v>350</v>
      </c>
      <c r="X191" s="443">
        <f t="shared" si="599"/>
        <v>215.52697454732908</v>
      </c>
      <c r="Z191" s="217">
        <f t="shared" si="515"/>
        <v>2.1137511442218893</v>
      </c>
      <c r="AA191" s="173">
        <f t="shared" si="516"/>
        <v>1.5145821217379904</v>
      </c>
      <c r="AB191" s="173">
        <f t="shared" si="517"/>
        <v>0.49800328555315243</v>
      </c>
      <c r="AC191" s="173"/>
      <c r="AD191" s="173">
        <f t="shared" si="518"/>
        <v>0.71653757627913006</v>
      </c>
      <c r="AE191" s="545">
        <f t="shared" si="519"/>
        <v>2260.8723584496602</v>
      </c>
      <c r="AF191" s="528">
        <f t="shared" si="520"/>
        <v>0.12539407584884776</v>
      </c>
      <c r="AH191" s="173">
        <f t="shared" si="521"/>
        <v>2.6349301969610397</v>
      </c>
      <c r="AI191" s="173">
        <f t="shared" si="522"/>
        <v>3.2846142564303316</v>
      </c>
      <c r="AJ191" s="173">
        <f t="shared" si="523"/>
        <v>2.8923068566150603</v>
      </c>
      <c r="AL191" s="545">
        <f t="shared" si="524"/>
        <v>810</v>
      </c>
      <c r="AM191" s="460">
        <f t="shared" si="525"/>
        <v>215.52697454732908</v>
      </c>
      <c r="AO191">
        <f t="shared" si="526"/>
        <v>810</v>
      </c>
      <c r="AP191">
        <f t="shared" si="527"/>
        <v>215.52697454732908</v>
      </c>
      <c r="AR191" s="5">
        <f t="shared" si="443"/>
        <v>4.6397904582491272</v>
      </c>
      <c r="AS191" s="5">
        <f t="shared" si="604"/>
        <v>2.0862409199346605</v>
      </c>
      <c r="AT191" s="5">
        <f t="shared" si="605"/>
        <v>2.5535495383144666</v>
      </c>
      <c r="AU191" s="173">
        <f t="shared" si="606"/>
        <v>0.44964119365035399</v>
      </c>
      <c r="AW191" s="5">
        <f t="shared" si="477"/>
        <v>10.561594657169218</v>
      </c>
      <c r="AX191" s="5">
        <f t="shared" si="478"/>
        <v>5.280797328584609</v>
      </c>
      <c r="AY191" s="5">
        <f t="shared" si="479"/>
        <v>1.4597110070792283</v>
      </c>
      <c r="AZ191" s="5"/>
      <c r="BA191" s="173">
        <f t="shared" si="480"/>
        <v>1.2716183671902974</v>
      </c>
      <c r="BB191" s="173">
        <f t="shared" si="481"/>
        <v>1.4068464732891348</v>
      </c>
      <c r="BC191" s="173">
        <f t="shared" si="482"/>
        <v>0.34550494270483162</v>
      </c>
      <c r="BD191" s="173"/>
      <c r="BE191" s="528">
        <f t="shared" si="483"/>
        <v>3.2340265435514361E-2</v>
      </c>
      <c r="BF191" s="528">
        <f t="shared" si="528"/>
        <v>0.46045709009115576</v>
      </c>
      <c r="BG191" s="528">
        <f t="shared" si="529"/>
        <v>9.3654926786362114E-2</v>
      </c>
      <c r="BH191" s="528">
        <f t="shared" si="484"/>
        <v>0.13483059367728439</v>
      </c>
      <c r="BI191">
        <f t="shared" si="485"/>
        <v>8.501854610961852E-3</v>
      </c>
      <c r="BJ191" s="460">
        <f t="shared" si="600"/>
        <v>102.15678139732397</v>
      </c>
      <c r="BK191">
        <f t="shared" si="530"/>
        <v>0.64128750423789294</v>
      </c>
      <c r="BL191" s="460">
        <f t="shared" si="601"/>
        <v>729.78473060127862</v>
      </c>
      <c r="BM191" s="173">
        <f t="shared" si="531"/>
        <v>0.50321249999999995</v>
      </c>
      <c r="BN191" s="173">
        <f t="shared" si="532"/>
        <v>0.12580312499999999</v>
      </c>
      <c r="BO191" s="528"/>
      <c r="BQ191" s="460">
        <f t="shared" si="486"/>
        <v>629.015625</v>
      </c>
      <c r="BR191" s="528">
        <f t="shared" si="487"/>
        <v>4.8510398153271538E-2</v>
      </c>
      <c r="BS191" s="528">
        <f t="shared" si="488"/>
        <v>5.9376509982182281E-2</v>
      </c>
      <c r="BT191" s="528">
        <f t="shared" si="489"/>
        <v>5.9686832716734494E-4</v>
      </c>
      <c r="BU191" s="528">
        <f t="shared" si="490"/>
        <v>0.66670700714915176</v>
      </c>
      <c r="BV191" s="528"/>
      <c r="BW191" s="625">
        <f t="shared" si="533"/>
        <v>1.162626945184999E-2</v>
      </c>
      <c r="BX191" s="460">
        <f t="shared" si="491"/>
        <v>786.81705306362289</v>
      </c>
      <c r="BY191" s="173">
        <f t="shared" si="492"/>
        <v>2.1456174086649016</v>
      </c>
      <c r="BZ191" s="5">
        <f t="shared" si="493"/>
        <v>14.580000000000002</v>
      </c>
      <c r="CA191" s="173">
        <f t="shared" si="494"/>
        <v>0.87171669922610218</v>
      </c>
      <c r="CB191" s="5">
        <f t="shared" si="495"/>
        <v>87.171669922610221</v>
      </c>
      <c r="CC191">
        <f t="shared" si="496"/>
        <v>81</v>
      </c>
      <c r="CE191" s="562">
        <f t="shared" si="534"/>
        <v>-50</v>
      </c>
      <c r="CF191">
        <f t="shared" si="535"/>
        <v>-50</v>
      </c>
      <c r="CG191" s="173">
        <f t="shared" si="536"/>
        <v>0.51480154889510166</v>
      </c>
      <c r="CH191" s="173">
        <f t="shared" si="537"/>
        <v>0.18198046272135288</v>
      </c>
      <c r="CI191" s="170">
        <v>81</v>
      </c>
      <c r="CJ191" s="217">
        <f t="shared" si="602"/>
        <v>0.81</v>
      </c>
      <c r="CK191" s="217">
        <f t="shared" si="538"/>
        <v>0.20250000000000001</v>
      </c>
      <c r="CL191" s="217">
        <f t="shared" si="539"/>
        <v>12.96</v>
      </c>
      <c r="CM191" s="217">
        <f t="shared" si="540"/>
        <v>1.62</v>
      </c>
      <c r="CN191" s="541">
        <f t="shared" si="541"/>
        <v>19</v>
      </c>
      <c r="CO191" s="443">
        <f t="shared" si="542"/>
        <v>16.7</v>
      </c>
      <c r="CP191" s="443">
        <f t="shared" si="543"/>
        <v>35.700000000000003</v>
      </c>
      <c r="CQ191" s="443"/>
      <c r="CR191" s="217">
        <f t="shared" si="544"/>
        <v>0.4632768361581921</v>
      </c>
      <c r="CS191" s="172">
        <f t="shared" si="545"/>
        <v>19.560577526679221</v>
      </c>
      <c r="CT191" s="172">
        <f t="shared" si="546"/>
        <v>2.7507062146892656</v>
      </c>
      <c r="CU191" s="217">
        <f t="shared" si="547"/>
        <v>1.2225360954174513</v>
      </c>
      <c r="CV191" s="217">
        <f t="shared" si="548"/>
        <v>2.4450721908349027</v>
      </c>
      <c r="CW191" s="217">
        <f t="shared" si="549"/>
        <v>16</v>
      </c>
      <c r="CX191" s="217">
        <f t="shared" si="550"/>
        <v>3.3127856225930681</v>
      </c>
      <c r="CY191" s="217">
        <f t="shared" si="551"/>
        <v>2.0922856563745693</v>
      </c>
      <c r="CZ191" s="217">
        <f t="shared" si="552"/>
        <v>2.3804447587495101</v>
      </c>
      <c r="DA191" s="197">
        <f t="shared" si="553"/>
        <v>350</v>
      </c>
      <c r="DB191" s="443">
        <f t="shared" si="554"/>
        <v>223.57707869416913</v>
      </c>
      <c r="DD191" s="217">
        <f t="shared" si="555"/>
        <v>2.1161798052554355</v>
      </c>
      <c r="DE191" s="173">
        <f t="shared" si="556"/>
        <v>1.5206082432973189</v>
      </c>
      <c r="DF191" s="173">
        <f t="shared" si="557"/>
        <v>0.50055918207100247</v>
      </c>
      <c r="DG191" s="173"/>
      <c r="DH191" s="173">
        <f t="shared" si="558"/>
        <v>0.71856287425149712</v>
      </c>
      <c r="DI191" s="545">
        <f t="shared" si="559"/>
        <v>2254.5</v>
      </c>
      <c r="DJ191" s="528">
        <f t="shared" si="560"/>
        <v>0.125748502994012</v>
      </c>
      <c r="DL191" s="173">
        <f t="shared" si="561"/>
        <v>2.6349301969610397</v>
      </c>
      <c r="DM191" s="173">
        <f t="shared" si="562"/>
        <v>3.3127856225930681</v>
      </c>
      <c r="DN191" s="173">
        <f t="shared" si="563"/>
        <v>2.9131745352541243</v>
      </c>
      <c r="DP191" s="545">
        <f t="shared" si="564"/>
        <v>810</v>
      </c>
      <c r="DQ191" s="460">
        <f t="shared" si="565"/>
        <v>223.57707869416913</v>
      </c>
      <c r="DS191">
        <f t="shared" si="566"/>
        <v>810</v>
      </c>
      <c r="DT191">
        <f t="shared" si="567"/>
        <v>223.57707869416913</v>
      </c>
      <c r="DV191" s="5">
        <f t="shared" si="568"/>
        <v>4.4727304151240794</v>
      </c>
      <c r="DW191" s="5">
        <f t="shared" si="569"/>
        <v>2.0922856563745693</v>
      </c>
      <c r="DX191" s="5">
        <f t="shared" si="570"/>
        <v>2.3804447587495101</v>
      </c>
      <c r="DY191" s="173">
        <f t="shared" si="571"/>
        <v>0.46778711484593838</v>
      </c>
      <c r="EA191" s="5">
        <f t="shared" si="572"/>
        <v>10.592196135396259</v>
      </c>
      <c r="EB191" s="5">
        <f t="shared" si="573"/>
        <v>5.2960980676981295</v>
      </c>
      <c r="EC191" s="5">
        <f t="shared" si="574"/>
        <v>1.3530949154997214</v>
      </c>
      <c r="ED191" s="5"/>
      <c r="EE191" s="173">
        <f t="shared" si="575"/>
        <v>1.3081478532087385</v>
      </c>
      <c r="EF191" s="173">
        <f t="shared" si="576"/>
        <v>1.3953250712881029</v>
      </c>
      <c r="EG191" s="173">
        <f t="shared" si="577"/>
        <v>0.34267542191928407</v>
      </c>
      <c r="EH191" s="173"/>
      <c r="EI191" s="528">
        <f t="shared" si="578"/>
        <v>3.4225016117092624E-2</v>
      </c>
      <c r="EJ191" s="528">
        <f t="shared" si="579"/>
        <v>0.50239166666666679</v>
      </c>
      <c r="EK191" s="528">
        <f t="shared" si="580"/>
        <v>2.571136404982945E-2</v>
      </c>
      <c r="EL191" s="528">
        <f t="shared" si="581"/>
        <v>0.14033627487977884</v>
      </c>
      <c r="EM191">
        <f t="shared" si="582"/>
        <v>8.5500000000000003E-3</v>
      </c>
      <c r="EN191" s="460">
        <f t="shared" si="583"/>
        <v>34.261364049829446</v>
      </c>
      <c r="EP191" s="460">
        <f t="shared" si="603"/>
        <v>711.21432171336767</v>
      </c>
      <c r="EQ191" s="173">
        <f t="shared" si="584"/>
        <v>0.56699999999999995</v>
      </c>
      <c r="ER191" s="173">
        <f t="shared" si="585"/>
        <v>8.9859375000000005E-2</v>
      </c>
      <c r="ES191" s="528"/>
      <c r="EU191" s="460">
        <f t="shared" si="497"/>
        <v>656.85937499999989</v>
      </c>
      <c r="EV191" s="528">
        <f t="shared" si="586"/>
        <v>5.1337524175638936E-2</v>
      </c>
      <c r="EW191" s="528">
        <f t="shared" si="587"/>
        <v>5.8407961636954477E-2</v>
      </c>
      <c r="EX191" s="528">
        <f t="shared" si="588"/>
        <v>5.8713222393779678E-4</v>
      </c>
      <c r="EY191" s="528">
        <f t="shared" si="589"/>
        <v>0.74648576287198531</v>
      </c>
      <c r="EZ191" s="528"/>
      <c r="FA191" s="625">
        <f t="shared" si="590"/>
        <v>1.2268287558926011E-2</v>
      </c>
      <c r="FB191" s="460">
        <f t="shared" si="498"/>
        <v>869.08666846744268</v>
      </c>
      <c r="FC191" s="173">
        <f t="shared" si="591"/>
        <v>2.2371603651808103</v>
      </c>
      <c r="FD191" s="5">
        <f t="shared" si="592"/>
        <v>14.580000000000002</v>
      </c>
      <c r="FE191" s="173">
        <f t="shared" si="593"/>
        <v>0.86697157447503737</v>
      </c>
      <c r="FF191" s="5">
        <f t="shared" si="594"/>
        <v>86.697157447503741</v>
      </c>
      <c r="FG191">
        <f t="shared" si="595"/>
        <v>81</v>
      </c>
      <c r="FI191" s="562">
        <f t="shared" si="596"/>
        <v>-50</v>
      </c>
      <c r="FJ191">
        <f t="shared" si="597"/>
        <v>-50</v>
      </c>
    </row>
    <row r="192" spans="5:166">
      <c r="E192" s="170">
        <v>82</v>
      </c>
      <c r="F192" s="217">
        <f t="shared" si="598"/>
        <v>0.82</v>
      </c>
      <c r="G192" s="217">
        <f t="shared" si="499"/>
        <v>0.20499999999999999</v>
      </c>
      <c r="H192" s="217">
        <f t="shared" si="500"/>
        <v>13.12</v>
      </c>
      <c r="I192" s="217">
        <f t="shared" si="501"/>
        <v>1.64</v>
      </c>
      <c r="J192" s="541">
        <f t="shared" si="502"/>
        <v>18.891689385428585</v>
      </c>
      <c r="K192" s="443">
        <f t="shared" si="503"/>
        <v>16.747785404012085</v>
      </c>
      <c r="L192" s="172">
        <f t="shared" si="504"/>
        <v>35.639474789440669</v>
      </c>
      <c r="M192" s="443"/>
      <c r="N192" s="217">
        <f t="shared" si="505"/>
        <v>0.46992234040929665</v>
      </c>
      <c r="O192" s="172">
        <f t="shared" si="506"/>
        <v>19.728059756191261</v>
      </c>
      <c r="P192" s="172">
        <f t="shared" si="507"/>
        <v>2.7742584032143962</v>
      </c>
      <c r="Q192" s="217">
        <f t="shared" si="508"/>
        <v>1.2330037347619538</v>
      </c>
      <c r="R192" s="217">
        <f t="shared" si="509"/>
        <v>2.4660074695239076</v>
      </c>
      <c r="S192" s="217">
        <f t="shared" si="510"/>
        <v>16</v>
      </c>
      <c r="T192" s="217">
        <f t="shared" si="511"/>
        <v>3.3252129611688108</v>
      </c>
      <c r="U192" s="217">
        <f t="shared" si="512"/>
        <v>2.1121750797365486</v>
      </c>
      <c r="V192" s="217">
        <f t="shared" si="513"/>
        <v>2.3825571304768873</v>
      </c>
      <c r="W192" s="197">
        <f t="shared" si="514"/>
        <v>350</v>
      </c>
      <c r="X192" s="443">
        <f t="shared" si="599"/>
        <v>213.00469445828884</v>
      </c>
      <c r="Z192" s="217">
        <f t="shared" si="515"/>
        <v>2.1137206881633492</v>
      </c>
      <c r="AA192" s="173">
        <f t="shared" si="516"/>
        <v>1.5145075988305807</v>
      </c>
      <c r="AB192" s="173">
        <f t="shared" si="517"/>
        <v>0.49797160684892389</v>
      </c>
      <c r="AC192" s="173"/>
      <c r="AD192" s="173">
        <f t="shared" si="518"/>
        <v>0.71651264394188452</v>
      </c>
      <c r="AE192" s="545">
        <f t="shared" si="519"/>
        <v>2288.8640052149844</v>
      </c>
      <c r="AF192" s="528">
        <f t="shared" si="520"/>
        <v>0.12538971268982979</v>
      </c>
      <c r="AH192" s="173">
        <f t="shared" si="521"/>
        <v>2.6511453050656102</v>
      </c>
      <c r="AI192" s="173">
        <f t="shared" si="522"/>
        <v>3.3252129611688108</v>
      </c>
      <c r="AJ192" s="173">
        <f t="shared" si="523"/>
        <v>2.9223799712361562</v>
      </c>
      <c r="AL192" s="545">
        <f t="shared" si="524"/>
        <v>820</v>
      </c>
      <c r="AM192" s="460">
        <f t="shared" si="525"/>
        <v>213.00469445828884</v>
      </c>
      <c r="AO192">
        <f t="shared" si="526"/>
        <v>820</v>
      </c>
      <c r="AP192">
        <f t="shared" si="527"/>
        <v>213.00469445828884</v>
      </c>
      <c r="AR192" s="5">
        <f t="shared" si="443"/>
        <v>4.6947322102134361</v>
      </c>
      <c r="AS192" s="5">
        <f t="shared" si="604"/>
        <v>2.1121750797365486</v>
      </c>
      <c r="AT192" s="5">
        <f t="shared" si="605"/>
        <v>2.5825571304768875</v>
      </c>
      <c r="AU192" s="173">
        <f t="shared" si="606"/>
        <v>0.44990320750169538</v>
      </c>
      <c r="AW192" s="5">
        <f t="shared" si="477"/>
        <v>10.824897283649809</v>
      </c>
      <c r="AX192" s="5">
        <f t="shared" si="478"/>
        <v>5.4124486418249047</v>
      </c>
      <c r="AY192" s="5">
        <f t="shared" si="479"/>
        <v>1.4946232379651239</v>
      </c>
      <c r="AZ192" s="5"/>
      <c r="BA192" s="173">
        <f t="shared" si="480"/>
        <v>1.2877109300435761</v>
      </c>
      <c r="BB192" s="173">
        <f t="shared" si="481"/>
        <v>1.4238964052982668</v>
      </c>
      <c r="BC192" s="173">
        <f t="shared" si="482"/>
        <v>0.349692205418839</v>
      </c>
      <c r="BD192" s="173"/>
      <c r="BE192" s="528">
        <f t="shared" si="483"/>
        <v>3.3163988787073835E-2</v>
      </c>
      <c r="BF192" s="528">
        <f t="shared" si="528"/>
        <v>0.46068365500237923</v>
      </c>
      <c r="BG192" s="528">
        <f t="shared" si="529"/>
        <v>9.2552426082914627E-2</v>
      </c>
      <c r="BH192" s="528">
        <f t="shared" si="484"/>
        <v>0.13324717202147826</v>
      </c>
      <c r="BI192">
        <f t="shared" si="485"/>
        <v>8.5012602234428632E-3</v>
      </c>
      <c r="BJ192" s="460">
        <f t="shared" si="600"/>
        <v>101.05368630635749</v>
      </c>
      <c r="BK192">
        <f t="shared" si="530"/>
        <v>0.64110081574232503</v>
      </c>
      <c r="BL192" s="460">
        <f t="shared" si="601"/>
        <v>728.1485021172889</v>
      </c>
      <c r="BM192" s="173">
        <f t="shared" si="531"/>
        <v>0.50942499999999991</v>
      </c>
      <c r="BN192" s="173">
        <f t="shared" si="532"/>
        <v>0.12735624999999998</v>
      </c>
      <c r="BO192" s="528"/>
      <c r="BQ192" s="460">
        <f t="shared" si="486"/>
        <v>636.78124999999989</v>
      </c>
      <c r="BR192" s="528">
        <f t="shared" si="487"/>
        <v>4.9745983180610749E-2</v>
      </c>
      <c r="BS192" s="528">
        <f t="shared" si="488"/>
        <v>6.0824429190639774E-2</v>
      </c>
      <c r="BT192" s="528">
        <f t="shared" si="489"/>
        <v>6.1142319265345747E-4</v>
      </c>
      <c r="BU192" s="528">
        <f t="shared" si="490"/>
        <v>0.66756199457366638</v>
      </c>
      <c r="BV192" s="528"/>
      <c r="BW192" s="625">
        <f t="shared" si="533"/>
        <v>1.1776008451632607E-2</v>
      </c>
      <c r="BX192" s="460">
        <f t="shared" si="491"/>
        <v>790.519838589203</v>
      </c>
      <c r="BY192" s="173">
        <f t="shared" si="492"/>
        <v>2.1554495907064917</v>
      </c>
      <c r="BZ192" s="5">
        <f t="shared" si="493"/>
        <v>14.76</v>
      </c>
      <c r="CA192" s="173">
        <f t="shared" si="494"/>
        <v>0.87257509301492553</v>
      </c>
      <c r="CB192" s="5">
        <f t="shared" si="495"/>
        <v>87.257509301492547</v>
      </c>
      <c r="CC192">
        <f t="shared" si="496"/>
        <v>82</v>
      </c>
      <c r="CE192" s="562">
        <f t="shared" si="534"/>
        <v>-50</v>
      </c>
      <c r="CF192">
        <f t="shared" si="535"/>
        <v>-50</v>
      </c>
      <c r="CG192" s="173">
        <f t="shared" si="536"/>
        <v>0.51480154889510166</v>
      </c>
      <c r="CH192" s="173">
        <f t="shared" si="537"/>
        <v>0.18198046272135288</v>
      </c>
      <c r="CI192" s="170">
        <v>82</v>
      </c>
      <c r="CJ192" s="217">
        <f t="shared" si="602"/>
        <v>0.82</v>
      </c>
      <c r="CK192" s="217">
        <f t="shared" si="538"/>
        <v>0.20499999999999999</v>
      </c>
      <c r="CL192" s="217">
        <f t="shared" si="539"/>
        <v>13.12</v>
      </c>
      <c r="CM192" s="217">
        <f t="shared" si="540"/>
        <v>1.64</v>
      </c>
      <c r="CN192" s="541">
        <f t="shared" si="541"/>
        <v>19</v>
      </c>
      <c r="CO192" s="443">
        <f t="shared" si="542"/>
        <v>16.7</v>
      </c>
      <c r="CP192" s="443">
        <f t="shared" si="543"/>
        <v>35.700000000000003</v>
      </c>
      <c r="CQ192" s="443"/>
      <c r="CR192" s="217">
        <f t="shared" si="544"/>
        <v>0.4632768361581921</v>
      </c>
      <c r="CS192" s="172">
        <f t="shared" si="545"/>
        <v>19.560577526679221</v>
      </c>
      <c r="CT192" s="172">
        <f t="shared" si="546"/>
        <v>2.7507062146892656</v>
      </c>
      <c r="CU192" s="217">
        <f t="shared" si="547"/>
        <v>1.2225360954174513</v>
      </c>
      <c r="CV192" s="217">
        <f t="shared" si="548"/>
        <v>2.4450721908349027</v>
      </c>
      <c r="CW192" s="217">
        <f t="shared" si="549"/>
        <v>16</v>
      </c>
      <c r="CX192" s="217">
        <f t="shared" si="550"/>
        <v>3.3536842105263154</v>
      </c>
      <c r="CY192" s="217">
        <f t="shared" si="551"/>
        <v>2.1181163434903043</v>
      </c>
      <c r="CZ192" s="217">
        <f t="shared" si="552"/>
        <v>2.4098329656476518</v>
      </c>
      <c r="DA192" s="197">
        <f t="shared" si="553"/>
        <v>350</v>
      </c>
      <c r="DB192" s="443">
        <f t="shared" si="554"/>
        <v>220.85052895399636</v>
      </c>
      <c r="DD192" s="217">
        <f t="shared" si="555"/>
        <v>2.1161798052554355</v>
      </c>
      <c r="DE192" s="173">
        <f t="shared" si="556"/>
        <v>1.5206082432973189</v>
      </c>
      <c r="DF192" s="173">
        <f t="shared" si="557"/>
        <v>0.50055918207100247</v>
      </c>
      <c r="DG192" s="173"/>
      <c r="DH192" s="173">
        <f t="shared" si="558"/>
        <v>0.71856287425149712</v>
      </c>
      <c r="DI192" s="545">
        <f t="shared" si="559"/>
        <v>2282.333333333333</v>
      </c>
      <c r="DJ192" s="528">
        <f t="shared" si="560"/>
        <v>0.125748502994012</v>
      </c>
      <c r="DL192" s="173">
        <f t="shared" si="561"/>
        <v>2.6511453050656102</v>
      </c>
      <c r="DM192" s="173">
        <f t="shared" si="562"/>
        <v>3.3536842105263154</v>
      </c>
      <c r="DN192" s="173">
        <f t="shared" si="563"/>
        <v>2.943469785575048</v>
      </c>
      <c r="DP192" s="545">
        <f t="shared" si="564"/>
        <v>820</v>
      </c>
      <c r="DQ192" s="460">
        <f t="shared" si="565"/>
        <v>220.85052895399636</v>
      </c>
      <c r="DS192">
        <f t="shared" si="566"/>
        <v>820</v>
      </c>
      <c r="DT192">
        <f t="shared" si="567"/>
        <v>220.85052895399636</v>
      </c>
      <c r="DV192" s="5">
        <f t="shared" si="568"/>
        <v>4.5279493091379566</v>
      </c>
      <c r="DW192" s="5">
        <f t="shared" si="569"/>
        <v>2.1181163434903043</v>
      </c>
      <c r="DX192" s="5">
        <f t="shared" si="570"/>
        <v>2.4098329656476523</v>
      </c>
      <c r="DY192" s="173">
        <f t="shared" si="571"/>
        <v>0.46778711484593832</v>
      </c>
      <c r="EA192" s="5">
        <f t="shared" si="572"/>
        <v>10.855346260387808</v>
      </c>
      <c r="EB192" s="5">
        <f t="shared" si="573"/>
        <v>5.4276731301939041</v>
      </c>
      <c r="EC192" s="5">
        <f t="shared" si="574"/>
        <v>1.3867108995305786</v>
      </c>
      <c r="ED192" s="5"/>
      <c r="EE192" s="173">
        <f t="shared" si="575"/>
        <v>1.3242978267051424</v>
      </c>
      <c r="EF192" s="173">
        <f t="shared" si="576"/>
        <v>1.4125513067361042</v>
      </c>
      <c r="EG192" s="173">
        <f t="shared" si="577"/>
        <v>0.34690598268371969</v>
      </c>
      <c r="EH192" s="173"/>
      <c r="EI192" s="528">
        <f t="shared" si="578"/>
        <v>3.5075294676319271E-2</v>
      </c>
      <c r="EJ192" s="528">
        <f t="shared" si="579"/>
        <v>0.50239166666666668</v>
      </c>
      <c r="EK192" s="528">
        <f t="shared" si="580"/>
        <v>2.5397810829709586E-2</v>
      </c>
      <c r="EL192" s="528">
        <f t="shared" si="581"/>
        <v>0.13862485689344009</v>
      </c>
      <c r="EM192">
        <f t="shared" si="582"/>
        <v>8.5500000000000003E-3</v>
      </c>
      <c r="EN192" s="460">
        <f t="shared" si="583"/>
        <v>33.947810829709589</v>
      </c>
      <c r="EP192" s="460">
        <f t="shared" si="603"/>
        <v>710.0396290661356</v>
      </c>
      <c r="EQ192" s="173">
        <f t="shared" si="584"/>
        <v>0.57399999999999995</v>
      </c>
      <c r="ER192" s="173">
        <f t="shared" si="585"/>
        <v>9.0968749999999987E-2</v>
      </c>
      <c r="ES192" s="528"/>
      <c r="EU192" s="460">
        <f t="shared" si="497"/>
        <v>664.96874999999989</v>
      </c>
      <c r="EV192" s="528">
        <f t="shared" si="586"/>
        <v>5.26129420144789E-2</v>
      </c>
      <c r="EW192" s="528">
        <f t="shared" si="587"/>
        <v>5.9859035824856265E-2</v>
      </c>
      <c r="EX192" s="528">
        <f t="shared" si="588"/>
        <v>6.0171880410878618E-4</v>
      </c>
      <c r="EY192" s="528">
        <f t="shared" si="589"/>
        <v>0.74648576287198476</v>
      </c>
      <c r="EZ192" s="528"/>
      <c r="FA192" s="625">
        <f t="shared" si="590"/>
        <v>1.2419747899159662E-2</v>
      </c>
      <c r="FB192" s="460">
        <f t="shared" si="498"/>
        <v>871.97920741458836</v>
      </c>
      <c r="FC192" s="173">
        <f t="shared" si="591"/>
        <v>2.2469875864807238</v>
      </c>
      <c r="FD192" s="5">
        <f t="shared" si="592"/>
        <v>14.76</v>
      </c>
      <c r="FE192" s="173">
        <f t="shared" si="593"/>
        <v>0.86787856608615932</v>
      </c>
      <c r="FF192" s="5">
        <f t="shared" si="594"/>
        <v>86.787856608615925</v>
      </c>
      <c r="FG192">
        <f t="shared" si="595"/>
        <v>82</v>
      </c>
      <c r="FI192" s="562">
        <f t="shared" si="596"/>
        <v>-50</v>
      </c>
      <c r="FJ192">
        <f t="shared" si="597"/>
        <v>-50</v>
      </c>
    </row>
    <row r="193" spans="5:166">
      <c r="E193" s="170">
        <v>83</v>
      </c>
      <c r="F193" s="217">
        <f t="shared" si="598"/>
        <v>0.83</v>
      </c>
      <c r="G193" s="217">
        <f t="shared" si="499"/>
        <v>0.20749999999999999</v>
      </c>
      <c r="H193" s="217">
        <f t="shared" si="500"/>
        <v>13.28</v>
      </c>
      <c r="I193" s="217">
        <f t="shared" si="501"/>
        <v>1.66</v>
      </c>
      <c r="J193" s="541">
        <f t="shared" si="502"/>
        <v>18.890368524275274</v>
      </c>
      <c r="K193" s="443">
        <f t="shared" si="503"/>
        <v>16.7483681528415</v>
      </c>
      <c r="L193" s="172">
        <f t="shared" si="504"/>
        <v>35.638736677116775</v>
      </c>
      <c r="M193" s="443"/>
      <c r="N193" s="217">
        <f t="shared" si="505"/>
        <v>0.46994842450729846</v>
      </c>
      <c r="O193" s="172">
        <f t="shared" si="506"/>
        <v>19.727775391878723</v>
      </c>
      <c r="P193" s="172">
        <f t="shared" si="507"/>
        <v>2.7742184144829456</v>
      </c>
      <c r="Q193" s="217">
        <f t="shared" si="508"/>
        <v>1.2329859619924202</v>
      </c>
      <c r="R193" s="217">
        <f t="shared" si="509"/>
        <v>2.4659719239848403</v>
      </c>
      <c r="S193" s="217">
        <f t="shared" si="510"/>
        <v>16</v>
      </c>
      <c r="T193" s="217">
        <f t="shared" si="511"/>
        <v>3.3658128542630656</v>
      </c>
      <c r="U193" s="217">
        <f t="shared" si="512"/>
        <v>2.1381136211955574</v>
      </c>
      <c r="V193" s="217">
        <f t="shared" si="513"/>
        <v>2.4115635554801398</v>
      </c>
      <c r="W193" s="197">
        <f t="shared" si="514"/>
        <v>350</v>
      </c>
      <c r="X193" s="443">
        <f t="shared" si="599"/>
        <v>210.54062472092068</v>
      </c>
      <c r="Z193" s="217">
        <f t="shared" si="515"/>
        <v>2.1136902205584343</v>
      </c>
      <c r="AA193" s="173">
        <f t="shared" si="516"/>
        <v>1.51443307283629</v>
      </c>
      <c r="AB193" s="173">
        <f t="shared" si="517"/>
        <v>0.49793992511578383</v>
      </c>
      <c r="AC193" s="173"/>
      <c r="AD193" s="173">
        <f t="shared" si="518"/>
        <v>0.71648771333964856</v>
      </c>
      <c r="AE193" s="545">
        <f t="shared" si="519"/>
        <v>2316.8575944764075</v>
      </c>
      <c r="AF193" s="528">
        <f t="shared" si="520"/>
        <v>0.12538534983443847</v>
      </c>
      <c r="AH193" s="173">
        <f t="shared" si="521"/>
        <v>2.6672618383439062</v>
      </c>
      <c r="AI193" s="173">
        <f t="shared" si="522"/>
        <v>3.3658128542630656</v>
      </c>
      <c r="AJ193" s="173">
        <f t="shared" si="523"/>
        <v>2.9524539661207894</v>
      </c>
      <c r="AL193" s="545">
        <f t="shared" si="524"/>
        <v>830</v>
      </c>
      <c r="AM193" s="460">
        <f t="shared" si="525"/>
        <v>210.54062472092068</v>
      </c>
      <c r="AO193">
        <f t="shared" si="526"/>
        <v>830</v>
      </c>
      <c r="AP193">
        <f t="shared" si="527"/>
        <v>210.54062472092068</v>
      </c>
      <c r="AR193" s="5">
        <f t="shared" si="443"/>
        <v>4.7496771766756973</v>
      </c>
      <c r="AS193" s="5">
        <f t="shared" si="604"/>
        <v>2.1381136211955574</v>
      </c>
      <c r="AT193" s="5">
        <f t="shared" si="605"/>
        <v>2.61156355548014</v>
      </c>
      <c r="AU193" s="173">
        <f t="shared" si="606"/>
        <v>0.45015977753082259</v>
      </c>
      <c r="AW193" s="5">
        <f t="shared" si="477"/>
        <v>11.091464409951953</v>
      </c>
      <c r="AX193" s="5">
        <f t="shared" si="478"/>
        <v>5.5457322049759767</v>
      </c>
      <c r="AY193" s="5">
        <f t="shared" si="479"/>
        <v>1.5299491542567636</v>
      </c>
      <c r="AZ193" s="5"/>
      <c r="BA193" s="173">
        <f t="shared" si="480"/>
        <v>1.3038051167725166</v>
      </c>
      <c r="BB193" s="173">
        <f t="shared" si="481"/>
        <v>1.4409456180295745</v>
      </c>
      <c r="BC193" s="173">
        <f t="shared" si="482"/>
        <v>0.35387929148667485</v>
      </c>
      <c r="BD193" s="173"/>
      <c r="BE193" s="528">
        <f t="shared" si="483"/>
        <v>3.3998155650443916E-2</v>
      </c>
      <c r="BF193" s="528">
        <f t="shared" si="528"/>
        <v>0.46090459885785812</v>
      </c>
      <c r="BG193" s="528">
        <f t="shared" si="529"/>
        <v>9.1475369777114651E-2</v>
      </c>
      <c r="BH193" s="528">
        <f t="shared" si="484"/>
        <v>0.13170029373842398</v>
      </c>
      <c r="BI193">
        <f t="shared" si="485"/>
        <v>8.5006658359238728E-3</v>
      </c>
      <c r="BJ193" s="460">
        <f t="shared" si="600"/>
        <v>99.976035613038533</v>
      </c>
      <c r="BK193">
        <f t="shared" si="530"/>
        <v>0.64096020229058182</v>
      </c>
      <c r="BL193" s="460">
        <f t="shared" si="601"/>
        <v>726.57908385976452</v>
      </c>
      <c r="BM193" s="173">
        <f t="shared" si="531"/>
        <v>0.51563749999999997</v>
      </c>
      <c r="BN193" s="173">
        <f t="shared" si="532"/>
        <v>0.12890937499999999</v>
      </c>
      <c r="BO193" s="528"/>
      <c r="BQ193" s="460">
        <f t="shared" si="486"/>
        <v>644.546875</v>
      </c>
      <c r="BR193" s="528">
        <f t="shared" si="487"/>
        <v>5.0997233475665871E-2</v>
      </c>
      <c r="BS193" s="528">
        <f t="shared" si="488"/>
        <v>6.2289728223558979E-2</v>
      </c>
      <c r="BT193" s="528">
        <f t="shared" si="489"/>
        <v>6.2615276471555492E-4</v>
      </c>
      <c r="BU193" s="528">
        <f t="shared" si="490"/>
        <v>0.66839729585615915</v>
      </c>
      <c r="BV193" s="528"/>
      <c r="BW193" s="625">
        <f t="shared" si="533"/>
        <v>1.1925753844444905E-2</v>
      </c>
      <c r="BX193" s="460">
        <f t="shared" ref="BX193:BX210" si="607">SUM(BR193:BW193)*1000</f>
        <v>794.23616416454445</v>
      </c>
      <c r="BY193" s="173">
        <f t="shared" ref="BY193:BY210" si="608">SUM(BE193:BI193,BM193:BP193,BR193:BW193)</f>
        <v>2.165362123024309</v>
      </c>
      <c r="BZ193" s="5">
        <f t="shared" ref="BZ193:BZ210" si="609">MIN(H193+I193,O193+P193)</f>
        <v>14.94</v>
      </c>
      <c r="CA193" s="173">
        <f t="shared" ref="CA193:CA210" si="610">BZ193/(BZ193+BY193)</f>
        <v>0.87341033136564428</v>
      </c>
      <c r="CB193" s="5">
        <f t="shared" ref="CB193:CB210" si="611">CA193*100</f>
        <v>87.341033136564434</v>
      </c>
      <c r="CC193">
        <f t="shared" ref="CC193:CC210" si="612">F193/Iout*100</f>
        <v>83</v>
      </c>
      <c r="CE193" s="562">
        <f t="shared" si="534"/>
        <v>-50</v>
      </c>
      <c r="CF193">
        <f t="shared" si="535"/>
        <v>-50</v>
      </c>
      <c r="CG193" s="173">
        <f t="shared" si="536"/>
        <v>0.51480154889510155</v>
      </c>
      <c r="CH193" s="173">
        <f t="shared" si="537"/>
        <v>0.18198046272135285</v>
      </c>
      <c r="CI193" s="170">
        <v>83</v>
      </c>
      <c r="CJ193" s="217">
        <f t="shared" si="602"/>
        <v>0.83</v>
      </c>
      <c r="CK193" s="217">
        <f t="shared" si="538"/>
        <v>0.20749999999999999</v>
      </c>
      <c r="CL193" s="217">
        <f t="shared" si="539"/>
        <v>13.28</v>
      </c>
      <c r="CM193" s="217">
        <f t="shared" si="540"/>
        <v>1.66</v>
      </c>
      <c r="CN193" s="541">
        <f t="shared" si="541"/>
        <v>19</v>
      </c>
      <c r="CO193" s="443">
        <f t="shared" si="542"/>
        <v>16.7</v>
      </c>
      <c r="CP193" s="443">
        <f t="shared" si="543"/>
        <v>35.700000000000003</v>
      </c>
      <c r="CQ193" s="443"/>
      <c r="CR193" s="217">
        <f t="shared" si="544"/>
        <v>0.4632768361581921</v>
      </c>
      <c r="CS193" s="172">
        <f t="shared" si="545"/>
        <v>19.560577526679221</v>
      </c>
      <c r="CT193" s="172">
        <f t="shared" si="546"/>
        <v>2.7507062146892656</v>
      </c>
      <c r="CU193" s="217">
        <f t="shared" si="547"/>
        <v>1.2225360954174513</v>
      </c>
      <c r="CV193" s="217">
        <f t="shared" si="548"/>
        <v>2.4450721908349027</v>
      </c>
      <c r="CW193" s="217">
        <f t="shared" si="549"/>
        <v>16</v>
      </c>
      <c r="CX193" s="217">
        <f t="shared" si="550"/>
        <v>3.3945827984595631</v>
      </c>
      <c r="CY193" s="217">
        <f t="shared" si="551"/>
        <v>2.1439470306060397</v>
      </c>
      <c r="CZ193" s="217">
        <f t="shared" si="552"/>
        <v>2.439221172545794</v>
      </c>
      <c r="DA193" s="197">
        <f t="shared" si="553"/>
        <v>350</v>
      </c>
      <c r="DB193" s="443">
        <f t="shared" si="554"/>
        <v>218.18967920756265</v>
      </c>
      <c r="DD193" s="217">
        <f t="shared" si="555"/>
        <v>2.1161798052554355</v>
      </c>
      <c r="DE193" s="173">
        <f t="shared" si="556"/>
        <v>1.5206082432973189</v>
      </c>
      <c r="DF193" s="173">
        <f t="shared" si="557"/>
        <v>0.50055918207100247</v>
      </c>
      <c r="DG193" s="173"/>
      <c r="DH193" s="173">
        <f t="shared" si="558"/>
        <v>0.71856287425149712</v>
      </c>
      <c r="DI193" s="545">
        <f t="shared" si="559"/>
        <v>2310.1666666666661</v>
      </c>
      <c r="DJ193" s="528">
        <f t="shared" si="560"/>
        <v>0.125748502994012</v>
      </c>
      <c r="DL193" s="173">
        <f t="shared" si="561"/>
        <v>2.6672618383439062</v>
      </c>
      <c r="DM193" s="173">
        <f t="shared" si="562"/>
        <v>3.3945827984595631</v>
      </c>
      <c r="DN193" s="173">
        <f t="shared" si="563"/>
        <v>2.9737650358959726</v>
      </c>
      <c r="DP193" s="545">
        <f t="shared" si="564"/>
        <v>830</v>
      </c>
      <c r="DQ193" s="460">
        <f t="shared" si="565"/>
        <v>218.18967920756265</v>
      </c>
      <c r="DS193">
        <f>IF(CL193&gt;CS193, "",DP193)</f>
        <v>830</v>
      </c>
      <c r="DT193">
        <f t="shared" si="567"/>
        <v>218.18967920756265</v>
      </c>
      <c r="DV193" s="5">
        <f t="shared" si="568"/>
        <v>4.5831682031518346</v>
      </c>
      <c r="DW193" s="5">
        <f t="shared" si="569"/>
        <v>2.1439470306060397</v>
      </c>
      <c r="DX193" s="5">
        <f t="shared" si="570"/>
        <v>2.4392211725457948</v>
      </c>
      <c r="DY193" s="173">
        <f t="shared" si="571"/>
        <v>0.46778711484593827</v>
      </c>
      <c r="EA193" s="5">
        <f t="shared" si="572"/>
        <v>11.12172522126883</v>
      </c>
      <c r="EB193" s="5">
        <f t="shared" si="573"/>
        <v>5.5608626106344152</v>
      </c>
      <c r="EC193" s="5">
        <f t="shared" si="574"/>
        <v>1.4207393496231646</v>
      </c>
      <c r="ED193" s="5"/>
      <c r="EE193" s="173">
        <f t="shared" si="575"/>
        <v>1.3404478002015465</v>
      </c>
      <c r="EF193" s="173">
        <f t="shared" si="576"/>
        <v>1.4297775421841055</v>
      </c>
      <c r="EG193" s="173">
        <f t="shared" si="577"/>
        <v>0.35113654344815526</v>
      </c>
      <c r="EH193" s="173"/>
      <c r="EI193" s="528">
        <f t="shared" si="578"/>
        <v>3.5936006101303306E-2</v>
      </c>
      <c r="EJ193" s="528">
        <f t="shared" si="579"/>
        <v>0.50239166666666668</v>
      </c>
      <c r="EK193" s="528">
        <f t="shared" si="580"/>
        <v>2.5091813108869706E-2</v>
      </c>
      <c r="EL193" s="528">
        <f t="shared" si="581"/>
        <v>0.13695467789472393</v>
      </c>
      <c r="EM193">
        <f t="shared" si="582"/>
        <v>8.5500000000000003E-3</v>
      </c>
      <c r="EN193" s="460">
        <f t="shared" si="583"/>
        <v>33.641813108869705</v>
      </c>
      <c r="EP193" s="460">
        <f t="shared" si="603"/>
        <v>708.92416377156349</v>
      </c>
      <c r="EQ193" s="173">
        <f t="shared" si="584"/>
        <v>0.58099999999999996</v>
      </c>
      <c r="ER193" s="173">
        <f t="shared" si="585"/>
        <v>9.2078124999999997E-2</v>
      </c>
      <c r="ES193" s="528"/>
      <c r="EU193" s="460">
        <f t="shared" si="497"/>
        <v>673.078125</v>
      </c>
      <c r="EV193" s="528">
        <f t="shared" si="586"/>
        <v>5.3904009151954951E-2</v>
      </c>
      <c r="EW193" s="528">
        <f t="shared" si="587"/>
        <v>6.1327914604020643E-2</v>
      </c>
      <c r="EX193" s="528">
        <f t="shared" si="588"/>
        <v>6.1648436072359112E-4</v>
      </c>
      <c r="EY193" s="528">
        <f t="shared" si="589"/>
        <v>0.74648576287198531</v>
      </c>
      <c r="EZ193" s="528"/>
      <c r="FA193" s="625">
        <f t="shared" si="590"/>
        <v>1.2571208239393316E-2</v>
      </c>
      <c r="FB193" s="460">
        <f t="shared" ref="FB193:FB210" si="613">SUM(EV193:FA193)*1000</f>
        <v>874.90537922807778</v>
      </c>
      <c r="FC193" s="173">
        <f t="shared" si="591"/>
        <v>2.2569076679996414</v>
      </c>
      <c r="FD193" s="5">
        <f t="shared" si="592"/>
        <v>14.94</v>
      </c>
      <c r="FE193" s="173">
        <f t="shared" si="593"/>
        <v>0.86876084284622057</v>
      </c>
      <c r="FF193" s="5">
        <f t="shared" si="594"/>
        <v>86.876084284622053</v>
      </c>
      <c r="FG193">
        <f t="shared" si="595"/>
        <v>83</v>
      </c>
      <c r="FI193" s="562">
        <f t="shared" si="596"/>
        <v>-50</v>
      </c>
      <c r="FJ193">
        <f t="shared" si="597"/>
        <v>-50</v>
      </c>
    </row>
    <row r="194" spans="5:166">
      <c r="E194" s="170">
        <v>84</v>
      </c>
      <c r="F194" s="217">
        <f t="shared" si="598"/>
        <v>0.84</v>
      </c>
      <c r="G194" s="217">
        <f t="shared" si="499"/>
        <v>0.21</v>
      </c>
      <c r="H194" s="217">
        <f t="shared" si="500"/>
        <v>13.44</v>
      </c>
      <c r="I194" s="217">
        <f t="shared" si="501"/>
        <v>1.68</v>
      </c>
      <c r="J194" s="541">
        <f t="shared" si="502"/>
        <v>18.889047663121964</v>
      </c>
      <c r="K194" s="443">
        <f t="shared" si="503"/>
        <v>16.748950901670916</v>
      </c>
      <c r="L194" s="172">
        <f t="shared" si="504"/>
        <v>35.637998564792881</v>
      </c>
      <c r="M194" s="443"/>
      <c r="N194" s="217">
        <f t="shared" si="505"/>
        <v>0.46997450968577581</v>
      </c>
      <c r="O194" s="172">
        <f t="shared" si="506"/>
        <v>19.727490919793318</v>
      </c>
      <c r="P194" s="172">
        <f t="shared" si="507"/>
        <v>2.7741784105959355</v>
      </c>
      <c r="Q194" s="217">
        <f t="shared" si="508"/>
        <v>1.2329681824870824</v>
      </c>
      <c r="R194" s="217">
        <f t="shared" si="509"/>
        <v>2.4659363649741648</v>
      </c>
      <c r="S194" s="217">
        <f t="shared" si="510"/>
        <v>16</v>
      </c>
      <c r="T194" s="217">
        <f t="shared" si="511"/>
        <v>3.4064139364310013</v>
      </c>
      <c r="U194" s="217">
        <f t="shared" si="512"/>
        <v>2.1640565456869578</v>
      </c>
      <c r="V194" s="217">
        <f t="shared" si="513"/>
        <v>2.4405688139604034</v>
      </c>
      <c r="W194" s="197">
        <f t="shared" si="514"/>
        <v>350</v>
      </c>
      <c r="X194" s="443">
        <f t="shared" si="599"/>
        <v>208.13277313954728</v>
      </c>
      <c r="Z194" s="217">
        <f t="shared" si="515"/>
        <v>2.1136597414064275</v>
      </c>
      <c r="AA194" s="173">
        <f t="shared" si="516"/>
        <v>1.5143585437549263</v>
      </c>
      <c r="AB194" s="173">
        <f t="shared" si="517"/>
        <v>0.49790824035394582</v>
      </c>
      <c r="AC194" s="173"/>
      <c r="AD194" s="173">
        <f t="shared" si="518"/>
        <v>0.71646278447224121</v>
      </c>
      <c r="AE194" s="545">
        <f t="shared" si="519"/>
        <v>2344.8531262339284</v>
      </c>
      <c r="AF194" s="528">
        <f t="shared" si="520"/>
        <v>0.12538098728264221</v>
      </c>
      <c r="AH194" s="173">
        <f t="shared" si="521"/>
        <v>2.6832815729997477</v>
      </c>
      <c r="AI194" s="173">
        <f t="shared" si="522"/>
        <v>3.4064139364310013</v>
      </c>
      <c r="AJ194" s="173">
        <f t="shared" si="523"/>
        <v>2.9825288418007418</v>
      </c>
      <c r="AL194" s="545">
        <f t="shared" si="524"/>
        <v>840</v>
      </c>
      <c r="AM194" s="460">
        <f t="shared" si="525"/>
        <v>208.13277313954728</v>
      </c>
      <c r="AO194">
        <f t="shared" si="526"/>
        <v>840</v>
      </c>
      <c r="AP194">
        <f t="shared" si="527"/>
        <v>208.13277313954728</v>
      </c>
      <c r="AR194" s="5">
        <f t="shared" si="443"/>
        <v>4.8046253596473614</v>
      </c>
      <c r="AS194" s="5">
        <f t="shared" si="604"/>
        <v>2.1640565456869578</v>
      </c>
      <c r="AT194" s="5">
        <f t="shared" si="605"/>
        <v>2.6405688139604035</v>
      </c>
      <c r="AU194" s="173">
        <f t="shared" si="606"/>
        <v>0.45041109008461594</v>
      </c>
      <c r="AW194" s="5">
        <f t="shared" si="477"/>
        <v>11.361296864856529</v>
      </c>
      <c r="AX194" s="5">
        <f t="shared" si="478"/>
        <v>5.6806484324282644</v>
      </c>
      <c r="AY194" s="5">
        <f t="shared" si="479"/>
        <v>1.565688818399037</v>
      </c>
      <c r="AZ194" s="5"/>
      <c r="BA194" s="173">
        <f t="shared" si="480"/>
        <v>1.3199009187218671</v>
      </c>
      <c r="BB194" s="173">
        <f t="shared" si="481"/>
        <v>1.4579941244260741</v>
      </c>
      <c r="BC194" s="173">
        <f t="shared" si="482"/>
        <v>0.35806620408699169</v>
      </c>
      <c r="BD194" s="173"/>
      <c r="BE194" s="528">
        <f t="shared" si="483"/>
        <v>3.4842768704856579E-2</v>
      </c>
      <c r="BF194" s="528">
        <f t="shared" si="528"/>
        <v>0.46112011395289032</v>
      </c>
      <c r="BG194" s="528">
        <f t="shared" si="529"/>
        <v>9.0422887058085169E-2</v>
      </c>
      <c r="BH194" s="528">
        <f t="shared" si="484"/>
        <v>0.13018870816500414</v>
      </c>
      <c r="BI194">
        <f t="shared" si="485"/>
        <v>8.5000714484048841E-3</v>
      </c>
      <c r="BJ194" s="460">
        <f t="shared" si="600"/>
        <v>98.922958506490048</v>
      </c>
      <c r="BK194">
        <f t="shared" si="530"/>
        <v>0.64086462709141634</v>
      </c>
      <c r="BL194" s="460">
        <f t="shared" si="601"/>
        <v>725.07454932924122</v>
      </c>
      <c r="BM194" s="173">
        <f t="shared" si="531"/>
        <v>0.52184999999999993</v>
      </c>
      <c r="BN194" s="173">
        <f t="shared" si="532"/>
        <v>0.13046249999999998</v>
      </c>
      <c r="BO194" s="528"/>
      <c r="BQ194" s="460">
        <f t="shared" si="486"/>
        <v>652.31249999999989</v>
      </c>
      <c r="BR194" s="528">
        <f t="shared" si="487"/>
        <v>5.2264153057284865E-2</v>
      </c>
      <c r="BS194" s="528">
        <f t="shared" si="488"/>
        <v>6.3772406005828633E-2</v>
      </c>
      <c r="BT194" s="528">
        <f t="shared" si="489"/>
        <v>6.4105703254633596E-4</v>
      </c>
      <c r="BU194" s="528">
        <f t="shared" si="490"/>
        <v>0.66921356179969238</v>
      </c>
      <c r="BV194" s="528"/>
      <c r="BW194" s="625">
        <f t="shared" si="533"/>
        <v>1.207550541168834E-2</v>
      </c>
      <c r="BX194" s="460">
        <f t="shared" si="607"/>
        <v>797.96668330704063</v>
      </c>
      <c r="BY194" s="173">
        <f t="shared" si="608"/>
        <v>2.1753537326362817</v>
      </c>
      <c r="BZ194" s="5">
        <f t="shared" si="609"/>
        <v>15.12</v>
      </c>
      <c r="CA194" s="173">
        <f t="shared" si="610"/>
        <v>0.87422322976075395</v>
      </c>
      <c r="CB194" s="5">
        <f t="shared" si="611"/>
        <v>87.422322976075392</v>
      </c>
      <c r="CC194">
        <f t="shared" si="612"/>
        <v>84</v>
      </c>
      <c r="CE194" s="562">
        <f t="shared" si="534"/>
        <v>-50</v>
      </c>
      <c r="CF194">
        <f t="shared" si="535"/>
        <v>-50</v>
      </c>
      <c r="CG194" s="173">
        <f t="shared" si="536"/>
        <v>0.51480154889510155</v>
      </c>
      <c r="CH194" s="173">
        <f t="shared" si="537"/>
        <v>0.18198046272135285</v>
      </c>
      <c r="CI194" s="170">
        <v>84</v>
      </c>
      <c r="CJ194" s="217">
        <f t="shared" si="602"/>
        <v>0.84</v>
      </c>
      <c r="CK194" s="217">
        <f t="shared" si="538"/>
        <v>0.21</v>
      </c>
      <c r="CL194" s="217">
        <f t="shared" si="539"/>
        <v>13.44</v>
      </c>
      <c r="CM194" s="217">
        <f t="shared" si="540"/>
        <v>1.68</v>
      </c>
      <c r="CN194" s="541">
        <f t="shared" si="541"/>
        <v>19</v>
      </c>
      <c r="CO194" s="443">
        <f t="shared" si="542"/>
        <v>16.7</v>
      </c>
      <c r="CP194" s="443">
        <f t="shared" si="543"/>
        <v>35.700000000000003</v>
      </c>
      <c r="CQ194" s="443"/>
      <c r="CR194" s="217">
        <f t="shared" si="544"/>
        <v>0.4632768361581921</v>
      </c>
      <c r="CS194" s="172">
        <f t="shared" si="545"/>
        <v>19.560577526679221</v>
      </c>
      <c r="CT194" s="172">
        <f t="shared" si="546"/>
        <v>2.7507062146892656</v>
      </c>
      <c r="CU194" s="217">
        <f t="shared" si="547"/>
        <v>1.2225360954174513</v>
      </c>
      <c r="CV194" s="217">
        <f t="shared" si="548"/>
        <v>2.4450721908349027</v>
      </c>
      <c r="CW194" s="217">
        <f t="shared" si="549"/>
        <v>16</v>
      </c>
      <c r="CX194" s="217">
        <f t="shared" si="550"/>
        <v>3.4354813863928109</v>
      </c>
      <c r="CY194" s="217">
        <f t="shared" si="551"/>
        <v>2.1697777177217752</v>
      </c>
      <c r="CZ194" s="217">
        <f t="shared" si="552"/>
        <v>2.4686093794439361</v>
      </c>
      <c r="DA194" s="197">
        <f t="shared" si="553"/>
        <v>350</v>
      </c>
      <c r="DB194" s="443">
        <f t="shared" si="554"/>
        <v>215.59218302652022</v>
      </c>
      <c r="DD194" s="217">
        <f t="shared" si="555"/>
        <v>2.1161798052554355</v>
      </c>
      <c r="DE194" s="173">
        <f t="shared" si="556"/>
        <v>1.5206082432973189</v>
      </c>
      <c r="DF194" s="173">
        <f t="shared" si="557"/>
        <v>0.50055918207100247</v>
      </c>
      <c r="DG194" s="173"/>
      <c r="DH194" s="173">
        <f t="shared" si="558"/>
        <v>0.71856287425149712</v>
      </c>
      <c r="DI194" s="545">
        <f t="shared" si="559"/>
        <v>2337.9999999999995</v>
      </c>
      <c r="DJ194" s="528">
        <f t="shared" si="560"/>
        <v>0.125748502994012</v>
      </c>
      <c r="DL194" s="173">
        <f t="shared" si="561"/>
        <v>2.6832815729997477</v>
      </c>
      <c r="DM194" s="173">
        <f t="shared" si="562"/>
        <v>3.4354813863928109</v>
      </c>
      <c r="DN194" s="173">
        <f t="shared" si="563"/>
        <v>3.0040602862168968</v>
      </c>
      <c r="DP194" s="545">
        <f t="shared" si="564"/>
        <v>840</v>
      </c>
      <c r="DQ194" s="460">
        <f t="shared" si="565"/>
        <v>215.59218302652022</v>
      </c>
      <c r="DS194">
        <f t="shared" ref="DS194:DS210" si="614">IF(CL194&gt;CS194, "",DP194)</f>
        <v>840</v>
      </c>
      <c r="DT194">
        <f t="shared" ref="DT194:DT210" si="615">IF(CL194&gt;CS194, "",DQ194)</f>
        <v>215.59218302652022</v>
      </c>
      <c r="DV194" s="5">
        <f t="shared" si="568"/>
        <v>4.6383870971657117</v>
      </c>
      <c r="DW194" s="5">
        <f t="shared" si="569"/>
        <v>2.1697777177217752</v>
      </c>
      <c r="DX194" s="5">
        <f t="shared" si="570"/>
        <v>2.4686093794439365</v>
      </c>
      <c r="DY194" s="173">
        <f t="shared" si="571"/>
        <v>0.46778711484593832</v>
      </c>
      <c r="EA194" s="5">
        <f t="shared" si="572"/>
        <v>11.391333018039321</v>
      </c>
      <c r="EB194" s="5">
        <f t="shared" si="573"/>
        <v>5.6956665090196603</v>
      </c>
      <c r="EC194" s="5">
        <f t="shared" si="574"/>
        <v>1.4551802657774782</v>
      </c>
      <c r="ED194" s="5"/>
      <c r="EE194" s="173">
        <f t="shared" si="575"/>
        <v>1.3565977736979506</v>
      </c>
      <c r="EF194" s="173">
        <f t="shared" si="576"/>
        <v>1.4470037776321067</v>
      </c>
      <c r="EG194" s="173">
        <f t="shared" si="577"/>
        <v>0.35536710421259088</v>
      </c>
      <c r="EH194" s="173"/>
      <c r="EI194" s="528">
        <f t="shared" si="578"/>
        <v>3.6807150392044727E-2</v>
      </c>
      <c r="EJ194" s="528">
        <f t="shared" si="579"/>
        <v>0.50239166666666668</v>
      </c>
      <c r="EK194" s="528">
        <f t="shared" si="580"/>
        <v>2.4793101048049829E-2</v>
      </c>
      <c r="EL194" s="528">
        <f t="shared" si="581"/>
        <v>0.13532426506264389</v>
      </c>
      <c r="EM194">
        <f t="shared" si="582"/>
        <v>8.5500000000000003E-3</v>
      </c>
      <c r="EN194" s="460">
        <f t="shared" si="583"/>
        <v>33.343101048049832</v>
      </c>
      <c r="EP194" s="460">
        <f t="shared" si="603"/>
        <v>707.86618316940519</v>
      </c>
      <c r="EQ194" s="173">
        <f t="shared" si="584"/>
        <v>0.58799999999999997</v>
      </c>
      <c r="ER194" s="173">
        <f t="shared" si="585"/>
        <v>9.3187499999999993E-2</v>
      </c>
      <c r="ES194" s="528"/>
      <c r="EU194" s="460">
        <f t="shared" si="497"/>
        <v>681.1875</v>
      </c>
      <c r="EV194" s="528">
        <f t="shared" si="586"/>
        <v>5.5210725588067083E-2</v>
      </c>
      <c r="EW194" s="528">
        <f t="shared" si="587"/>
        <v>6.281459797444762E-2</v>
      </c>
      <c r="EX194" s="528">
        <f t="shared" si="588"/>
        <v>6.3142889378221215E-4</v>
      </c>
      <c r="EY194" s="528">
        <f t="shared" si="589"/>
        <v>0.74648576287198432</v>
      </c>
      <c r="EZ194" s="528"/>
      <c r="FA194" s="625">
        <f t="shared" si="590"/>
        <v>1.2722668579626971E-2</v>
      </c>
      <c r="FB194" s="460">
        <f t="shared" si="613"/>
        <v>877.8651839079082</v>
      </c>
      <c r="FC194" s="173">
        <f t="shared" si="591"/>
        <v>2.2669188670773135</v>
      </c>
      <c r="FD194" s="5">
        <f t="shared" si="592"/>
        <v>15.12</v>
      </c>
      <c r="FE194" s="173">
        <f t="shared" si="593"/>
        <v>0.86961928767207874</v>
      </c>
      <c r="FF194" s="5">
        <f t="shared" si="594"/>
        <v>86.96192876720788</v>
      </c>
      <c r="FG194">
        <f t="shared" si="595"/>
        <v>84</v>
      </c>
      <c r="FI194" s="562">
        <f t="shared" si="596"/>
        <v>-50</v>
      </c>
      <c r="FJ194">
        <f t="shared" si="597"/>
        <v>-50</v>
      </c>
    </row>
    <row r="195" spans="5:166">
      <c r="E195" s="170">
        <v>85</v>
      </c>
      <c r="F195" s="217">
        <f t="shared" si="598"/>
        <v>0.85</v>
      </c>
      <c r="G195" s="217">
        <f t="shared" si="499"/>
        <v>0.21249999999999999</v>
      </c>
      <c r="H195" s="217">
        <f t="shared" si="500"/>
        <v>13.6</v>
      </c>
      <c r="I195" s="217">
        <f t="shared" si="501"/>
        <v>1.7</v>
      </c>
      <c r="J195" s="541">
        <f t="shared" si="502"/>
        <v>18.887726801968654</v>
      </c>
      <c r="K195" s="443">
        <f t="shared" si="503"/>
        <v>16.749533650500332</v>
      </c>
      <c r="L195" s="172">
        <f t="shared" si="504"/>
        <v>35.637260452468986</v>
      </c>
      <c r="M195" s="443"/>
      <c r="N195" s="217">
        <f t="shared" si="505"/>
        <v>0.47000059594479593</v>
      </c>
      <c r="O195" s="172">
        <f t="shared" si="506"/>
        <v>19.727206339928358</v>
      </c>
      <c r="P195" s="172">
        <f t="shared" si="507"/>
        <v>2.7741383915524254</v>
      </c>
      <c r="Q195" s="217">
        <f t="shared" si="508"/>
        <v>1.2329503962455224</v>
      </c>
      <c r="R195" s="217">
        <f t="shared" si="509"/>
        <v>2.4659007924910448</v>
      </c>
      <c r="S195" s="217">
        <f t="shared" si="510"/>
        <v>16</v>
      </c>
      <c r="T195" s="217">
        <f t="shared" si="511"/>
        <v>3.4470162083906577</v>
      </c>
      <c r="U195" s="217">
        <f t="shared" si="512"/>
        <v>2.1900038545864891</v>
      </c>
      <c r="V195" s="217">
        <f t="shared" si="513"/>
        <v>2.4695729065538661</v>
      </c>
      <c r="W195" s="197">
        <f t="shared" si="514"/>
        <v>350</v>
      </c>
      <c r="X195" s="443">
        <f t="shared" si="599"/>
        <v>205.77923740118851</v>
      </c>
      <c r="Z195" s="217">
        <f t="shared" si="515"/>
        <v>2.1136292507066101</v>
      </c>
      <c r="AA195" s="173">
        <f t="shared" si="516"/>
        <v>1.5142840115862972</v>
      </c>
      <c r="AB195" s="173">
        <f t="shared" si="517"/>
        <v>0.49787655256362257</v>
      </c>
      <c r="AC195" s="173"/>
      <c r="AD195" s="173">
        <f t="shared" si="518"/>
        <v>0.7164378573394814</v>
      </c>
      <c r="AE195" s="545">
        <f t="shared" si="519"/>
        <v>2372.8506004875471</v>
      </c>
      <c r="AF195" s="528">
        <f t="shared" si="520"/>
        <v>0.12537662503440924</v>
      </c>
      <c r="AH195" s="173">
        <f t="shared" si="521"/>
        <v>2.6992062325273118</v>
      </c>
      <c r="AI195" s="173">
        <f t="shared" si="522"/>
        <v>3.4470162083906577</v>
      </c>
      <c r="AJ195" s="173">
        <f t="shared" si="523"/>
        <v>3.0126045988078944</v>
      </c>
      <c r="AL195" s="545">
        <f t="shared" si="524"/>
        <v>850</v>
      </c>
      <c r="AM195" s="460">
        <f t="shared" si="525"/>
        <v>205.77923740118851</v>
      </c>
      <c r="AO195">
        <f t="shared" si="526"/>
        <v>850</v>
      </c>
      <c r="AP195">
        <f t="shared" si="527"/>
        <v>205.77923740118851</v>
      </c>
      <c r="AR195" s="5">
        <f t="shared" si="443"/>
        <v>4.8595767611403557</v>
      </c>
      <c r="AS195" s="5">
        <f t="shared" si="604"/>
        <v>2.1900038545864891</v>
      </c>
      <c r="AT195" s="5">
        <f t="shared" si="605"/>
        <v>2.6695729065538667</v>
      </c>
      <c r="AU195" s="173">
        <f t="shared" si="606"/>
        <v>0.45065732310247103</v>
      </c>
      <c r="AW195" s="5">
        <f t="shared" si="477"/>
        <v>11.634395477490722</v>
      </c>
      <c r="AX195" s="5">
        <f t="shared" si="478"/>
        <v>5.8171977387453611</v>
      </c>
      <c r="AY195" s="5">
        <f t="shared" si="479"/>
        <v>1.6018422928722693</v>
      </c>
      <c r="AZ195" s="5"/>
      <c r="BA195" s="173">
        <f t="shared" si="480"/>
        <v>1.3359983276453213</v>
      </c>
      <c r="BB195" s="173">
        <f t="shared" si="481"/>
        <v>1.4750419368608496</v>
      </c>
      <c r="BC195" s="173">
        <f t="shared" si="482"/>
        <v>0.36225294625847332</v>
      </c>
      <c r="BD195" s="173"/>
      <c r="BE195" s="528">
        <f t="shared" si="483"/>
        <v>3.569783062942191E-2</v>
      </c>
      <c r="BF195" s="528">
        <f t="shared" si="528"/>
        <v>0.46133038390690922</v>
      </c>
      <c r="BG195" s="528">
        <f t="shared" si="529"/>
        <v>8.9394146403675268E-2</v>
      </c>
      <c r="BH195" s="528">
        <f t="shared" si="484"/>
        <v>0.12871122106477439</v>
      </c>
      <c r="BI195">
        <f t="shared" si="485"/>
        <v>8.4994770608858936E-3</v>
      </c>
      <c r="BJ195" s="460">
        <f t="shared" si="600"/>
        <v>97.893623464561173</v>
      </c>
      <c r="BK195">
        <f t="shared" si="530"/>
        <v>0.64081310135465763</v>
      </c>
      <c r="BL195" s="460">
        <f t="shared" si="601"/>
        <v>723.63305906566666</v>
      </c>
      <c r="BM195" s="173">
        <f t="shared" si="531"/>
        <v>0.52806249999999999</v>
      </c>
      <c r="BN195" s="173">
        <f t="shared" si="532"/>
        <v>0.132015625</v>
      </c>
      <c r="BO195" s="528"/>
      <c r="BQ195" s="460">
        <f t="shared" si="486"/>
        <v>660.078125</v>
      </c>
      <c r="BR195" s="528">
        <f t="shared" si="487"/>
        <v>5.3546745944132862E-2</v>
      </c>
      <c r="BS195" s="528">
        <f t="shared" si="488"/>
        <v>6.5272461464946196E-2</v>
      </c>
      <c r="BT195" s="528">
        <f t="shared" si="489"/>
        <v>6.5613598536472186E-4</v>
      </c>
      <c r="BU195" s="528">
        <f t="shared" si="490"/>
        <v>0.67001141484599902</v>
      </c>
      <c r="BV195" s="528"/>
      <c r="BW195" s="625">
        <f t="shared" si="533"/>
        <v>1.2225262944626969E-2</v>
      </c>
      <c r="BX195" s="460">
        <f t="shared" si="607"/>
        <v>801.71202118506983</v>
      </c>
      <c r="BY195" s="173">
        <f t="shared" si="608"/>
        <v>2.1854232052507365</v>
      </c>
      <c r="BZ195" s="5">
        <f t="shared" si="609"/>
        <v>15.299999999999999</v>
      </c>
      <c r="CA195" s="173">
        <f t="shared" si="610"/>
        <v>0.87501456615619855</v>
      </c>
      <c r="CB195" s="5">
        <f t="shared" si="611"/>
        <v>87.501456615619858</v>
      </c>
      <c r="CC195">
        <f t="shared" si="612"/>
        <v>85</v>
      </c>
      <c r="CE195" s="562">
        <f t="shared" si="534"/>
        <v>-50</v>
      </c>
      <c r="CF195">
        <f t="shared" si="535"/>
        <v>-50</v>
      </c>
      <c r="CG195" s="173">
        <f t="shared" si="536"/>
        <v>0.51480154889510155</v>
      </c>
      <c r="CH195" s="173">
        <f t="shared" si="537"/>
        <v>0.18198046272135285</v>
      </c>
      <c r="CI195" s="170">
        <v>85</v>
      </c>
      <c r="CJ195" s="217">
        <f t="shared" si="602"/>
        <v>0.85</v>
      </c>
      <c r="CK195" s="217">
        <f t="shared" si="538"/>
        <v>0.21249999999999999</v>
      </c>
      <c r="CL195" s="217">
        <f t="shared" si="539"/>
        <v>13.6</v>
      </c>
      <c r="CM195" s="217">
        <f t="shared" si="540"/>
        <v>1.7</v>
      </c>
      <c r="CN195" s="541">
        <f t="shared" si="541"/>
        <v>19</v>
      </c>
      <c r="CO195" s="443">
        <f t="shared" si="542"/>
        <v>16.7</v>
      </c>
      <c r="CP195" s="443">
        <f t="shared" si="543"/>
        <v>35.700000000000003</v>
      </c>
      <c r="CQ195" s="443"/>
      <c r="CR195" s="217">
        <f t="shared" si="544"/>
        <v>0.4632768361581921</v>
      </c>
      <c r="CS195" s="172">
        <f t="shared" si="545"/>
        <v>19.560577526679221</v>
      </c>
      <c r="CT195" s="172">
        <f t="shared" si="546"/>
        <v>2.7507062146892656</v>
      </c>
      <c r="CU195" s="217">
        <f t="shared" si="547"/>
        <v>1.2225360954174513</v>
      </c>
      <c r="CV195" s="217">
        <f t="shared" si="548"/>
        <v>2.4450721908349027</v>
      </c>
      <c r="CW195" s="217">
        <f t="shared" si="549"/>
        <v>16</v>
      </c>
      <c r="CX195" s="217">
        <f t="shared" si="550"/>
        <v>3.4763799743260586</v>
      </c>
      <c r="CY195" s="217">
        <f t="shared" si="551"/>
        <v>2.1956084048375106</v>
      </c>
      <c r="CZ195" s="217">
        <f t="shared" si="552"/>
        <v>2.4979975863420787</v>
      </c>
      <c r="DA195" s="197">
        <f t="shared" si="553"/>
        <v>350</v>
      </c>
      <c r="DB195" s="443">
        <f t="shared" si="554"/>
        <v>213.0558044026788</v>
      </c>
      <c r="DD195" s="217">
        <f t="shared" si="555"/>
        <v>2.1161798052554355</v>
      </c>
      <c r="DE195" s="173">
        <f t="shared" si="556"/>
        <v>1.5206082432973189</v>
      </c>
      <c r="DF195" s="173">
        <f t="shared" si="557"/>
        <v>0.50055918207100247</v>
      </c>
      <c r="DG195" s="173"/>
      <c r="DH195" s="173">
        <f t="shared" si="558"/>
        <v>0.71856287425149712</v>
      </c>
      <c r="DI195" s="545">
        <f t="shared" si="559"/>
        <v>2365.833333333333</v>
      </c>
      <c r="DJ195" s="528">
        <f t="shared" si="560"/>
        <v>0.125748502994012</v>
      </c>
      <c r="DL195" s="173">
        <f t="shared" si="561"/>
        <v>2.6992062325273118</v>
      </c>
      <c r="DM195" s="173">
        <f t="shared" si="562"/>
        <v>3.4763799743260586</v>
      </c>
      <c r="DN195" s="173">
        <f t="shared" si="563"/>
        <v>3.034355536537821</v>
      </c>
      <c r="DP195" s="545">
        <f t="shared" si="564"/>
        <v>850</v>
      </c>
      <c r="DQ195" s="460">
        <f t="shared" si="565"/>
        <v>213.0558044026788</v>
      </c>
      <c r="DS195">
        <f t="shared" si="614"/>
        <v>850</v>
      </c>
      <c r="DT195">
        <f t="shared" si="615"/>
        <v>213.0558044026788</v>
      </c>
      <c r="DV195" s="5">
        <f t="shared" si="568"/>
        <v>4.6936059911795898</v>
      </c>
      <c r="DW195" s="5">
        <f t="shared" si="569"/>
        <v>2.1956084048375106</v>
      </c>
      <c r="DX195" s="5">
        <f t="shared" si="570"/>
        <v>2.4979975863420791</v>
      </c>
      <c r="DY195" s="173">
        <f t="shared" si="571"/>
        <v>0.46778711484593827</v>
      </c>
      <c r="EA195" s="5">
        <f t="shared" si="572"/>
        <v>11.664169650699275</v>
      </c>
      <c r="EB195" s="5">
        <f t="shared" si="573"/>
        <v>5.8320848253496376</v>
      </c>
      <c r="EC195" s="5">
        <f t="shared" si="574"/>
        <v>1.4900336479935208</v>
      </c>
      <c r="ED195" s="5"/>
      <c r="EE195" s="173">
        <f t="shared" si="575"/>
        <v>1.3727477471943548</v>
      </c>
      <c r="EF195" s="173">
        <f t="shared" si="576"/>
        <v>1.464230013080108</v>
      </c>
      <c r="EG195" s="173">
        <f t="shared" si="577"/>
        <v>0.3595976649770265</v>
      </c>
      <c r="EH195" s="173"/>
      <c r="EI195" s="528">
        <f t="shared" si="578"/>
        <v>3.7688727548543521E-2</v>
      </c>
      <c r="EJ195" s="528">
        <f t="shared" si="579"/>
        <v>0.50239166666666668</v>
      </c>
      <c r="EK195" s="528">
        <f t="shared" si="580"/>
        <v>2.4501417506308066E-2</v>
      </c>
      <c r="EL195" s="528">
        <f t="shared" si="581"/>
        <v>0.1337322148854363</v>
      </c>
      <c r="EM195">
        <f t="shared" si="582"/>
        <v>8.5500000000000003E-3</v>
      </c>
      <c r="EN195" s="460">
        <f t="shared" si="583"/>
        <v>33.051417506308063</v>
      </c>
      <c r="EP195" s="460">
        <f t="shared" si="603"/>
        <v>706.86402660695444</v>
      </c>
      <c r="EQ195" s="173">
        <f t="shared" si="584"/>
        <v>0.59499999999999997</v>
      </c>
      <c r="ER195" s="173">
        <f t="shared" si="585"/>
        <v>9.4296874999999988E-2</v>
      </c>
      <c r="ES195" s="528"/>
      <c r="EU195" s="460">
        <f t="shared" si="497"/>
        <v>689.29687499999989</v>
      </c>
      <c r="EV195" s="528">
        <f t="shared" si="586"/>
        <v>5.6533091322815282E-2</v>
      </c>
      <c r="EW195" s="528">
        <f t="shared" si="587"/>
        <v>6.4319085936137207E-2</v>
      </c>
      <c r="EX195" s="528">
        <f t="shared" si="588"/>
        <v>6.4655240328464895E-4</v>
      </c>
      <c r="EY195" s="528">
        <f t="shared" si="589"/>
        <v>0.74648576287198398</v>
      </c>
      <c r="EZ195" s="528"/>
      <c r="FA195" s="625">
        <f t="shared" si="590"/>
        <v>1.2874128919860624E-2</v>
      </c>
      <c r="FB195" s="460">
        <f t="shared" si="613"/>
        <v>880.8586214540818</v>
      </c>
      <c r="FC195" s="173">
        <f t="shared" si="591"/>
        <v>2.2770195230610359</v>
      </c>
      <c r="FD195" s="5">
        <f t="shared" si="592"/>
        <v>15.299999999999999</v>
      </c>
      <c r="FE195" s="173">
        <f t="shared" si="593"/>
        <v>0.87045474233708453</v>
      </c>
      <c r="FF195" s="5">
        <f t="shared" si="594"/>
        <v>87.045474233708447</v>
      </c>
      <c r="FG195">
        <f t="shared" si="595"/>
        <v>85</v>
      </c>
      <c r="FI195" s="562">
        <f t="shared" si="596"/>
        <v>-50</v>
      </c>
      <c r="FJ195">
        <f t="shared" si="597"/>
        <v>-50</v>
      </c>
    </row>
    <row r="196" spans="5:166">
      <c r="E196" s="170">
        <v>86</v>
      </c>
      <c r="F196" s="217">
        <f t="shared" si="598"/>
        <v>0.86</v>
      </c>
      <c r="G196" s="217">
        <f t="shared" si="499"/>
        <v>0.215</v>
      </c>
      <c r="H196" s="217">
        <f t="shared" si="500"/>
        <v>13.76</v>
      </c>
      <c r="I196" s="217">
        <f t="shared" si="501"/>
        <v>1.72</v>
      </c>
      <c r="J196" s="541">
        <f t="shared" si="502"/>
        <v>18.886405940815344</v>
      </c>
      <c r="K196" s="443">
        <f t="shared" si="503"/>
        <v>16.750116399329748</v>
      </c>
      <c r="L196" s="172">
        <f t="shared" si="504"/>
        <v>35.636522340145092</v>
      </c>
      <c r="M196" s="443"/>
      <c r="N196" s="217">
        <f t="shared" si="505"/>
        <v>0.47002668328442598</v>
      </c>
      <c r="O196" s="172">
        <f t="shared" si="506"/>
        <v>19.726921652277142</v>
      </c>
      <c r="P196" s="172">
        <f t="shared" si="507"/>
        <v>2.7740983573514733</v>
      </c>
      <c r="Q196" s="217">
        <f t="shared" si="508"/>
        <v>1.2329326032673213</v>
      </c>
      <c r="R196" s="217">
        <f t="shared" si="509"/>
        <v>2.4658652065346427</v>
      </c>
      <c r="S196" s="217">
        <f t="shared" si="510"/>
        <v>16</v>
      </c>
      <c r="T196" s="217">
        <f t="shared" si="511"/>
        <v>3.4876196708602123</v>
      </c>
      <c r="U196" s="217">
        <f t="shared" si="512"/>
        <v>2.2159555492703649</v>
      </c>
      <c r="V196" s="217">
        <f t="shared" si="513"/>
        <v>2.4985758338967257</v>
      </c>
      <c r="W196" s="197">
        <f t="shared" si="514"/>
        <v>350</v>
      </c>
      <c r="X196" s="443">
        <f t="shared" si="599"/>
        <v>203.47820006300708</v>
      </c>
      <c r="Z196" s="217">
        <f t="shared" si="515"/>
        <v>2.1135987484582652</v>
      </c>
      <c r="AA196" s="173">
        <f t="shared" si="516"/>
        <v>1.5142094763302114</v>
      </c>
      <c r="AB196" s="173">
        <f t="shared" si="517"/>
        <v>0.49784486174502801</v>
      </c>
      <c r="AC196" s="173"/>
      <c r="AD196" s="173">
        <f t="shared" si="518"/>
        <v>0.71641293194118805</v>
      </c>
      <c r="AE196" s="545">
        <f t="shared" si="519"/>
        <v>2400.8500172372637</v>
      </c>
      <c r="AF196" s="528">
        <f t="shared" si="520"/>
        <v>0.12537226308970789</v>
      </c>
      <c r="AH196" s="173">
        <f t="shared" si="521"/>
        <v>2.7150374898753369</v>
      </c>
      <c r="AI196" s="173">
        <f t="shared" si="522"/>
        <v>3.4876196708602123</v>
      </c>
      <c r="AJ196" s="173">
        <f t="shared" si="523"/>
        <v>3.0426812376742314</v>
      </c>
      <c r="AL196" s="545">
        <f t="shared" si="524"/>
        <v>860</v>
      </c>
      <c r="AM196" s="460">
        <f t="shared" si="525"/>
        <v>203.47820006300708</v>
      </c>
      <c r="AO196">
        <f t="shared" si="526"/>
        <v>860</v>
      </c>
      <c r="AP196">
        <f t="shared" si="527"/>
        <v>203.47820006300708</v>
      </c>
      <c r="AR196" s="5">
        <f t="shared" si="443"/>
        <v>4.9145313831670903</v>
      </c>
      <c r="AS196" s="5">
        <f t="shared" si="604"/>
        <v>2.2159555492703649</v>
      </c>
      <c r="AT196" s="5">
        <f t="shared" si="605"/>
        <v>2.6985758338967254</v>
      </c>
      <c r="AU196" s="173">
        <f t="shared" si="606"/>
        <v>0.45089864658516599</v>
      </c>
      <c r="AW196" s="5">
        <f t="shared" si="477"/>
        <v>11.91076107732821</v>
      </c>
      <c r="AX196" s="5">
        <f t="shared" si="478"/>
        <v>5.9553805386641052</v>
      </c>
      <c r="AY196" s="5">
        <f t="shared" si="479"/>
        <v>1.6384096401922363</v>
      </c>
      <c r="AZ196" s="5"/>
      <c r="BA196" s="173">
        <f t="shared" si="480"/>
        <v>1.3520973356825559</v>
      </c>
      <c r="BB196" s="173">
        <f t="shared" si="481"/>
        <v>1.492089067168523</v>
      </c>
      <c r="BC196" s="173">
        <f t="shared" si="482"/>
        <v>0.36643952090756376</v>
      </c>
      <c r="BD196" s="173"/>
      <c r="BE196" s="528">
        <f t="shared" si="483"/>
        <v>3.6563344103197323E-2</v>
      </c>
      <c r="BF196" s="528">
        <f t="shared" si="528"/>
        <v>0.46153558414731699</v>
      </c>
      <c r="BG196" s="528">
        <f t="shared" si="529"/>
        <v>8.8388353389416988E-2</v>
      </c>
      <c r="BH196" s="528">
        <f t="shared" si="484"/>
        <v>0.12726669148117589</v>
      </c>
      <c r="BI196">
        <f t="shared" si="485"/>
        <v>8.4988826733669049E-3</v>
      </c>
      <c r="BJ196" s="460">
        <f t="shared" si="600"/>
        <v>96.887236062783884</v>
      </c>
      <c r="BK196">
        <f t="shared" si="530"/>
        <v>0.64080468162913085</v>
      </c>
      <c r="BL196" s="460">
        <f t="shared" si="601"/>
        <v>722.25285579447416</v>
      </c>
      <c r="BM196" s="173">
        <f t="shared" si="531"/>
        <v>0.53427499999999994</v>
      </c>
      <c r="BN196" s="173">
        <f t="shared" si="532"/>
        <v>0.13356874999999999</v>
      </c>
      <c r="BO196" s="528"/>
      <c r="BQ196" s="460">
        <f t="shared" si="486"/>
        <v>667.84375</v>
      </c>
      <c r="BR196" s="528">
        <f t="shared" si="487"/>
        <v>5.4845016154795978E-2</v>
      </c>
      <c r="BS196" s="528">
        <f t="shared" si="488"/>
        <v>6.6789893530914995E-2</v>
      </c>
      <c r="BT196" s="528">
        <f t="shared" si="489"/>
        <v>6.7138961241482425E-4</v>
      </c>
      <c r="BU196" s="528">
        <f t="shared" si="490"/>
        <v>0.67079145060231327</v>
      </c>
      <c r="BV196" s="528"/>
      <c r="BW196" s="625">
        <f t="shared" si="533"/>
        <v>1.2375026243837446E-2</v>
      </c>
      <c r="BX196" s="460">
        <f t="shared" si="607"/>
        <v>805.47277614427651</v>
      </c>
      <c r="BY196" s="173">
        <f t="shared" si="608"/>
        <v>2.1955693819387507</v>
      </c>
      <c r="BZ196" s="5">
        <f t="shared" si="609"/>
        <v>15.48</v>
      </c>
      <c r="CA196" s="173">
        <f t="shared" si="610"/>
        <v>0.87578508309994096</v>
      </c>
      <c r="CB196" s="5">
        <f t="shared" si="611"/>
        <v>87.578508309994092</v>
      </c>
      <c r="CC196">
        <f t="shared" si="612"/>
        <v>86</v>
      </c>
      <c r="CE196" s="562">
        <f t="shared" si="534"/>
        <v>-50</v>
      </c>
      <c r="CF196">
        <f t="shared" si="535"/>
        <v>-50</v>
      </c>
      <c r="CG196" s="173">
        <f t="shared" si="536"/>
        <v>0.51480154889510166</v>
      </c>
      <c r="CH196" s="173">
        <f t="shared" si="537"/>
        <v>0.18198046272135288</v>
      </c>
      <c r="CI196" s="170">
        <v>86</v>
      </c>
      <c r="CJ196" s="217">
        <f t="shared" si="602"/>
        <v>0.86</v>
      </c>
      <c r="CK196" s="217">
        <f t="shared" si="538"/>
        <v>0.215</v>
      </c>
      <c r="CL196" s="217">
        <f t="shared" si="539"/>
        <v>13.76</v>
      </c>
      <c r="CM196" s="217">
        <f t="shared" si="540"/>
        <v>1.72</v>
      </c>
      <c r="CN196" s="541">
        <f t="shared" si="541"/>
        <v>19</v>
      </c>
      <c r="CO196" s="443">
        <f t="shared" si="542"/>
        <v>16.7</v>
      </c>
      <c r="CP196" s="443">
        <f t="shared" si="543"/>
        <v>35.700000000000003</v>
      </c>
      <c r="CQ196" s="443"/>
      <c r="CR196" s="217">
        <f t="shared" si="544"/>
        <v>0.4632768361581921</v>
      </c>
      <c r="CS196" s="172">
        <f t="shared" si="545"/>
        <v>19.560577526679221</v>
      </c>
      <c r="CT196" s="172">
        <f t="shared" si="546"/>
        <v>2.7507062146892656</v>
      </c>
      <c r="CU196" s="217">
        <f t="shared" si="547"/>
        <v>1.2225360954174513</v>
      </c>
      <c r="CV196" s="217">
        <f t="shared" si="548"/>
        <v>2.4450721908349027</v>
      </c>
      <c r="CW196" s="217">
        <f t="shared" si="549"/>
        <v>16</v>
      </c>
      <c r="CX196" s="217">
        <f t="shared" si="550"/>
        <v>3.5172785622593064</v>
      </c>
      <c r="CY196" s="217">
        <f t="shared" si="551"/>
        <v>2.2214390919532461</v>
      </c>
      <c r="CZ196" s="217">
        <f t="shared" si="552"/>
        <v>2.5273857932402199</v>
      </c>
      <c r="DA196" s="197">
        <f t="shared" si="553"/>
        <v>350</v>
      </c>
      <c r="DB196" s="443">
        <f t="shared" si="554"/>
        <v>210.57841132822909</v>
      </c>
      <c r="DD196" s="217">
        <f t="shared" si="555"/>
        <v>2.1161798052554355</v>
      </c>
      <c r="DE196" s="173">
        <f t="shared" si="556"/>
        <v>1.5206082432973189</v>
      </c>
      <c r="DF196" s="173">
        <f t="shared" si="557"/>
        <v>0.50055918207100247</v>
      </c>
      <c r="DG196" s="173"/>
      <c r="DH196" s="173">
        <f t="shared" si="558"/>
        <v>0.71856287425149712</v>
      </c>
      <c r="DI196" s="545">
        <f t="shared" si="559"/>
        <v>2393.6666666666665</v>
      </c>
      <c r="DJ196" s="528">
        <f t="shared" si="560"/>
        <v>0.125748502994012</v>
      </c>
      <c r="DL196" s="173">
        <f t="shared" si="561"/>
        <v>2.7150374898753369</v>
      </c>
      <c r="DM196" s="173">
        <f t="shared" si="562"/>
        <v>3.5172785622593064</v>
      </c>
      <c r="DN196" s="173">
        <f t="shared" si="563"/>
        <v>3.0646507868587456</v>
      </c>
      <c r="DP196" s="545">
        <f t="shared" si="564"/>
        <v>860</v>
      </c>
      <c r="DQ196" s="460">
        <f t="shared" si="565"/>
        <v>210.57841132822909</v>
      </c>
      <c r="DS196">
        <f t="shared" si="614"/>
        <v>860</v>
      </c>
      <c r="DT196">
        <f t="shared" si="615"/>
        <v>210.57841132822909</v>
      </c>
      <c r="DV196" s="5">
        <f t="shared" si="568"/>
        <v>4.748824885193466</v>
      </c>
      <c r="DW196" s="5">
        <f t="shared" si="569"/>
        <v>2.2214390919532461</v>
      </c>
      <c r="DX196" s="5">
        <f t="shared" si="570"/>
        <v>2.5273857932402199</v>
      </c>
      <c r="DY196" s="173">
        <f t="shared" si="571"/>
        <v>0.46778711484593838</v>
      </c>
      <c r="EA196" s="5">
        <f t="shared" si="572"/>
        <v>11.940235119248698</v>
      </c>
      <c r="EB196" s="5">
        <f t="shared" si="573"/>
        <v>5.9701175596243488</v>
      </c>
      <c r="EC196" s="5">
        <f t="shared" si="574"/>
        <v>1.5252994962712902</v>
      </c>
      <c r="ED196" s="5"/>
      <c r="EE196" s="173">
        <f t="shared" si="575"/>
        <v>1.3888977206907591</v>
      </c>
      <c r="EF196" s="173">
        <f t="shared" si="576"/>
        <v>1.4814562485281091</v>
      </c>
      <c r="EG196" s="173">
        <f t="shared" si="577"/>
        <v>0.36382822574146206</v>
      </c>
      <c r="EH196" s="173"/>
      <c r="EI196" s="528">
        <f t="shared" si="578"/>
        <v>3.8580737570799717E-2</v>
      </c>
      <c r="EJ196" s="528">
        <f t="shared" si="579"/>
        <v>0.50239166666666668</v>
      </c>
      <c r="EK196" s="528">
        <f t="shared" si="580"/>
        <v>2.4216517302746349E-2</v>
      </c>
      <c r="EL196" s="528">
        <f t="shared" si="581"/>
        <v>0.1321771891309545</v>
      </c>
      <c r="EM196">
        <f t="shared" si="582"/>
        <v>8.5500000000000003E-3</v>
      </c>
      <c r="EN196" s="460">
        <f t="shared" si="583"/>
        <v>32.766517302746351</v>
      </c>
      <c r="EP196" s="460">
        <f t="shared" si="603"/>
        <v>705.91611067116719</v>
      </c>
      <c r="EQ196" s="173">
        <f t="shared" si="584"/>
        <v>0.60199999999999998</v>
      </c>
      <c r="ER196" s="173">
        <f t="shared" si="585"/>
        <v>9.5406249999999998E-2</v>
      </c>
      <c r="ES196" s="528"/>
      <c r="EU196" s="460">
        <f t="shared" si="497"/>
        <v>697.40625</v>
      </c>
      <c r="EV196" s="528">
        <f t="shared" si="586"/>
        <v>5.7871106356199575E-2</v>
      </c>
      <c r="EW196" s="528">
        <f t="shared" si="587"/>
        <v>6.5841378489089344E-2</v>
      </c>
      <c r="EX196" s="528">
        <f t="shared" si="588"/>
        <v>6.6185488923090139E-4</v>
      </c>
      <c r="EY196" s="528">
        <f t="shared" si="589"/>
        <v>0.74648576287198487</v>
      </c>
      <c r="EZ196" s="528"/>
      <c r="FA196" s="625">
        <f t="shared" si="590"/>
        <v>1.302558926009428E-2</v>
      </c>
      <c r="FB196" s="460">
        <f t="shared" si="613"/>
        <v>883.8856918665989</v>
      </c>
      <c r="FC196" s="173">
        <f t="shared" si="591"/>
        <v>2.2872080525377663</v>
      </c>
      <c r="FD196" s="5">
        <f t="shared" si="592"/>
        <v>15.48</v>
      </c>
      <c r="FE196" s="173">
        <f t="shared" si="593"/>
        <v>0.87126800982042441</v>
      </c>
      <c r="FF196" s="5">
        <f t="shared" si="594"/>
        <v>87.12680098204244</v>
      </c>
      <c r="FG196">
        <f t="shared" si="595"/>
        <v>86</v>
      </c>
      <c r="FI196" s="562">
        <f t="shared" si="596"/>
        <v>-50</v>
      </c>
      <c r="FJ196">
        <f t="shared" si="597"/>
        <v>-50</v>
      </c>
    </row>
    <row r="197" spans="5:166">
      <c r="E197" s="170">
        <v>87</v>
      </c>
      <c r="F197" s="217">
        <f t="shared" si="598"/>
        <v>0.87</v>
      </c>
      <c r="G197" s="217">
        <f t="shared" si="499"/>
        <v>0.2175</v>
      </c>
      <c r="H197" s="217">
        <f t="shared" si="500"/>
        <v>13.92</v>
      </c>
      <c r="I197" s="217">
        <f t="shared" si="501"/>
        <v>1.74</v>
      </c>
      <c r="J197" s="541">
        <f t="shared" si="502"/>
        <v>18.885085079662034</v>
      </c>
      <c r="K197" s="443">
        <f t="shared" si="503"/>
        <v>16.750699148159164</v>
      </c>
      <c r="L197" s="172">
        <f t="shared" si="504"/>
        <v>35.635784227821198</v>
      </c>
      <c r="M197" s="443"/>
      <c r="N197" s="217">
        <f t="shared" si="505"/>
        <v>0.47005277170473303</v>
      </c>
      <c r="O197" s="172">
        <f t="shared" si="506"/>
        <v>19.726636856832972</v>
      </c>
      <c r="P197" s="172">
        <f t="shared" si="507"/>
        <v>2.7740583079921368</v>
      </c>
      <c r="Q197" s="217">
        <f t="shared" si="508"/>
        <v>1.2329148035520607</v>
      </c>
      <c r="R197" s="217">
        <f t="shared" si="509"/>
        <v>2.4658296071041215</v>
      </c>
      <c r="S197" s="217">
        <f t="shared" si="510"/>
        <v>16</v>
      </c>
      <c r="T197" s="217">
        <f t="shared" si="511"/>
        <v>3.5282243245579767</v>
      </c>
      <c r="U197" s="217">
        <f t="shared" si="512"/>
        <v>2.241911631115268</v>
      </c>
      <c r="V197" s="217">
        <f t="shared" si="513"/>
        <v>2.5275775966251874</v>
      </c>
      <c r="W197" s="197">
        <f t="shared" si="514"/>
        <v>350</v>
      </c>
      <c r="X197" s="443">
        <f t="shared" si="599"/>
        <v>201.22792387150085</v>
      </c>
      <c r="Z197" s="217">
        <f t="shared" si="515"/>
        <v>2.1135682346606757</v>
      </c>
      <c r="AA197" s="173">
        <f t="shared" si="516"/>
        <v>1.514134937986477</v>
      </c>
      <c r="AB197" s="173">
        <f t="shared" si="517"/>
        <v>0.49781316789837571</v>
      </c>
      <c r="AC197" s="173"/>
      <c r="AD197" s="173">
        <f t="shared" si="518"/>
        <v>0.71638800827718008</v>
      </c>
      <c r="AE197" s="545">
        <f t="shared" si="519"/>
        <v>2428.8513764830786</v>
      </c>
      <c r="AF197" s="528">
        <f t="shared" si="520"/>
        <v>0.12536790144850651</v>
      </c>
      <c r="AH197" s="173">
        <f t="shared" si="521"/>
        <v>2.7307769694983985</v>
      </c>
      <c r="AI197" s="173">
        <f t="shared" si="522"/>
        <v>3.5282243245579767</v>
      </c>
      <c r="AJ197" s="173">
        <f t="shared" si="523"/>
        <v>3.072758758931835</v>
      </c>
      <c r="AL197" s="545">
        <f t="shared" si="524"/>
        <v>870</v>
      </c>
      <c r="AM197" s="460">
        <f t="shared" si="525"/>
        <v>201.22792387150085</v>
      </c>
      <c r="AO197">
        <f t="shared" si="526"/>
        <v>870</v>
      </c>
      <c r="AP197">
        <f t="shared" si="527"/>
        <v>201.22792387150085</v>
      </c>
      <c r="AR197" s="5">
        <f t="shared" si="443"/>
        <v>4.9694892277404552</v>
      </c>
      <c r="AS197" s="5">
        <f t="shared" si="604"/>
        <v>2.241911631115268</v>
      </c>
      <c r="AT197" s="5">
        <f t="shared" si="605"/>
        <v>2.7275775966251872</v>
      </c>
      <c r="AU197" s="173">
        <f t="shared" si="606"/>
        <v>0.45113522303269549</v>
      </c>
      <c r="AW197" s="5">
        <f t="shared" si="477"/>
        <v>12.19039449418927</v>
      </c>
      <c r="AX197" s="5">
        <f t="shared" si="478"/>
        <v>6.0951972470946352</v>
      </c>
      <c r="AY197" s="5">
        <f t="shared" si="479"/>
        <v>1.6753909229101758</v>
      </c>
      <c r="AZ197" s="5"/>
      <c r="BA197" s="173">
        <f t="shared" si="480"/>
        <v>1.3681979353377913</v>
      </c>
      <c r="BB197" s="173">
        <f t="shared" si="481"/>
        <v>1.5091355266746598</v>
      </c>
      <c r="BC197" s="173">
        <f t="shared" si="482"/>
        <v>0.37062593081568851</v>
      </c>
      <c r="BD197" s="173"/>
      <c r="BE197" s="528">
        <f t="shared" si="483"/>
        <v>3.7439311805251903E-2</v>
      </c>
      <c r="BF197" s="528">
        <f t="shared" si="528"/>
        <v>0.46173588236129565</v>
      </c>
      <c r="BG197" s="528">
        <f t="shared" si="529"/>
        <v>8.7404748642492106E-2</v>
      </c>
      <c r="BH197" s="528">
        <f t="shared" si="484"/>
        <v>0.12585402879901181</v>
      </c>
      <c r="BI197">
        <f t="shared" si="485"/>
        <v>8.4982882858479145E-3</v>
      </c>
      <c r="BJ197" s="460">
        <f t="shared" si="600"/>
        <v>95.903036928340015</v>
      </c>
      <c r="BK197">
        <f t="shared" si="530"/>
        <v>0.64083846731683203</v>
      </c>
      <c r="BL197" s="460">
        <f t="shared" si="601"/>
        <v>720.9322598938993</v>
      </c>
      <c r="BM197" s="173">
        <f t="shared" si="531"/>
        <v>0.54048750000000001</v>
      </c>
      <c r="BN197" s="173">
        <f t="shared" si="532"/>
        <v>0.135121875</v>
      </c>
      <c r="BO197" s="528"/>
      <c r="BQ197" s="460">
        <f t="shared" si="486"/>
        <v>675.60937500000011</v>
      </c>
      <c r="BR197" s="528">
        <f t="shared" si="487"/>
        <v>5.6158967707877851E-2</v>
      </c>
      <c r="BS197" s="528">
        <f t="shared" si="488"/>
        <v>6.8324701136148067E-2</v>
      </c>
      <c r="BT197" s="528">
        <f t="shared" si="489"/>
        <v>6.8681790296497769E-4</v>
      </c>
      <c r="BU197" s="528">
        <f t="shared" si="490"/>
        <v>0.67155423927072033</v>
      </c>
      <c r="BV197" s="528"/>
      <c r="BW197" s="625">
        <f t="shared" si="533"/>
        <v>1.2524795118695387E-2</v>
      </c>
      <c r="BX197" s="460">
        <f t="shared" si="607"/>
        <v>809.24952113640666</v>
      </c>
      <c r="BY197" s="173">
        <f t="shared" si="608"/>
        <v>2.2057911560303056</v>
      </c>
      <c r="BZ197" s="5">
        <f t="shared" si="609"/>
        <v>15.66</v>
      </c>
      <c r="CA197" s="173">
        <f t="shared" si="610"/>
        <v>0.87653548970957407</v>
      </c>
      <c r="CB197" s="5">
        <f t="shared" si="611"/>
        <v>87.653548970957402</v>
      </c>
      <c r="CC197">
        <f t="shared" si="612"/>
        <v>87</v>
      </c>
      <c r="CE197" s="562">
        <f t="shared" si="534"/>
        <v>-50</v>
      </c>
      <c r="CF197">
        <f t="shared" si="535"/>
        <v>-50</v>
      </c>
      <c r="CG197" s="173">
        <f t="shared" si="536"/>
        <v>0.51480154889510166</v>
      </c>
      <c r="CH197" s="173">
        <f t="shared" si="537"/>
        <v>0.18198046272135288</v>
      </c>
      <c r="CI197" s="170">
        <v>87</v>
      </c>
      <c r="CJ197" s="217">
        <f t="shared" si="602"/>
        <v>0.87</v>
      </c>
      <c r="CK197" s="217">
        <f t="shared" si="538"/>
        <v>0.2175</v>
      </c>
      <c r="CL197" s="217">
        <f t="shared" si="539"/>
        <v>13.92</v>
      </c>
      <c r="CM197" s="217">
        <f t="shared" si="540"/>
        <v>1.74</v>
      </c>
      <c r="CN197" s="541">
        <f t="shared" si="541"/>
        <v>19</v>
      </c>
      <c r="CO197" s="443">
        <f t="shared" si="542"/>
        <v>16.7</v>
      </c>
      <c r="CP197" s="443">
        <f t="shared" si="543"/>
        <v>35.700000000000003</v>
      </c>
      <c r="CQ197" s="443"/>
      <c r="CR197" s="217">
        <f t="shared" si="544"/>
        <v>0.4632768361581921</v>
      </c>
      <c r="CS197" s="172">
        <f t="shared" si="545"/>
        <v>19.560577526679221</v>
      </c>
      <c r="CT197" s="172">
        <f t="shared" si="546"/>
        <v>2.7507062146892656</v>
      </c>
      <c r="CU197" s="217">
        <f t="shared" si="547"/>
        <v>1.2225360954174513</v>
      </c>
      <c r="CV197" s="217">
        <f t="shared" si="548"/>
        <v>2.4450721908349027</v>
      </c>
      <c r="CW197" s="217">
        <f t="shared" si="549"/>
        <v>16</v>
      </c>
      <c r="CX197" s="217">
        <f t="shared" si="550"/>
        <v>3.5581771501925541</v>
      </c>
      <c r="CY197" s="217">
        <f t="shared" si="551"/>
        <v>2.247269779068982</v>
      </c>
      <c r="CZ197" s="217">
        <f t="shared" si="552"/>
        <v>2.5567740001383625</v>
      </c>
      <c r="DA197" s="197">
        <f t="shared" si="553"/>
        <v>350</v>
      </c>
      <c r="DB197" s="443">
        <f t="shared" si="554"/>
        <v>208.1579698187092</v>
      </c>
      <c r="DD197" s="217">
        <f t="shared" si="555"/>
        <v>2.1161798052554355</v>
      </c>
      <c r="DE197" s="173">
        <f t="shared" si="556"/>
        <v>1.5206082432973189</v>
      </c>
      <c r="DF197" s="173">
        <f t="shared" si="557"/>
        <v>0.50055918207100247</v>
      </c>
      <c r="DG197" s="173"/>
      <c r="DH197" s="173">
        <f t="shared" si="558"/>
        <v>0.71856287425149712</v>
      </c>
      <c r="DI197" s="545">
        <f t="shared" si="559"/>
        <v>2421.4999999999995</v>
      </c>
      <c r="DJ197" s="528">
        <f t="shared" si="560"/>
        <v>0.125748502994012</v>
      </c>
      <c r="DL197" s="173">
        <f t="shared" si="561"/>
        <v>2.7307769694983985</v>
      </c>
      <c r="DM197" s="173">
        <f t="shared" si="562"/>
        <v>3.5581771501925541</v>
      </c>
      <c r="DN197" s="173">
        <f t="shared" si="563"/>
        <v>3.0949460371796698</v>
      </c>
      <c r="DP197" s="545">
        <f t="shared" si="564"/>
        <v>870</v>
      </c>
      <c r="DQ197" s="460">
        <f t="shared" si="565"/>
        <v>208.1579698187092</v>
      </c>
      <c r="DS197">
        <f t="shared" si="614"/>
        <v>870</v>
      </c>
      <c r="DT197">
        <f t="shared" si="615"/>
        <v>208.1579698187092</v>
      </c>
      <c r="DV197" s="5">
        <f t="shared" si="568"/>
        <v>4.804043779207344</v>
      </c>
      <c r="DW197" s="5">
        <f t="shared" si="569"/>
        <v>2.247269779068982</v>
      </c>
      <c r="DX197" s="5">
        <f t="shared" si="570"/>
        <v>2.5567740001383621</v>
      </c>
      <c r="DY197" s="173">
        <f t="shared" si="571"/>
        <v>0.46778711484593843</v>
      </c>
      <c r="EA197" s="5">
        <f t="shared" si="572"/>
        <v>12.219529423687588</v>
      </c>
      <c r="EB197" s="5">
        <f t="shared" si="573"/>
        <v>6.1097647118437939</v>
      </c>
      <c r="EC197" s="5">
        <f t="shared" si="574"/>
        <v>1.5609778106107892</v>
      </c>
      <c r="ED197" s="5"/>
      <c r="EE197" s="173">
        <f t="shared" si="575"/>
        <v>1.4050476941871637</v>
      </c>
      <c r="EF197" s="173">
        <f t="shared" si="576"/>
        <v>1.4986824839761101</v>
      </c>
      <c r="EG197" s="173">
        <f t="shared" si="577"/>
        <v>0.36805878650589757</v>
      </c>
      <c r="EH197" s="173"/>
      <c r="EI197" s="528">
        <f t="shared" si="578"/>
        <v>3.9483180458813306E-2</v>
      </c>
      <c r="EJ197" s="528">
        <f t="shared" si="579"/>
        <v>0.50239166666666668</v>
      </c>
      <c r="EK197" s="528">
        <f t="shared" si="580"/>
        <v>2.393816652915156E-2</v>
      </c>
      <c r="EL197" s="528">
        <f t="shared" si="581"/>
        <v>0.13065791109496652</v>
      </c>
      <c r="EM197">
        <f t="shared" si="582"/>
        <v>8.5500000000000003E-3</v>
      </c>
      <c r="EN197" s="460">
        <f t="shared" si="583"/>
        <v>32.488166529151563</v>
      </c>
      <c r="EP197" s="460">
        <f t="shared" si="603"/>
        <v>705.02092474959795</v>
      </c>
      <c r="EQ197" s="173">
        <f t="shared" si="584"/>
        <v>0.60899999999999999</v>
      </c>
      <c r="ER197" s="173">
        <f t="shared" si="585"/>
        <v>9.6515624999999994E-2</v>
      </c>
      <c r="ES197" s="528"/>
      <c r="EU197" s="460">
        <f t="shared" si="497"/>
        <v>705.515625</v>
      </c>
      <c r="EV197" s="528">
        <f t="shared" si="586"/>
        <v>5.9224770688219956E-2</v>
      </c>
      <c r="EW197" s="528">
        <f t="shared" si="587"/>
        <v>6.73814756333041E-2</v>
      </c>
      <c r="EX197" s="528">
        <f t="shared" si="588"/>
        <v>6.7733635162096949E-4</v>
      </c>
      <c r="EY197" s="528">
        <f t="shared" si="589"/>
        <v>0.74648576287198432</v>
      </c>
      <c r="EZ197" s="528"/>
      <c r="FA197" s="625">
        <f t="shared" si="590"/>
        <v>1.3177049600327933E-2</v>
      </c>
      <c r="FB197" s="460">
        <f t="shared" si="613"/>
        <v>886.94639514545736</v>
      </c>
      <c r="FC197" s="173">
        <f t="shared" si="591"/>
        <v>2.2974829448950551</v>
      </c>
      <c r="FD197" s="5">
        <f t="shared" si="592"/>
        <v>15.66</v>
      </c>
      <c r="FE197" s="173">
        <f t="shared" si="593"/>
        <v>0.87205985649853102</v>
      </c>
      <c r="FF197" s="5">
        <f t="shared" si="594"/>
        <v>87.205985649853105</v>
      </c>
      <c r="FG197">
        <f t="shared" si="595"/>
        <v>87</v>
      </c>
      <c r="FI197" s="562">
        <f t="shared" si="596"/>
        <v>-50</v>
      </c>
      <c r="FJ197">
        <f t="shared" si="597"/>
        <v>-50</v>
      </c>
    </row>
    <row r="198" spans="5:166">
      <c r="E198" s="170">
        <v>88</v>
      </c>
      <c r="F198" s="217">
        <f t="shared" si="598"/>
        <v>0.88</v>
      </c>
      <c r="G198" s="217">
        <f t="shared" si="499"/>
        <v>0.22</v>
      </c>
      <c r="H198" s="217">
        <f t="shared" si="500"/>
        <v>14.08</v>
      </c>
      <c r="I198" s="217">
        <f t="shared" si="501"/>
        <v>1.76</v>
      </c>
      <c r="J198" s="541">
        <f t="shared" si="502"/>
        <v>18.883764218508723</v>
      </c>
      <c r="K198" s="443">
        <f t="shared" si="503"/>
        <v>16.75128189698858</v>
      </c>
      <c r="L198" s="172">
        <f t="shared" si="504"/>
        <v>35.635046115497303</v>
      </c>
      <c r="M198" s="443"/>
      <c r="N198" s="217">
        <f t="shared" si="505"/>
        <v>0.47007886120578429</v>
      </c>
      <c r="O198" s="172">
        <f t="shared" si="506"/>
        <v>19.726351953589152</v>
      </c>
      <c r="P198" s="172">
        <f t="shared" si="507"/>
        <v>2.7740182434734746</v>
      </c>
      <c r="Q198" s="217">
        <f t="shared" si="508"/>
        <v>1.232896997099322</v>
      </c>
      <c r="R198" s="217">
        <f t="shared" si="509"/>
        <v>2.465793994198644</v>
      </c>
      <c r="S198" s="217">
        <f t="shared" si="510"/>
        <v>16</v>
      </c>
      <c r="T198" s="217">
        <f t="shared" si="511"/>
        <v>3.568830170202399</v>
      </c>
      <c r="U198" s="217">
        <f t="shared" si="512"/>
        <v>2.2678721014983534</v>
      </c>
      <c r="V198" s="217">
        <f t="shared" si="513"/>
        <v>2.5565781953754669</v>
      </c>
      <c r="W198" s="197">
        <f t="shared" si="514"/>
        <v>350</v>
      </c>
      <c r="X198" s="443">
        <f t="shared" si="599"/>
        <v>199.026747388106</v>
      </c>
      <c r="Z198" s="217">
        <f t="shared" si="515"/>
        <v>2.1135377093131233</v>
      </c>
      <c r="AA198" s="173">
        <f t="shared" si="516"/>
        <v>1.514060396554902</v>
      </c>
      <c r="AB198" s="173">
        <f t="shared" si="517"/>
        <v>0.49778147102387932</v>
      </c>
      <c r="AC198" s="173"/>
      <c r="AD198" s="173">
        <f t="shared" si="518"/>
        <v>0.71636308634727652</v>
      </c>
      <c r="AE198" s="545">
        <f t="shared" si="519"/>
        <v>2456.8546782249919</v>
      </c>
      <c r="AF198" s="528">
        <f t="shared" si="520"/>
        <v>0.12536354011077339</v>
      </c>
      <c r="AH198" s="173">
        <f t="shared" si="521"/>
        <v>2.7464262493023806</v>
      </c>
      <c r="AI198" s="173">
        <f t="shared" si="522"/>
        <v>3.568830170202399</v>
      </c>
      <c r="AJ198" s="173">
        <f t="shared" si="523"/>
        <v>3.1028371631128882</v>
      </c>
      <c r="AL198" s="545">
        <f t="shared" si="524"/>
        <v>880</v>
      </c>
      <c r="AM198" s="460">
        <f t="shared" si="525"/>
        <v>199.026747388106</v>
      </c>
      <c r="AO198">
        <f t="shared" si="526"/>
        <v>880</v>
      </c>
      <c r="AP198">
        <f t="shared" si="527"/>
        <v>199.026747388106</v>
      </c>
      <c r="AR198" s="5">
        <f t="shared" ref="AR198:AR262" si="616">1/AM198*1000</f>
        <v>5.0244502968738205</v>
      </c>
      <c r="AS198" s="5">
        <f t="shared" si="604"/>
        <v>2.2678721014983534</v>
      </c>
      <c r="AT198" s="5">
        <f t="shared" si="605"/>
        <v>2.7565781953754671</v>
      </c>
      <c r="AU198" s="173">
        <f t="shared" si="606"/>
        <v>0.45136720785344586</v>
      </c>
      <c r="AW198" s="5">
        <f t="shared" si="477"/>
        <v>12.473296558240945</v>
      </c>
      <c r="AX198" s="5">
        <f t="shared" si="478"/>
        <v>6.2366482791204723</v>
      </c>
      <c r="AY198" s="5">
        <f t="shared" si="479"/>
        <v>1.712786203612801</v>
      </c>
      <c r="AZ198" s="5"/>
      <c r="BA198" s="173">
        <f t="shared" si="480"/>
        <v>1.3843001194597739</v>
      </c>
      <c r="BB198" s="173">
        <f t="shared" si="481"/>
        <v>1.5261813262232693</v>
      </c>
      <c r="BC198" s="173">
        <f t="shared" si="482"/>
        <v>0.37481217864600874</v>
      </c>
      <c r="BD198" s="173"/>
      <c r="BE198" s="528">
        <f t="shared" si="483"/>
        <v>3.8325736414726891E-2</v>
      </c>
      <c r="BF198" s="528">
        <f t="shared" si="528"/>
        <v>0.46193143891804378</v>
      </c>
      <c r="BG198" s="528">
        <f t="shared" si="529"/>
        <v>8.6442605929634889E-2</v>
      </c>
      <c r="BH198" s="528">
        <f t="shared" si="484"/>
        <v>0.12447218999828298</v>
      </c>
      <c r="BI198">
        <f t="shared" si="485"/>
        <v>8.4976938983289257E-3</v>
      </c>
      <c r="BJ198" s="460">
        <f t="shared" si="600"/>
        <v>94.940299827963813</v>
      </c>
      <c r="BK198">
        <f t="shared" si="530"/>
        <v>0.64091359834989936</v>
      </c>
      <c r="BL198" s="460">
        <f t="shared" si="601"/>
        <v>719.66966515901754</v>
      </c>
      <c r="BM198" s="173">
        <f t="shared" si="531"/>
        <v>0.54669999999999996</v>
      </c>
      <c r="BN198" s="173">
        <f t="shared" si="532"/>
        <v>0.13667499999999999</v>
      </c>
      <c r="BO198" s="528"/>
      <c r="BQ198" s="460">
        <f t="shared" si="486"/>
        <v>683.375</v>
      </c>
      <c r="BR198" s="528">
        <f t="shared" si="487"/>
        <v>5.7488604622090329E-2</v>
      </c>
      <c r="BS198" s="528">
        <f t="shared" si="488"/>
        <v>6.9876883215378521E-2</v>
      </c>
      <c r="BT198" s="528">
        <f t="shared" si="489"/>
        <v>7.024208463068378E-4</v>
      </c>
      <c r="BU198" s="528">
        <f t="shared" si="490"/>
        <v>0.67230032698719233</v>
      </c>
      <c r="BV198" s="528"/>
      <c r="BW198" s="625">
        <f t="shared" si="533"/>
        <v>1.2674569386895401E-2</v>
      </c>
      <c r="BX198" s="460">
        <f t="shared" si="607"/>
        <v>813.04280505786346</v>
      </c>
      <c r="BY198" s="173">
        <f t="shared" si="608"/>
        <v>2.2160874702168813</v>
      </c>
      <c r="BZ198" s="5">
        <f t="shared" si="609"/>
        <v>15.84</v>
      </c>
      <c r="CA198" s="173">
        <f t="shared" si="610"/>
        <v>0.87726646351972604</v>
      </c>
      <c r="CB198" s="5">
        <f t="shared" si="611"/>
        <v>87.726646351972605</v>
      </c>
      <c r="CC198">
        <f t="shared" si="612"/>
        <v>88</v>
      </c>
      <c r="CE198" s="562">
        <f t="shared" si="534"/>
        <v>-50</v>
      </c>
      <c r="CF198">
        <f t="shared" si="535"/>
        <v>-50</v>
      </c>
      <c r="CG198" s="173">
        <f t="shared" si="536"/>
        <v>0.51480154889510155</v>
      </c>
      <c r="CH198" s="173">
        <f t="shared" si="537"/>
        <v>0.18198046272135288</v>
      </c>
      <c r="CI198" s="170">
        <v>88</v>
      </c>
      <c r="CJ198" s="217">
        <f t="shared" si="602"/>
        <v>0.88</v>
      </c>
      <c r="CK198" s="217">
        <f t="shared" si="538"/>
        <v>0.22</v>
      </c>
      <c r="CL198" s="217">
        <f t="shared" si="539"/>
        <v>14.08</v>
      </c>
      <c r="CM198" s="217">
        <f t="shared" si="540"/>
        <v>1.76</v>
      </c>
      <c r="CN198" s="541">
        <f t="shared" si="541"/>
        <v>19</v>
      </c>
      <c r="CO198" s="443">
        <f t="shared" si="542"/>
        <v>16.7</v>
      </c>
      <c r="CP198" s="443">
        <f t="shared" si="543"/>
        <v>35.700000000000003</v>
      </c>
      <c r="CQ198" s="443"/>
      <c r="CR198" s="217">
        <f t="shared" si="544"/>
        <v>0.4632768361581921</v>
      </c>
      <c r="CS198" s="172">
        <f t="shared" si="545"/>
        <v>19.560577526679221</v>
      </c>
      <c r="CT198" s="172">
        <f t="shared" si="546"/>
        <v>2.7507062146892656</v>
      </c>
      <c r="CU198" s="217">
        <f t="shared" si="547"/>
        <v>1.2225360954174513</v>
      </c>
      <c r="CV198" s="217">
        <f t="shared" si="548"/>
        <v>2.4450721908349027</v>
      </c>
      <c r="CW198" s="217">
        <f t="shared" si="549"/>
        <v>16</v>
      </c>
      <c r="CX198" s="217">
        <f t="shared" si="550"/>
        <v>3.5990757381258018</v>
      </c>
      <c r="CY198" s="217">
        <f t="shared" si="551"/>
        <v>2.2731004661847174</v>
      </c>
      <c r="CZ198" s="217">
        <f t="shared" si="552"/>
        <v>2.5861622070365047</v>
      </c>
      <c r="DA198" s="197">
        <f t="shared" si="553"/>
        <v>350</v>
      </c>
      <c r="DB198" s="443">
        <f t="shared" si="554"/>
        <v>205.79253834349657</v>
      </c>
      <c r="DD198" s="217">
        <f t="shared" si="555"/>
        <v>2.1161798052554355</v>
      </c>
      <c r="DE198" s="173">
        <f t="shared" si="556"/>
        <v>1.5206082432973189</v>
      </c>
      <c r="DF198" s="173">
        <f t="shared" si="557"/>
        <v>0.50055918207100247</v>
      </c>
      <c r="DG198" s="173"/>
      <c r="DH198" s="173">
        <f t="shared" si="558"/>
        <v>0.71856287425149712</v>
      </c>
      <c r="DI198" s="545">
        <f t="shared" si="559"/>
        <v>2449.333333333333</v>
      </c>
      <c r="DJ198" s="528">
        <f t="shared" si="560"/>
        <v>0.125748502994012</v>
      </c>
      <c r="DL198" s="173">
        <f t="shared" si="561"/>
        <v>2.7464262493023806</v>
      </c>
      <c r="DM198" s="173">
        <f t="shared" si="562"/>
        <v>3.5990757381258018</v>
      </c>
      <c r="DN198" s="173">
        <f t="shared" si="563"/>
        <v>3.1252412875005939</v>
      </c>
      <c r="DP198" s="545">
        <f t="shared" si="564"/>
        <v>880</v>
      </c>
      <c r="DQ198" s="460">
        <f t="shared" si="565"/>
        <v>205.79253834349657</v>
      </c>
      <c r="DS198">
        <f t="shared" si="614"/>
        <v>880</v>
      </c>
      <c r="DT198">
        <f t="shared" si="615"/>
        <v>205.79253834349657</v>
      </c>
      <c r="DV198" s="5">
        <f t="shared" si="568"/>
        <v>4.8592626732212221</v>
      </c>
      <c r="DW198" s="5">
        <f t="shared" si="569"/>
        <v>2.2731004661847174</v>
      </c>
      <c r="DX198" s="5">
        <f t="shared" si="570"/>
        <v>2.5861622070365047</v>
      </c>
      <c r="DY198" s="173">
        <f t="shared" si="571"/>
        <v>0.46778711484593838</v>
      </c>
      <c r="EA198" s="5">
        <f t="shared" si="572"/>
        <v>12.502052564015944</v>
      </c>
      <c r="EB198" s="5">
        <f t="shared" si="573"/>
        <v>6.2510262820079721</v>
      </c>
      <c r="EC198" s="5">
        <f t="shared" si="574"/>
        <v>1.5970685910120166</v>
      </c>
      <c r="ED198" s="5"/>
      <c r="EE198" s="173">
        <f t="shared" si="575"/>
        <v>1.4211976676835676</v>
      </c>
      <c r="EF198" s="173">
        <f t="shared" si="576"/>
        <v>1.5159087194241114</v>
      </c>
      <c r="EG198" s="173">
        <f t="shared" si="577"/>
        <v>0.37228934727033325</v>
      </c>
      <c r="EH198" s="173"/>
      <c r="EI198" s="528">
        <f t="shared" si="578"/>
        <v>4.0396056212584242E-2</v>
      </c>
      <c r="EJ198" s="528">
        <f t="shared" si="579"/>
        <v>0.50239166666666668</v>
      </c>
      <c r="EK198" s="528">
        <f t="shared" si="580"/>
        <v>2.3666141909502107E-2</v>
      </c>
      <c r="EL198" s="528">
        <f t="shared" si="581"/>
        <v>0.12917316210525095</v>
      </c>
      <c r="EM198">
        <f t="shared" si="582"/>
        <v>8.5500000000000003E-3</v>
      </c>
      <c r="EN198" s="460">
        <f t="shared" si="583"/>
        <v>32.216141909502106</v>
      </c>
      <c r="EP198" s="460">
        <f t="shared" si="603"/>
        <v>704.17702689400392</v>
      </c>
      <c r="EQ198" s="173">
        <f t="shared" si="584"/>
        <v>0.61599999999999999</v>
      </c>
      <c r="ER198" s="173">
        <f t="shared" si="585"/>
        <v>9.762499999999999E-2</v>
      </c>
      <c r="ES198" s="528"/>
      <c r="EU198" s="460">
        <f t="shared" si="497"/>
        <v>713.625</v>
      </c>
      <c r="EV198" s="528">
        <f t="shared" si="586"/>
        <v>6.0594084318876362E-2</v>
      </c>
      <c r="EW198" s="528">
        <f t="shared" si="587"/>
        <v>6.8939377368781488E-2</v>
      </c>
      <c r="EX198" s="528">
        <f t="shared" si="588"/>
        <v>6.92996790454854E-4</v>
      </c>
      <c r="EY198" s="528">
        <f t="shared" si="589"/>
        <v>0.74648576287198598</v>
      </c>
      <c r="EZ198" s="528"/>
      <c r="FA198" s="625">
        <f t="shared" si="590"/>
        <v>1.3328509940561586E-2</v>
      </c>
      <c r="FB198" s="460">
        <f t="shared" si="613"/>
        <v>890.04073129066023</v>
      </c>
      <c r="FC198" s="173">
        <f t="shared" si="591"/>
        <v>2.3078427581846643</v>
      </c>
      <c r="FD198" s="5">
        <f t="shared" si="592"/>
        <v>15.84</v>
      </c>
      <c r="FE198" s="173">
        <f t="shared" si="593"/>
        <v>0.87283101419071807</v>
      </c>
      <c r="FF198" s="5">
        <f t="shared" si="594"/>
        <v>87.283101419071812</v>
      </c>
      <c r="FG198">
        <f t="shared" si="595"/>
        <v>88</v>
      </c>
      <c r="FI198" s="562">
        <f t="shared" si="596"/>
        <v>-50</v>
      </c>
      <c r="FJ198">
        <f t="shared" si="597"/>
        <v>-50</v>
      </c>
    </row>
    <row r="199" spans="5:166">
      <c r="E199" s="170">
        <v>89</v>
      </c>
      <c r="F199" s="217">
        <f t="shared" si="598"/>
        <v>0.89</v>
      </c>
      <c r="G199" s="217">
        <f t="shared" si="499"/>
        <v>0.2225</v>
      </c>
      <c r="H199" s="217">
        <f t="shared" si="500"/>
        <v>14.24</v>
      </c>
      <c r="I199" s="217">
        <f t="shared" si="501"/>
        <v>1.78</v>
      </c>
      <c r="J199" s="541">
        <f t="shared" si="502"/>
        <v>18.882443357355413</v>
      </c>
      <c r="K199" s="443">
        <f t="shared" si="503"/>
        <v>16.751864645817996</v>
      </c>
      <c r="L199" s="172">
        <f t="shared" si="504"/>
        <v>35.634308003173409</v>
      </c>
      <c r="M199" s="443"/>
      <c r="N199" s="217">
        <f t="shared" si="505"/>
        <v>0.47010495178764689</v>
      </c>
      <c r="O199" s="172">
        <f t="shared" si="506"/>
        <v>19.726066942538978</v>
      </c>
      <c r="P199" s="172">
        <f t="shared" si="507"/>
        <v>2.7739781637945438</v>
      </c>
      <c r="Q199" s="217">
        <f t="shared" si="508"/>
        <v>1.2328791839086861</v>
      </c>
      <c r="R199" s="217">
        <f t="shared" si="509"/>
        <v>2.4657583678173722</v>
      </c>
      <c r="S199" s="217">
        <f t="shared" si="510"/>
        <v>16</v>
      </c>
      <c r="T199" s="217">
        <f t="shared" si="511"/>
        <v>3.6094372085120643</v>
      </c>
      <c r="U199" s="217">
        <f t="shared" si="512"/>
        <v>2.2938369617972483</v>
      </c>
      <c r="V199" s="217">
        <f t="shared" si="513"/>
        <v>2.5855776307837863</v>
      </c>
      <c r="W199" s="197">
        <f t="shared" si="514"/>
        <v>350</v>
      </c>
      <c r="X199" s="443">
        <f t="shared" si="599"/>
        <v>196.87308089806146</v>
      </c>
      <c r="Z199" s="217">
        <f t="shared" si="515"/>
        <v>2.1135071724148902</v>
      </c>
      <c r="AA199" s="173">
        <f t="shared" si="516"/>
        <v>1.5139858520352942</v>
      </c>
      <c r="AB199" s="173">
        <f t="shared" si="517"/>
        <v>0.497749771121752</v>
      </c>
      <c r="AC199" s="173"/>
      <c r="AD199" s="173">
        <f t="shared" si="518"/>
        <v>0.71633816615129653</v>
      </c>
      <c r="AE199" s="545">
        <f t="shared" si="519"/>
        <v>2484.8599224630025</v>
      </c>
      <c r="AF199" s="528">
        <f t="shared" si="520"/>
        <v>0.1253591790764769</v>
      </c>
      <c r="AH199" s="173">
        <f t="shared" si="521"/>
        <v>2.7619868624907373</v>
      </c>
      <c r="AI199" s="173">
        <f t="shared" si="522"/>
        <v>3.6094372085120643</v>
      </c>
      <c r="AJ199" s="173">
        <f t="shared" si="523"/>
        <v>3.1329164507496774</v>
      </c>
      <c r="AL199" s="545">
        <f t="shared" si="524"/>
        <v>890</v>
      </c>
      <c r="AM199" s="460">
        <f t="shared" si="525"/>
        <v>196.87308089806146</v>
      </c>
      <c r="AO199">
        <f t="shared" si="526"/>
        <v>890</v>
      </c>
      <c r="AP199">
        <f t="shared" si="527"/>
        <v>196.87308089806146</v>
      </c>
      <c r="AR199" s="5">
        <f t="shared" si="616"/>
        <v>5.0794145925810357</v>
      </c>
      <c r="AS199" s="5">
        <f t="shared" si="604"/>
        <v>2.2938369617972483</v>
      </c>
      <c r="AT199" s="5">
        <f t="shared" si="605"/>
        <v>2.7855776307837874</v>
      </c>
      <c r="AU199" s="173">
        <f t="shared" si="606"/>
        <v>0.45159474974687314</v>
      </c>
      <c r="AW199" s="5">
        <f t="shared" si="477"/>
        <v>12.759468099997193</v>
      </c>
      <c r="AX199" s="5">
        <f t="shared" si="478"/>
        <v>6.3797340499985964</v>
      </c>
      <c r="AY199" s="5">
        <f t="shared" si="479"/>
        <v>1.750595544922311</v>
      </c>
      <c r="AZ199" s="5"/>
      <c r="BA199" s="173">
        <f t="shared" si="480"/>
        <v>1.4004038812230588</v>
      </c>
      <c r="BB199" s="173">
        <f t="shared" si="481"/>
        <v>1.5432264762025416</v>
      </c>
      <c r="BC199" s="173">
        <f t="shared" si="482"/>
        <v>0.37899826694974181</v>
      </c>
      <c r="BD199" s="173"/>
      <c r="BE199" s="528">
        <f t="shared" si="483"/>
        <v>3.9222620610892142E-2</v>
      </c>
      <c r="BF199" s="528">
        <f t="shared" si="528"/>
        <v>0.46212240726366938</v>
      </c>
      <c r="BG199" s="528">
        <f t="shared" si="529"/>
        <v>8.5501230368851003E-2</v>
      </c>
      <c r="BH199" s="528">
        <f t="shared" si="484"/>
        <v>0.12312017708584978</v>
      </c>
      <c r="BI199">
        <f t="shared" si="485"/>
        <v>8.4970995108099353E-3</v>
      </c>
      <c r="BJ199" s="460">
        <f t="shared" si="600"/>
        <v>93.998329879660929</v>
      </c>
      <c r="BK199">
        <f t="shared" si="530"/>
        <v>0.64102925301807911</v>
      </c>
      <c r="BL199" s="460">
        <f t="shared" si="601"/>
        <v>718.46353484007216</v>
      </c>
      <c r="BM199" s="173">
        <f t="shared" si="531"/>
        <v>0.55291249999999992</v>
      </c>
      <c r="BN199" s="173">
        <f t="shared" si="532"/>
        <v>0.13822812499999998</v>
      </c>
      <c r="BO199" s="528"/>
      <c r="BQ199" s="460">
        <f t="shared" si="486"/>
        <v>691.14062499999989</v>
      </c>
      <c r="BR199" s="528">
        <f t="shared" si="487"/>
        <v>5.8833930916338206E-2</v>
      </c>
      <c r="BS199" s="528">
        <f t="shared" si="488"/>
        <v>7.1446438705575405E-2</v>
      </c>
      <c r="BT199" s="528">
        <f t="shared" si="489"/>
        <v>7.1819843175453888E-4</v>
      </c>
      <c r="BU199" s="528">
        <f t="shared" si="490"/>
        <v>0.67303023707690146</v>
      </c>
      <c r="BV199" s="528"/>
      <c r="BW199" s="625">
        <f t="shared" si="533"/>
        <v>1.2824348874002174E-2</v>
      </c>
      <c r="BX199" s="460">
        <f t="shared" si="607"/>
        <v>816.85315400457182</v>
      </c>
      <c r="BY199" s="173">
        <f t="shared" si="608"/>
        <v>2.226457313844644</v>
      </c>
      <c r="BZ199" s="5">
        <f t="shared" si="609"/>
        <v>16.02</v>
      </c>
      <c r="CA199" s="173">
        <f t="shared" si="610"/>
        <v>0.87797865220908922</v>
      </c>
      <c r="CB199" s="5">
        <f t="shared" si="611"/>
        <v>87.797865220908918</v>
      </c>
      <c r="CC199">
        <f t="shared" si="612"/>
        <v>89</v>
      </c>
      <c r="CE199" s="562">
        <f t="shared" si="534"/>
        <v>-50</v>
      </c>
      <c r="CF199">
        <f t="shared" si="535"/>
        <v>-50</v>
      </c>
      <c r="CG199" s="173">
        <f t="shared" si="536"/>
        <v>0.51480154889510155</v>
      </c>
      <c r="CH199" s="173">
        <f t="shared" si="537"/>
        <v>0.18198046272135285</v>
      </c>
      <c r="CI199" s="170">
        <v>89</v>
      </c>
      <c r="CJ199" s="217">
        <f t="shared" si="602"/>
        <v>0.89</v>
      </c>
      <c r="CK199" s="217">
        <f t="shared" si="538"/>
        <v>0.2225</v>
      </c>
      <c r="CL199" s="217">
        <f t="shared" si="539"/>
        <v>14.24</v>
      </c>
      <c r="CM199" s="217">
        <f t="shared" si="540"/>
        <v>1.78</v>
      </c>
      <c r="CN199" s="541">
        <f t="shared" si="541"/>
        <v>19</v>
      </c>
      <c r="CO199" s="443">
        <f t="shared" si="542"/>
        <v>16.7</v>
      </c>
      <c r="CP199" s="443">
        <f t="shared" si="543"/>
        <v>35.700000000000003</v>
      </c>
      <c r="CQ199" s="443"/>
      <c r="CR199" s="217">
        <f t="shared" si="544"/>
        <v>0.4632768361581921</v>
      </c>
      <c r="CS199" s="172">
        <f t="shared" si="545"/>
        <v>19.560577526679221</v>
      </c>
      <c r="CT199" s="172">
        <f t="shared" si="546"/>
        <v>2.7507062146892656</v>
      </c>
      <c r="CU199" s="217">
        <f t="shared" si="547"/>
        <v>1.2225360954174513</v>
      </c>
      <c r="CV199" s="217">
        <f t="shared" si="548"/>
        <v>2.4450721908349027</v>
      </c>
      <c r="CW199" s="217">
        <f t="shared" si="549"/>
        <v>16</v>
      </c>
      <c r="CX199" s="217">
        <f t="shared" si="550"/>
        <v>3.6399743260590496</v>
      </c>
      <c r="CY199" s="217">
        <f t="shared" si="551"/>
        <v>2.2989311533004528</v>
      </c>
      <c r="CZ199" s="217">
        <f t="shared" si="552"/>
        <v>2.6155504139346468</v>
      </c>
      <c r="DA199" s="197">
        <f t="shared" si="553"/>
        <v>350</v>
      </c>
      <c r="DB199" s="443">
        <f t="shared" si="554"/>
        <v>203.48026263177189</v>
      </c>
      <c r="DD199" s="217">
        <f t="shared" si="555"/>
        <v>2.1161798052554355</v>
      </c>
      <c r="DE199" s="173">
        <f t="shared" si="556"/>
        <v>1.5206082432973189</v>
      </c>
      <c r="DF199" s="173">
        <f t="shared" si="557"/>
        <v>0.50055918207100247</v>
      </c>
      <c r="DG199" s="173"/>
      <c r="DH199" s="173">
        <f t="shared" si="558"/>
        <v>0.71856287425149712</v>
      </c>
      <c r="DI199" s="545">
        <f t="shared" si="559"/>
        <v>2477.1666666666665</v>
      </c>
      <c r="DJ199" s="528">
        <f t="shared" si="560"/>
        <v>0.125748502994012</v>
      </c>
      <c r="DL199" s="173">
        <f t="shared" si="561"/>
        <v>2.7619868624907373</v>
      </c>
      <c r="DM199" s="173">
        <f t="shared" si="562"/>
        <v>3.6399743260590496</v>
      </c>
      <c r="DN199" s="173">
        <f t="shared" si="563"/>
        <v>3.1555365378215186</v>
      </c>
      <c r="DP199" s="545">
        <f t="shared" si="564"/>
        <v>890</v>
      </c>
      <c r="DQ199" s="460">
        <f t="shared" si="565"/>
        <v>203.48026263177189</v>
      </c>
      <c r="DS199">
        <f t="shared" si="614"/>
        <v>890</v>
      </c>
      <c r="DT199">
        <f t="shared" si="615"/>
        <v>203.48026263177189</v>
      </c>
      <c r="DV199" s="5">
        <f t="shared" si="568"/>
        <v>4.9144815672350992</v>
      </c>
      <c r="DW199" s="5">
        <f t="shared" si="569"/>
        <v>2.2989311533004528</v>
      </c>
      <c r="DX199" s="5">
        <f t="shared" si="570"/>
        <v>2.6155504139346464</v>
      </c>
      <c r="DY199" s="173">
        <f t="shared" si="571"/>
        <v>0.46778711484593843</v>
      </c>
      <c r="EA199" s="5">
        <f t="shared" si="572"/>
        <v>12.787804540233768</v>
      </c>
      <c r="EB199" s="5">
        <f t="shared" si="573"/>
        <v>6.3939022701168842</v>
      </c>
      <c r="EC199" s="5">
        <f t="shared" si="574"/>
        <v>1.6335718374749719</v>
      </c>
      <c r="ED199" s="5"/>
      <c r="EE199" s="173">
        <f t="shared" si="575"/>
        <v>1.4373476411799719</v>
      </c>
      <c r="EF199" s="173">
        <f t="shared" si="576"/>
        <v>1.5331349548721125</v>
      </c>
      <c r="EG199" s="173">
        <f t="shared" si="577"/>
        <v>0.37651990803476881</v>
      </c>
      <c r="EH199" s="173"/>
      <c r="EI199" s="528">
        <f t="shared" si="578"/>
        <v>4.1319364832112591E-2</v>
      </c>
      <c r="EJ199" s="528">
        <f t="shared" si="579"/>
        <v>0.50239166666666668</v>
      </c>
      <c r="EK199" s="528">
        <f t="shared" si="580"/>
        <v>2.340023020265377E-2</v>
      </c>
      <c r="EL199" s="528">
        <f t="shared" si="581"/>
        <v>0.12772177826137174</v>
      </c>
      <c r="EM199">
        <f t="shared" si="582"/>
        <v>8.5500000000000003E-3</v>
      </c>
      <c r="EN199" s="460">
        <f t="shared" si="583"/>
        <v>31.950230202653771</v>
      </c>
      <c r="EP199" s="460">
        <f t="shared" si="603"/>
        <v>703.38303996280479</v>
      </c>
      <c r="EQ199" s="173">
        <f t="shared" si="584"/>
        <v>0.623</v>
      </c>
      <c r="ER199" s="173">
        <f t="shared" si="585"/>
        <v>9.8734374999999999E-2</v>
      </c>
      <c r="ES199" s="528"/>
      <c r="EU199" s="460">
        <f t="shared" si="497"/>
        <v>721.734375</v>
      </c>
      <c r="EV199" s="528">
        <f t="shared" si="586"/>
        <v>6.1979047248168884E-2</v>
      </c>
      <c r="EW199" s="528">
        <f t="shared" si="587"/>
        <v>7.0515083695521424E-2</v>
      </c>
      <c r="EX199" s="528">
        <f t="shared" si="588"/>
        <v>7.0883620573255384E-4</v>
      </c>
      <c r="EY199" s="528">
        <f t="shared" si="589"/>
        <v>0.74648576287198465</v>
      </c>
      <c r="EZ199" s="528"/>
      <c r="FA199" s="625">
        <f t="shared" si="590"/>
        <v>1.3479970280795242E-2</v>
      </c>
      <c r="FB199" s="460">
        <f t="shared" si="613"/>
        <v>893.16870030220286</v>
      </c>
      <c r="FC199" s="173">
        <f t="shared" si="591"/>
        <v>2.3182861152650078</v>
      </c>
      <c r="FD199" s="5">
        <f t="shared" si="592"/>
        <v>16.02</v>
      </c>
      <c r="FE199" s="173">
        <f t="shared" si="593"/>
        <v>0.87358218207015337</v>
      </c>
      <c r="FF199" s="5">
        <f t="shared" si="594"/>
        <v>87.358218207015341</v>
      </c>
      <c r="FG199">
        <f t="shared" si="595"/>
        <v>89</v>
      </c>
      <c r="FI199" s="562">
        <f t="shared" si="596"/>
        <v>-50</v>
      </c>
      <c r="FJ199">
        <f t="shared" si="597"/>
        <v>-50</v>
      </c>
    </row>
    <row r="200" spans="5:166">
      <c r="E200" s="170">
        <v>90</v>
      </c>
      <c r="F200" s="217">
        <f t="shared" si="598"/>
        <v>0.9</v>
      </c>
      <c r="G200" s="217">
        <f t="shared" si="499"/>
        <v>0.22500000000000001</v>
      </c>
      <c r="H200" s="217">
        <f t="shared" si="500"/>
        <v>14.4</v>
      </c>
      <c r="I200" s="217">
        <f t="shared" si="501"/>
        <v>1.8</v>
      </c>
      <c r="J200" s="541">
        <f t="shared" si="502"/>
        <v>18.881122496202103</v>
      </c>
      <c r="K200" s="443">
        <f t="shared" si="503"/>
        <v>16.752447394647412</v>
      </c>
      <c r="L200" s="172">
        <f t="shared" si="504"/>
        <v>35.633569890849515</v>
      </c>
      <c r="M200" s="443"/>
      <c r="N200" s="217">
        <f t="shared" si="505"/>
        <v>0.47013104345038803</v>
      </c>
      <c r="O200" s="172">
        <f t="shared" si="506"/>
        <v>19.725781823675753</v>
      </c>
      <c r="P200" s="172">
        <f t="shared" si="507"/>
        <v>2.7739380689544029</v>
      </c>
      <c r="Q200" s="217">
        <f t="shared" si="508"/>
        <v>1.2328613639797346</v>
      </c>
      <c r="R200" s="217">
        <f t="shared" si="509"/>
        <v>2.4657227279594691</v>
      </c>
      <c r="S200" s="217">
        <f t="shared" si="510"/>
        <v>16</v>
      </c>
      <c r="T200" s="217">
        <f t="shared" si="511"/>
        <v>3.6500454402056914</v>
      </c>
      <c r="U200" s="217">
        <f t="shared" si="512"/>
        <v>2.3198062133900508</v>
      </c>
      <c r="V200" s="217">
        <f t="shared" si="513"/>
        <v>2.6145759034863798</v>
      </c>
      <c r="W200" s="197">
        <f t="shared" si="514"/>
        <v>350</v>
      </c>
      <c r="X200" s="443">
        <f t="shared" si="599"/>
        <v>194.76540258136518</v>
      </c>
      <c r="Z200" s="217">
        <f t="shared" si="515"/>
        <v>2.1134766239652594</v>
      </c>
      <c r="AA200" s="173">
        <f t="shared" si="516"/>
        <v>1.5139113044274628</v>
      </c>
      <c r="AB200" s="173">
        <f t="shared" si="517"/>
        <v>0.49771806819220826</v>
      </c>
      <c r="AC200" s="173"/>
      <c r="AD200" s="173">
        <f t="shared" si="518"/>
        <v>0.71631324768905891</v>
      </c>
      <c r="AE200" s="545">
        <f t="shared" si="519"/>
        <v>2512.8671091971119</v>
      </c>
      <c r="AF200" s="528">
        <f t="shared" si="520"/>
        <v>0.12535481834558529</v>
      </c>
      <c r="AH200" s="173">
        <f t="shared" si="521"/>
        <v>2.7774602993176543</v>
      </c>
      <c r="AI200" s="173">
        <f t="shared" si="522"/>
        <v>3.6500454402056914</v>
      </c>
      <c r="AJ200" s="173">
        <f t="shared" si="523"/>
        <v>3.1629966223745862</v>
      </c>
      <c r="AL200" s="545">
        <f t="shared" si="524"/>
        <v>900</v>
      </c>
      <c r="AM200" s="460">
        <f t="shared" si="525"/>
        <v>194.76540258136518</v>
      </c>
      <c r="AO200">
        <f t="shared" si="526"/>
        <v>900</v>
      </c>
      <c r="AP200">
        <f t="shared" si="527"/>
        <v>194.76540258136518</v>
      </c>
      <c r="AR200" s="5">
        <f t="shared" si="616"/>
        <v>5.1343821168764308</v>
      </c>
      <c r="AS200" s="5">
        <f t="shared" si="604"/>
        <v>2.3198062133900508</v>
      </c>
      <c r="AT200" s="5">
        <f t="shared" si="605"/>
        <v>2.81457590348638</v>
      </c>
      <c r="AU200" s="173">
        <f t="shared" si="606"/>
        <v>0.45181799106166559</v>
      </c>
      <c r="AW200" s="5">
        <f t="shared" si="477"/>
        <v>13.048909950319034</v>
      </c>
      <c r="AX200" s="5">
        <f t="shared" si="478"/>
        <v>6.5244549751595171</v>
      </c>
      <c r="AY200" s="5">
        <f t="shared" si="479"/>
        <v>1.788819009496406</v>
      </c>
      <c r="AZ200" s="5"/>
      <c r="BA200" s="173">
        <f t="shared" si="480"/>
        <v>1.4165092141104998</v>
      </c>
      <c r="BB200" s="173">
        <f t="shared" si="481"/>
        <v>1.560270986568949</v>
      </c>
      <c r="BC200" s="173">
        <f t="shared" si="482"/>
        <v>0.3831841981720801</v>
      </c>
      <c r="BD200" s="173"/>
      <c r="BE200" s="528">
        <f t="shared" si="483"/>
        <v>4.0129967073198922E-2</v>
      </c>
      <c r="BF200" s="528">
        <f t="shared" si="528"/>
        <v>0.46230893429078673</v>
      </c>
      <c r="BG200" s="528">
        <f t="shared" si="529"/>
        <v>8.4579956755700084E-2</v>
      </c>
      <c r="BH200" s="528">
        <f t="shared" si="484"/>
        <v>0.12179703469162996</v>
      </c>
      <c r="BI200">
        <f t="shared" si="485"/>
        <v>8.4965051232909466E-3</v>
      </c>
      <c r="BJ200" s="460">
        <f t="shared" si="600"/>
        <v>93.076461878991026</v>
      </c>
      <c r="BK200">
        <f t="shared" si="530"/>
        <v>0.64118464593544444</v>
      </c>
      <c r="BL200" s="460">
        <f t="shared" si="601"/>
        <v>717.31239793460657</v>
      </c>
      <c r="BM200" s="173">
        <f t="shared" si="531"/>
        <v>0.55912499999999998</v>
      </c>
      <c r="BN200" s="173">
        <f t="shared" si="532"/>
        <v>0.13978125</v>
      </c>
      <c r="BO200" s="528"/>
      <c r="BQ200" s="460">
        <f t="shared" si="486"/>
        <v>698.90625</v>
      </c>
      <c r="BR200" s="528">
        <f t="shared" si="487"/>
        <v>6.0194950609798376E-2</v>
      </c>
      <c r="BS200" s="528">
        <f t="shared" si="488"/>
        <v>7.3033366545865244E-2</v>
      </c>
      <c r="BT200" s="528">
        <f t="shared" si="489"/>
        <v>7.3415064864389981E-4</v>
      </c>
      <c r="BU200" s="528">
        <f t="shared" si="490"/>
        <v>0.67374447123182335</v>
      </c>
      <c r="BV200" s="528"/>
      <c r="BW200" s="625">
        <f t="shared" si="533"/>
        <v>1.2974133413030312E-2</v>
      </c>
      <c r="BX200" s="460">
        <f t="shared" si="607"/>
        <v>820.68107244916121</v>
      </c>
      <c r="BY200" s="173">
        <f t="shared" si="608"/>
        <v>2.2368997203837675</v>
      </c>
      <c r="BZ200" s="5">
        <f t="shared" si="609"/>
        <v>16.2</v>
      </c>
      <c r="CA200" s="173">
        <f t="shared" si="610"/>
        <v>0.87867267521606895</v>
      </c>
      <c r="CB200" s="5">
        <f t="shared" si="611"/>
        <v>87.867267521606891</v>
      </c>
      <c r="CC200">
        <f t="shared" si="612"/>
        <v>90</v>
      </c>
      <c r="CE200" s="562">
        <f t="shared" si="534"/>
        <v>-50</v>
      </c>
      <c r="CF200">
        <f t="shared" si="535"/>
        <v>-50</v>
      </c>
      <c r="CG200" s="173">
        <f t="shared" si="536"/>
        <v>0.51480154889510166</v>
      </c>
      <c r="CH200" s="173">
        <f t="shared" si="537"/>
        <v>0.18198046272135288</v>
      </c>
      <c r="CI200" s="170">
        <v>90</v>
      </c>
      <c r="CJ200" s="217">
        <f t="shared" si="602"/>
        <v>0.9</v>
      </c>
      <c r="CK200" s="217">
        <f t="shared" si="538"/>
        <v>0.22500000000000001</v>
      </c>
      <c r="CL200" s="217">
        <f t="shared" si="539"/>
        <v>14.4</v>
      </c>
      <c r="CM200" s="217">
        <f t="shared" si="540"/>
        <v>1.8</v>
      </c>
      <c r="CN200" s="541">
        <f t="shared" si="541"/>
        <v>19</v>
      </c>
      <c r="CO200" s="443">
        <f t="shared" si="542"/>
        <v>16.7</v>
      </c>
      <c r="CP200" s="443">
        <f t="shared" si="543"/>
        <v>35.700000000000003</v>
      </c>
      <c r="CQ200" s="443"/>
      <c r="CR200" s="217">
        <f t="shared" si="544"/>
        <v>0.4632768361581921</v>
      </c>
      <c r="CS200" s="172">
        <f t="shared" si="545"/>
        <v>19.560577526679221</v>
      </c>
      <c r="CT200" s="172">
        <f t="shared" si="546"/>
        <v>2.7507062146892656</v>
      </c>
      <c r="CU200" s="217">
        <f t="shared" si="547"/>
        <v>1.2225360954174513</v>
      </c>
      <c r="CV200" s="217">
        <f t="shared" si="548"/>
        <v>2.4450721908349027</v>
      </c>
      <c r="CW200" s="217">
        <f t="shared" si="549"/>
        <v>16</v>
      </c>
      <c r="CX200" s="217">
        <f t="shared" si="550"/>
        <v>3.6808729139922973</v>
      </c>
      <c r="CY200" s="217">
        <f t="shared" si="551"/>
        <v>2.3247618404161878</v>
      </c>
      <c r="CZ200" s="217">
        <f t="shared" si="552"/>
        <v>2.6449386208327885</v>
      </c>
      <c r="DA200" s="197">
        <f t="shared" si="553"/>
        <v>350</v>
      </c>
      <c r="DB200" s="443">
        <f t="shared" si="554"/>
        <v>201.21937082475225</v>
      </c>
      <c r="DD200" s="217">
        <f t="shared" si="555"/>
        <v>2.1161798052554355</v>
      </c>
      <c r="DE200" s="173">
        <f t="shared" si="556"/>
        <v>1.5206082432973189</v>
      </c>
      <c r="DF200" s="173">
        <f t="shared" si="557"/>
        <v>0.50055918207100247</v>
      </c>
      <c r="DG200" s="173"/>
      <c r="DH200" s="173">
        <f t="shared" si="558"/>
        <v>0.71856287425149712</v>
      </c>
      <c r="DI200" s="545">
        <f t="shared" si="559"/>
        <v>2504.9999999999995</v>
      </c>
      <c r="DJ200" s="528">
        <f t="shared" si="560"/>
        <v>0.125748502994012</v>
      </c>
      <c r="DL200" s="173">
        <f t="shared" si="561"/>
        <v>2.7774602993176543</v>
      </c>
      <c r="DM200" s="173">
        <f t="shared" si="562"/>
        <v>3.6808729139922973</v>
      </c>
      <c r="DN200" s="173">
        <f t="shared" si="563"/>
        <v>3.1858317881424423</v>
      </c>
      <c r="DP200" s="545">
        <f t="shared" si="564"/>
        <v>900</v>
      </c>
      <c r="DQ200" s="460">
        <f t="shared" si="565"/>
        <v>201.21937082475225</v>
      </c>
      <c r="DS200">
        <f t="shared" si="614"/>
        <v>900</v>
      </c>
      <c r="DT200">
        <f t="shared" si="615"/>
        <v>201.21937082475225</v>
      </c>
      <c r="DV200" s="5">
        <f t="shared" si="568"/>
        <v>4.9697004612489764</v>
      </c>
      <c r="DW200" s="5">
        <f t="shared" si="569"/>
        <v>2.3247618404161878</v>
      </c>
      <c r="DX200" s="5">
        <f t="shared" si="570"/>
        <v>2.6449386208327885</v>
      </c>
      <c r="DY200" s="173">
        <f t="shared" si="571"/>
        <v>0.46778711484593838</v>
      </c>
      <c r="EA200" s="5">
        <f t="shared" si="572"/>
        <v>13.076785352341059</v>
      </c>
      <c r="EB200" s="5">
        <f t="shared" si="573"/>
        <v>6.5383926761705293</v>
      </c>
      <c r="EC200" s="5">
        <f t="shared" si="574"/>
        <v>1.6704875499996557</v>
      </c>
      <c r="ED200" s="5"/>
      <c r="EE200" s="173">
        <f t="shared" si="575"/>
        <v>1.4534976146763758</v>
      </c>
      <c r="EF200" s="173">
        <f t="shared" si="576"/>
        <v>1.550361190320114</v>
      </c>
      <c r="EG200" s="173">
        <f t="shared" si="577"/>
        <v>0.38075046879920449</v>
      </c>
      <c r="EH200" s="173"/>
      <c r="EI200" s="528">
        <f t="shared" si="578"/>
        <v>4.2253106317398287E-2</v>
      </c>
      <c r="EJ200" s="528">
        <f t="shared" si="579"/>
        <v>0.50239166666666679</v>
      </c>
      <c r="EK200" s="528">
        <f t="shared" si="580"/>
        <v>2.3140227644846512E-2</v>
      </c>
      <c r="EL200" s="528">
        <f t="shared" si="581"/>
        <v>0.126302647391801</v>
      </c>
      <c r="EM200">
        <f t="shared" si="582"/>
        <v>8.5500000000000003E-3</v>
      </c>
      <c r="EN200" s="460">
        <f t="shared" si="583"/>
        <v>31.690227644846512</v>
      </c>
      <c r="EP200" s="460">
        <f t="shared" si="603"/>
        <v>702.6376480207125</v>
      </c>
      <c r="EQ200" s="173">
        <f t="shared" si="584"/>
        <v>0.63</v>
      </c>
      <c r="ER200" s="173">
        <f t="shared" si="585"/>
        <v>9.9843749999999995E-2</v>
      </c>
      <c r="ES200" s="528"/>
      <c r="EU200" s="460">
        <f t="shared" si="497"/>
        <v>729.84375</v>
      </c>
      <c r="EV200" s="528">
        <f t="shared" si="586"/>
        <v>6.337965947609743E-2</v>
      </c>
      <c r="EW200" s="528">
        <f t="shared" si="587"/>
        <v>7.2108594613524021E-2</v>
      </c>
      <c r="EX200" s="528">
        <f t="shared" si="588"/>
        <v>7.2485459745407009E-4</v>
      </c>
      <c r="EY200" s="528">
        <f t="shared" si="589"/>
        <v>0.74648576287198398</v>
      </c>
      <c r="EZ200" s="528"/>
      <c r="FA200" s="625">
        <f t="shared" si="590"/>
        <v>1.36314306210289E-2</v>
      </c>
      <c r="FB200" s="460">
        <f t="shared" si="613"/>
        <v>896.33030218008844</v>
      </c>
      <c r="FC200" s="173">
        <f t="shared" si="591"/>
        <v>2.3288117002008009</v>
      </c>
      <c r="FD200" s="5">
        <f t="shared" si="592"/>
        <v>16.2</v>
      </c>
      <c r="FE200" s="173">
        <f t="shared" si="593"/>
        <v>0.87431402845032069</v>
      </c>
      <c r="FF200" s="5">
        <f t="shared" si="594"/>
        <v>87.431402845032068</v>
      </c>
      <c r="FG200">
        <f t="shared" si="595"/>
        <v>90</v>
      </c>
      <c r="FI200" s="562">
        <f t="shared" si="596"/>
        <v>-50</v>
      </c>
      <c r="FJ200">
        <f t="shared" si="597"/>
        <v>-50</v>
      </c>
    </row>
    <row r="201" spans="5:166">
      <c r="E201" s="170">
        <v>91</v>
      </c>
      <c r="F201" s="217">
        <f t="shared" si="598"/>
        <v>0.91</v>
      </c>
      <c r="G201" s="217">
        <f t="shared" si="499"/>
        <v>0.22750000000000001</v>
      </c>
      <c r="H201" s="217">
        <f t="shared" si="500"/>
        <v>14.56</v>
      </c>
      <c r="I201" s="217">
        <f t="shared" si="501"/>
        <v>1.82</v>
      </c>
      <c r="J201" s="541">
        <f t="shared" si="502"/>
        <v>18.879801635048793</v>
      </c>
      <c r="K201" s="443">
        <f t="shared" si="503"/>
        <v>16.753030143476828</v>
      </c>
      <c r="L201" s="172">
        <f t="shared" si="504"/>
        <v>35.63283177852562</v>
      </c>
      <c r="M201" s="443"/>
      <c r="N201" s="217">
        <f t="shared" si="505"/>
        <v>0.47015713619407484</v>
      </c>
      <c r="O201" s="172">
        <f t="shared" si="506"/>
        <v>19.725496596992784</v>
      </c>
      <c r="P201" s="172">
        <f t="shared" si="507"/>
        <v>2.77389795895211</v>
      </c>
      <c r="Q201" s="217">
        <f t="shared" si="508"/>
        <v>1.232843537312049</v>
      </c>
      <c r="R201" s="217">
        <f t="shared" si="509"/>
        <v>2.465687074624098</v>
      </c>
      <c r="S201" s="217">
        <f t="shared" si="510"/>
        <v>16</v>
      </c>
      <c r="T201" s="217">
        <f t="shared" si="511"/>
        <v>3.6906548660021361</v>
      </c>
      <c r="U201" s="217">
        <f t="shared" si="512"/>
        <v>2.345779857655331</v>
      </c>
      <c r="V201" s="217">
        <f t="shared" si="513"/>
        <v>2.6435730141194855</v>
      </c>
      <c r="W201" s="197">
        <f t="shared" si="514"/>
        <v>350</v>
      </c>
      <c r="X201" s="443">
        <f t="shared" si="599"/>
        <v>192.7022549264392</v>
      </c>
      <c r="Z201" s="217">
        <f t="shared" si="515"/>
        <v>2.113446063963512</v>
      </c>
      <c r="AA201" s="173">
        <f t="shared" si="516"/>
        <v>1.5138367537312145</v>
      </c>
      <c r="AB201" s="173">
        <f t="shared" si="517"/>
        <v>0.49768636223546109</v>
      </c>
      <c r="AC201" s="173"/>
      <c r="AD201" s="173">
        <f t="shared" si="518"/>
        <v>0.7162883309603828</v>
      </c>
      <c r="AE201" s="545">
        <f t="shared" si="519"/>
        <v>2540.8762384273191</v>
      </c>
      <c r="AF201" s="528">
        <f t="shared" si="520"/>
        <v>0.12535045791806701</v>
      </c>
      <c r="AH201" s="173">
        <f t="shared" si="521"/>
        <v>2.7928480087537881</v>
      </c>
      <c r="AI201" s="173">
        <f t="shared" si="522"/>
        <v>3.6906548660021361</v>
      </c>
      <c r="AJ201" s="173">
        <f t="shared" si="523"/>
        <v>3.1930776785201012</v>
      </c>
      <c r="AL201" s="545">
        <f t="shared" si="524"/>
        <v>910</v>
      </c>
      <c r="AM201" s="460">
        <f t="shared" si="525"/>
        <v>192.7022549264392</v>
      </c>
      <c r="AO201">
        <f t="shared" si="526"/>
        <v>910</v>
      </c>
      <c r="AP201">
        <f t="shared" si="527"/>
        <v>192.7022549264392</v>
      </c>
      <c r="AR201" s="5">
        <f t="shared" si="616"/>
        <v>5.1893528717748172</v>
      </c>
      <c r="AS201" s="5">
        <f t="shared" si="604"/>
        <v>2.345779857655331</v>
      </c>
      <c r="AT201" s="5">
        <f t="shared" si="605"/>
        <v>2.8435730141194862</v>
      </c>
      <c r="AU201" s="173">
        <f t="shared" si="606"/>
        <v>0.45203706813120376</v>
      </c>
      <c r="AW201" s="5">
        <f t="shared" si="477"/>
        <v>13.341622940414696</v>
      </c>
      <c r="AX201" s="5">
        <f t="shared" si="478"/>
        <v>6.6708114702073482</v>
      </c>
      <c r="AY201" s="5">
        <f t="shared" si="479"/>
        <v>1.8274566600282993</v>
      </c>
      <c r="AZ201" s="5"/>
      <c r="BA201" s="173">
        <f t="shared" si="480"/>
        <v>1.4326161118968583</v>
      </c>
      <c r="BB201" s="173">
        <f t="shared" si="481"/>
        <v>1.5773148668698367</v>
      </c>
      <c r="BC201" s="173">
        <f t="shared" si="482"/>
        <v>0.38736997465773926</v>
      </c>
      <c r="BD201" s="173"/>
      <c r="BE201" s="528">
        <f t="shared" si="483"/>
        <v>4.1047778481329442E-2</v>
      </c>
      <c r="BF201" s="528">
        <f t="shared" si="528"/>
        <v>0.4624911606846841</v>
      </c>
      <c r="BG201" s="528">
        <f t="shared" si="529"/>
        <v>8.3678147995668861E-2</v>
      </c>
      <c r="BH201" s="528">
        <f t="shared" si="484"/>
        <v>0.12050184781716504</v>
      </c>
      <c r="BI201">
        <f t="shared" si="485"/>
        <v>8.4959107357719561E-3</v>
      </c>
      <c r="BJ201" s="460">
        <f t="shared" si="600"/>
        <v>92.174058731440809</v>
      </c>
      <c r="BK201">
        <f t="shared" si="530"/>
        <v>0.64137902613606468</v>
      </c>
      <c r="BL201" s="460">
        <f t="shared" si="601"/>
        <v>716.2148457146194</v>
      </c>
      <c r="BM201" s="173">
        <f t="shared" si="531"/>
        <v>0.56533749999999994</v>
      </c>
      <c r="BN201" s="173">
        <f t="shared" si="532"/>
        <v>0.14133437499999998</v>
      </c>
      <c r="BO201" s="528"/>
      <c r="BQ201" s="460">
        <f t="shared" si="486"/>
        <v>706.671875</v>
      </c>
      <c r="BR201" s="528">
        <f t="shared" si="487"/>
        <v>6.1571667721994155E-2</v>
      </c>
      <c r="BS201" s="528">
        <f t="shared" si="488"/>
        <v>7.4637665677458317E-2</v>
      </c>
      <c r="BT201" s="528">
        <f t="shared" si="489"/>
        <v>7.5027748633168774E-4</v>
      </c>
      <c r="BU201" s="528">
        <f t="shared" si="490"/>
        <v>0.67444351061622088</v>
      </c>
      <c r="BV201" s="528"/>
      <c r="BW201" s="625">
        <f t="shared" si="533"/>
        <v>1.3123922844050817E-2</v>
      </c>
      <c r="BX201" s="460">
        <f t="shared" si="607"/>
        <v>824.52704434605585</v>
      </c>
      <c r="BY201" s="173">
        <f t="shared" si="608"/>
        <v>2.2474137650606751</v>
      </c>
      <c r="BZ201" s="5">
        <f t="shared" si="609"/>
        <v>16.38</v>
      </c>
      <c r="CA201" s="173">
        <f t="shared" si="610"/>
        <v>0.87934912525129305</v>
      </c>
      <c r="CB201" s="5">
        <f t="shared" si="611"/>
        <v>87.934912525129306</v>
      </c>
      <c r="CC201">
        <f t="shared" si="612"/>
        <v>91</v>
      </c>
      <c r="CE201" s="562">
        <f t="shared" si="534"/>
        <v>-50</v>
      </c>
      <c r="CF201">
        <f t="shared" si="535"/>
        <v>-50</v>
      </c>
      <c r="CG201" s="173">
        <f t="shared" si="536"/>
        <v>0.51480154889510166</v>
      </c>
      <c r="CH201" s="173">
        <f t="shared" si="537"/>
        <v>0.18198046272135288</v>
      </c>
      <c r="CI201" s="170">
        <v>91</v>
      </c>
      <c r="CJ201" s="217">
        <f t="shared" si="602"/>
        <v>0.91</v>
      </c>
      <c r="CK201" s="217">
        <f t="shared" si="538"/>
        <v>0.22750000000000001</v>
      </c>
      <c r="CL201" s="217">
        <f t="shared" si="539"/>
        <v>14.56</v>
      </c>
      <c r="CM201" s="217">
        <f t="shared" si="540"/>
        <v>1.82</v>
      </c>
      <c r="CN201" s="541">
        <f t="shared" si="541"/>
        <v>19</v>
      </c>
      <c r="CO201" s="443">
        <f t="shared" si="542"/>
        <v>16.7</v>
      </c>
      <c r="CP201" s="443">
        <f t="shared" si="543"/>
        <v>35.700000000000003</v>
      </c>
      <c r="CQ201" s="443"/>
      <c r="CR201" s="217">
        <f t="shared" si="544"/>
        <v>0.4632768361581921</v>
      </c>
      <c r="CS201" s="172">
        <f t="shared" si="545"/>
        <v>19.560577526679221</v>
      </c>
      <c r="CT201" s="172">
        <f t="shared" si="546"/>
        <v>2.7507062146892656</v>
      </c>
      <c r="CU201" s="217">
        <f t="shared" si="547"/>
        <v>1.2225360954174513</v>
      </c>
      <c r="CV201" s="217">
        <f t="shared" si="548"/>
        <v>2.4450721908349027</v>
      </c>
      <c r="CW201" s="217">
        <f t="shared" si="549"/>
        <v>16</v>
      </c>
      <c r="CX201" s="217">
        <f t="shared" si="550"/>
        <v>3.7217715019255451</v>
      </c>
      <c r="CY201" s="217">
        <f t="shared" si="551"/>
        <v>2.3505925275319233</v>
      </c>
      <c r="CZ201" s="217">
        <f t="shared" si="552"/>
        <v>2.6743268277309307</v>
      </c>
      <c r="DA201" s="197">
        <f t="shared" si="553"/>
        <v>350</v>
      </c>
      <c r="DB201" s="443">
        <f t="shared" si="554"/>
        <v>199.00816894755712</v>
      </c>
      <c r="DD201" s="217">
        <f t="shared" si="555"/>
        <v>2.1161798052554355</v>
      </c>
      <c r="DE201" s="173">
        <f t="shared" si="556"/>
        <v>1.5206082432973189</v>
      </c>
      <c r="DF201" s="173">
        <f t="shared" si="557"/>
        <v>0.50055918207100247</v>
      </c>
      <c r="DG201" s="173"/>
      <c r="DH201" s="173">
        <f t="shared" si="558"/>
        <v>0.71856287425149712</v>
      </c>
      <c r="DI201" s="545">
        <f t="shared" si="559"/>
        <v>2532.833333333333</v>
      </c>
      <c r="DJ201" s="528">
        <f t="shared" si="560"/>
        <v>0.125748502994012</v>
      </c>
      <c r="DL201" s="173">
        <f t="shared" si="561"/>
        <v>2.7928480087537881</v>
      </c>
      <c r="DM201" s="173">
        <f t="shared" si="562"/>
        <v>3.7217715019255451</v>
      </c>
      <c r="DN201" s="173">
        <f t="shared" si="563"/>
        <v>3.2161270384633669</v>
      </c>
      <c r="DP201" s="545">
        <f t="shared" si="564"/>
        <v>910</v>
      </c>
      <c r="DQ201" s="460">
        <f t="shared" si="565"/>
        <v>199.00816894755712</v>
      </c>
      <c r="DS201">
        <f t="shared" si="614"/>
        <v>910</v>
      </c>
      <c r="DT201">
        <f t="shared" si="615"/>
        <v>199.00816894755712</v>
      </c>
      <c r="DV201" s="5">
        <f t="shared" si="568"/>
        <v>5.0249193552628544</v>
      </c>
      <c r="DW201" s="5">
        <f t="shared" si="569"/>
        <v>2.3505925275319233</v>
      </c>
      <c r="DX201" s="5">
        <f t="shared" si="570"/>
        <v>2.6743268277309311</v>
      </c>
      <c r="DY201" s="173">
        <f t="shared" si="571"/>
        <v>0.46778711484593832</v>
      </c>
      <c r="EA201" s="5">
        <f t="shared" si="572"/>
        <v>13.368995000337813</v>
      </c>
      <c r="EB201" s="5">
        <f t="shared" si="573"/>
        <v>6.6844975001689066</v>
      </c>
      <c r="EC201" s="5">
        <f t="shared" si="574"/>
        <v>1.7078157285860682</v>
      </c>
      <c r="ED201" s="5"/>
      <c r="EE201" s="173">
        <f t="shared" si="575"/>
        <v>1.46964758817278</v>
      </c>
      <c r="EF201" s="173">
        <f t="shared" si="576"/>
        <v>1.5675874257681155</v>
      </c>
      <c r="EG201" s="173">
        <f t="shared" si="577"/>
        <v>0.38498102956364011</v>
      </c>
      <c r="EH201" s="173"/>
      <c r="EI201" s="528">
        <f t="shared" si="578"/>
        <v>4.3197280668441376E-2</v>
      </c>
      <c r="EJ201" s="528">
        <f t="shared" si="579"/>
        <v>0.50239166666666668</v>
      </c>
      <c r="EK201" s="528">
        <f t="shared" si="580"/>
        <v>2.2885939428969073E-2</v>
      </c>
      <c r="EL201" s="528">
        <f t="shared" si="581"/>
        <v>0.12491470621167126</v>
      </c>
      <c r="EM201">
        <f t="shared" si="582"/>
        <v>8.5500000000000003E-3</v>
      </c>
      <c r="EN201" s="460">
        <f t="shared" si="583"/>
        <v>31.435939428969071</v>
      </c>
      <c r="EP201" s="460">
        <f t="shared" si="603"/>
        <v>701.93959297574838</v>
      </c>
      <c r="EQ201" s="173">
        <f t="shared" si="584"/>
        <v>0.63700000000000001</v>
      </c>
      <c r="ER201" s="173">
        <f t="shared" si="585"/>
        <v>0.100953125</v>
      </c>
      <c r="ES201" s="528"/>
      <c r="EU201" s="460">
        <f t="shared" si="497"/>
        <v>737.953125</v>
      </c>
      <c r="EV201" s="528">
        <f t="shared" si="586"/>
        <v>6.4795921002662071E-2</v>
      </c>
      <c r="EW201" s="528">
        <f t="shared" si="587"/>
        <v>7.3719910122789209E-2</v>
      </c>
      <c r="EX201" s="528">
        <f t="shared" si="588"/>
        <v>7.4105196561940177E-4</v>
      </c>
      <c r="EY201" s="528">
        <f t="shared" si="589"/>
        <v>0.74648576287198487</v>
      </c>
      <c r="EZ201" s="528"/>
      <c r="FA201" s="625">
        <f t="shared" si="590"/>
        <v>1.3782890961262548E-2</v>
      </c>
      <c r="FB201" s="460">
        <f t="shared" si="613"/>
        <v>899.52553692431798</v>
      </c>
      <c r="FC201" s="173">
        <f t="shared" si="591"/>
        <v>2.3394182549000666</v>
      </c>
      <c r="FD201" s="5">
        <f t="shared" si="592"/>
        <v>16.38</v>
      </c>
      <c r="FE201" s="173">
        <f t="shared" si="593"/>
        <v>0.87502719245627769</v>
      </c>
      <c r="FF201" s="5">
        <f t="shared" si="594"/>
        <v>87.502719245627773</v>
      </c>
      <c r="FG201">
        <f t="shared" si="595"/>
        <v>91</v>
      </c>
      <c r="FI201" s="562">
        <f t="shared" si="596"/>
        <v>-50</v>
      </c>
      <c r="FJ201">
        <f t="shared" si="597"/>
        <v>-50</v>
      </c>
    </row>
    <row r="202" spans="5:166">
      <c r="E202" s="170">
        <v>92</v>
      </c>
      <c r="F202" s="217">
        <f t="shared" si="598"/>
        <v>0.92</v>
      </c>
      <c r="G202" s="217">
        <f t="shared" si="499"/>
        <v>0.23</v>
      </c>
      <c r="H202" s="217">
        <f t="shared" si="500"/>
        <v>14.72</v>
      </c>
      <c r="I202" s="217">
        <f t="shared" si="501"/>
        <v>1.84</v>
      </c>
      <c r="J202" s="541">
        <f t="shared" si="502"/>
        <v>18.878480773895483</v>
      </c>
      <c r="K202" s="443">
        <f t="shared" si="503"/>
        <v>16.753612892306244</v>
      </c>
      <c r="L202" s="172">
        <f t="shared" si="504"/>
        <v>35.632093666201726</v>
      </c>
      <c r="M202" s="443"/>
      <c r="N202" s="217">
        <f t="shared" si="505"/>
        <v>0.47018323001877449</v>
      </c>
      <c r="O202" s="172">
        <f t="shared" si="506"/>
        <v>19.725211262483363</v>
      </c>
      <c r="P202" s="172">
        <f t="shared" si="507"/>
        <v>2.7738578337867228</v>
      </c>
      <c r="Q202" s="217">
        <f t="shared" si="508"/>
        <v>1.2328257039052102</v>
      </c>
      <c r="R202" s="217">
        <f t="shared" si="509"/>
        <v>2.4656514078104204</v>
      </c>
      <c r="S202" s="217">
        <f t="shared" si="510"/>
        <v>16</v>
      </c>
      <c r="T202" s="217">
        <f t="shared" si="511"/>
        <v>3.731265486620392</v>
      </c>
      <c r="U202" s="217">
        <f t="shared" si="512"/>
        <v>2.3717578959721326</v>
      </c>
      <c r="V202" s="217">
        <f t="shared" si="513"/>
        <v>2.6725689633193568</v>
      </c>
      <c r="W202" s="197">
        <f t="shared" si="514"/>
        <v>350</v>
      </c>
      <c r="X202" s="443">
        <f t="shared" si="599"/>
        <v>190.68224136874267</v>
      </c>
      <c r="Z202" s="217">
        <f t="shared" si="515"/>
        <v>2.1134154924089312</v>
      </c>
      <c r="AA202" s="173">
        <f t="shared" si="516"/>
        <v>1.5137621999463586</v>
      </c>
      <c r="AB202" s="173">
        <f t="shared" si="517"/>
        <v>0.49765465325172498</v>
      </c>
      <c r="AC202" s="173"/>
      <c r="AD202" s="173">
        <f t="shared" si="518"/>
        <v>0.71626341596508747</v>
      </c>
      <c r="AE202" s="545">
        <f t="shared" si="519"/>
        <v>2568.8873101536242</v>
      </c>
      <c r="AF202" s="528">
        <f t="shared" si="520"/>
        <v>0.1253460977938903</v>
      </c>
      <c r="AH202" s="173">
        <f t="shared" si="521"/>
        <v>2.8081514000698551</v>
      </c>
      <c r="AI202" s="173">
        <f t="shared" si="522"/>
        <v>3.731265486620392</v>
      </c>
      <c r="AJ202" s="173">
        <f t="shared" si="523"/>
        <v>3.2231596197188086</v>
      </c>
      <c r="AL202" s="545">
        <f t="shared" si="524"/>
        <v>920</v>
      </c>
      <c r="AM202" s="460">
        <f t="shared" si="525"/>
        <v>190.68224136874267</v>
      </c>
      <c r="AO202">
        <f t="shared" si="526"/>
        <v>920</v>
      </c>
      <c r="AP202">
        <f t="shared" si="527"/>
        <v>190.68224136874267</v>
      </c>
      <c r="AR202" s="5">
        <f t="shared" si="616"/>
        <v>5.2443268592914905</v>
      </c>
      <c r="AS202" s="5">
        <f t="shared" si="604"/>
        <v>2.3717578959721326</v>
      </c>
      <c r="AT202" s="5">
        <f t="shared" si="605"/>
        <v>2.8725689633193578</v>
      </c>
      <c r="AU202" s="173">
        <f t="shared" si="606"/>
        <v>0.4522521115879794</v>
      </c>
      <c r="AW202" s="5">
        <f t="shared" si="477"/>
        <v>13.637607901839763</v>
      </c>
      <c r="AX202" s="5">
        <f t="shared" si="478"/>
        <v>6.8188039509198815</v>
      </c>
      <c r="AY202" s="5">
        <f t="shared" si="479"/>
        <v>1.8665085592467321</v>
      </c>
      <c r="AZ202" s="5"/>
      <c r="BA202" s="173">
        <f t="shared" si="480"/>
        <v>1.4487245686334491</v>
      </c>
      <c r="BB202" s="173">
        <f t="shared" si="481"/>
        <v>1.5943581262646096</v>
      </c>
      <c r="BC202" s="173">
        <f t="shared" si="482"/>
        <v>0.39155559865616141</v>
      </c>
      <c r="BD202" s="173"/>
      <c r="BE202" s="528">
        <f t="shared" si="483"/>
        <v>4.1976057515243463E-2</v>
      </c>
      <c r="BF202" s="528">
        <f t="shared" si="528"/>
        <v>0.46266922124777921</v>
      </c>
      <c r="BG202" s="528">
        <f t="shared" si="529"/>
        <v>8.279519363487145E-2</v>
      </c>
      <c r="BH202" s="528">
        <f t="shared" si="484"/>
        <v>0.11923373972540445</v>
      </c>
      <c r="BI202">
        <f t="shared" si="485"/>
        <v>8.4953163482529674E-3</v>
      </c>
      <c r="BJ202" s="460">
        <f t="shared" si="600"/>
        <v>91.290509983124423</v>
      </c>
      <c r="BK202">
        <f t="shared" si="530"/>
        <v>0.64161167528919416</v>
      </c>
      <c r="BL202" s="460">
        <f t="shared" si="601"/>
        <v>715.16952847155142</v>
      </c>
      <c r="BM202" s="173">
        <f t="shared" si="531"/>
        <v>0.57155</v>
      </c>
      <c r="BN202" s="173">
        <f t="shared" si="532"/>
        <v>0.1428875</v>
      </c>
      <c r="BO202" s="528"/>
      <c r="BQ202" s="460">
        <f t="shared" si="486"/>
        <v>714.43750000000011</v>
      </c>
      <c r="BR202" s="528">
        <f t="shared" si="487"/>
        <v>6.2964086272865191E-2</v>
      </c>
      <c r="BS202" s="528">
        <f t="shared" si="488"/>
        <v>7.6259335043579901E-2</v>
      </c>
      <c r="BT202" s="528">
        <f t="shared" si="489"/>
        <v>7.6657893419492472E-4</v>
      </c>
      <c r="BU202" s="528">
        <f t="shared" si="490"/>
        <v>0.67512781690506407</v>
      </c>
      <c r="BV202" s="528"/>
      <c r="BW202" s="625">
        <f t="shared" si="533"/>
        <v>1.3273717013822271E-2</v>
      </c>
      <c r="BX202" s="460">
        <f t="shared" si="607"/>
        <v>828.39153416952638</v>
      </c>
      <c r="BY202" s="173">
        <f t="shared" si="608"/>
        <v>2.2579985626410779</v>
      </c>
      <c r="BZ202" s="5">
        <f t="shared" si="609"/>
        <v>16.560000000000002</v>
      </c>
      <c r="CA202" s="173">
        <f t="shared" si="610"/>
        <v>0.88000856971453767</v>
      </c>
      <c r="CB202" s="5">
        <f t="shared" si="611"/>
        <v>88.000856971453771</v>
      </c>
      <c r="CC202">
        <f t="shared" si="612"/>
        <v>92</v>
      </c>
      <c r="CE202" s="562">
        <f t="shared" si="534"/>
        <v>-50</v>
      </c>
      <c r="CF202">
        <f t="shared" si="535"/>
        <v>-50</v>
      </c>
      <c r="CG202" s="173">
        <f t="shared" si="536"/>
        <v>0.51480154889510166</v>
      </c>
      <c r="CH202" s="173">
        <f t="shared" si="537"/>
        <v>0.18198046272135288</v>
      </c>
      <c r="CI202" s="170">
        <v>92</v>
      </c>
      <c r="CJ202" s="217">
        <f t="shared" si="602"/>
        <v>0.92</v>
      </c>
      <c r="CK202" s="217">
        <f t="shared" si="538"/>
        <v>0.23</v>
      </c>
      <c r="CL202" s="217">
        <f t="shared" si="539"/>
        <v>14.72</v>
      </c>
      <c r="CM202" s="217">
        <f t="shared" si="540"/>
        <v>1.84</v>
      </c>
      <c r="CN202" s="541">
        <f t="shared" si="541"/>
        <v>19</v>
      </c>
      <c r="CO202" s="443">
        <f t="shared" si="542"/>
        <v>16.7</v>
      </c>
      <c r="CP202" s="443">
        <f t="shared" si="543"/>
        <v>35.700000000000003</v>
      </c>
      <c r="CQ202" s="443"/>
      <c r="CR202" s="217">
        <f t="shared" si="544"/>
        <v>0.4632768361581921</v>
      </c>
      <c r="CS202" s="172">
        <f t="shared" si="545"/>
        <v>19.560577526679221</v>
      </c>
      <c r="CT202" s="172">
        <f t="shared" si="546"/>
        <v>2.7507062146892656</v>
      </c>
      <c r="CU202" s="217">
        <f t="shared" si="547"/>
        <v>1.2225360954174513</v>
      </c>
      <c r="CV202" s="217">
        <f t="shared" si="548"/>
        <v>2.4450721908349027</v>
      </c>
      <c r="CW202" s="217">
        <f t="shared" si="549"/>
        <v>16</v>
      </c>
      <c r="CX202" s="217">
        <f t="shared" si="550"/>
        <v>3.7626700898587937</v>
      </c>
      <c r="CY202" s="217">
        <f t="shared" si="551"/>
        <v>2.3764232146476592</v>
      </c>
      <c r="CZ202" s="217">
        <f t="shared" si="552"/>
        <v>2.7037150346290733</v>
      </c>
      <c r="DA202" s="197">
        <f t="shared" si="553"/>
        <v>350</v>
      </c>
      <c r="DB202" s="443">
        <f t="shared" si="554"/>
        <v>196.84503667638802</v>
      </c>
      <c r="DD202" s="217">
        <f t="shared" si="555"/>
        <v>2.1161798052554355</v>
      </c>
      <c r="DE202" s="173">
        <f t="shared" si="556"/>
        <v>1.5206082432973189</v>
      </c>
      <c r="DF202" s="173">
        <f t="shared" si="557"/>
        <v>0.50055918207100247</v>
      </c>
      <c r="DG202" s="173"/>
      <c r="DH202" s="173">
        <f t="shared" si="558"/>
        <v>0.71856287425149712</v>
      </c>
      <c r="DI202" s="545">
        <f t="shared" si="559"/>
        <v>2560.6666666666665</v>
      </c>
      <c r="DJ202" s="528">
        <f t="shared" si="560"/>
        <v>0.125748502994012</v>
      </c>
      <c r="DL202" s="173">
        <f t="shared" si="561"/>
        <v>2.8081514000698551</v>
      </c>
      <c r="DM202" s="173">
        <f t="shared" si="562"/>
        <v>3.7626700898587937</v>
      </c>
      <c r="DN202" s="173">
        <f t="shared" si="563"/>
        <v>3.2464222887842915</v>
      </c>
      <c r="DP202" s="545">
        <f t="shared" si="564"/>
        <v>920</v>
      </c>
      <c r="DQ202" s="460">
        <f t="shared" si="565"/>
        <v>196.84503667638802</v>
      </c>
      <c r="DS202">
        <f t="shared" si="614"/>
        <v>920</v>
      </c>
      <c r="DT202">
        <f t="shared" si="615"/>
        <v>196.84503667638802</v>
      </c>
      <c r="DV202" s="5">
        <f t="shared" si="568"/>
        <v>5.0801382492767324</v>
      </c>
      <c r="DW202" s="5">
        <f t="shared" si="569"/>
        <v>2.3764232146476592</v>
      </c>
      <c r="DX202" s="5">
        <f t="shared" si="570"/>
        <v>2.7037150346290733</v>
      </c>
      <c r="DY202" s="173">
        <f t="shared" si="571"/>
        <v>0.46778711484593838</v>
      </c>
      <c r="EA202" s="5">
        <f t="shared" si="572"/>
        <v>13.664433484224039</v>
      </c>
      <c r="EB202" s="5">
        <f t="shared" si="573"/>
        <v>6.8322167421120197</v>
      </c>
      <c r="EC202" s="5">
        <f t="shared" si="574"/>
        <v>1.7455563732342085</v>
      </c>
      <c r="ED202" s="5"/>
      <c r="EE202" s="173">
        <f t="shared" si="575"/>
        <v>1.4857975616691845</v>
      </c>
      <c r="EF202" s="173">
        <f t="shared" si="576"/>
        <v>1.584813661216117</v>
      </c>
      <c r="EG202" s="173">
        <f t="shared" si="577"/>
        <v>0.38921159032807578</v>
      </c>
      <c r="EH202" s="173"/>
      <c r="EI202" s="528">
        <f t="shared" si="578"/>
        <v>4.4151887885241888E-2</v>
      </c>
      <c r="EJ202" s="528">
        <f t="shared" si="579"/>
        <v>0.50239166666666679</v>
      </c>
      <c r="EK202" s="528">
        <f t="shared" si="580"/>
        <v>2.2637179217784624E-2</v>
      </c>
      <c r="EL202" s="528">
        <f t="shared" si="581"/>
        <v>0.12355693766589224</v>
      </c>
      <c r="EM202">
        <f t="shared" si="582"/>
        <v>8.5500000000000003E-3</v>
      </c>
      <c r="EN202" s="460">
        <f t="shared" si="583"/>
        <v>31.187179217784625</v>
      </c>
      <c r="EP202" s="460">
        <f t="shared" si="603"/>
        <v>701.28767143558559</v>
      </c>
      <c r="EQ202" s="173">
        <f t="shared" si="584"/>
        <v>0.64400000000000002</v>
      </c>
      <c r="ER202" s="173">
        <f t="shared" si="585"/>
        <v>0.1020625</v>
      </c>
      <c r="ES202" s="528"/>
      <c r="EU202" s="460">
        <f t="shared" si="497"/>
        <v>746.06250000000011</v>
      </c>
      <c r="EV202" s="528">
        <f t="shared" si="586"/>
        <v>6.6227831827862835E-2</v>
      </c>
      <c r="EW202" s="528">
        <f t="shared" si="587"/>
        <v>7.5349030223317001E-2</v>
      </c>
      <c r="EX202" s="528">
        <f t="shared" si="588"/>
        <v>7.5742831022854954E-4</v>
      </c>
      <c r="EY202" s="528">
        <f t="shared" si="589"/>
        <v>0.74648576287198398</v>
      </c>
      <c r="EZ202" s="528"/>
      <c r="FA202" s="625">
        <f t="shared" si="590"/>
        <v>1.3934351301496209E-2</v>
      </c>
      <c r="FB202" s="460">
        <f t="shared" si="613"/>
        <v>902.75440453488852</v>
      </c>
      <c r="FC202" s="173">
        <f t="shared" si="591"/>
        <v>2.3501045759704744</v>
      </c>
      <c r="FD202" s="5">
        <f t="shared" si="592"/>
        <v>16.560000000000002</v>
      </c>
      <c r="FE202" s="173">
        <f t="shared" si="593"/>
        <v>0.87572228558921839</v>
      </c>
      <c r="FF202" s="5">
        <f t="shared" si="594"/>
        <v>87.572228558921836</v>
      </c>
      <c r="FG202">
        <f t="shared" si="595"/>
        <v>92</v>
      </c>
      <c r="FI202" s="562">
        <f t="shared" si="596"/>
        <v>-50</v>
      </c>
      <c r="FJ202">
        <f t="shared" si="597"/>
        <v>-50</v>
      </c>
    </row>
    <row r="203" spans="5:166">
      <c r="E203" s="170">
        <v>93</v>
      </c>
      <c r="F203" s="217">
        <f t="shared" si="598"/>
        <v>0.93</v>
      </c>
      <c r="G203" s="217">
        <f t="shared" si="499"/>
        <v>0.23250000000000001</v>
      </c>
      <c r="H203" s="217">
        <f t="shared" si="500"/>
        <v>14.88</v>
      </c>
      <c r="I203" s="217">
        <f t="shared" si="501"/>
        <v>1.86</v>
      </c>
      <c r="J203" s="541">
        <f t="shared" si="502"/>
        <v>18.877159912742176</v>
      </c>
      <c r="K203" s="443">
        <f t="shared" si="503"/>
        <v>16.754195641135659</v>
      </c>
      <c r="L203" s="172">
        <f t="shared" si="504"/>
        <v>35.631355553877839</v>
      </c>
      <c r="M203" s="443"/>
      <c r="N203" s="217">
        <f t="shared" si="505"/>
        <v>0.47020932492455408</v>
      </c>
      <c r="O203" s="172">
        <f t="shared" si="506"/>
        <v>19.724925820140786</v>
      </c>
      <c r="P203" s="172">
        <f t="shared" si="507"/>
        <v>2.773817693457298</v>
      </c>
      <c r="Q203" s="217">
        <f t="shared" si="508"/>
        <v>1.2328078637587991</v>
      </c>
      <c r="R203" s="217">
        <f t="shared" si="509"/>
        <v>2.4656157275175983</v>
      </c>
      <c r="S203" s="217">
        <f t="shared" si="510"/>
        <v>16</v>
      </c>
      <c r="T203" s="217">
        <f t="shared" si="511"/>
        <v>3.7718773027795849</v>
      </c>
      <c r="U203" s="217">
        <f t="shared" si="512"/>
        <v>2.3977403297199698</v>
      </c>
      <c r="V203" s="217">
        <f t="shared" si="513"/>
        <v>2.7015637517222499</v>
      </c>
      <c r="W203" s="197">
        <f t="shared" si="514"/>
        <v>350</v>
      </c>
      <c r="X203" s="443">
        <f t="shared" si="599"/>
        <v>188.70402313804331</v>
      </c>
      <c r="Z203" s="217">
        <f t="shared" si="515"/>
        <v>2.1133849093007981</v>
      </c>
      <c r="AA203" s="173">
        <f t="shared" si="516"/>
        <v>1.5136876430727022</v>
      </c>
      <c r="AB203" s="173">
        <f t="shared" si="517"/>
        <v>0.49762294124121315</v>
      </c>
      <c r="AC203" s="173"/>
      <c r="AD203" s="173">
        <f t="shared" si="518"/>
        <v>0.71623850270299205</v>
      </c>
      <c r="AE203" s="545">
        <f t="shared" si="519"/>
        <v>2596.9003243760271</v>
      </c>
      <c r="AF203" s="528">
        <f t="shared" si="520"/>
        <v>0.12534173797302361</v>
      </c>
      <c r="AH203" s="173">
        <f t="shared" si="521"/>
        <v>2.8233718443429607</v>
      </c>
      <c r="AI203" s="173">
        <f t="shared" si="522"/>
        <v>3.7718773027795849</v>
      </c>
      <c r="AJ203" s="173">
        <f t="shared" si="523"/>
        <v>3.2532424465033962</v>
      </c>
      <c r="AL203" s="545">
        <f t="shared" si="524"/>
        <v>930</v>
      </c>
      <c r="AM203" s="460">
        <f t="shared" si="525"/>
        <v>188.70402313804331</v>
      </c>
      <c r="AO203">
        <f t="shared" si="526"/>
        <v>930</v>
      </c>
      <c r="AP203">
        <f t="shared" si="527"/>
        <v>188.70402313804331</v>
      </c>
      <c r="AR203" s="5">
        <f t="shared" si="616"/>
        <v>5.2993040814422194</v>
      </c>
      <c r="AS203" s="5">
        <f t="shared" si="604"/>
        <v>2.3977403297199698</v>
      </c>
      <c r="AT203" s="5">
        <f t="shared" si="605"/>
        <v>2.9015637517222497</v>
      </c>
      <c r="AU203" s="173">
        <f t="shared" si="606"/>
        <v>0.4524632466584968</v>
      </c>
      <c r="AW203" s="5">
        <f t="shared" si="477"/>
        <v>13.936865666497326</v>
      </c>
      <c r="AX203" s="5">
        <f t="shared" si="478"/>
        <v>6.9684328332486629</v>
      </c>
      <c r="AY203" s="5">
        <f t="shared" si="479"/>
        <v>1.9059747699159779</v>
      </c>
      <c r="AZ203" s="5"/>
      <c r="BA203" s="173">
        <f t="shared" si="480"/>
        <v>1.464834578633742</v>
      </c>
      <c r="BB203" s="173">
        <f t="shared" si="481"/>
        <v>1.6114007735446119</v>
      </c>
      <c r="BC203" s="173">
        <f t="shared" si="482"/>
        <v>0.39574107232639727</v>
      </c>
      <c r="BD203" s="173"/>
      <c r="BE203" s="528">
        <f t="shared" si="483"/>
        <v>4.2914806855221851E-2</v>
      </c>
      <c r="BF203" s="528">
        <f t="shared" si="528"/>
        <v>0.46284324520393516</v>
      </c>
      <c r="BG203" s="528">
        <f t="shared" si="529"/>
        <v>8.1930508481956793E-2</v>
      </c>
      <c r="BH203" s="528">
        <f t="shared" si="484"/>
        <v>0.1179918699614816</v>
      </c>
      <c r="BI203">
        <f t="shared" si="485"/>
        <v>8.4947219607339787E-3</v>
      </c>
      <c r="BJ203" s="460">
        <f t="shared" si="600"/>
        <v>90.425230442690761</v>
      </c>
      <c r="BK203">
        <f t="shared" si="530"/>
        <v>0.64188190602532347</v>
      </c>
      <c r="BL203" s="460">
        <f t="shared" si="601"/>
        <v>714.17515246332937</v>
      </c>
      <c r="BM203" s="173">
        <f t="shared" si="531"/>
        <v>0.57776249999999996</v>
      </c>
      <c r="BN203" s="173">
        <f t="shared" si="532"/>
        <v>0.14444062499999999</v>
      </c>
      <c r="BO203" s="528"/>
      <c r="BQ203" s="460">
        <f t="shared" si="486"/>
        <v>722.203125</v>
      </c>
      <c r="BR203" s="528">
        <f t="shared" si="487"/>
        <v>6.437221028283277E-2</v>
      </c>
      <c r="BS203" s="528">
        <f t="shared" si="488"/>
        <v>7.7898373589405198E-2</v>
      </c>
      <c r="BT203" s="528">
        <f t="shared" si="489"/>
        <v>7.8305498163023406E-4</v>
      </c>
      <c r="BU203" s="528">
        <f t="shared" si="490"/>
        <v>0.67579783326010767</v>
      </c>
      <c r="BV203" s="528"/>
      <c r="BW203" s="625">
        <f t="shared" si="533"/>
        <v>1.3423515775444862E-2</v>
      </c>
      <c r="BX203" s="460">
        <f t="shared" si="607"/>
        <v>832.2749878894208</v>
      </c>
      <c r="BY203" s="173">
        <f t="shared" si="608"/>
        <v>2.2686532653527505</v>
      </c>
      <c r="BZ203" s="5">
        <f t="shared" si="609"/>
        <v>16.740000000000002</v>
      </c>
      <c r="CA203" s="173">
        <f t="shared" si="610"/>
        <v>0.88065155202300183</v>
      </c>
      <c r="CB203" s="5">
        <f t="shared" si="611"/>
        <v>88.06515520230019</v>
      </c>
      <c r="CC203">
        <f t="shared" si="612"/>
        <v>93</v>
      </c>
      <c r="CE203" s="562">
        <f t="shared" si="534"/>
        <v>-50</v>
      </c>
      <c r="CF203">
        <f t="shared" si="535"/>
        <v>-50</v>
      </c>
      <c r="CG203" s="173">
        <f t="shared" si="536"/>
        <v>0.51480154889510155</v>
      </c>
      <c r="CH203" s="173">
        <f t="shared" si="537"/>
        <v>0.18198046272135285</v>
      </c>
      <c r="CI203" s="170">
        <v>93</v>
      </c>
      <c r="CJ203" s="217">
        <f t="shared" si="602"/>
        <v>0.93</v>
      </c>
      <c r="CK203" s="217">
        <f t="shared" si="538"/>
        <v>0.23250000000000001</v>
      </c>
      <c r="CL203" s="217">
        <f t="shared" si="539"/>
        <v>14.88</v>
      </c>
      <c r="CM203" s="217">
        <f t="shared" si="540"/>
        <v>1.86</v>
      </c>
      <c r="CN203" s="541">
        <f t="shared" si="541"/>
        <v>19</v>
      </c>
      <c r="CO203" s="443">
        <f t="shared" si="542"/>
        <v>16.7</v>
      </c>
      <c r="CP203" s="443">
        <f t="shared" si="543"/>
        <v>35.700000000000003</v>
      </c>
      <c r="CQ203" s="443"/>
      <c r="CR203" s="217">
        <f t="shared" si="544"/>
        <v>0.4632768361581921</v>
      </c>
      <c r="CS203" s="172">
        <f t="shared" si="545"/>
        <v>19.560577526679221</v>
      </c>
      <c r="CT203" s="172">
        <f t="shared" si="546"/>
        <v>2.7507062146892656</v>
      </c>
      <c r="CU203" s="217">
        <f t="shared" si="547"/>
        <v>1.2225360954174513</v>
      </c>
      <c r="CV203" s="217">
        <f t="shared" si="548"/>
        <v>2.4450721908349027</v>
      </c>
      <c r="CW203" s="217">
        <f t="shared" si="549"/>
        <v>16</v>
      </c>
      <c r="CX203" s="217">
        <f t="shared" si="550"/>
        <v>3.803568677792041</v>
      </c>
      <c r="CY203" s="217">
        <f t="shared" si="551"/>
        <v>2.4022539017633942</v>
      </c>
      <c r="CZ203" s="217">
        <f t="shared" si="552"/>
        <v>2.7331032415272154</v>
      </c>
      <c r="DA203" s="197">
        <f t="shared" si="553"/>
        <v>350</v>
      </c>
      <c r="DB203" s="443">
        <f t="shared" si="554"/>
        <v>194.72842337879246</v>
      </c>
      <c r="DD203" s="217">
        <f t="shared" si="555"/>
        <v>2.1161798052554355</v>
      </c>
      <c r="DE203" s="173">
        <f t="shared" si="556"/>
        <v>1.5206082432973189</v>
      </c>
      <c r="DF203" s="173">
        <f t="shared" si="557"/>
        <v>0.50055918207100247</v>
      </c>
      <c r="DG203" s="173"/>
      <c r="DH203" s="173">
        <f t="shared" si="558"/>
        <v>0.71856287425149712</v>
      </c>
      <c r="DI203" s="545">
        <f t="shared" si="559"/>
        <v>2588.5</v>
      </c>
      <c r="DJ203" s="528">
        <f t="shared" si="560"/>
        <v>0.125748502994012</v>
      </c>
      <c r="DL203" s="173">
        <f t="shared" si="561"/>
        <v>2.8233718443429607</v>
      </c>
      <c r="DM203" s="173">
        <f t="shared" si="562"/>
        <v>3.803568677792041</v>
      </c>
      <c r="DN203" s="173">
        <f t="shared" si="563"/>
        <v>3.2767175391052152</v>
      </c>
      <c r="DP203" s="545">
        <f t="shared" si="564"/>
        <v>930</v>
      </c>
      <c r="DQ203" s="460">
        <f t="shared" si="565"/>
        <v>194.72842337879246</v>
      </c>
      <c r="DS203">
        <f t="shared" si="614"/>
        <v>930</v>
      </c>
      <c r="DT203">
        <f t="shared" si="615"/>
        <v>194.72842337879246</v>
      </c>
      <c r="DV203" s="5">
        <f t="shared" si="568"/>
        <v>5.1353571432906095</v>
      </c>
      <c r="DW203" s="5">
        <f t="shared" si="569"/>
        <v>2.4022539017633942</v>
      </c>
      <c r="DX203" s="5">
        <f t="shared" si="570"/>
        <v>2.7331032415272154</v>
      </c>
      <c r="DY203" s="173">
        <f t="shared" si="571"/>
        <v>0.46778711484593832</v>
      </c>
      <c r="EA203" s="5">
        <f t="shared" si="572"/>
        <v>13.963100803999728</v>
      </c>
      <c r="EB203" s="5">
        <f t="shared" si="573"/>
        <v>6.981550401999864</v>
      </c>
      <c r="EC203" s="5">
        <f t="shared" si="574"/>
        <v>1.783709483944077</v>
      </c>
      <c r="ED203" s="5"/>
      <c r="EE203" s="173">
        <f t="shared" si="575"/>
        <v>1.5019475351655884</v>
      </c>
      <c r="EF203" s="173">
        <f t="shared" si="576"/>
        <v>1.6020398966641183</v>
      </c>
      <c r="EG203" s="173">
        <f t="shared" si="577"/>
        <v>0.39344215109251141</v>
      </c>
      <c r="EH203" s="173"/>
      <c r="EI203" s="528">
        <f t="shared" si="578"/>
        <v>4.511692796779973E-2</v>
      </c>
      <c r="EJ203" s="528">
        <f t="shared" si="579"/>
        <v>0.50239166666666668</v>
      </c>
      <c r="EK203" s="528">
        <f t="shared" si="580"/>
        <v>2.2393768688561133E-2</v>
      </c>
      <c r="EL203" s="528">
        <f t="shared" si="581"/>
        <v>0.12222836844367833</v>
      </c>
      <c r="EM203">
        <f t="shared" si="582"/>
        <v>8.5500000000000003E-3</v>
      </c>
      <c r="EN203" s="460">
        <f t="shared" si="583"/>
        <v>30.943768688561136</v>
      </c>
      <c r="EP203" s="460">
        <f t="shared" si="603"/>
        <v>700.68073176670589</v>
      </c>
      <c r="EQ203" s="173">
        <f t="shared" si="584"/>
        <v>0.65100000000000002</v>
      </c>
      <c r="ER203" s="173">
        <f t="shared" si="585"/>
        <v>0.103171875</v>
      </c>
      <c r="ES203" s="528"/>
      <c r="EU203" s="460">
        <f t="shared" si="497"/>
        <v>754.171875</v>
      </c>
      <c r="EV203" s="528">
        <f t="shared" si="586"/>
        <v>6.7675391951699582E-2</v>
      </c>
      <c r="EW203" s="528">
        <f t="shared" si="587"/>
        <v>7.6995954915107356E-2</v>
      </c>
      <c r="EX203" s="528">
        <f t="shared" si="588"/>
        <v>7.7398363128151296E-4</v>
      </c>
      <c r="EY203" s="528">
        <f t="shared" si="589"/>
        <v>0.74648576287198598</v>
      </c>
      <c r="EZ203" s="528"/>
      <c r="FA203" s="625">
        <f t="shared" si="590"/>
        <v>1.4085811641729862E-2</v>
      </c>
      <c r="FB203" s="460">
        <f t="shared" si="613"/>
        <v>906.01690501180417</v>
      </c>
      <c r="FC203" s="173">
        <f t="shared" si="591"/>
        <v>2.3608695117785103</v>
      </c>
      <c r="FD203" s="5">
        <f t="shared" si="592"/>
        <v>16.740000000000002</v>
      </c>
      <c r="FE203" s="173">
        <f t="shared" si="593"/>
        <v>0.87639989319215628</v>
      </c>
      <c r="FF203" s="5">
        <f t="shared" si="594"/>
        <v>87.63998931921563</v>
      </c>
      <c r="FG203">
        <f t="shared" si="595"/>
        <v>93</v>
      </c>
      <c r="FI203" s="562">
        <f t="shared" si="596"/>
        <v>-50</v>
      </c>
      <c r="FJ203">
        <f t="shared" si="597"/>
        <v>-50</v>
      </c>
    </row>
    <row r="204" spans="5:166">
      <c r="E204" s="170">
        <v>94</v>
      </c>
      <c r="F204" s="217">
        <f t="shared" si="598"/>
        <v>0.94</v>
      </c>
      <c r="G204" s="217">
        <f t="shared" si="499"/>
        <v>0.23499999999999999</v>
      </c>
      <c r="H204" s="217">
        <f t="shared" si="500"/>
        <v>15.04</v>
      </c>
      <c r="I204" s="217">
        <f t="shared" si="501"/>
        <v>1.88</v>
      </c>
      <c r="J204" s="541">
        <f t="shared" si="502"/>
        <v>18.875839051588866</v>
      </c>
      <c r="K204" s="443">
        <f t="shared" si="503"/>
        <v>16.754778389965072</v>
      </c>
      <c r="L204" s="172">
        <f t="shared" si="504"/>
        <v>35.630617441553937</v>
      </c>
      <c r="M204" s="443"/>
      <c r="N204" s="217">
        <f t="shared" si="505"/>
        <v>0.47023542091148102</v>
      </c>
      <c r="O204" s="172">
        <f t="shared" si="506"/>
        <v>19.724640269958357</v>
      </c>
      <c r="P204" s="172">
        <f t="shared" si="507"/>
        <v>2.7737775379628942</v>
      </c>
      <c r="Q204" s="217">
        <f t="shared" si="508"/>
        <v>1.2327900168723973</v>
      </c>
      <c r="R204" s="217">
        <f t="shared" si="509"/>
        <v>2.4655800337447946</v>
      </c>
      <c r="S204" s="217">
        <f t="shared" si="510"/>
        <v>16</v>
      </c>
      <c r="T204" s="217">
        <f t="shared" si="511"/>
        <v>3.8124903151989775</v>
      </c>
      <c r="U204" s="217">
        <f t="shared" si="512"/>
        <v>2.4237271602788306</v>
      </c>
      <c r="V204" s="217">
        <f t="shared" si="513"/>
        <v>2.7305573799644334</v>
      </c>
      <c r="W204" s="197">
        <f t="shared" si="514"/>
        <v>350</v>
      </c>
      <c r="X204" s="443">
        <f t="shared" si="599"/>
        <v>186.76631629938862</v>
      </c>
      <c r="Z204" s="217">
        <f t="shared" si="515"/>
        <v>2.1133543146383955</v>
      </c>
      <c r="AA204" s="173">
        <f t="shared" si="516"/>
        <v>1.5136130831100545</v>
      </c>
      <c r="AB204" s="173">
        <f t="shared" si="517"/>
        <v>0.49759122620414015</v>
      </c>
      <c r="AC204" s="173"/>
      <c r="AD204" s="173">
        <f t="shared" si="518"/>
        <v>0.7162135911739157</v>
      </c>
      <c r="AE204" s="545">
        <f t="shared" si="519"/>
        <v>2624.9152810945279</v>
      </c>
      <c r="AF204" s="528">
        <f t="shared" si="520"/>
        <v>0.12533737845543522</v>
      </c>
      <c r="AH204" s="173">
        <f t="shared" si="521"/>
        <v>2.8385106758902379</v>
      </c>
      <c r="AI204" s="173">
        <f t="shared" si="522"/>
        <v>3.8124903151989775</v>
      </c>
      <c r="AJ204" s="173">
        <f t="shared" si="523"/>
        <v>3.2833261594066503</v>
      </c>
      <c r="AL204" s="545">
        <f t="shared" si="524"/>
        <v>940</v>
      </c>
      <c r="AM204" s="460">
        <f t="shared" si="525"/>
        <v>186.76631629938862</v>
      </c>
      <c r="AO204">
        <f t="shared" si="526"/>
        <v>940</v>
      </c>
      <c r="AP204">
        <f t="shared" si="527"/>
        <v>186.76631629938862</v>
      </c>
      <c r="AR204" s="5">
        <f t="shared" si="616"/>
        <v>5.3542845402432642</v>
      </c>
      <c r="AS204" s="5">
        <f t="shared" si="604"/>
        <v>2.4237271602788306</v>
      </c>
      <c r="AT204" s="5">
        <f t="shared" si="605"/>
        <v>2.9305573799644336</v>
      </c>
      <c r="AU204" s="173">
        <f t="shared" si="606"/>
        <v>0.45267059344005506</v>
      </c>
      <c r="AW204" s="5">
        <f t="shared" si="477"/>
        <v>14.23939706663813</v>
      </c>
      <c r="AX204" s="5">
        <f t="shared" si="478"/>
        <v>7.119698533319065</v>
      </c>
      <c r="AY204" s="5">
        <f t="shared" si="479"/>
        <v>1.9458553548358701</v>
      </c>
      <c r="AZ204" s="5"/>
      <c r="BA204" s="173">
        <f t="shared" si="480"/>
        <v>1.4809461364598544</v>
      </c>
      <c r="BB204" s="173">
        <f t="shared" si="481"/>
        <v>1.6284428171518019</v>
      </c>
      <c r="BC204" s="173">
        <f t="shared" si="482"/>
        <v>0.39992639774169253</v>
      </c>
      <c r="BD204" s="173"/>
      <c r="BE204" s="528">
        <f t="shared" si="483"/>
        <v>4.3864029181907398E-2</v>
      </c>
      <c r="BF204" s="528">
        <f t="shared" si="528"/>
        <v>0.46301335648407693</v>
      </c>
      <c r="BG204" s="528">
        <f t="shared" si="529"/>
        <v>8.1083531314684154E-2</v>
      </c>
      <c r="BH204" s="528">
        <f t="shared" si="484"/>
        <v>0.1167754324950909</v>
      </c>
      <c r="BI204">
        <f t="shared" si="485"/>
        <v>8.49412757321499E-3</v>
      </c>
      <c r="BJ204" s="460">
        <f t="shared" si="600"/>
        <v>89.577658887899148</v>
      </c>
      <c r="BK204">
        <f t="shared" si="530"/>
        <v>0.64218906036514634</v>
      </c>
      <c r="BL204" s="460">
        <f t="shared" si="601"/>
        <v>713.23047704897431</v>
      </c>
      <c r="BM204" s="173">
        <f t="shared" si="531"/>
        <v>0.58397499999999991</v>
      </c>
      <c r="BN204" s="173">
        <f t="shared" si="532"/>
        <v>0.14599374999999998</v>
      </c>
      <c r="BO204" s="528"/>
      <c r="BQ204" s="460">
        <f t="shared" si="486"/>
        <v>729.96874999999989</v>
      </c>
      <c r="BR204" s="528">
        <f t="shared" si="487"/>
        <v>6.5796043772861093E-2</v>
      </c>
      <c r="BS204" s="528">
        <f t="shared" si="488"/>
        <v>7.95547802619989E-2</v>
      </c>
      <c r="BT204" s="528">
        <f t="shared" si="489"/>
        <v>7.9970561805323224E-4</v>
      </c>
      <c r="BU204" s="528">
        <f t="shared" si="490"/>
        <v>0.67645398524794143</v>
      </c>
      <c r="BV204" s="528"/>
      <c r="BW204" s="625">
        <f t="shared" si="533"/>
        <v>1.357331898803572E-2</v>
      </c>
      <c r="BX204" s="460">
        <f t="shared" si="607"/>
        <v>836.17783388889029</v>
      </c>
      <c r="BY204" s="173">
        <f t="shared" si="608"/>
        <v>2.2793770609378643</v>
      </c>
      <c r="BZ204" s="5">
        <f t="shared" si="609"/>
        <v>16.919999999999998</v>
      </c>
      <c r="CA204" s="173">
        <f t="shared" si="610"/>
        <v>0.88127859285729759</v>
      </c>
      <c r="CB204" s="5">
        <f t="shared" si="611"/>
        <v>88.127859285729755</v>
      </c>
      <c r="CC204">
        <f t="shared" si="612"/>
        <v>94</v>
      </c>
      <c r="CE204" s="562">
        <f t="shared" si="534"/>
        <v>-50</v>
      </c>
      <c r="CF204">
        <f t="shared" si="535"/>
        <v>-50</v>
      </c>
      <c r="CG204" s="173">
        <f t="shared" si="536"/>
        <v>0.51480154889510166</v>
      </c>
      <c r="CH204" s="173">
        <f t="shared" si="537"/>
        <v>0.18198046272135288</v>
      </c>
      <c r="CI204" s="170">
        <v>94</v>
      </c>
      <c r="CJ204" s="217">
        <f t="shared" si="602"/>
        <v>0.94</v>
      </c>
      <c r="CK204" s="217">
        <f t="shared" si="538"/>
        <v>0.23499999999999999</v>
      </c>
      <c r="CL204" s="217">
        <f t="shared" si="539"/>
        <v>15.04</v>
      </c>
      <c r="CM204" s="217">
        <f t="shared" si="540"/>
        <v>1.88</v>
      </c>
      <c r="CN204" s="541">
        <f t="shared" si="541"/>
        <v>19</v>
      </c>
      <c r="CO204" s="443">
        <f t="shared" si="542"/>
        <v>16.7</v>
      </c>
      <c r="CP204" s="443">
        <f t="shared" si="543"/>
        <v>35.700000000000003</v>
      </c>
      <c r="CQ204" s="443"/>
      <c r="CR204" s="217">
        <f t="shared" si="544"/>
        <v>0.4632768361581921</v>
      </c>
      <c r="CS204" s="172">
        <f t="shared" si="545"/>
        <v>19.560577526679221</v>
      </c>
      <c r="CT204" s="172">
        <f t="shared" si="546"/>
        <v>2.7507062146892656</v>
      </c>
      <c r="CU204" s="217">
        <f t="shared" si="547"/>
        <v>1.2225360954174513</v>
      </c>
      <c r="CV204" s="217">
        <f t="shared" si="548"/>
        <v>2.4450721908349027</v>
      </c>
      <c r="CW204" s="217">
        <f t="shared" si="549"/>
        <v>16</v>
      </c>
      <c r="CX204" s="217">
        <f t="shared" si="550"/>
        <v>3.8444672657252879</v>
      </c>
      <c r="CY204" s="217">
        <f t="shared" si="551"/>
        <v>2.4280845888791291</v>
      </c>
      <c r="CZ204" s="217">
        <f t="shared" si="552"/>
        <v>2.7624914484253567</v>
      </c>
      <c r="DA204" s="197">
        <f t="shared" si="553"/>
        <v>350</v>
      </c>
      <c r="DB204" s="443">
        <f t="shared" si="554"/>
        <v>192.65684440667769</v>
      </c>
      <c r="DD204" s="217">
        <f t="shared" si="555"/>
        <v>2.1161798052554355</v>
      </c>
      <c r="DE204" s="173">
        <f t="shared" si="556"/>
        <v>1.5206082432973189</v>
      </c>
      <c r="DF204" s="173">
        <f t="shared" si="557"/>
        <v>0.50055918207100247</v>
      </c>
      <c r="DG204" s="173"/>
      <c r="DH204" s="173">
        <f t="shared" si="558"/>
        <v>0.71856287425149712</v>
      </c>
      <c r="DI204" s="545">
        <f t="shared" si="559"/>
        <v>2616.333333333333</v>
      </c>
      <c r="DJ204" s="528">
        <f t="shared" si="560"/>
        <v>0.125748502994012</v>
      </c>
      <c r="DL204" s="173">
        <f t="shared" si="561"/>
        <v>2.8385106758902379</v>
      </c>
      <c r="DM204" s="173">
        <f t="shared" si="562"/>
        <v>3.8444672657252879</v>
      </c>
      <c r="DN204" s="173">
        <f t="shared" si="563"/>
        <v>3.307012789426139</v>
      </c>
      <c r="DP204" s="545">
        <f t="shared" si="564"/>
        <v>940</v>
      </c>
      <c r="DQ204" s="460">
        <f t="shared" si="565"/>
        <v>192.65684440667769</v>
      </c>
      <c r="DS204">
        <f t="shared" si="614"/>
        <v>940</v>
      </c>
      <c r="DT204">
        <f t="shared" si="615"/>
        <v>192.65684440667769</v>
      </c>
      <c r="DV204" s="5">
        <f t="shared" si="568"/>
        <v>5.1905760373044858</v>
      </c>
      <c r="DW204" s="5">
        <f t="shared" si="569"/>
        <v>2.4280845888791291</v>
      </c>
      <c r="DX204" s="5">
        <f t="shared" si="570"/>
        <v>2.7624914484253567</v>
      </c>
      <c r="DY204" s="173">
        <f t="shared" si="571"/>
        <v>0.46778711484593838</v>
      </c>
      <c r="EA204" s="5">
        <f t="shared" si="572"/>
        <v>14.264996959664883</v>
      </c>
      <c r="EB204" s="5">
        <f t="shared" si="573"/>
        <v>7.1324984798324413</v>
      </c>
      <c r="EC204" s="5">
        <f t="shared" si="574"/>
        <v>1.8222750607156735</v>
      </c>
      <c r="ED204" s="5"/>
      <c r="EE204" s="173">
        <f t="shared" si="575"/>
        <v>1.5180975086619923</v>
      </c>
      <c r="EF204" s="173">
        <f t="shared" si="576"/>
        <v>1.6192661321121189</v>
      </c>
      <c r="EG204" s="173">
        <f t="shared" si="577"/>
        <v>0.39767271185694686</v>
      </c>
      <c r="EH204" s="173"/>
      <c r="EI204" s="528">
        <f t="shared" si="578"/>
        <v>4.609240091611496E-2</v>
      </c>
      <c r="EJ204" s="528">
        <f t="shared" si="579"/>
        <v>0.50239166666666668</v>
      </c>
      <c r="EK204" s="528">
        <f t="shared" si="580"/>
        <v>2.2155537106767938E-2</v>
      </c>
      <c r="EL204" s="528">
        <f t="shared" si="581"/>
        <v>0.12092806665172434</v>
      </c>
      <c r="EM204">
        <f t="shared" si="582"/>
        <v>8.5500000000000003E-3</v>
      </c>
      <c r="EN204" s="460">
        <f t="shared" si="583"/>
        <v>30.705537106767938</v>
      </c>
      <c r="EP204" s="460">
        <f t="shared" si="603"/>
        <v>700.11767134127388</v>
      </c>
      <c r="EQ204" s="173">
        <f t="shared" si="584"/>
        <v>0.65799999999999992</v>
      </c>
      <c r="ER204" s="173">
        <f t="shared" si="585"/>
        <v>0.10428124999999999</v>
      </c>
      <c r="ES204" s="528"/>
      <c r="EU204" s="460">
        <f t="shared" si="497"/>
        <v>762.28124999999989</v>
      </c>
      <c r="EV204" s="528">
        <f t="shared" si="586"/>
        <v>6.9138601374172437E-2</v>
      </c>
      <c r="EW204" s="528">
        <f t="shared" si="587"/>
        <v>7.8660684198160261E-2</v>
      </c>
      <c r="EX204" s="528">
        <f t="shared" si="588"/>
        <v>7.907179287782915E-4</v>
      </c>
      <c r="EY204" s="528">
        <f t="shared" si="589"/>
        <v>0.74648576287198398</v>
      </c>
      <c r="EZ204" s="528"/>
      <c r="FA204" s="625">
        <f t="shared" si="590"/>
        <v>1.4237271981963513E-2</v>
      </c>
      <c r="FB204" s="460">
        <f t="shared" si="613"/>
        <v>909.31303835505855</v>
      </c>
      <c r="FC204" s="173">
        <f t="shared" si="591"/>
        <v>2.3717119596963325</v>
      </c>
      <c r="FD204" s="5">
        <f t="shared" si="592"/>
        <v>16.919999999999998</v>
      </c>
      <c r="FE204" s="173">
        <f t="shared" si="593"/>
        <v>0.87706057582389574</v>
      </c>
      <c r="FF204" s="5">
        <f t="shared" si="594"/>
        <v>87.706057582389576</v>
      </c>
      <c r="FG204">
        <f t="shared" si="595"/>
        <v>94</v>
      </c>
      <c r="FI204" s="562">
        <f t="shared" si="596"/>
        <v>-50</v>
      </c>
      <c r="FJ204">
        <f t="shared" si="597"/>
        <v>-50</v>
      </c>
    </row>
    <row r="205" spans="5:166">
      <c r="E205" s="170">
        <v>95</v>
      </c>
      <c r="F205" s="217">
        <f t="shared" si="598"/>
        <v>0.95</v>
      </c>
      <c r="G205" s="217">
        <f t="shared" si="499"/>
        <v>0.23749999999999999</v>
      </c>
      <c r="H205" s="217">
        <f t="shared" si="500"/>
        <v>15.2</v>
      </c>
      <c r="I205" s="217">
        <f t="shared" si="501"/>
        <v>1.9</v>
      </c>
      <c r="J205" s="541">
        <f t="shared" si="502"/>
        <v>18.874518190435555</v>
      </c>
      <c r="K205" s="443">
        <f t="shared" si="503"/>
        <v>16.755361138794488</v>
      </c>
      <c r="L205" s="172">
        <f t="shared" si="504"/>
        <v>35.629879329230043</v>
      </c>
      <c r="M205" s="443"/>
      <c r="N205" s="217">
        <f t="shared" si="505"/>
        <v>0.47026151797962235</v>
      </c>
      <c r="O205" s="172">
        <f t="shared" si="506"/>
        <v>19.724354611929375</v>
      </c>
      <c r="P205" s="172">
        <f t="shared" si="507"/>
        <v>2.7737373673025685</v>
      </c>
      <c r="Q205" s="217">
        <f t="shared" si="508"/>
        <v>1.2327721632455859</v>
      </c>
      <c r="R205" s="217">
        <f t="shared" si="509"/>
        <v>2.4655443264911718</v>
      </c>
      <c r="S205" s="217">
        <f t="shared" si="510"/>
        <v>16</v>
      </c>
      <c r="T205" s="217">
        <f t="shared" si="511"/>
        <v>3.853104524597974</v>
      </c>
      <c r="U205" s="217">
        <f t="shared" si="512"/>
        <v>2.4497183890291772</v>
      </c>
      <c r="V205" s="217">
        <f t="shared" si="513"/>
        <v>2.7595498486821848</v>
      </c>
      <c r="W205" s="197">
        <f t="shared" si="514"/>
        <v>350</v>
      </c>
      <c r="X205" s="443">
        <f t="shared" si="599"/>
        <v>184.8678889740354</v>
      </c>
      <c r="Z205" s="217">
        <f t="shared" si="515"/>
        <v>2.1133237084210044</v>
      </c>
      <c r="AA205" s="173">
        <f t="shared" si="516"/>
        <v>1.5135385200582221</v>
      </c>
      <c r="AB205" s="173">
        <f t="shared" si="517"/>
        <v>0.49755950814071914</v>
      </c>
      <c r="AC205" s="173"/>
      <c r="AD205" s="173">
        <f t="shared" si="518"/>
        <v>0.71618868137767722</v>
      </c>
      <c r="AE205" s="545">
        <f t="shared" si="519"/>
        <v>2652.932180309127</v>
      </c>
      <c r="AF205" s="528">
        <f t="shared" si="520"/>
        <v>0.12533301924109352</v>
      </c>
      <c r="AH205" s="173">
        <f t="shared" si="521"/>
        <v>2.8535691936340255</v>
      </c>
      <c r="AI205" s="173">
        <f t="shared" si="522"/>
        <v>3.853104524597974</v>
      </c>
      <c r="AJ205" s="173">
        <f t="shared" si="523"/>
        <v>3.3134107589614619</v>
      </c>
      <c r="AL205" s="545">
        <f t="shared" si="524"/>
        <v>950</v>
      </c>
      <c r="AM205" s="460">
        <f t="shared" si="525"/>
        <v>184.8678889740354</v>
      </c>
      <c r="AO205">
        <f t="shared" si="526"/>
        <v>950</v>
      </c>
      <c r="AP205">
        <f t="shared" si="527"/>
        <v>184.8678889740354</v>
      </c>
      <c r="AR205" s="5">
        <f t="shared" si="616"/>
        <v>5.4092682377113608</v>
      </c>
      <c r="AS205" s="5">
        <f t="shared" si="604"/>
        <v>2.4497183890291772</v>
      </c>
      <c r="AT205" s="5">
        <f t="shared" si="605"/>
        <v>2.9595498486821836</v>
      </c>
      <c r="AU205" s="173">
        <f t="shared" si="606"/>
        <v>0.45287426716069878</v>
      </c>
      <c r="AW205" s="5">
        <f t="shared" si="477"/>
        <v>14.545202934860738</v>
      </c>
      <c r="AX205" s="5">
        <f t="shared" si="478"/>
        <v>7.2726014674303689</v>
      </c>
      <c r="AY205" s="5">
        <f t="shared" si="479"/>
        <v>1.9861503768417998</v>
      </c>
      <c r="AZ205" s="5"/>
      <c r="BA205" s="173">
        <f t="shared" si="480"/>
        <v>1.4970592369098779</v>
      </c>
      <c r="BB205" s="173">
        <f t="shared" si="481"/>
        <v>1.6454842651963002</v>
      </c>
      <c r="BC205" s="173">
        <f t="shared" si="482"/>
        <v>0.40411157689379723</v>
      </c>
      <c r="BD205" s="173"/>
      <c r="BE205" s="528">
        <f t="shared" si="483"/>
        <v>4.4823727176343711E-2</v>
      </c>
      <c r="BF205" s="528">
        <f t="shared" si="528"/>
        <v>0.46317967399444132</v>
      </c>
      <c r="BG205" s="528">
        <f t="shared" si="529"/>
        <v>8.0253723665160578E-2</v>
      </c>
      <c r="BH205" s="528">
        <f t="shared" si="484"/>
        <v>0.11558365397583985</v>
      </c>
      <c r="BI205">
        <f t="shared" si="485"/>
        <v>8.4935331856959995E-3</v>
      </c>
      <c r="BJ205" s="460">
        <f t="shared" si="600"/>
        <v>88.747256850856573</v>
      </c>
      <c r="BK205">
        <f t="shared" si="530"/>
        <v>0.64253250824414632</v>
      </c>
      <c r="BL205" s="460">
        <f t="shared" si="601"/>
        <v>712.33431199748145</v>
      </c>
      <c r="BM205" s="173">
        <f t="shared" si="531"/>
        <v>0.59018749999999986</v>
      </c>
      <c r="BN205" s="173">
        <f t="shared" si="532"/>
        <v>0.14754687499999997</v>
      </c>
      <c r="BO205" s="528"/>
      <c r="BQ205" s="460">
        <f t="shared" si="486"/>
        <v>737.73437499999989</v>
      </c>
      <c r="BR205" s="528">
        <f t="shared" si="487"/>
        <v>6.7235590764515574E-2</v>
      </c>
      <c r="BS205" s="528">
        <f t="shared" si="488"/>
        <v>8.1228554010258233E-2</v>
      </c>
      <c r="BT205" s="528">
        <f t="shared" si="489"/>
        <v>8.1653083289795708E-4</v>
      </c>
      <c r="BU205" s="528">
        <f t="shared" si="490"/>
        <v>0.67709668170398141</v>
      </c>
      <c r="BV205" s="528"/>
      <c r="BW205" s="625">
        <f t="shared" si="533"/>
        <v>1.3723126516424001E-2</v>
      </c>
      <c r="BX205" s="460">
        <f t="shared" si="607"/>
        <v>840.10048382807724</v>
      </c>
      <c r="BY205" s="173">
        <f t="shared" si="608"/>
        <v>2.2901691708255583</v>
      </c>
      <c r="BZ205" s="5">
        <f t="shared" si="609"/>
        <v>17.099999999999998</v>
      </c>
      <c r="CA205" s="173">
        <f t="shared" si="610"/>
        <v>0.88189019133100988</v>
      </c>
      <c r="CB205" s="5">
        <f t="shared" si="611"/>
        <v>88.189019133100985</v>
      </c>
      <c r="CC205">
        <f t="shared" si="612"/>
        <v>95</v>
      </c>
      <c r="CE205" s="562">
        <f t="shared" si="534"/>
        <v>-50</v>
      </c>
      <c r="CF205">
        <f t="shared" si="535"/>
        <v>-50</v>
      </c>
      <c r="CG205" s="173">
        <f t="shared" si="536"/>
        <v>0.51480154889510166</v>
      </c>
      <c r="CH205" s="173">
        <f t="shared" si="537"/>
        <v>0.18198046272135288</v>
      </c>
      <c r="CI205" s="170">
        <v>95</v>
      </c>
      <c r="CJ205" s="217">
        <f t="shared" si="602"/>
        <v>0.95</v>
      </c>
      <c r="CK205" s="217">
        <f t="shared" si="538"/>
        <v>0.23749999999999999</v>
      </c>
      <c r="CL205" s="217">
        <f t="shared" si="539"/>
        <v>15.2</v>
      </c>
      <c r="CM205" s="217">
        <f t="shared" si="540"/>
        <v>1.9</v>
      </c>
      <c r="CN205" s="541">
        <f t="shared" si="541"/>
        <v>19</v>
      </c>
      <c r="CO205" s="443">
        <f t="shared" si="542"/>
        <v>16.7</v>
      </c>
      <c r="CP205" s="443">
        <f t="shared" si="543"/>
        <v>35.700000000000003</v>
      </c>
      <c r="CQ205" s="443"/>
      <c r="CR205" s="217">
        <f t="shared" si="544"/>
        <v>0.4632768361581921</v>
      </c>
      <c r="CS205" s="172">
        <f t="shared" si="545"/>
        <v>19.560577526679221</v>
      </c>
      <c r="CT205" s="172">
        <f t="shared" si="546"/>
        <v>2.7507062146892656</v>
      </c>
      <c r="CU205" s="217">
        <f t="shared" si="547"/>
        <v>1.2225360954174513</v>
      </c>
      <c r="CV205" s="217">
        <f t="shared" si="548"/>
        <v>2.4450721908349027</v>
      </c>
      <c r="CW205" s="217">
        <f t="shared" si="549"/>
        <v>16</v>
      </c>
      <c r="CX205" s="217">
        <f t="shared" si="550"/>
        <v>3.8853658536585356</v>
      </c>
      <c r="CY205" s="217">
        <f t="shared" si="551"/>
        <v>2.4539152759948641</v>
      </c>
      <c r="CZ205" s="217">
        <f t="shared" si="552"/>
        <v>2.7918796553234988</v>
      </c>
      <c r="DA205" s="197">
        <f t="shared" si="553"/>
        <v>350</v>
      </c>
      <c r="DB205" s="443">
        <f t="shared" si="554"/>
        <v>190.62887762344951</v>
      </c>
      <c r="DD205" s="217">
        <f t="shared" si="555"/>
        <v>2.1161798052554355</v>
      </c>
      <c r="DE205" s="173">
        <f t="shared" si="556"/>
        <v>1.5206082432973189</v>
      </c>
      <c r="DF205" s="173">
        <f t="shared" si="557"/>
        <v>0.50055918207100247</v>
      </c>
      <c r="DG205" s="173"/>
      <c r="DH205" s="173">
        <f t="shared" si="558"/>
        <v>0.71856287425149712</v>
      </c>
      <c r="DI205" s="545">
        <f t="shared" si="559"/>
        <v>2644.1666666666661</v>
      </c>
      <c r="DJ205" s="528">
        <f t="shared" si="560"/>
        <v>0.125748502994012</v>
      </c>
      <c r="DL205" s="173">
        <f t="shared" si="561"/>
        <v>2.8535691936340255</v>
      </c>
      <c r="DM205" s="173">
        <f t="shared" si="562"/>
        <v>3.8853658536585356</v>
      </c>
      <c r="DN205" s="173">
        <f t="shared" si="563"/>
        <v>3.3373080397470636</v>
      </c>
      <c r="DP205" s="545">
        <f t="shared" si="564"/>
        <v>950</v>
      </c>
      <c r="DQ205" s="460">
        <f t="shared" si="565"/>
        <v>190.62887762344951</v>
      </c>
      <c r="DS205">
        <f t="shared" si="614"/>
        <v>950</v>
      </c>
      <c r="DT205">
        <f t="shared" si="615"/>
        <v>190.62887762344951</v>
      </c>
      <c r="DV205" s="5">
        <f t="shared" si="568"/>
        <v>5.2457949313183629</v>
      </c>
      <c r="DW205" s="5">
        <f t="shared" si="569"/>
        <v>2.4539152759948641</v>
      </c>
      <c r="DX205" s="5">
        <f t="shared" si="570"/>
        <v>2.7918796553234988</v>
      </c>
      <c r="DY205" s="173">
        <f t="shared" si="571"/>
        <v>0.46778711484593832</v>
      </c>
      <c r="EA205" s="5">
        <f t="shared" si="572"/>
        <v>14.570121951219505</v>
      </c>
      <c r="EB205" s="5">
        <f t="shared" si="573"/>
        <v>7.2850609756097526</v>
      </c>
      <c r="EC205" s="5">
        <f t="shared" si="574"/>
        <v>1.8612531035489988</v>
      </c>
      <c r="ED205" s="5"/>
      <c r="EE205" s="173">
        <f t="shared" si="575"/>
        <v>1.5342474821583965</v>
      </c>
      <c r="EF205" s="173">
        <f t="shared" si="576"/>
        <v>1.6364923675601204</v>
      </c>
      <c r="EG205" s="173">
        <f t="shared" si="577"/>
        <v>0.40190327262138248</v>
      </c>
      <c r="EH205" s="173"/>
      <c r="EI205" s="528">
        <f t="shared" si="578"/>
        <v>4.7078306730187584E-2</v>
      </c>
      <c r="EJ205" s="528">
        <f t="shared" si="579"/>
        <v>0.50239166666666679</v>
      </c>
      <c r="EK205" s="528">
        <f t="shared" si="580"/>
        <v>2.1922320926696697E-2</v>
      </c>
      <c r="EL205" s="528">
        <f t="shared" si="581"/>
        <v>0.11965513963433777</v>
      </c>
      <c r="EM205">
        <f t="shared" si="582"/>
        <v>8.5500000000000003E-3</v>
      </c>
      <c r="EN205" s="460">
        <f t="shared" si="583"/>
        <v>30.472320926696696</v>
      </c>
      <c r="EP205" s="460">
        <f t="shared" si="603"/>
        <v>699.5974339578886</v>
      </c>
      <c r="EQ205" s="173">
        <f t="shared" si="584"/>
        <v>0.66499999999999992</v>
      </c>
      <c r="ER205" s="173">
        <f t="shared" si="585"/>
        <v>0.10539062499999999</v>
      </c>
      <c r="ES205" s="528"/>
      <c r="EU205" s="460">
        <f t="shared" si="497"/>
        <v>770.39062499999989</v>
      </c>
      <c r="EV205" s="528">
        <f t="shared" si="586"/>
        <v>7.0617460095281373E-2</v>
      </c>
      <c r="EW205" s="528">
        <f t="shared" si="587"/>
        <v>8.0343218072475839E-2</v>
      </c>
      <c r="EX205" s="528">
        <f t="shared" si="588"/>
        <v>8.0763120271888644E-4</v>
      </c>
      <c r="EY205" s="528">
        <f t="shared" si="589"/>
        <v>0.74648576287198321</v>
      </c>
      <c r="EZ205" s="528"/>
      <c r="FA205" s="625">
        <f t="shared" si="590"/>
        <v>1.4388732322197166E-2</v>
      </c>
      <c r="FB205" s="460">
        <f t="shared" si="613"/>
        <v>912.64280456465644</v>
      </c>
      <c r="FC205" s="173">
        <f t="shared" si="591"/>
        <v>2.3826308635225448</v>
      </c>
      <c r="FD205" s="5">
        <f t="shared" si="592"/>
        <v>17.099999999999998</v>
      </c>
      <c r="FE205" s="173">
        <f t="shared" si="593"/>
        <v>0.87770487054787028</v>
      </c>
      <c r="FF205" s="5">
        <f t="shared" si="594"/>
        <v>87.770487054787026</v>
      </c>
      <c r="FG205">
        <f t="shared" si="595"/>
        <v>95</v>
      </c>
      <c r="FI205" s="562">
        <f t="shared" si="596"/>
        <v>-50</v>
      </c>
      <c r="FJ205">
        <f t="shared" si="597"/>
        <v>-50</v>
      </c>
    </row>
    <row r="206" spans="5:166">
      <c r="E206" s="170">
        <v>96</v>
      </c>
      <c r="F206" s="217">
        <f t="shared" si="598"/>
        <v>0.96</v>
      </c>
      <c r="G206" s="217">
        <f t="shared" si="499"/>
        <v>0.24</v>
      </c>
      <c r="H206" s="217">
        <f t="shared" si="500"/>
        <v>15.36</v>
      </c>
      <c r="I206" s="217">
        <f t="shared" si="501"/>
        <v>1.92</v>
      </c>
      <c r="J206" s="541">
        <f t="shared" si="502"/>
        <v>18.873197329282245</v>
      </c>
      <c r="K206" s="443">
        <f t="shared" si="503"/>
        <v>16.755943887623904</v>
      </c>
      <c r="L206" s="172">
        <f t="shared" si="504"/>
        <v>35.629141216906149</v>
      </c>
      <c r="M206" s="443"/>
      <c r="N206" s="217">
        <f t="shared" si="505"/>
        <v>0.47028761612904524</v>
      </c>
      <c r="O206" s="172">
        <f>N206*J206*Isw_max*0.5*Efficiency*Pout/(Pout+Pout2)</f>
        <v>19.724068846047132</v>
      </c>
      <c r="P206" s="172">
        <f t="shared" si="507"/>
        <v>2.7736971814753781</v>
      </c>
      <c r="Q206" s="217">
        <f t="shared" si="508"/>
        <v>1.2327543028779457</v>
      </c>
      <c r="R206" s="217">
        <f t="shared" si="509"/>
        <v>2.4655086057558915</v>
      </c>
      <c r="S206" s="217">
        <f t="shared" si="510"/>
        <v>16</v>
      </c>
      <c r="T206" s="217">
        <f t="shared" si="511"/>
        <v>3.8937199316961095</v>
      </c>
      <c r="U206" s="217">
        <f t="shared" si="512"/>
        <v>2.4757140173519434</v>
      </c>
      <c r="V206" s="217">
        <f t="shared" si="513"/>
        <v>2.7885411585117903</v>
      </c>
      <c r="W206" s="197">
        <f t="shared" si="514"/>
        <v>350</v>
      </c>
      <c r="X206" s="443">
        <f t="shared" si="599"/>
        <v>183.00755872769616</v>
      </c>
      <c r="Z206" s="217">
        <f t="shared" si="515"/>
        <v>2.113293090647907</v>
      </c>
      <c r="AA206" s="173">
        <f t="shared" si="516"/>
        <v>1.5134639539170136</v>
      </c>
      <c r="AB206" s="173">
        <f>0.5*AA206*Z206*Nps*W206/1000*(Pout/(Pout+Pout2))</f>
        <v>0.49752778705116468</v>
      </c>
      <c r="AC206" s="173"/>
      <c r="AD206" s="173">
        <f t="shared" si="518"/>
        <v>0.71616377331409609</v>
      </c>
      <c r="AE206" s="545">
        <f>MAX(10, F206/(0.5*AD206/1000000*Isw_min*Nps)/1000*Pout_total/Pout)</f>
        <v>2680.9510220198244</v>
      </c>
      <c r="AF206" s="528">
        <f t="shared" si="520"/>
        <v>0.12532866032996684</v>
      </c>
      <c r="AH206" s="173">
        <f t="shared" si="521"/>
        <v>2.8685486624025449</v>
      </c>
      <c r="AI206" s="173">
        <f>MAX(IF(F206&gt;AB206,T206,AH206),Isw_min)</f>
        <v>3.8937199316961095</v>
      </c>
      <c r="AJ206" s="173">
        <f>IF(F206&gt;AF206, (AI206-Isw_min)/1.08*0.8+1.2, AE206*0.2/350+1)</f>
        <v>3.3434962457008215</v>
      </c>
      <c r="AL206" s="545">
        <f t="shared" si="524"/>
        <v>960</v>
      </c>
      <c r="AM206" s="460">
        <f t="shared" si="525"/>
        <v>183.00755872769616</v>
      </c>
      <c r="AO206">
        <f t="shared" si="526"/>
        <v>960</v>
      </c>
      <c r="AP206">
        <f t="shared" si="527"/>
        <v>183.00755872769616</v>
      </c>
      <c r="AR206" s="5">
        <f t="shared" si="616"/>
        <v>5.4642551758637339</v>
      </c>
      <c r="AS206" s="5">
        <f t="shared" si="604"/>
        <v>2.4757140173519434</v>
      </c>
      <c r="AT206" s="5">
        <f t="shared" si="605"/>
        <v>2.9885411585117905</v>
      </c>
      <c r="AU206" s="173">
        <f t="shared" si="606"/>
        <v>0.45307437842351639</v>
      </c>
      <c r="AW206" s="5">
        <f t="shared" si="477"/>
        <v>14.85428410411166</v>
      </c>
      <c r="AX206" s="5">
        <f t="shared" si="478"/>
        <v>7.4271420520558298</v>
      </c>
      <c r="AY206" s="5">
        <f t="shared" si="479"/>
        <v>2.0268598988047404</v>
      </c>
      <c r="AZ206" s="5"/>
      <c r="BA206" s="173">
        <f t="shared" si="480"/>
        <v>1.5131738750059593</v>
      </c>
      <c r="BB206" s="173">
        <f t="shared" si="481"/>
        <v>1.6625251254728857</v>
      </c>
      <c r="BC206" s="173">
        <f t="shared" si="482"/>
        <v>0.40829661169701753</v>
      </c>
      <c r="BD206" s="173"/>
      <c r="BE206" s="528">
        <f t="shared" si="483"/>
        <v>4.579390352001101E-2</v>
      </c>
      <c r="BF206" s="528">
        <f t="shared" si="528"/>
        <v>0.46334231186867247</v>
      </c>
      <c r="BG206" s="528">
        <f t="shared" si="529"/>
        <v>7.9440568678214432E-2</v>
      </c>
      <c r="BH206" s="528">
        <f t="shared" si="484"/>
        <v>0.11441579209363857</v>
      </c>
      <c r="BI206">
        <f t="shared" si="485"/>
        <v>8.4929387981770108E-3</v>
      </c>
      <c r="BJ206" s="460">
        <f t="shared" si="600"/>
        <v>87.933507476391455</v>
      </c>
      <c r="BK206">
        <f t="shared" si="530"/>
        <v>0.64291164612607954</v>
      </c>
      <c r="BL206" s="460">
        <f t="shared" si="601"/>
        <v>711.48551495871357</v>
      </c>
      <c r="BM206" s="173">
        <f t="shared" si="531"/>
        <v>0.59639999999999993</v>
      </c>
      <c r="BN206" s="173">
        <f t="shared" si="532"/>
        <v>0.14909999999999998</v>
      </c>
      <c r="BO206" s="528"/>
      <c r="BQ206" s="460">
        <f t="shared" si="486"/>
        <v>745.49999999999989</v>
      </c>
      <c r="BR206" s="528">
        <f t="shared" si="487"/>
        <v>6.8690855280016519E-2</v>
      </c>
      <c r="BS206" s="528">
        <f t="shared" si="488"/>
        <v>8.2919693784859028E-2</v>
      </c>
      <c r="BT206" s="528">
        <f t="shared" si="489"/>
        <v>8.3353061561632557E-4</v>
      </c>
      <c r="BU206" s="528">
        <f t="shared" si="490"/>
        <v>0.6777263155460832</v>
      </c>
      <c r="BV206" s="528"/>
      <c r="BW206" s="625">
        <f t="shared" si="533"/>
        <v>1.3872938230864237E-2</v>
      </c>
      <c r="BX206" s="460">
        <f t="shared" si="607"/>
        <v>844.0433334574393</v>
      </c>
      <c r="BY206" s="173">
        <f t="shared" si="608"/>
        <v>2.301028848416153</v>
      </c>
      <c r="BZ206" s="5">
        <f t="shared" si="609"/>
        <v>17.28</v>
      </c>
      <c r="CA206" s="173">
        <f t="shared" si="610"/>
        <v>0.88248682608920859</v>
      </c>
      <c r="CB206" s="5">
        <f t="shared" si="611"/>
        <v>88.248682608920859</v>
      </c>
      <c r="CC206">
        <f t="shared" si="612"/>
        <v>96</v>
      </c>
      <c r="CE206" s="562">
        <f t="shared" si="534"/>
        <v>-50</v>
      </c>
      <c r="CF206">
        <f t="shared" si="535"/>
        <v>-50</v>
      </c>
      <c r="CG206" s="173">
        <f t="shared" si="536"/>
        <v>0.51480154889510166</v>
      </c>
      <c r="CH206" s="173">
        <f t="shared" si="537"/>
        <v>0.18198046272135288</v>
      </c>
      <c r="CI206" s="170">
        <v>96</v>
      </c>
      <c r="CJ206" s="217">
        <f t="shared" si="602"/>
        <v>0.96</v>
      </c>
      <c r="CK206" s="217">
        <f t="shared" si="538"/>
        <v>0.24</v>
      </c>
      <c r="CL206" s="217">
        <f t="shared" si="539"/>
        <v>15.36</v>
      </c>
      <c r="CM206" s="217">
        <f t="shared" si="540"/>
        <v>1.92</v>
      </c>
      <c r="CN206" s="541">
        <f t="shared" si="541"/>
        <v>19</v>
      </c>
      <c r="CO206" s="443">
        <f t="shared" si="542"/>
        <v>16.7</v>
      </c>
      <c r="CP206" s="443">
        <f t="shared" si="543"/>
        <v>35.700000000000003</v>
      </c>
      <c r="CQ206" s="443"/>
      <c r="CR206" s="217">
        <f t="shared" si="544"/>
        <v>0.4632768361581921</v>
      </c>
      <c r="CS206" s="172">
        <f t="shared" si="545"/>
        <v>19.560577526679221</v>
      </c>
      <c r="CT206" s="172">
        <f t="shared" si="546"/>
        <v>2.7507062146892656</v>
      </c>
      <c r="CU206" s="217">
        <f t="shared" si="547"/>
        <v>1.2225360954174513</v>
      </c>
      <c r="CV206" s="217">
        <f t="shared" si="548"/>
        <v>2.4450721908349027</v>
      </c>
      <c r="CW206" s="217">
        <f t="shared" si="549"/>
        <v>16</v>
      </c>
      <c r="CX206" s="217">
        <f t="shared" si="550"/>
        <v>3.9262644415917842</v>
      </c>
      <c r="CY206" s="217">
        <f t="shared" si="551"/>
        <v>2.4797459631106005</v>
      </c>
      <c r="CZ206" s="217">
        <f t="shared" si="552"/>
        <v>2.8212678622216414</v>
      </c>
      <c r="DA206" s="197">
        <f t="shared" si="553"/>
        <v>350</v>
      </c>
      <c r="DB206" s="443">
        <f t="shared" si="554"/>
        <v>188.6431601482052</v>
      </c>
      <c r="DD206" s="217">
        <f t="shared" si="555"/>
        <v>2.1161798052554355</v>
      </c>
      <c r="DE206" s="173">
        <f t="shared" si="556"/>
        <v>1.5206082432973189</v>
      </c>
      <c r="DF206" s="173">
        <f t="shared" si="557"/>
        <v>0.50055918207100247</v>
      </c>
      <c r="DG206" s="173"/>
      <c r="DH206" s="173">
        <f t="shared" si="558"/>
        <v>0.71856287425149712</v>
      </c>
      <c r="DI206" s="545">
        <f t="shared" si="559"/>
        <v>2671.9999999999995</v>
      </c>
      <c r="DJ206" s="528">
        <f t="shared" si="560"/>
        <v>0.125748502994012</v>
      </c>
      <c r="DL206" s="173">
        <f t="shared" si="561"/>
        <v>2.8685486624025449</v>
      </c>
      <c r="DM206" s="173">
        <f t="shared" si="562"/>
        <v>3.9262644415917842</v>
      </c>
      <c r="DN206" s="173">
        <f t="shared" si="563"/>
        <v>3.3676032900679882</v>
      </c>
      <c r="DP206" s="545">
        <f t="shared" si="564"/>
        <v>960</v>
      </c>
      <c r="DQ206" s="460">
        <f t="shared" si="565"/>
        <v>188.6431601482052</v>
      </c>
      <c r="DS206">
        <f t="shared" si="614"/>
        <v>960</v>
      </c>
      <c r="DT206">
        <f t="shared" si="615"/>
        <v>188.6431601482052</v>
      </c>
      <c r="DV206" s="5">
        <f t="shared" si="568"/>
        <v>5.3010138253322419</v>
      </c>
      <c r="DW206" s="5">
        <f t="shared" si="569"/>
        <v>2.4797459631106005</v>
      </c>
      <c r="DX206" s="5">
        <f t="shared" si="570"/>
        <v>2.8212678622216414</v>
      </c>
      <c r="DY206" s="173">
        <f t="shared" si="571"/>
        <v>0.46778711484593838</v>
      </c>
      <c r="EA206" s="5">
        <f t="shared" si="572"/>
        <v>14.878475778663603</v>
      </c>
      <c r="EB206" s="5">
        <f t="shared" si="573"/>
        <v>7.4392378893318014</v>
      </c>
      <c r="EC206" s="5">
        <f t="shared" si="574"/>
        <v>1.9006436124440529</v>
      </c>
      <c r="ED206" s="5"/>
      <c r="EE206" s="173">
        <f t="shared" si="575"/>
        <v>1.5503974556548012</v>
      </c>
      <c r="EF206" s="173">
        <f t="shared" si="576"/>
        <v>1.6537186030081219</v>
      </c>
      <c r="EG206" s="173">
        <f t="shared" si="577"/>
        <v>0.4061338333858181</v>
      </c>
      <c r="EH206" s="173"/>
      <c r="EI206" s="528">
        <f t="shared" si="578"/>
        <v>4.807464541001763E-2</v>
      </c>
      <c r="EJ206" s="528">
        <f t="shared" si="579"/>
        <v>0.50239166666666668</v>
      </c>
      <c r="EK206" s="528">
        <f t="shared" si="580"/>
        <v>2.1693963417043598E-2</v>
      </c>
      <c r="EL206" s="528">
        <f t="shared" si="581"/>
        <v>0.1184087319298134</v>
      </c>
      <c r="EM206">
        <f t="shared" si="582"/>
        <v>8.5500000000000003E-3</v>
      </c>
      <c r="EN206" s="460">
        <f t="shared" si="583"/>
        <v>30.243963417043599</v>
      </c>
      <c r="EP206" s="460">
        <f t="shared" si="603"/>
        <v>699.11900742354112</v>
      </c>
      <c r="EQ206" s="173">
        <f t="shared" si="584"/>
        <v>0.67199999999999993</v>
      </c>
      <c r="ER206" s="173">
        <f t="shared" si="585"/>
        <v>0.1065</v>
      </c>
      <c r="ES206" s="528"/>
      <c r="EU206" s="460">
        <f t="shared" si="497"/>
        <v>778.5</v>
      </c>
      <c r="EV206" s="528">
        <f t="shared" si="586"/>
        <v>7.2111968115026445E-2</v>
      </c>
      <c r="EW206" s="528">
        <f t="shared" si="587"/>
        <v>8.2043556538054035E-2</v>
      </c>
      <c r="EX206" s="528">
        <f t="shared" si="588"/>
        <v>8.2472345310329726E-4</v>
      </c>
      <c r="EY206" s="528">
        <f t="shared" si="589"/>
        <v>0.74648576287198387</v>
      </c>
      <c r="EZ206" s="528"/>
      <c r="FA206" s="625">
        <f t="shared" si="590"/>
        <v>1.4540192662430824E-2</v>
      </c>
      <c r="FB206" s="460">
        <f t="shared" si="613"/>
        <v>916.00620364059841</v>
      </c>
      <c r="FC206" s="173">
        <f t="shared" si="591"/>
        <v>2.3936252110641392</v>
      </c>
      <c r="FD206" s="5">
        <f t="shared" si="592"/>
        <v>17.28</v>
      </c>
      <c r="FE206" s="173">
        <f t="shared" si="593"/>
        <v>0.8783332921419077</v>
      </c>
      <c r="FF206" s="5">
        <f t="shared" si="594"/>
        <v>87.833329214190769</v>
      </c>
      <c r="FG206">
        <f t="shared" si="595"/>
        <v>96</v>
      </c>
      <c r="FI206" s="562">
        <f t="shared" si="596"/>
        <v>-50</v>
      </c>
      <c r="FJ206">
        <f t="shared" si="597"/>
        <v>-50</v>
      </c>
    </row>
    <row r="207" spans="5:166">
      <c r="E207" s="170">
        <v>97</v>
      </c>
      <c r="F207" s="217">
        <f>IF(PLOT_TYPE=1, E207/100*Iout_max, min_I*EXP(O207*rr/100))</f>
        <v>0.97</v>
      </c>
      <c r="G207" s="217">
        <f t="shared" si="499"/>
        <v>0.24249999999999999</v>
      </c>
      <c r="H207" s="217">
        <f t="shared" si="500"/>
        <v>15.52</v>
      </c>
      <c r="I207" s="217">
        <f t="shared" si="501"/>
        <v>1.94</v>
      </c>
      <c r="J207" s="541">
        <f t="shared" si="502"/>
        <v>18.871876468128935</v>
      </c>
      <c r="K207" s="443">
        <f t="shared" si="503"/>
        <v>16.756526636453319</v>
      </c>
      <c r="L207" s="172">
        <f t="shared" si="504"/>
        <v>35.628403104582254</v>
      </c>
      <c r="M207" s="443"/>
      <c r="N207" s="217">
        <f t="shared" si="505"/>
        <v>0.47031371535981703</v>
      </c>
      <c r="O207" s="172">
        <f>N207*J207*Isw_max*0.5*Efficiency*Pout/(Pout+Pout2)</f>
        <v>19.723782972304935</v>
      </c>
      <c r="P207" s="172">
        <f t="shared" si="507"/>
        <v>2.7736569804803817</v>
      </c>
      <c r="Q207" s="217">
        <f t="shared" si="508"/>
        <v>1.2327364357690584</v>
      </c>
      <c r="R207" s="217">
        <f t="shared" si="509"/>
        <v>2.4654728715381169</v>
      </c>
      <c r="S207" s="217">
        <f t="shared" si="510"/>
        <v>16</v>
      </c>
      <c r="T207" s="217">
        <f t="shared" si="511"/>
        <v>3.9343365372130541</v>
      </c>
      <c r="U207" s="217">
        <f t="shared" si="512"/>
        <v>2.5017140466285341</v>
      </c>
      <c r="V207" s="217">
        <f t="shared" si="513"/>
        <v>2.8175313100895432</v>
      </c>
      <c r="W207" s="197">
        <f t="shared" si="514"/>
        <v>350</v>
      </c>
      <c r="X207" s="443">
        <f t="shared" si="599"/>
        <v>181.18419011446747</v>
      </c>
      <c r="Z207" s="217">
        <f t="shared" si="515"/>
        <v>2.1132624613183859</v>
      </c>
      <c r="AA207" s="173">
        <f t="shared" si="516"/>
        <v>1.5133893846862372</v>
      </c>
      <c r="AB207" s="173">
        <f>0.5*AA207*Z207*Nps*W207/1000*(Pout/(Pout+Pout2))</f>
        <v>0.49749606293569076</v>
      </c>
      <c r="AC207" s="173"/>
      <c r="AD207" s="173">
        <f t="shared" si="518"/>
        <v>0.71613886698299167</v>
      </c>
      <c r="AE207" s="545">
        <f>MAX(10, F207/(0.5*AD207/1000000*Isw_min*Nps)/1000*Pout_total/Pout)</f>
        <v>2708.9718062266202</v>
      </c>
      <c r="AF207" s="528">
        <f t="shared" si="520"/>
        <v>0.12532430172202355</v>
      </c>
      <c r="AH207" s="173">
        <f t="shared" si="521"/>
        <v>2.8834503141697647</v>
      </c>
      <c r="AI207" s="173">
        <f>MAX(IF(F207&gt;AB207,T207,AH207),Isw_min)</f>
        <v>3.9343365372130541</v>
      </c>
      <c r="AJ207" s="173">
        <f>IF(F207&gt;AF207, (AI207-Isw_min)/1.08*0.8+1.2, AE207*0.2/350+1)</f>
        <v>3.3735826201578174</v>
      </c>
      <c r="AL207" s="545">
        <f t="shared" si="524"/>
        <v>970</v>
      </c>
      <c r="AM207" s="460">
        <f t="shared" si="525"/>
        <v>181.18419011446747</v>
      </c>
      <c r="AO207">
        <f t="shared" si="526"/>
        <v>970</v>
      </c>
      <c r="AP207">
        <f t="shared" si="527"/>
        <v>181.18419011446747</v>
      </c>
      <c r="AR207" s="5">
        <f t="shared" si="616"/>
        <v>5.5192453567180779</v>
      </c>
      <c r="AS207" s="5">
        <f t="shared" si="604"/>
        <v>2.5017140466285341</v>
      </c>
      <c r="AT207" s="5">
        <f t="shared" si="605"/>
        <v>3.0175313100895438</v>
      </c>
      <c r="AU207" s="173">
        <f t="shared" si="606"/>
        <v>0.45327103343637803</v>
      </c>
      <c r="AW207" s="5">
        <f t="shared" si="477"/>
        <v>15.166641407685487</v>
      </c>
      <c r="AX207" s="5">
        <f t="shared" si="478"/>
        <v>7.5833207038427437</v>
      </c>
      <c r="AY207" s="5">
        <f t="shared" si="479"/>
        <v>2.0679839836312488</v>
      </c>
      <c r="AZ207" s="5"/>
      <c r="BA207" s="173">
        <f t="shared" si="480"/>
        <v>1.5292900459831094</v>
      </c>
      <c r="BB207" s="173">
        <f t="shared" si="481"/>
        <v>1.6795654054765221</v>
      </c>
      <c r="BC207" s="173">
        <f t="shared" si="482"/>
        <v>0.41248150399202821</v>
      </c>
      <c r="BD207" s="173"/>
      <c r="BE207" s="528">
        <f t="shared" si="483"/>
        <v>4.6774560894860415E-2</v>
      </c>
      <c r="BF207" s="528">
        <f t="shared" si="528"/>
        <v>0.46350137970489452</v>
      </c>
      <c r="BG207" s="528">
        <f t="shared" si="529"/>
        <v>7.8643570037819022E-2</v>
      </c>
      <c r="BH207" s="528">
        <f t="shared" si="484"/>
        <v>0.11327113403682433</v>
      </c>
      <c r="BI207">
        <f t="shared" si="485"/>
        <v>8.4923444106580204E-3</v>
      </c>
      <c r="BJ207" s="460">
        <f t="shared" si="600"/>
        <v>87.135914448477038</v>
      </c>
      <c r="BK207">
        <f t="shared" si="530"/>
        <v>0.64332589569918008</v>
      </c>
      <c r="BL207" s="460">
        <f t="shared" si="601"/>
        <v>710.68298908505631</v>
      </c>
      <c r="BM207" s="173">
        <f t="shared" si="531"/>
        <v>0.60261249999999988</v>
      </c>
      <c r="BN207" s="173">
        <f t="shared" si="532"/>
        <v>0.15065312499999997</v>
      </c>
      <c r="BO207" s="528"/>
      <c r="BQ207" s="460">
        <f t="shared" si="486"/>
        <v>753.26562499999977</v>
      </c>
      <c r="BR207" s="528">
        <f t="shared" si="487"/>
        <v>7.0161841342290615E-2</v>
      </c>
      <c r="BS207" s="528">
        <f t="shared" si="488"/>
        <v>8.4628198538205426E-2</v>
      </c>
      <c r="BT207" s="528">
        <f t="shared" si="489"/>
        <v>8.5070495567762794E-4</v>
      </c>
      <c r="BU207" s="528">
        <f t="shared" si="490"/>
        <v>0.67834326454119387</v>
      </c>
      <c r="BV207" s="528"/>
      <c r="BW207" s="625">
        <f t="shared" si="533"/>
        <v>1.4022754006766898E-2</v>
      </c>
      <c r="BX207" s="460">
        <f t="shared" si="607"/>
        <v>848.0067633841345</v>
      </c>
      <c r="BY207" s="173">
        <f t="shared" si="608"/>
        <v>2.3119553774691908</v>
      </c>
      <c r="BZ207" s="5">
        <f t="shared" si="609"/>
        <v>17.46</v>
      </c>
      <c r="CA207" s="173">
        <f t="shared" si="610"/>
        <v>0.88306895634087157</v>
      </c>
      <c r="CB207" s="5">
        <f t="shared" si="611"/>
        <v>88.306895634087155</v>
      </c>
      <c r="CC207">
        <f t="shared" si="612"/>
        <v>97</v>
      </c>
      <c r="CE207" s="562">
        <f t="shared" si="534"/>
        <v>-50</v>
      </c>
      <c r="CF207">
        <f t="shared" si="535"/>
        <v>-50</v>
      </c>
      <c r="CG207" s="173">
        <f t="shared" si="536"/>
        <v>0.51480154889510155</v>
      </c>
      <c r="CH207" s="173">
        <f t="shared" si="537"/>
        <v>0.18198046272135285</v>
      </c>
      <c r="CI207" s="170">
        <v>97</v>
      </c>
      <c r="CJ207" s="217">
        <f t="shared" si="602"/>
        <v>0.97</v>
      </c>
      <c r="CK207" s="217">
        <f t="shared" si="538"/>
        <v>0.24249999999999999</v>
      </c>
      <c r="CL207" s="217">
        <f t="shared" si="539"/>
        <v>15.52</v>
      </c>
      <c r="CM207" s="217">
        <f t="shared" si="540"/>
        <v>1.94</v>
      </c>
      <c r="CN207" s="541">
        <f t="shared" si="541"/>
        <v>19</v>
      </c>
      <c r="CO207" s="443">
        <f t="shared" si="542"/>
        <v>16.7</v>
      </c>
      <c r="CP207" s="443">
        <f t="shared" si="543"/>
        <v>35.700000000000003</v>
      </c>
      <c r="CQ207" s="443"/>
      <c r="CR207" s="217">
        <f t="shared" si="544"/>
        <v>0.4632768361581921</v>
      </c>
      <c r="CS207" s="172">
        <f t="shared" si="545"/>
        <v>19.560577526679221</v>
      </c>
      <c r="CT207" s="172">
        <f t="shared" si="546"/>
        <v>2.7507062146892656</v>
      </c>
      <c r="CU207" s="217">
        <f t="shared" si="547"/>
        <v>1.2225360954174513</v>
      </c>
      <c r="CV207" s="217">
        <f t="shared" si="548"/>
        <v>2.4450721908349027</v>
      </c>
      <c r="CW207" s="217">
        <f t="shared" si="549"/>
        <v>16</v>
      </c>
      <c r="CX207" s="217">
        <f t="shared" si="550"/>
        <v>3.967163029525032</v>
      </c>
      <c r="CY207" s="217">
        <f t="shared" si="551"/>
        <v>2.5055766502263359</v>
      </c>
      <c r="CZ207" s="217">
        <f t="shared" si="552"/>
        <v>2.850656069119784</v>
      </c>
      <c r="DA207" s="197">
        <f t="shared" si="553"/>
        <v>350</v>
      </c>
      <c r="DB207" s="443">
        <f t="shared" si="554"/>
        <v>186.69838530131648</v>
      </c>
      <c r="DD207" s="217">
        <f t="shared" si="555"/>
        <v>2.1161798052554355</v>
      </c>
      <c r="DE207" s="173">
        <f t="shared" si="556"/>
        <v>1.5206082432973189</v>
      </c>
      <c r="DF207" s="173">
        <f t="shared" si="557"/>
        <v>0.50055918207100247</v>
      </c>
      <c r="DG207" s="173"/>
      <c r="DH207" s="173">
        <f t="shared" si="558"/>
        <v>0.71856287425149712</v>
      </c>
      <c r="DI207" s="545">
        <f t="shared" si="559"/>
        <v>2699.833333333333</v>
      </c>
      <c r="DJ207" s="528">
        <f t="shared" si="560"/>
        <v>0.125748502994012</v>
      </c>
      <c r="DL207" s="173">
        <f t="shared" si="561"/>
        <v>2.8834503141697647</v>
      </c>
      <c r="DM207" s="173">
        <f t="shared" si="562"/>
        <v>3.967163029525032</v>
      </c>
      <c r="DN207" s="173">
        <f t="shared" si="563"/>
        <v>3.3978985403889119</v>
      </c>
      <c r="DP207" s="545">
        <f t="shared" si="564"/>
        <v>970</v>
      </c>
      <c r="DQ207" s="460">
        <f t="shared" si="565"/>
        <v>186.69838530131648</v>
      </c>
      <c r="DS207">
        <f t="shared" si="614"/>
        <v>970</v>
      </c>
      <c r="DT207">
        <f t="shared" si="615"/>
        <v>186.69838530131648</v>
      </c>
      <c r="DV207" s="5">
        <f t="shared" si="568"/>
        <v>5.3562327193461199</v>
      </c>
      <c r="DW207" s="5">
        <f t="shared" si="569"/>
        <v>2.5055766502263359</v>
      </c>
      <c r="DX207" s="5">
        <f t="shared" si="570"/>
        <v>2.850656069119784</v>
      </c>
      <c r="DY207" s="173">
        <f t="shared" si="571"/>
        <v>0.46778711484593832</v>
      </c>
      <c r="EA207" s="5">
        <f t="shared" si="572"/>
        <v>15.190058441997163</v>
      </c>
      <c r="EB207" s="5">
        <f t="shared" si="573"/>
        <v>7.5950292209985815</v>
      </c>
      <c r="EC207" s="5">
        <f t="shared" si="574"/>
        <v>1.9404465874008352</v>
      </c>
      <c r="ED207" s="5"/>
      <c r="EE207" s="173">
        <f t="shared" si="575"/>
        <v>1.5665474291512052</v>
      </c>
      <c r="EF207" s="173">
        <f t="shared" si="576"/>
        <v>1.6709448384561234</v>
      </c>
      <c r="EG207" s="173">
        <f t="shared" si="577"/>
        <v>0.41036439415025378</v>
      </c>
      <c r="EH207" s="173"/>
      <c r="EI207" s="528">
        <f t="shared" si="578"/>
        <v>4.9081416955605008E-2</v>
      </c>
      <c r="EJ207" s="528">
        <f t="shared" si="579"/>
        <v>0.50239166666666668</v>
      </c>
      <c r="EK207" s="528">
        <f t="shared" si="580"/>
        <v>2.1470314309651399E-2</v>
      </c>
      <c r="EL207" s="528">
        <f t="shared" si="581"/>
        <v>0.11718802335321737</v>
      </c>
      <c r="EM207">
        <f t="shared" si="582"/>
        <v>8.5500000000000003E-3</v>
      </c>
      <c r="EN207" s="460">
        <f t="shared" si="583"/>
        <v>30.0203143096514</v>
      </c>
      <c r="EP207" s="460">
        <f t="shared" si="603"/>
        <v>698.68142128514035</v>
      </c>
      <c r="EQ207" s="173">
        <f t="shared" si="584"/>
        <v>0.67899999999999994</v>
      </c>
      <c r="ER207" s="173">
        <f t="shared" si="585"/>
        <v>0.10760937499999999</v>
      </c>
      <c r="ES207" s="528"/>
      <c r="EU207" s="460">
        <f t="shared" si="497"/>
        <v>786.609375</v>
      </c>
      <c r="EV207" s="528">
        <f t="shared" si="586"/>
        <v>7.3622125433407501E-2</v>
      </c>
      <c r="EW207" s="528">
        <f t="shared" si="587"/>
        <v>8.3761699594894809E-2</v>
      </c>
      <c r="EX207" s="528">
        <f t="shared" si="588"/>
        <v>8.4199467993152427E-4</v>
      </c>
      <c r="EY207" s="528">
        <f t="shared" si="589"/>
        <v>0.74648576287198398</v>
      </c>
      <c r="EZ207" s="528"/>
      <c r="FA207" s="625">
        <f t="shared" si="590"/>
        <v>1.469165300266448E-2</v>
      </c>
      <c r="FB207" s="460">
        <f t="shared" si="613"/>
        <v>919.4032355828823</v>
      </c>
      <c r="FC207" s="173">
        <f t="shared" si="591"/>
        <v>2.4046940318680226</v>
      </c>
      <c r="FD207" s="5">
        <f t="shared" si="592"/>
        <v>17.46</v>
      </c>
      <c r="FE207" s="173">
        <f t="shared" si="593"/>
        <v>0.87894633423448254</v>
      </c>
      <c r="FF207" s="5">
        <f t="shared" si="594"/>
        <v>87.894633423448255</v>
      </c>
      <c r="FG207">
        <f t="shared" si="595"/>
        <v>97</v>
      </c>
      <c r="FI207" s="562">
        <f t="shared" si="596"/>
        <v>-50</v>
      </c>
      <c r="FJ207">
        <f t="shared" si="597"/>
        <v>-50</v>
      </c>
    </row>
    <row r="208" spans="5:166">
      <c r="E208" s="170">
        <v>98</v>
      </c>
      <c r="F208" s="217">
        <f>IF(PLOT_TYPE=1, E208/100*Iout_max, min_I*EXP(O208*rr/100))</f>
        <v>0.98</v>
      </c>
      <c r="G208" s="217">
        <f t="shared" si="499"/>
        <v>0.245</v>
      </c>
      <c r="H208" s="217">
        <f t="shared" si="500"/>
        <v>15.68</v>
      </c>
      <c r="I208" s="217">
        <f t="shared" si="501"/>
        <v>1.96</v>
      </c>
      <c r="J208" s="541">
        <f t="shared" si="502"/>
        <v>18.870555606975625</v>
      </c>
      <c r="K208" s="443">
        <f t="shared" si="503"/>
        <v>16.757109385282735</v>
      </c>
      <c r="L208" s="172">
        <f t="shared" si="504"/>
        <v>35.62766499225836</v>
      </c>
      <c r="M208" s="443"/>
      <c r="N208" s="217">
        <f t="shared" si="505"/>
        <v>0.47033981567200478</v>
      </c>
      <c r="O208" s="172">
        <f>N208*J208*Isw_max*0.5*Efficiency*Pout/(Pout+Pout2)</f>
        <v>19.72349699069607</v>
      </c>
      <c r="P208" s="172">
        <f t="shared" si="507"/>
        <v>2.773616764316635</v>
      </c>
      <c r="Q208" s="217">
        <f t="shared" si="508"/>
        <v>1.2327185619185044</v>
      </c>
      <c r="R208" s="217">
        <f t="shared" si="509"/>
        <v>2.4654371238370087</v>
      </c>
      <c r="S208" s="217">
        <f t="shared" si="510"/>
        <v>16</v>
      </c>
      <c r="T208" s="217">
        <f t="shared" si="511"/>
        <v>3.97495434186862</v>
      </c>
      <c r="U208" s="217">
        <f t="shared" si="512"/>
        <v>2.5277184782408328</v>
      </c>
      <c r="V208" s="217">
        <f t="shared" si="513"/>
        <v>2.8465203040517495</v>
      </c>
      <c r="W208" s="197">
        <f t="shared" si="514"/>
        <v>350</v>
      </c>
      <c r="X208" s="443">
        <f t="shared" si="599"/>
        <v>179.39669236571854</v>
      </c>
      <c r="Z208" s="217">
        <f t="shared" si="515"/>
        <v>2.113231820431722</v>
      </c>
      <c r="AA208" s="173">
        <f t="shared" si="516"/>
        <v>1.5133148123657008</v>
      </c>
      <c r="AB208" s="173">
        <f>0.5*AA208*Z208*Nps*W208/1000*(Pout/(Pout+Pout2))</f>
        <v>0.49746433579451149</v>
      </c>
      <c r="AC208" s="173"/>
      <c r="AD208" s="173">
        <f t="shared" si="518"/>
        <v>0.71611396238418301</v>
      </c>
      <c r="AE208" s="545">
        <f>MAX(10, F208/(0.5*AD208/1000000*Isw_min*Nps)/1000*Pout_total/Pout)</f>
        <v>2736.9945329295138</v>
      </c>
      <c r="AF208" s="528">
        <f t="shared" si="520"/>
        <v>0.12531994341723202</v>
      </c>
      <c r="AH208" s="173">
        <f t="shared" si="521"/>
        <v>2.8982753492378879</v>
      </c>
      <c r="AI208" s="173">
        <f>MAX(IF(F208&gt;AB208,T208,AH208),Isw_min)</f>
        <v>3.97495434186862</v>
      </c>
      <c r="AJ208" s="173">
        <f>IF(F208&gt;AF208, (AI208-Isw_min)/1.08*0.8+1.2, AE208*0.2/350+1)</f>
        <v>3.4036698828656444</v>
      </c>
      <c r="AL208" s="545">
        <f t="shared" si="524"/>
        <v>980</v>
      </c>
      <c r="AM208" s="460">
        <f t="shared" si="525"/>
        <v>179.39669236571854</v>
      </c>
      <c r="AO208">
        <f t="shared" si="526"/>
        <v>980</v>
      </c>
      <c r="AP208">
        <f t="shared" si="527"/>
        <v>179.39669236571854</v>
      </c>
      <c r="AR208" s="5">
        <f t="shared" si="616"/>
        <v>5.574238782292583</v>
      </c>
      <c r="AS208" s="5">
        <f t="shared" si="604"/>
        <v>2.5277184782408328</v>
      </c>
      <c r="AT208" s="5">
        <f t="shared" si="605"/>
        <v>3.0465203040517501</v>
      </c>
      <c r="AU208" s="173">
        <f t="shared" si="606"/>
        <v>0.45346433422811289</v>
      </c>
      <c r="AW208" s="5">
        <f t="shared" si="477"/>
        <v>15.482275679225102</v>
      </c>
      <c r="AX208" s="5">
        <f t="shared" si="478"/>
        <v>7.7411378396125512</v>
      </c>
      <c r="AY208" s="5">
        <f t="shared" si="479"/>
        <v>2.1095226942634882</v>
      </c>
      <c r="AZ208" s="5"/>
      <c r="BA208" s="173">
        <f t="shared" si="480"/>
        <v>1.5454077452786712</v>
      </c>
      <c r="BB208" s="173">
        <f t="shared" si="481"/>
        <v>1.6966051124169779</v>
      </c>
      <c r="BC208" s="173">
        <f t="shared" si="482"/>
        <v>0.41666625554946363</v>
      </c>
      <c r="BD208" s="173"/>
      <c r="BE208" s="528">
        <f t="shared" si="483"/>
        <v>4.776570198334612E-2</v>
      </c>
      <c r="BF208" s="528">
        <f t="shared" si="528"/>
        <v>0.46365698278878836</v>
      </c>
      <c r="BG208" s="528">
        <f t="shared" si="529"/>
        <v>7.7862250956880208E-2</v>
      </c>
      <c r="BH208" s="528">
        <f t="shared" si="484"/>
        <v>0.11214899504128896</v>
      </c>
      <c r="BI208">
        <f t="shared" si="485"/>
        <v>8.4917500231390317E-3</v>
      </c>
      <c r="BJ208" s="460">
        <f t="shared" si="600"/>
        <v>86.354000980019251</v>
      </c>
      <c r="BK208">
        <f t="shared" si="530"/>
        <v>0.64377470264938841</v>
      </c>
      <c r="BL208" s="460">
        <f t="shared" si="601"/>
        <v>709.92568079344267</v>
      </c>
      <c r="BM208" s="173">
        <f t="shared" si="531"/>
        <v>0.60882499999999995</v>
      </c>
      <c r="BN208" s="173">
        <f t="shared" si="532"/>
        <v>0.15220624999999999</v>
      </c>
      <c r="BO208" s="528"/>
      <c r="BQ208" s="460">
        <f t="shared" si="486"/>
        <v>761.03124999999989</v>
      </c>
      <c r="BR208" s="528">
        <f t="shared" si="487"/>
        <v>7.1648552975019181E-2</v>
      </c>
      <c r="BS208" s="528">
        <f t="shared" si="488"/>
        <v>8.6354067224382783E-2</v>
      </c>
      <c r="BT208" s="528">
        <f t="shared" si="489"/>
        <v>8.6805384256805464E-4</v>
      </c>
      <c r="BU208" s="528">
        <f t="shared" si="490"/>
        <v>0.67894789202811767</v>
      </c>
      <c r="BV208" s="528"/>
      <c r="BW208" s="625">
        <f t="shared" si="533"/>
        <v>1.4172573724444788E-2</v>
      </c>
      <c r="BX208" s="460">
        <f t="shared" si="607"/>
        <v>851.9911397945325</v>
      </c>
      <c r="BY208" s="173">
        <f t="shared" si="608"/>
        <v>2.3229480705879748</v>
      </c>
      <c r="BZ208" s="5">
        <f t="shared" si="609"/>
        <v>17.64</v>
      </c>
      <c r="CA208" s="173">
        <f t="shared" si="610"/>
        <v>0.88363702282978696</v>
      </c>
      <c r="CB208" s="5">
        <f t="shared" si="611"/>
        <v>88.363702282978693</v>
      </c>
      <c r="CC208">
        <f t="shared" si="612"/>
        <v>98</v>
      </c>
      <c r="CE208" s="562">
        <f t="shared" si="534"/>
        <v>-50</v>
      </c>
      <c r="CF208">
        <f t="shared" si="535"/>
        <v>-50</v>
      </c>
      <c r="CG208" s="173">
        <f t="shared" si="536"/>
        <v>0.51480154889510155</v>
      </c>
      <c r="CH208" s="173">
        <f t="shared" si="537"/>
        <v>0.18198046272135285</v>
      </c>
      <c r="CI208" s="170">
        <v>98</v>
      </c>
      <c r="CJ208" s="217">
        <f t="shared" si="602"/>
        <v>0.98</v>
      </c>
      <c r="CK208" s="217">
        <f t="shared" si="538"/>
        <v>0.245</v>
      </c>
      <c r="CL208" s="217">
        <f t="shared" si="539"/>
        <v>15.68</v>
      </c>
      <c r="CM208" s="217">
        <f t="shared" si="540"/>
        <v>1.96</v>
      </c>
      <c r="CN208" s="541">
        <f t="shared" si="541"/>
        <v>19</v>
      </c>
      <c r="CO208" s="443">
        <f t="shared" si="542"/>
        <v>16.7</v>
      </c>
      <c r="CP208" s="443">
        <f t="shared" si="543"/>
        <v>35.700000000000003</v>
      </c>
      <c r="CQ208" s="443"/>
      <c r="CR208" s="217">
        <f t="shared" si="544"/>
        <v>0.4632768361581921</v>
      </c>
      <c r="CS208" s="172">
        <f t="shared" si="545"/>
        <v>19.560577526679221</v>
      </c>
      <c r="CT208" s="172">
        <f t="shared" si="546"/>
        <v>2.7507062146892656</v>
      </c>
      <c r="CU208" s="217">
        <f t="shared" si="547"/>
        <v>1.2225360954174513</v>
      </c>
      <c r="CV208" s="217">
        <f t="shared" si="548"/>
        <v>2.4450721908349027</v>
      </c>
      <c r="CW208" s="217">
        <f t="shared" si="549"/>
        <v>16</v>
      </c>
      <c r="CX208" s="217">
        <f t="shared" si="550"/>
        <v>4.0080616174582797</v>
      </c>
      <c r="CY208" s="217">
        <f t="shared" si="551"/>
        <v>2.5314073373420714</v>
      </c>
      <c r="CZ208" s="217">
        <f t="shared" si="552"/>
        <v>2.8800442760179257</v>
      </c>
      <c r="DA208" s="197">
        <f t="shared" si="553"/>
        <v>350</v>
      </c>
      <c r="DB208" s="443">
        <f t="shared" si="554"/>
        <v>184.79329973701732</v>
      </c>
      <c r="DD208" s="217">
        <f t="shared" si="555"/>
        <v>2.1161798052554355</v>
      </c>
      <c r="DE208" s="173">
        <f t="shared" si="556"/>
        <v>1.5206082432973189</v>
      </c>
      <c r="DF208" s="173">
        <f t="shared" si="557"/>
        <v>0.50055918207100247</v>
      </c>
      <c r="DG208" s="173"/>
      <c r="DH208" s="173">
        <f t="shared" si="558"/>
        <v>0.71856287425149712</v>
      </c>
      <c r="DI208" s="545">
        <f t="shared" si="559"/>
        <v>2727.6666666666661</v>
      </c>
      <c r="DJ208" s="528">
        <f t="shared" si="560"/>
        <v>0.125748502994012</v>
      </c>
      <c r="DL208" s="173">
        <f t="shared" si="561"/>
        <v>2.8982753492378879</v>
      </c>
      <c r="DM208" s="173">
        <f t="shared" si="562"/>
        <v>4.0080616174582797</v>
      </c>
      <c r="DN208" s="173">
        <f t="shared" si="563"/>
        <v>3.4281937907098365</v>
      </c>
      <c r="DP208" s="545">
        <f t="shared" si="564"/>
        <v>980</v>
      </c>
      <c r="DQ208" s="460">
        <f t="shared" si="565"/>
        <v>184.79329973701732</v>
      </c>
      <c r="DS208">
        <f t="shared" si="614"/>
        <v>980</v>
      </c>
      <c r="DT208">
        <f t="shared" si="615"/>
        <v>184.79329973701732</v>
      </c>
      <c r="DV208" s="5">
        <f t="shared" si="568"/>
        <v>5.4114516133599979</v>
      </c>
      <c r="DW208" s="5">
        <f t="shared" si="569"/>
        <v>2.5314073373420714</v>
      </c>
      <c r="DX208" s="5">
        <f t="shared" si="570"/>
        <v>2.8800442760179266</v>
      </c>
      <c r="DY208" s="173">
        <f t="shared" si="571"/>
        <v>0.46778711484593827</v>
      </c>
      <c r="EA208" s="5">
        <f t="shared" si="572"/>
        <v>15.504869941220186</v>
      </c>
      <c r="EB208" s="5">
        <f t="shared" si="573"/>
        <v>7.7524349706100928</v>
      </c>
      <c r="EC208" s="5">
        <f t="shared" si="574"/>
        <v>1.9806620284193455</v>
      </c>
      <c r="ED208" s="5"/>
      <c r="EE208" s="173">
        <f t="shared" si="575"/>
        <v>1.5826974026476093</v>
      </c>
      <c r="EF208" s="173">
        <f t="shared" si="576"/>
        <v>1.6881710739041247</v>
      </c>
      <c r="EG208" s="173">
        <f t="shared" si="577"/>
        <v>0.4145949549146894</v>
      </c>
      <c r="EH208" s="173"/>
      <c r="EI208" s="528">
        <f t="shared" si="578"/>
        <v>5.0098621366949772E-2</v>
      </c>
      <c r="EJ208" s="528">
        <f t="shared" si="579"/>
        <v>0.50239166666666668</v>
      </c>
      <c r="EK208" s="528">
        <f t="shared" si="580"/>
        <v>2.1251229469756994E-2</v>
      </c>
      <c r="EL208" s="528">
        <f t="shared" si="581"/>
        <v>0.11599222719655189</v>
      </c>
      <c r="EM208">
        <f t="shared" si="582"/>
        <v>8.5500000000000003E-3</v>
      </c>
      <c r="EN208" s="460">
        <f t="shared" si="583"/>
        <v>29.801229469756997</v>
      </c>
      <c r="EP208" s="460">
        <f t="shared" si="603"/>
        <v>698.28374469992525</v>
      </c>
      <c r="EQ208" s="173">
        <f t="shared" si="584"/>
        <v>0.68599999999999994</v>
      </c>
      <c r="ER208" s="173">
        <f t="shared" si="585"/>
        <v>0.10871874999999999</v>
      </c>
      <c r="ES208" s="528"/>
      <c r="EU208" s="460">
        <f t="shared" si="497"/>
        <v>794.71874999999989</v>
      </c>
      <c r="EV208" s="528">
        <f t="shared" si="586"/>
        <v>7.5147932050424651E-2</v>
      </c>
      <c r="EW208" s="528">
        <f t="shared" si="587"/>
        <v>8.5497647242998159E-2</v>
      </c>
      <c r="EX208" s="528">
        <f t="shared" si="588"/>
        <v>8.5944488320356671E-4</v>
      </c>
      <c r="EY208" s="528">
        <f t="shared" si="589"/>
        <v>0.74648576287198531</v>
      </c>
      <c r="EZ208" s="528"/>
      <c r="FA208" s="625">
        <f t="shared" si="590"/>
        <v>1.4843113342898133E-2</v>
      </c>
      <c r="FB208" s="460">
        <f t="shared" si="613"/>
        <v>922.83390039150981</v>
      </c>
      <c r="FC208" s="173">
        <f t="shared" si="591"/>
        <v>2.4158363950914352</v>
      </c>
      <c r="FD208" s="5">
        <f t="shared" si="592"/>
        <v>17.64</v>
      </c>
      <c r="FE208" s="173">
        <f t="shared" si="593"/>
        <v>0.87954447037258943</v>
      </c>
      <c r="FF208" s="5">
        <f t="shared" si="594"/>
        <v>87.954447037258944</v>
      </c>
      <c r="FG208">
        <f t="shared" si="595"/>
        <v>98</v>
      </c>
      <c r="FI208" s="562">
        <f t="shared" si="596"/>
        <v>-50</v>
      </c>
      <c r="FJ208">
        <f t="shared" si="597"/>
        <v>-50</v>
      </c>
    </row>
    <row r="209" spans="1:169">
      <c r="E209" s="170">
        <v>99</v>
      </c>
      <c r="F209" s="217">
        <f>IF(PLOT_TYPE=1, E209/100*Iout_max, min_I*EXP(O209*rr/100))</f>
        <v>0.99</v>
      </c>
      <c r="G209" s="217">
        <f t="shared" si="499"/>
        <v>0.2475</v>
      </c>
      <c r="H209" s="217">
        <f t="shared" si="500"/>
        <v>15.84</v>
      </c>
      <c r="I209" s="217">
        <f t="shared" si="501"/>
        <v>1.98</v>
      </c>
      <c r="J209" s="541">
        <f t="shared" si="502"/>
        <v>18.869234745822315</v>
      </c>
      <c r="K209" s="443">
        <f t="shared" si="503"/>
        <v>16.757692134112151</v>
      </c>
      <c r="L209" s="172">
        <f t="shared" si="504"/>
        <v>35.626926879934466</v>
      </c>
      <c r="M209" s="443"/>
      <c r="N209" s="217">
        <f t="shared" si="505"/>
        <v>0.47036591706567582</v>
      </c>
      <c r="O209" s="172">
        <f>N209*J209*Isw_max*0.5*Efficiency*Pout/(Pout+Pout2)</f>
        <v>19.723210901213843</v>
      </c>
      <c r="P209" s="172">
        <f t="shared" si="507"/>
        <v>2.7735765329831965</v>
      </c>
      <c r="Q209" s="217">
        <f t="shared" si="508"/>
        <v>1.2327006813258652</v>
      </c>
      <c r="R209" s="217">
        <f t="shared" si="509"/>
        <v>2.4654013626517304</v>
      </c>
      <c r="S209" s="217">
        <f t="shared" si="510"/>
        <v>16</v>
      </c>
      <c r="T209" s="217">
        <f t="shared" si="511"/>
        <v>4.0155733463827508</v>
      </c>
      <c r="U209" s="217">
        <f t="shared" si="512"/>
        <v>2.5537273135711915</v>
      </c>
      <c r="V209" s="217">
        <f t="shared" si="513"/>
        <v>2.8755081410347216</v>
      </c>
      <c r="W209" s="197">
        <f t="shared" si="514"/>
        <v>350</v>
      </c>
      <c r="X209" s="443">
        <f t="shared" si="599"/>
        <v>177.64401721405827</v>
      </c>
      <c r="Z209" s="217">
        <f t="shared" si="515"/>
        <v>2.1132011679871967</v>
      </c>
      <c r="AA209" s="173">
        <f t="shared" si="516"/>
        <v>1.5132402369552118</v>
      </c>
      <c r="AB209" s="173">
        <f>0.5*AA209*Z209*Nps*W209/1000*(Pout/(Pout+Pout2))</f>
        <v>0.49743260562784058</v>
      </c>
      <c r="AC209" s="173"/>
      <c r="AD209" s="173">
        <f t="shared" si="518"/>
        <v>0.71608905951748936</v>
      </c>
      <c r="AE209" s="545">
        <f>MAX(10, F209/(0.5*AD209/1000000*Isw_min*Nps)/1000*Pout_total/Pout)</f>
        <v>2765.0192021285047</v>
      </c>
      <c r="AF209" s="528">
        <f t="shared" si="520"/>
        <v>0.12531558541556065</v>
      </c>
      <c r="AH209" s="173">
        <f t="shared" si="521"/>
        <v>2.9130249373656736</v>
      </c>
      <c r="AI209" s="173">
        <f>MAX(IF(F209&gt;AB209,T209,AH209),Isw_min)</f>
        <v>4.0155733463827508</v>
      </c>
      <c r="AJ209" s="173">
        <f>IF(F209&gt;AF209, (AI209-Isw_min)/1.08*0.8+1.2, AE209*0.2/350+1)</f>
        <v>3.4337580343575933</v>
      </c>
      <c r="AL209" s="545">
        <f t="shared" si="524"/>
        <v>990</v>
      </c>
      <c r="AM209" s="460">
        <f t="shared" si="525"/>
        <v>177.64401721405827</v>
      </c>
      <c r="AO209">
        <f t="shared" si="526"/>
        <v>990</v>
      </c>
      <c r="AP209">
        <f t="shared" si="527"/>
        <v>177.64401721405827</v>
      </c>
      <c r="AR209" s="5">
        <f t="shared" si="616"/>
        <v>5.6292354546059133</v>
      </c>
      <c r="AS209" s="5">
        <f t="shared" si="604"/>
        <v>2.5537273135711915</v>
      </c>
      <c r="AT209" s="5">
        <f t="shared" si="605"/>
        <v>3.0755081410347218</v>
      </c>
      <c r="AU209" s="173">
        <f t="shared" si="606"/>
        <v>0.45365437885205151</v>
      </c>
      <c r="AW209" s="5">
        <f t="shared" si="477"/>
        <v>15.801187752721747</v>
      </c>
      <c r="AX209" s="5">
        <f t="shared" si="478"/>
        <v>7.9005938763608734</v>
      </c>
      <c r="AY209" s="5">
        <f t="shared" si="479"/>
        <v>2.151476093679237</v>
      </c>
      <c r="AZ209" s="5"/>
      <c r="BA209" s="173">
        <f t="shared" si="480"/>
        <v>1.5615269685224054</v>
      </c>
      <c r="BB209" s="173">
        <f t="shared" si="481"/>
        <v>1.71364425323259</v>
      </c>
      <c r="BC209" s="173">
        <f t="shared" si="482"/>
        <v>0.4208508680732978</v>
      </c>
      <c r="BD209" s="173"/>
      <c r="BE209" s="528">
        <f t="shared" si="483"/>
        <v>4.8767329468455467E-2</v>
      </c>
      <c r="BF209" s="528">
        <f t="shared" si="528"/>
        <v>0.46380922230363258</v>
      </c>
      <c r="BG209" s="528">
        <f t="shared" si="529"/>
        <v>7.7096153226068206E-2</v>
      </c>
      <c r="BH209" s="528">
        <f t="shared" si="484"/>
        <v>0.11104871702440626</v>
      </c>
      <c r="BI209">
        <f t="shared" si="485"/>
        <v>8.4911556356200412E-3</v>
      </c>
      <c r="BJ209" s="460">
        <f t="shared" si="600"/>
        <v>85.587308861688243</v>
      </c>
      <c r="BK209">
        <f t="shared" si="530"/>
        <v>0.64425753550535159</v>
      </c>
      <c r="BL209" s="460">
        <f t="shared" si="601"/>
        <v>709.21257765818257</v>
      </c>
      <c r="BM209" s="173">
        <f t="shared" si="531"/>
        <v>0.6150374999999999</v>
      </c>
      <c r="BN209" s="173">
        <f t="shared" si="532"/>
        <v>0.15375937499999998</v>
      </c>
      <c r="BO209" s="528"/>
      <c r="BQ209" s="460">
        <f t="shared" si="486"/>
        <v>768.79687499999977</v>
      </c>
      <c r="BR209" s="528">
        <f t="shared" si="487"/>
        <v>7.3150994202683201E-2</v>
      </c>
      <c r="BS209" s="528">
        <f t="shared" si="488"/>
        <v>8.809729879911242E-2</v>
      </c>
      <c r="BT209" s="528">
        <f t="shared" si="489"/>
        <v>8.8557726579024151E-4</v>
      </c>
      <c r="BU209" s="528">
        <f t="shared" si="490"/>
        <v>0.67954054759935223</v>
      </c>
      <c r="BV209" s="528"/>
      <c r="BW209" s="625">
        <f t="shared" si="533"/>
        <v>1.4322397268874246E-2</v>
      </c>
      <c r="BX209" s="460">
        <f t="shared" si="607"/>
        <v>855.99681513581243</v>
      </c>
      <c r="BY209" s="173">
        <f t="shared" si="608"/>
        <v>2.3340062677939946</v>
      </c>
      <c r="BZ209" s="5">
        <f t="shared" si="609"/>
        <v>17.82</v>
      </c>
      <c r="CA209" s="173">
        <f t="shared" si="610"/>
        <v>0.88419144874814659</v>
      </c>
      <c r="CB209" s="5">
        <f t="shared" si="611"/>
        <v>88.419144874814663</v>
      </c>
      <c r="CC209">
        <f t="shared" si="612"/>
        <v>99</v>
      </c>
      <c r="CE209" s="562">
        <f t="shared" si="534"/>
        <v>-50</v>
      </c>
      <c r="CF209">
        <f t="shared" si="535"/>
        <v>-50</v>
      </c>
      <c r="CG209" s="173">
        <f t="shared" si="536"/>
        <v>0.51480154889510155</v>
      </c>
      <c r="CH209" s="173">
        <f t="shared" si="537"/>
        <v>0.18198046272135285</v>
      </c>
      <c r="CI209" s="170">
        <v>99</v>
      </c>
      <c r="CJ209" s="217">
        <f t="shared" si="602"/>
        <v>0.99</v>
      </c>
      <c r="CK209" s="217">
        <f t="shared" si="538"/>
        <v>0.2475</v>
      </c>
      <c r="CL209" s="217">
        <f t="shared" si="539"/>
        <v>15.84</v>
      </c>
      <c r="CM209" s="217">
        <f t="shared" si="540"/>
        <v>1.98</v>
      </c>
      <c r="CN209" s="541">
        <f t="shared" si="541"/>
        <v>19</v>
      </c>
      <c r="CO209" s="443">
        <f t="shared" si="542"/>
        <v>16.7</v>
      </c>
      <c r="CP209" s="443">
        <f t="shared" si="543"/>
        <v>35.700000000000003</v>
      </c>
      <c r="CQ209" s="443"/>
      <c r="CR209" s="217">
        <f t="shared" si="544"/>
        <v>0.4632768361581921</v>
      </c>
      <c r="CS209" s="172">
        <f t="shared" si="545"/>
        <v>19.560577526679221</v>
      </c>
      <c r="CT209" s="172">
        <f t="shared" si="546"/>
        <v>2.7507062146892656</v>
      </c>
      <c r="CU209" s="217">
        <f t="shared" si="547"/>
        <v>1.2225360954174513</v>
      </c>
      <c r="CV209" s="217">
        <f t="shared" si="548"/>
        <v>2.4450721908349027</v>
      </c>
      <c r="CW209" s="217">
        <f t="shared" si="549"/>
        <v>16</v>
      </c>
      <c r="CX209" s="217">
        <f t="shared" si="550"/>
        <v>4.048960205391527</v>
      </c>
      <c r="CY209" s="217">
        <f t="shared" si="551"/>
        <v>2.5572380244578068</v>
      </c>
      <c r="CZ209" s="217">
        <f t="shared" si="552"/>
        <v>2.9094324829160674</v>
      </c>
      <c r="DA209" s="197">
        <f t="shared" si="553"/>
        <v>350</v>
      </c>
      <c r="DB209" s="443">
        <f t="shared" si="554"/>
        <v>182.92670074977474</v>
      </c>
      <c r="DD209" s="217">
        <f t="shared" si="555"/>
        <v>2.1161798052554355</v>
      </c>
      <c r="DE209" s="173">
        <f t="shared" si="556"/>
        <v>1.5206082432973189</v>
      </c>
      <c r="DF209" s="173">
        <f t="shared" si="557"/>
        <v>0.50055918207100247</v>
      </c>
      <c r="DG209" s="173"/>
      <c r="DH209" s="173">
        <f t="shared" si="558"/>
        <v>0.71856287425149712</v>
      </c>
      <c r="DI209" s="545">
        <f t="shared" si="559"/>
        <v>2755.4999999999995</v>
      </c>
      <c r="DJ209" s="528">
        <f t="shared" si="560"/>
        <v>0.125748502994012</v>
      </c>
      <c r="DL209" s="173">
        <f t="shared" si="561"/>
        <v>2.9130249373656736</v>
      </c>
      <c r="DM209" s="173">
        <f t="shared" si="562"/>
        <v>4.048960205391527</v>
      </c>
      <c r="DN209" s="173">
        <f t="shared" si="563"/>
        <v>3.4584890410307603</v>
      </c>
      <c r="DP209" s="545">
        <f t="shared" si="564"/>
        <v>990</v>
      </c>
      <c r="DQ209" s="460">
        <f t="shared" si="565"/>
        <v>182.92670074977474</v>
      </c>
      <c r="DS209">
        <f t="shared" si="614"/>
        <v>990</v>
      </c>
      <c r="DT209">
        <f t="shared" si="615"/>
        <v>182.92670074977474</v>
      </c>
      <c r="DV209" s="5">
        <f t="shared" si="568"/>
        <v>5.4666705073738742</v>
      </c>
      <c r="DW209" s="5">
        <f t="shared" si="569"/>
        <v>2.5572380244578068</v>
      </c>
      <c r="DX209" s="5">
        <f t="shared" si="570"/>
        <v>2.9094324829160674</v>
      </c>
      <c r="DY209" s="173">
        <f t="shared" si="571"/>
        <v>0.46778711484593838</v>
      </c>
      <c r="EA209" s="5">
        <f t="shared" si="572"/>
        <v>15.822910276332681</v>
      </c>
      <c r="EB209" s="5">
        <f t="shared" si="573"/>
        <v>7.9114551381663407</v>
      </c>
      <c r="EC209" s="5">
        <f t="shared" si="574"/>
        <v>2.021289935499583</v>
      </c>
      <c r="ED209" s="5"/>
      <c r="EE209" s="173">
        <f t="shared" si="575"/>
        <v>1.5988473761440134</v>
      </c>
      <c r="EF209" s="173">
        <f t="shared" si="576"/>
        <v>1.7053973093521255</v>
      </c>
      <c r="EG209" s="173">
        <f t="shared" si="577"/>
        <v>0.4188255156791249</v>
      </c>
      <c r="EH209" s="173"/>
      <c r="EI209" s="528">
        <f t="shared" si="578"/>
        <v>5.1126258644051924E-2</v>
      </c>
      <c r="EJ209" s="528">
        <f t="shared" si="579"/>
        <v>0.50239166666666668</v>
      </c>
      <c r="EK209" s="528">
        <f t="shared" si="580"/>
        <v>2.1036570586224095E-2</v>
      </c>
      <c r="EL209" s="528">
        <f t="shared" si="581"/>
        <v>0.11482058853800087</v>
      </c>
      <c r="EM209">
        <f t="shared" si="582"/>
        <v>8.5500000000000003E-3</v>
      </c>
      <c r="EN209" s="460">
        <f t="shared" si="583"/>
        <v>29.586570586224095</v>
      </c>
      <c r="EP209" s="460">
        <f t="shared" si="603"/>
        <v>697.92508443494353</v>
      </c>
      <c r="EQ209" s="173">
        <f t="shared" si="584"/>
        <v>0.69299999999999995</v>
      </c>
      <c r="ER209" s="173">
        <f t="shared" si="585"/>
        <v>0.109828125</v>
      </c>
      <c r="ES209" s="528"/>
      <c r="EU209" s="460">
        <f t="shared" si="497"/>
        <v>802.828125</v>
      </c>
      <c r="EV209" s="528">
        <f t="shared" si="586"/>
        <v>7.6689387966077882E-2</v>
      </c>
      <c r="EW209" s="528">
        <f t="shared" si="587"/>
        <v>8.7251399482364086E-2</v>
      </c>
      <c r="EX209" s="528">
        <f t="shared" si="588"/>
        <v>8.7707406291942448E-4</v>
      </c>
      <c r="EY209" s="528">
        <f t="shared" si="589"/>
        <v>0.74648576287198365</v>
      </c>
      <c r="EZ209" s="528"/>
      <c r="FA209" s="625">
        <f t="shared" si="590"/>
        <v>1.4994573683131786E-2</v>
      </c>
      <c r="FB209" s="460">
        <f t="shared" si="613"/>
        <v>926.29819806647686</v>
      </c>
      <c r="FC209" s="173">
        <f t="shared" si="591"/>
        <v>2.4270514075014202</v>
      </c>
      <c r="FD209" s="5">
        <f t="shared" si="592"/>
        <v>17.82</v>
      </c>
      <c r="FE209" s="173">
        <f t="shared" si="593"/>
        <v>0.88012815502596042</v>
      </c>
      <c r="FF209" s="5">
        <f t="shared" si="594"/>
        <v>88.012815502596041</v>
      </c>
      <c r="FG209">
        <f t="shared" si="595"/>
        <v>99</v>
      </c>
      <c r="FI209" s="562">
        <f t="shared" si="596"/>
        <v>-50</v>
      </c>
      <c r="FJ209">
        <f t="shared" si="597"/>
        <v>-50</v>
      </c>
    </row>
    <row r="210" spans="1:169">
      <c r="A210" t="s">
        <v>862</v>
      </c>
      <c r="E210" s="170">
        <v>100</v>
      </c>
      <c r="F210" s="217">
        <f>IF(PLOT_TYPE=1, E210/100*Iout_max, min_I*EXP(O210*rr/100))</f>
        <v>1</v>
      </c>
      <c r="G210" s="217">
        <f t="shared" si="499"/>
        <v>0.25</v>
      </c>
      <c r="H210" s="217">
        <f t="shared" si="500"/>
        <v>16</v>
      </c>
      <c r="I210" s="217">
        <f t="shared" si="501"/>
        <v>2</v>
      </c>
      <c r="J210" s="541">
        <f t="shared" si="502"/>
        <v>18.867913884669004</v>
      </c>
      <c r="K210" s="443">
        <f t="shared" si="503"/>
        <v>16.758274882941567</v>
      </c>
      <c r="L210" s="172">
        <f t="shared" si="504"/>
        <v>35.626188767610572</v>
      </c>
      <c r="M210" s="443"/>
      <c r="N210" s="217">
        <f t="shared" si="505"/>
        <v>0.47039201954089727</v>
      </c>
      <c r="O210" s="172">
        <f>N210*J210*Isw_max*0.5*Efficiency*Pout/(Pout+Pout2)</f>
        <v>19.722924703851533</v>
      </c>
      <c r="P210" s="172">
        <f t="shared" si="507"/>
        <v>2.7735362864791218</v>
      </c>
      <c r="Q210" s="217">
        <f t="shared" si="508"/>
        <v>1.2326827939907208</v>
      </c>
      <c r="R210" s="217">
        <f t="shared" si="509"/>
        <v>2.4653655879814416</v>
      </c>
      <c r="S210" s="217">
        <f t="shared" si="510"/>
        <v>16</v>
      </c>
      <c r="T210" s="217">
        <f t="shared" si="511"/>
        <v>4.0561935514755287</v>
      </c>
      <c r="U210" s="217">
        <f t="shared" si="512"/>
        <v>2.5797405540024401</v>
      </c>
      <c r="V210" s="217">
        <f t="shared" si="513"/>
        <v>2.9044948216747821</v>
      </c>
      <c r="W210" s="197">
        <f t="shared" si="514"/>
        <v>350</v>
      </c>
      <c r="X210" s="443">
        <f t="shared" si="599"/>
        <v>175.92515684325608</v>
      </c>
      <c r="Z210" s="217">
        <f t="shared" si="515"/>
        <v>2.1131705039840929</v>
      </c>
      <c r="AA210" s="173">
        <f t="shared" si="516"/>
        <v>1.5131656584545792</v>
      </c>
      <c r="AB210" s="173">
        <f>0.5*AA210*Z210*Nps*W210/1000*(Pout/(Pout+Pout2))</f>
        <v>0.49740087243589315</v>
      </c>
      <c r="AC210" s="173"/>
      <c r="AD210" s="173">
        <f t="shared" si="518"/>
        <v>0.7160641583827303</v>
      </c>
      <c r="AE210" s="545">
        <f>MAX(10, F210/(0.5*AD210/1000000*Isw_min*Nps)/1000*Pout_total/Pout)</f>
        <v>2793.0458138235945</v>
      </c>
      <c r="AF210" s="528">
        <f t="shared" si="520"/>
        <v>0.12531122771697781</v>
      </c>
      <c r="AH210" s="173">
        <f t="shared" si="521"/>
        <v>2.9277002188455996</v>
      </c>
      <c r="AI210" s="173">
        <f>MAX(IF(F210&gt;AB210,T210,AH210),Isw_min)</f>
        <v>4.0561935514755287</v>
      </c>
      <c r="AJ210" s="173">
        <f>IF(F210&gt;AF210, (AI210-Isw_min)/1.08*0.8+1.2, AE210*0.2/350+1)</f>
        <v>3.4638470751670578</v>
      </c>
      <c r="AL210" s="545">
        <f t="shared" si="524"/>
        <v>1000</v>
      </c>
      <c r="AM210" s="460">
        <f t="shared" si="525"/>
        <v>175.92515684325608</v>
      </c>
      <c r="AO210">
        <f t="shared" si="526"/>
        <v>1000</v>
      </c>
      <c r="AP210">
        <f t="shared" si="527"/>
        <v>175.92515684325608</v>
      </c>
      <c r="AR210" s="5">
        <f t="shared" si="616"/>
        <v>5.6842353756772219</v>
      </c>
      <c r="AS210" s="5">
        <f t="shared" si="604"/>
        <v>2.5797405540024401</v>
      </c>
      <c r="AT210" s="5">
        <f t="shared" si="605"/>
        <v>3.1044948216747819</v>
      </c>
      <c r="AU210" s="173">
        <f t="shared" si="606"/>
        <v>0.45384126157778765</v>
      </c>
      <c r="AW210" s="5">
        <f t="shared" si="477"/>
        <v>16.123378462515248</v>
      </c>
      <c r="AX210" s="5">
        <f t="shared" si="478"/>
        <v>8.061689231257624</v>
      </c>
      <c r="AY210" s="5">
        <f t="shared" si="479"/>
        <v>2.1938442448919009</v>
      </c>
      <c r="AZ210" s="5"/>
      <c r="BA210" s="173">
        <f>AI210*SQRT(AU210/3)</f>
        <v>1.5776477115271592</v>
      </c>
      <c r="BB210" s="173">
        <f t="shared" si="481"/>
        <v>1.7306828346032495</v>
      </c>
      <c r="BC210" s="173">
        <f t="shared" si="482"/>
        <v>0.4250353432040333</v>
      </c>
      <c r="BD210" s="173"/>
      <c r="BE210" s="528">
        <f t="shared" si="483"/>
        <v>4.977944603373765E-2</v>
      </c>
      <c r="BF210" s="528">
        <f t="shared" si="528"/>
        <v>0.46395819552818562</v>
      </c>
      <c r="BG210" s="528">
        <f t="shared" si="529"/>
        <v>7.6344836317705209E-2</v>
      </c>
      <c r="BH210" s="528">
        <f t="shared" si="484"/>
        <v>0.10996966729803059</v>
      </c>
      <c r="BI210">
        <f t="shared" si="485"/>
        <v>8.4905612481010525E-3</v>
      </c>
      <c r="BJ210" s="460">
        <f t="shared" si="600"/>
        <v>84.835397565806261</v>
      </c>
      <c r="BK210">
        <f t="shared" si="530"/>
        <v>0.64477388455035234</v>
      </c>
      <c r="BL210" s="460">
        <f t="shared" si="601"/>
        <v>708.54270642576012</v>
      </c>
      <c r="BM210" s="173">
        <f t="shared" si="531"/>
        <v>0.62124999999999997</v>
      </c>
      <c r="BN210" s="173">
        <f t="shared" si="532"/>
        <v>0.15531249999999999</v>
      </c>
      <c r="BO210" s="528"/>
      <c r="BQ210" s="460">
        <f t="shared" si="486"/>
        <v>776.56249999999989</v>
      </c>
      <c r="BR210" s="528">
        <f t="shared" si="487"/>
        <v>7.4669169050606471E-2</v>
      </c>
      <c r="BS210" s="528">
        <f t="shared" si="488"/>
        <v>8.9857892219710148E-2</v>
      </c>
      <c r="BT210" s="528">
        <f t="shared" si="489"/>
        <v>9.0327521486285184E-4</v>
      </c>
      <c r="BU210" s="528">
        <f t="shared" si="490"/>
        <v>0.6801215677446435</v>
      </c>
      <c r="BV210" s="528"/>
      <c r="BW210" s="625">
        <f t="shared" si="533"/>
        <v>1.447222452947023E-2</v>
      </c>
      <c r="BX210" s="460">
        <f t="shared" si="607"/>
        <v>860.02412875929326</v>
      </c>
      <c r="BY210" s="173">
        <f t="shared" si="608"/>
        <v>2.3451293351850531</v>
      </c>
      <c r="BZ210" s="5">
        <f t="shared" si="609"/>
        <v>18</v>
      </c>
      <c r="CA210" s="173">
        <f t="shared" si="610"/>
        <v>0.88473264059671697</v>
      </c>
      <c r="CB210" s="5">
        <f t="shared" si="611"/>
        <v>88.473264059671692</v>
      </c>
      <c r="CC210">
        <f t="shared" si="612"/>
        <v>100</v>
      </c>
      <c r="CE210" s="562">
        <f t="shared" si="534"/>
        <v>-50</v>
      </c>
      <c r="CF210">
        <f t="shared" si="535"/>
        <v>-50</v>
      </c>
      <c r="CG210" s="173">
        <f t="shared" si="536"/>
        <v>0.51480154889510155</v>
      </c>
      <c r="CH210" s="173">
        <f t="shared" si="537"/>
        <v>0.18198046272135285</v>
      </c>
      <c r="CI210" s="170">
        <v>100</v>
      </c>
      <c r="CJ210" s="217">
        <f t="shared" si="602"/>
        <v>1</v>
      </c>
      <c r="CK210" s="217">
        <f t="shared" si="538"/>
        <v>0.25</v>
      </c>
      <c r="CL210" s="217">
        <f t="shared" si="539"/>
        <v>16</v>
      </c>
      <c r="CM210" s="217">
        <f t="shared" si="540"/>
        <v>2</v>
      </c>
      <c r="CN210" s="541">
        <f t="shared" si="541"/>
        <v>19</v>
      </c>
      <c r="CO210" s="443">
        <f t="shared" si="542"/>
        <v>16.7</v>
      </c>
      <c r="CP210" s="443">
        <f t="shared" si="543"/>
        <v>35.700000000000003</v>
      </c>
      <c r="CQ210" s="443"/>
      <c r="CR210" s="217">
        <f t="shared" si="544"/>
        <v>0.4632768361581921</v>
      </c>
      <c r="CS210" s="172">
        <f t="shared" si="545"/>
        <v>19.560577526679221</v>
      </c>
      <c r="CT210" s="172">
        <f t="shared" si="546"/>
        <v>2.7507062146892656</v>
      </c>
      <c r="CU210" s="217">
        <f t="shared" si="547"/>
        <v>1.2225360954174513</v>
      </c>
      <c r="CV210" s="217">
        <f t="shared" si="548"/>
        <v>2.4450721908349027</v>
      </c>
      <c r="CW210" s="217">
        <f t="shared" si="549"/>
        <v>16</v>
      </c>
      <c r="CX210" s="217">
        <f t="shared" si="550"/>
        <v>4.0898587933247752</v>
      </c>
      <c r="CY210" s="217">
        <f t="shared" si="551"/>
        <v>2.5830687115735427</v>
      </c>
      <c r="CZ210" s="217">
        <f t="shared" si="552"/>
        <v>2.93882068981421</v>
      </c>
      <c r="DA210" s="197">
        <f t="shared" si="553"/>
        <v>350</v>
      </c>
      <c r="DB210" s="443">
        <f t="shared" si="554"/>
        <v>181.09743374227696</v>
      </c>
      <c r="DD210" s="217">
        <f t="shared" si="555"/>
        <v>2.1161798052554355</v>
      </c>
      <c r="DE210" s="173">
        <f t="shared" si="556"/>
        <v>1.5206082432973189</v>
      </c>
      <c r="DF210" s="173">
        <f t="shared" si="557"/>
        <v>0.50055918207100247</v>
      </c>
      <c r="DG210" s="173"/>
      <c r="DH210" s="173">
        <f t="shared" si="558"/>
        <v>0.71856287425149712</v>
      </c>
      <c r="DI210" s="545">
        <f t="shared" si="559"/>
        <v>2783.333333333333</v>
      </c>
      <c r="DJ210" s="528">
        <f t="shared" si="560"/>
        <v>0.125748502994012</v>
      </c>
      <c r="DL210" s="173">
        <f t="shared" si="561"/>
        <v>2.9277002188455996</v>
      </c>
      <c r="DM210" s="173">
        <f t="shared" si="562"/>
        <v>4.0898587933247752</v>
      </c>
      <c r="DN210" s="173">
        <f t="shared" si="563"/>
        <v>3.4887842913516849</v>
      </c>
      <c r="DP210" s="545">
        <f t="shared" si="564"/>
        <v>1000</v>
      </c>
      <c r="DQ210" s="460">
        <f t="shared" si="565"/>
        <v>181.09743374227696</v>
      </c>
      <c r="DS210">
        <f t="shared" si="614"/>
        <v>1000</v>
      </c>
      <c r="DT210">
        <f t="shared" si="615"/>
        <v>181.09743374227696</v>
      </c>
      <c r="DV210" s="5">
        <f t="shared" si="568"/>
        <v>5.5218894013877531</v>
      </c>
      <c r="DW210" s="5">
        <f t="shared" si="569"/>
        <v>2.5830687115735427</v>
      </c>
      <c r="DX210" s="5">
        <f t="shared" si="570"/>
        <v>2.9388206898142104</v>
      </c>
      <c r="DY210" s="173">
        <f t="shared" si="571"/>
        <v>0.46778711484593838</v>
      </c>
      <c r="EA210" s="5">
        <f t="shared" si="572"/>
        <v>16.144179447334643</v>
      </c>
      <c r="EB210" s="5">
        <f t="shared" si="573"/>
        <v>8.0720897236673217</v>
      </c>
      <c r="EC210" s="5">
        <f t="shared" si="574"/>
        <v>2.0623303086415508</v>
      </c>
      <c r="ED210" s="5"/>
      <c r="EE210" s="173">
        <f t="shared" si="575"/>
        <v>1.6149973496404177</v>
      </c>
      <c r="EF210" s="173">
        <f t="shared" si="576"/>
        <v>1.7226235448001268</v>
      </c>
      <c r="EG210" s="173">
        <f t="shared" si="577"/>
        <v>0.42305607644356052</v>
      </c>
      <c r="EH210" s="173"/>
      <c r="EI210" s="528">
        <f t="shared" si="578"/>
        <v>5.2164328786911476E-2</v>
      </c>
      <c r="EJ210" s="528">
        <f t="shared" si="579"/>
        <v>0.50239166666666668</v>
      </c>
      <c r="EK210" s="528">
        <f t="shared" si="580"/>
        <v>2.0826204880361854E-2</v>
      </c>
      <c r="EL210" s="528">
        <f t="shared" si="581"/>
        <v>0.11367238265262085</v>
      </c>
      <c r="EM210">
        <f t="shared" si="582"/>
        <v>8.5500000000000003E-3</v>
      </c>
      <c r="EN210" s="460">
        <f t="shared" si="583"/>
        <v>29.376204880361854</v>
      </c>
      <c r="EP210" s="460">
        <f t="shared" si="603"/>
        <v>697.60458298656067</v>
      </c>
      <c r="EQ210" s="173">
        <f t="shared" si="584"/>
        <v>0.7</v>
      </c>
      <c r="ER210" s="173">
        <f t="shared" si="585"/>
        <v>0.11093749999999999</v>
      </c>
      <c r="ES210" s="528"/>
      <c r="EU210" s="460">
        <f t="shared" si="497"/>
        <v>810.9375</v>
      </c>
      <c r="EV210" s="528">
        <f t="shared" si="586"/>
        <v>7.8246493180367208E-2</v>
      </c>
      <c r="EW210" s="528">
        <f t="shared" si="587"/>
        <v>8.9022956312992632E-2</v>
      </c>
      <c r="EX210" s="528">
        <f t="shared" si="588"/>
        <v>8.9488221907909867E-4</v>
      </c>
      <c r="EY210" s="528">
        <f t="shared" si="589"/>
        <v>0.74648576287198531</v>
      </c>
      <c r="EZ210" s="528"/>
      <c r="FA210" s="625">
        <f t="shared" si="590"/>
        <v>1.5146034023365441E-2</v>
      </c>
      <c r="FB210" s="460">
        <f t="shared" si="613"/>
        <v>929.79612860778968</v>
      </c>
      <c r="FC210" s="173">
        <f t="shared" si="591"/>
        <v>2.4383382115943504</v>
      </c>
      <c r="FD210" s="5">
        <f t="shared" si="592"/>
        <v>18</v>
      </c>
      <c r="FE210" s="173">
        <f t="shared" si="593"/>
        <v>0.88069782453198087</v>
      </c>
      <c r="FF210" s="5">
        <f t="shared" si="594"/>
        <v>88.069782453198087</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1.2343662384703238</v>
      </c>
      <c r="G212" s="217">
        <f>'Calculations - Dual'!Ioutmax_Vinmin/Nsec1sec2*(1-H210/(H210+I210))</f>
        <v>0.26946295663339104</v>
      </c>
      <c r="H212" s="217">
        <f>F212*Vout</f>
        <v>19.749859815525181</v>
      </c>
      <c r="I212" s="217">
        <f>Vout2*G212</f>
        <v>2.1557036530671283</v>
      </c>
      <c r="J212" s="541">
        <f>VIN_min-(F212/CG212/Nps+G212/CH212/(Nps/Nsec1sec2))*(Rdcr_pri+RON/1000)</f>
        <v>18.84242930760696</v>
      </c>
      <c r="K212" s="443">
        <f>MAX((S212+Vfwd2+Rdcr_sec*F212/CG212)*Nps,(Vout2+Vfwd22+Rdcr_sec2*G212/CH212)*Nps/Nsec1sec2)</f>
        <v>16.746837624572475</v>
      </c>
      <c r="L212" s="172">
        <f>MAX((Vout+Vfwd2+F212/CG212*Rdcr_sec)*Nps+J212, (Vout2+Vfwd22+G212/CH212*Rdcr_sec2)*Nps/Nsec1sec2+J212)</f>
        <v>35.614361855660846</v>
      </c>
      <c r="M212" s="443"/>
      <c r="N212" s="217">
        <f>MAX((Vout+Vfwd2+F212/CG212*Rdcr_sec)*Nps/((Vout+Vfwd2+F212/CG212*Rdcr_sec)*Nps+J212), (Vout2+Vfwd22+G212/CH212*Rdcr_sec2)*Nps/Nsec1sec2/((Vout2+Vfwd22+G212/CH212*Rdcr_sec2)*Nps/Nsec1sec2+J212))</f>
        <v>0.47093171614383456</v>
      </c>
      <c r="O212" s="172">
        <f>N212*J212*Isw_max*0.5*Efficiency*Pout/(Pout+Pout2)</f>
        <v>19.718883489222733</v>
      </c>
      <c r="P212" s="172">
        <f>N212*J212*Isw_max*0.5*Efficiency*(Pout2/Pout_total)</f>
        <v>2.7729679906719467</v>
      </c>
      <c r="Q212" s="217">
        <f>O212/Vout</f>
        <v>1.2324302180764208</v>
      </c>
      <c r="R212" s="217">
        <f>O212/Vout2</f>
        <v>2.4648604361528417</v>
      </c>
      <c r="S212" s="217">
        <f>MIN(Vout,O212/F212)</f>
        <v>15.974905076518592</v>
      </c>
      <c r="T212" s="217">
        <f>MIN(2*(Vout*F212+Vout2*G212)/(Efficiency*J212*N212), Isw_max)</f>
        <v>4.9373008321500995</v>
      </c>
      <c r="U212" s="217">
        <f>L*T212/J212*1000000</f>
        <v>3.1443721517310976</v>
      </c>
      <c r="V212" s="217">
        <f>L*T212/K212*1000000</f>
        <v>3.5378386841744818</v>
      </c>
      <c r="W212" s="197">
        <f>IF(1/((350000*L)*(1/J212+1/K212))&gt;Isw_min, 350, 0.001/((Isw_min*L)*(1/J212+1/K212)))</f>
        <v>350</v>
      </c>
      <c r="X212" s="443">
        <f>MIN(1/(U212+V212+0.2)*1000, 350)</f>
        <v>145.30214546506514</v>
      </c>
      <c r="Z212" s="217">
        <f>1/((W212*1000*L)*(1/J212+1/K212))</f>
        <v>2.1110638608324312</v>
      </c>
      <c r="AA212" s="173">
        <f>L*Z212/K212*1000000</f>
        <v>1.5126895535679314</v>
      </c>
      <c r="AB212" s="173">
        <f>0.5*AA212*Z212*Nps*W212/1000*(Pout/(Pout+Pout2))</f>
        <v>0.49674866098604514</v>
      </c>
      <c r="AC212" s="173"/>
      <c r="AD212" s="173">
        <f>L*Isw_min/K212*1000000</f>
        <v>0.71655319463971601</v>
      </c>
      <c r="AE212" s="545">
        <f>MAX(10, F212/(0.5*AD212/1000000*Isw_min*Nps)/1000*Pout_total/Pout)</f>
        <v>3445.2884941528032</v>
      </c>
      <c r="AF212" s="528">
        <f>0.5*AD212/1000000*Isw_min*Nps*W212*1000*(Pout/Pout_total)</f>
        <v>0.1253968090619503</v>
      </c>
      <c r="AH212" s="173">
        <f>SQRT((H212+I212)/(0.5*L*Fsw_DCM))</f>
        <v>3.2297400358743538</v>
      </c>
      <c r="AI212" s="173">
        <f>MAX(IF(F212&gt;AB212,T212,AH212),Isw_min)</f>
        <v>4.9373008321500995</v>
      </c>
      <c r="AJ212" s="173">
        <f>IF(F212&gt;AF212, (AI212-Isw_min)/1.08*0.8+1.2, AE212*0.2/350+1)</f>
        <v>4.1165191349259995</v>
      </c>
      <c r="AL212" s="545">
        <f>F212*1000</f>
        <v>1234.3662384703239</v>
      </c>
      <c r="AM212" s="460">
        <f>IF(F212&gt;AF212, X212, AE212)</f>
        <v>145.30214546506514</v>
      </c>
      <c r="AO212" t="str">
        <f>IF(H212&gt;O212, "",AL212)</f>
        <v/>
      </c>
      <c r="AP212" t="str">
        <f>IF(H212&gt;O212, "",AM212)</f>
        <v/>
      </c>
      <c r="AR212" s="5">
        <f>1/AM212*1000</f>
        <v>6.8822108359055791</v>
      </c>
      <c r="AS212" s="5">
        <f>L*AI212/J212*1000000</f>
        <v>3.1443721517310976</v>
      </c>
      <c r="AT212" s="5">
        <f>AR212-AS212</f>
        <v>3.7378386841744815</v>
      </c>
      <c r="AU212" s="173">
        <f>AS212/AR212</f>
        <v>0.45688401978713183</v>
      </c>
      <c r="AW212" s="5">
        <f>F212*AS212/Vout_ripple*1000</f>
        <v>24.258167658019708</v>
      </c>
      <c r="AX212" s="5">
        <f>G212*AS212/Vout_ripple2*1000</f>
        <v>10.591147709514491</v>
      </c>
      <c r="AY212" s="5">
        <f>H212/Efficiency/J212*AT212/Vinripple1</f>
        <v>3.2648740430588647</v>
      </c>
      <c r="AZ212" s="5"/>
      <c r="BA212" s="173">
        <f>AI212*SQRT(AU212/3)</f>
        <v>1.9267791874987015</v>
      </c>
      <c r="BB212" s="173">
        <f>AI212*Npri_sec1*SQRT((1-AU212)/3)*(Pout/Pout_total)</f>
        <v>2.1007542609751382</v>
      </c>
      <c r="BC212" s="173">
        <f>AI212*Npri_sec2*SQRT((1-AU212)/3)*(Pout2/Pout_total)</f>
        <v>0.51592053173948249</v>
      </c>
      <c r="BD212" s="173"/>
      <c r="BE212" s="528">
        <f>Rdson*BA212^2</f>
        <v>7.4249560747563129E-2</v>
      </c>
      <c r="BF212" s="528">
        <f>0.5*L212*AI212*AM212*1000*Tfall</f>
        <v>0.46628307571464267</v>
      </c>
      <c r="BG212" s="528">
        <f>Qg*Vdd*AM212*1000*0+Qg*J212*AM212*1000</f>
        <v>6.2970444295889605E-2</v>
      </c>
      <c r="BH212" s="528">
        <f>0.5*(Coss+Csw)*L212^2*AM212*1000</f>
        <v>9.0767128370440819E-2</v>
      </c>
      <c r="BI212">
        <f>J212*IQ</f>
        <v>8.4790931884231313E-3</v>
      </c>
      <c r="BJ212" s="460">
        <f>(BG212+BI212)*1000</f>
        <v>71.449537484312742</v>
      </c>
      <c r="BK212">
        <f>(BF212+BG212*0+BH212+BI212*0+BE212*(1+RdsonTC*(Ta-25)))/(1-BE212*RdsonTC*ThetaJA)</f>
        <v>0.66304437325911092</v>
      </c>
      <c r="BL212" s="460">
        <f>SUM(BE212:BI212)*1000</f>
        <v>702.7493023169593</v>
      </c>
      <c r="BM212" s="173">
        <f>Vfwd2*F212*(1+Diode_TC/1000*(Ta-25))</f>
        <v>0.76685002564968863</v>
      </c>
      <c r="BN212" s="173">
        <f>Vfwd2*G212*(1+Diode_TC/1000*(Ta-25))</f>
        <v>0.16740386180849418</v>
      </c>
      <c r="BO212" s="528"/>
      <c r="BQ212" s="460">
        <f>SUM(BM212:BP212)*1000</f>
        <v>934.25388745818282</v>
      </c>
      <c r="BR212" s="528">
        <f>Rdcr_pri*BA212^2</f>
        <v>0.11137434112134467</v>
      </c>
      <c r="BS212" s="528">
        <f>Rdcr_sec*BB212^2</f>
        <v>0.13239505395015594</v>
      </c>
      <c r="BT212" s="528">
        <f>Rdcr_sec2*BC212^2</f>
        <v>1.3308699753517518E-3</v>
      </c>
      <c r="BU212" s="528">
        <f>AI212^2.5*AM212^2.5*k_core</f>
        <v>0.68924566958236344</v>
      </c>
      <c r="BV212" s="528"/>
      <c r="BW212" s="625">
        <f>0.5*Lleak*0.000000001*AI212^2*AM212*1000</f>
        <v>1.7710108051305063E-2</v>
      </c>
      <c r="BX212" s="460">
        <f>SUM(BR212:BW212)*1000</f>
        <v>952.05604268052082</v>
      </c>
      <c r="BY212" s="173">
        <f>SUM(BE212:BI212,BM212:BP212,BR212:BW212)</f>
        <v>2.5890592324556625</v>
      </c>
      <c r="BZ212" s="5">
        <f>MIN(H212+I212,O212+P212)</f>
        <v>21.905563468592309</v>
      </c>
      <c r="CA212" s="173">
        <f>BZ212/(BZ212+BY212)</f>
        <v>0.89430091395753997</v>
      </c>
      <c r="CB212" s="5">
        <f>CA212*100</f>
        <v>89.43009139575399</v>
      </c>
      <c r="CC212">
        <f>F212/Iout*100</f>
        <v>123.43662384703238</v>
      </c>
      <c r="CE212" s="562">
        <f>IF(ABS(F212-Ioutmax_Vinmin)&lt;Iout/200, AM212, -50)</f>
        <v>145.30214546506514</v>
      </c>
      <c r="CF212">
        <f>IF(ABS(F212-Ioutmax_Vinmin)&lt;Iout/200, (O212+P212)*CA212, -50)</f>
        <v>20.11448333506706</v>
      </c>
      <c r="CG212" s="173">
        <f>MIN(SQRT(2*DT212*1000*Ls1_*(CL212+CJ212*Vfwd1))/(CW212+Vfwd1), 1-DY212)</f>
        <v>0.51480154889510155</v>
      </c>
      <c r="CH212" s="173">
        <f>MIN(SQRT(2*DT212*1000*Ls2_*(CM212+CK212*Vfwd22))/(Vout2+Vfwd22), 1-DY212)</f>
        <v>0.18198046272135285</v>
      </c>
      <c r="CI212" s="170">
        <v>100</v>
      </c>
      <c r="CJ212" s="217">
        <f>IF(PLOT_TYPE=1, CI212/100*Iout_max, min_I*EXP(CS212*rr/100))</f>
        <v>1</v>
      </c>
      <c r="CK212" s="217">
        <f>IF(PLOT_TYPE=1, CI212/100*Iout2, min_I*EXP(CU212*rr/100))</f>
        <v>0.25</v>
      </c>
      <c r="CL212" s="217">
        <f>CJ212*Vout</f>
        <v>16</v>
      </c>
      <c r="CM212" s="217">
        <f>Vout2*CK212</f>
        <v>2</v>
      </c>
      <c r="CN212" s="541">
        <f t="shared" si="541"/>
        <v>19</v>
      </c>
      <c r="CO212" s="443">
        <f>(CW212+Vfwd2)*Nps</f>
        <v>16.7</v>
      </c>
      <c r="CP212" s="443">
        <f>(Vout+Vfwd2)*Nps+CN212</f>
        <v>35.700000000000003</v>
      </c>
      <c r="CQ212" s="443"/>
      <c r="CR212" s="217">
        <f>(Vout+Vfwd1)*Nps/((Vout+Vfwd1)*Nps+CN212)</f>
        <v>0.4632768361581921</v>
      </c>
      <c r="CS212" s="172">
        <f>CR212*CN212*Isw_max*0.5*Efficiency*Pout/(Pout+Pout2)</f>
        <v>19.560577526679221</v>
      </c>
      <c r="CT212" s="172">
        <f>CR212*CN212*Isw_max*0.5*Efficiency*(Pout2/Pout_total)</f>
        <v>2.7507062146892656</v>
      </c>
      <c r="CU212" s="217">
        <f>CS212/Vout</f>
        <v>1.2225360954174513</v>
      </c>
      <c r="CV212" s="217">
        <f>CS212/Vout2</f>
        <v>2.4450721908349027</v>
      </c>
      <c r="CW212" s="217">
        <f>MIN(Vout,CS212/CJ212)</f>
        <v>16</v>
      </c>
      <c r="CX212" s="217">
        <f>MIN(2*(Vout*CJ212+Vout2*CK212)/(Efficiency*CN212*CR212), Isw_max)</f>
        <v>4.0898587933247752</v>
      </c>
      <c r="CY212" s="217">
        <f>L*CX212/CN212*1000000</f>
        <v>2.5830687115735427</v>
      </c>
      <c r="CZ212" s="217">
        <f>L*CX212/CO212*1000000</f>
        <v>2.93882068981421</v>
      </c>
      <c r="DA212" s="197">
        <f>IF(1/((350000*L)*(1/CN212+1/CO212))&gt;Isw_min, 350, 0.001/((Isw_min*L)*(1/CN212+1/CO212)))</f>
        <v>350</v>
      </c>
      <c r="DB212" s="443">
        <f>MIN(1/(CY212+CZ212)*1000, 350)</f>
        <v>181.09743374227696</v>
      </c>
      <c r="DD212" s="217">
        <f>1/((DA212*1000*L)*(1/CN212+1/CO212))</f>
        <v>2.1161798052554355</v>
      </c>
      <c r="DE212" s="173">
        <f>L*DD212/CO212*1000000</f>
        <v>1.5206082432973189</v>
      </c>
      <c r="DF212" s="173">
        <f>0.5*DE212*DD212*Nps*DA212/1000*(Pout/(Pout+Pout2))</f>
        <v>0.50055918207100247</v>
      </c>
      <c r="DG212" s="173"/>
      <c r="DH212" s="173">
        <f>L*Isw_min/CO212*1000000</f>
        <v>0.71856287425149712</v>
      </c>
      <c r="DI212" s="545">
        <f>MAX(10, CJ212/(0.5*DH212/1000000*Isw_min*Nps)/1000*Pout_total/Pout)</f>
        <v>2783.333333333333</v>
      </c>
      <c r="DJ212" s="528">
        <f>0.5*DH212/1000000*Isw_min*Nps*DA212*1000*(Pout/Pout_total)</f>
        <v>0.125748502994012</v>
      </c>
      <c r="DL212" s="173">
        <f>SQRT((CL212+CM212)/(0.5*L*Fsw_DCM))</f>
        <v>2.9277002188455996</v>
      </c>
      <c r="DM212" s="173">
        <f>MAX(IF(CJ212&gt;DF212,CX212,DL212),Isw_min)</f>
        <v>4.0898587933247752</v>
      </c>
      <c r="DN212" s="173">
        <f>IF(CJ212&gt;DJ212, (DM212-Isw_min)/1.08*0.8+1.2, DI212*0.2/350+1)</f>
        <v>3.4887842913516849</v>
      </c>
      <c r="DP212" s="545">
        <f>CJ212*1000</f>
        <v>1000</v>
      </c>
      <c r="DQ212" s="460">
        <f>IF(CJ212&gt;DJ212, DB212, DI212)</f>
        <v>181.09743374227696</v>
      </c>
      <c r="DS212">
        <f>IF(CL212&gt;CS212, "",DP212)</f>
        <v>1000</v>
      </c>
      <c r="DT212">
        <f>IF(CL212&gt;CS212, "",DQ212)</f>
        <v>181.09743374227696</v>
      </c>
      <c r="DV212" s="5">
        <f>1/DQ212*1000</f>
        <v>5.5218894013877531</v>
      </c>
      <c r="DW212" s="5">
        <f>L*DM212/CN212*1000000</f>
        <v>2.5830687115735427</v>
      </c>
      <c r="DX212" s="5">
        <f>DV212-DW212</f>
        <v>2.9388206898142104</v>
      </c>
      <c r="DY212" s="173">
        <f>DW212/DV212</f>
        <v>0.46778711484593838</v>
      </c>
      <c r="EA212" s="5">
        <f>CJ212*DW212/Vout_ripple*1000</f>
        <v>16.144179447334643</v>
      </c>
      <c r="EB212" s="5">
        <f>CK212*DW212/Vout_ripple2*1000</f>
        <v>8.0720897236673217</v>
      </c>
      <c r="EC212" s="5">
        <f>CL212/Efficiency/CN212*DX212/Vinripple1</f>
        <v>2.0623303086415508</v>
      </c>
      <c r="ED212" s="5"/>
      <c r="EE212" s="173">
        <f>DM212*SQRT(DY212/3)</f>
        <v>1.6149973496404177</v>
      </c>
      <c r="EF212" s="173">
        <f>DM212*Npri_sec1*SQRT((1-DY212)/3)*(Pout/Pout_total)</f>
        <v>1.7226235448001268</v>
      </c>
      <c r="EG212" s="173">
        <f>DM212*Npri_sec2*SQRT((1-DY212)/3)*(Pout2/Pout_total)</f>
        <v>0.42305607644356052</v>
      </c>
      <c r="EH212" s="173"/>
      <c r="EI212" s="528">
        <f>Rdson*EE212^2</f>
        <v>5.2164328786911476E-2</v>
      </c>
      <c r="EJ212" s="528">
        <f>0.5*CP212*DM212*DQ212*1000*Trise</f>
        <v>0.50239166666666668</v>
      </c>
      <c r="EK212" s="528">
        <f>Qg*Vdd*DQ212*1000</f>
        <v>2.0826204880361854E-2</v>
      </c>
      <c r="EL212" s="528">
        <f>0.5*(Coss+Csw)*CP212^2*DQ212*1000</f>
        <v>0.11367238265262085</v>
      </c>
      <c r="EM212">
        <f>CN212*IQ</f>
        <v>8.5500000000000003E-3</v>
      </c>
      <c r="EN212" s="460">
        <f>(EK212+EM212)*1000</f>
        <v>29.376204880361854</v>
      </c>
      <c r="EP212" s="460">
        <f>SUM(EI212:EM212)*1000</f>
        <v>697.60458298656067</v>
      </c>
      <c r="EQ212" s="173">
        <f>Vfwd2*CJ212</f>
        <v>0.7</v>
      </c>
      <c r="ER212" s="173">
        <f>Vfwd22*CK212*(1+Diode_TC/1000*(Ta-25))</f>
        <v>0.11093749999999999</v>
      </c>
      <c r="ES212" s="528"/>
      <c r="EU212" s="460">
        <f>SUM(EQ212:ET212)*1000</f>
        <v>810.9375</v>
      </c>
      <c r="EV212" s="528">
        <f>Rdcr_pri*EE212^2</f>
        <v>7.8246493180367208E-2</v>
      </c>
      <c r="EW212" s="528">
        <f>Rdcr_sec*EF212^2</f>
        <v>8.9022956312992632E-2</v>
      </c>
      <c r="EX212" s="528">
        <f>Rdcr_sec2*EG212^2</f>
        <v>8.9488221907909867E-4</v>
      </c>
      <c r="EY212" s="528">
        <f>DM212^2.5*DQ212^2.5*k_core</f>
        <v>0.74648576287198531</v>
      </c>
      <c r="EZ212" s="528"/>
      <c r="FA212" s="625">
        <f>0.5*Lleak*0.000000001*DM212^2*DQ212*1000</f>
        <v>1.5146034023365441E-2</v>
      </c>
      <c r="FB212" s="460">
        <f>SUM(EV212:FA212)*1000</f>
        <v>929.79612860778968</v>
      </c>
      <c r="FC212" s="173">
        <f>SUM(EI212:EM212,EQ212:ET212,EV212:FA212)</f>
        <v>2.4383382115943504</v>
      </c>
      <c r="FD212" s="5">
        <f>MIN(CL212+CM212,CS212+CT212)</f>
        <v>18</v>
      </c>
      <c r="FE212" s="173">
        <f>FD212/(FD212+FC212)</f>
        <v>0.88069782453198087</v>
      </c>
      <c r="FF212" s="5">
        <f>FE212*100</f>
        <v>88.069782453198087</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2.5000000000000001E-4</v>
      </c>
      <c r="H216" s="217">
        <f t="shared" ref="H216:H247" si="618">F216*Vout</f>
        <v>1.6000000000000001E-8</v>
      </c>
      <c r="I216" s="217">
        <f t="shared" ref="I216:I247" si="619">Vout2*G216</f>
        <v>2E-3</v>
      </c>
      <c r="J216" s="541">
        <f t="shared" ref="J216:J247" si="620">VIN_max-(F216/CG216/Nps+G216/CH216/(Nps/Nsec1sec2))*(Rdcr_pri+RON/1000)</f>
        <v>59.995422735409633</v>
      </c>
      <c r="K216" s="443">
        <f t="shared" ref="K216:K247" si="621">MAX((S216+Vfwd2+Rdcr_sec*F216/CG216)*Nps,(Vout2+Vfwd22+Rdcr_sec2*G216/CH216)*Nps/Nsec1sec2)</f>
        <v>16.701761872480539</v>
      </c>
      <c r="L216" s="172">
        <f t="shared" ref="L216:L247" si="622">MAX((Vout+Vfwd2+F216/CG216*Rdcr_sec)*Nps+J216, (Vout2+Vfwd22+G216/CH216*Rdcr_sec2)*Nps/Nsec1sec2+J216)</f>
        <v>76.697184607890165</v>
      </c>
      <c r="M216" s="443"/>
      <c r="N216" s="217">
        <f t="shared" ref="N216:N247" si="623">MAX((Vout+Vfwd2+F216/CG216*Rdcr_sec)*Nps/((Vout+Vfwd2+F216/CG216*Rdcr_sec)*Nps+J216), (Vout2+Vfwd22+G216/CH216*Rdcr_sec2)*Nps/Nsec1sec2/((Vout2+Vfwd22+G216/CH216*Rdcr_sec2)*Nps/Nsec1sec2+J216))</f>
        <v>0.21776238538438292</v>
      </c>
      <c r="O216" s="172">
        <f t="shared" ref="O216:O247" si="624">N216*J216*Isw_max*0.5*Efficiency*Pout/(Pout+Pout2)</f>
        <v>29.032769704460538</v>
      </c>
      <c r="P216" s="172">
        <f t="shared" ref="P216:P247" si="625">N216*J216*Isw_max*0.5*Efficiency*(Pout2/Pout_total)</f>
        <v>4.0827332396897633</v>
      </c>
      <c r="Q216" s="217">
        <f t="shared" ref="Q216:Q279" si="626">O216/Vout</f>
        <v>1.8145481065287836</v>
      </c>
      <c r="R216" s="217">
        <f t="shared" ref="R216:R247" si="627">O216/Vout2</f>
        <v>3.6290962130575672</v>
      </c>
      <c r="S216" s="217">
        <f t="shared" ref="S216:S247" si="628">MIN(Vout,O216/F216)</f>
        <v>16</v>
      </c>
      <c r="T216" s="217">
        <f t="shared" ref="T216:T247" si="629">MIN(2*(Vout*F216+Vout2*G216)/(Efficiency*J216*N216), Isw_max)</f>
        <v>3.0616989320982068E-4</v>
      </c>
      <c r="U216" s="217">
        <f t="shared" ref="U216:U279" si="630">L*T216/J216*1000000</f>
        <v>6.1238650400398129E-5</v>
      </c>
      <c r="V216" s="217">
        <f t="shared" ref="V216:V279" si="631">L*T216/K216*1000000</f>
        <v>2.1997911038185467E-4</v>
      </c>
      <c r="W216" s="197">
        <f t="shared" ref="W216:W279" si="632">IF(1/((350000*L)*(1/J216+1/K216))&gt;Isw_min, 350, 0.001/((Isw_min*L)*(1/J216+1/K216)))</f>
        <v>350</v>
      </c>
      <c r="X216" s="443">
        <f>MIN(1/(U216+V216+0.2)*1000, 350)</f>
        <v>350</v>
      </c>
      <c r="Z216" s="217">
        <f t="shared" ref="Z216:Z279" si="633">1/((W216*1000*L)*(1/J216+1/K216))</f>
        <v>3.1106538969064856</v>
      </c>
      <c r="AA216" s="173">
        <f t="shared" ref="AA216:AA279" si="634">L*Z216/K216*1000000</f>
        <v>2.2349646131874779</v>
      </c>
      <c r="AB216" s="173">
        <f t="shared" ref="AB216:AB247" si="635">0.5*AA216*Z216*Nps*W216/1000*(Pout/(Pout+Pout2))</f>
        <v>1.0814535485381791</v>
      </c>
      <c r="AC216" s="173"/>
      <c r="AD216" s="173">
        <f t="shared" ref="AD216:AD279" si="636">L*Isw_min/K216*1000000</f>
        <v>0.71848707289812208</v>
      </c>
      <c r="AE216" s="545">
        <f t="shared" ref="AE216:AE247" si="637">MAX(10, F216/(0.5*AD216/1000000*Isw_min*Nps)/1000*Pout_total/Pout)</f>
        <v>10</v>
      </c>
      <c r="AF216" s="528">
        <f t="shared" ref="AF216:AF247" si="638">0.5*AD216/1000000*Isw_min*Nps*W216*1000*(Pout/Pout_total)</f>
        <v>0.12573523775717135</v>
      </c>
      <c r="AH216" s="173">
        <f t="shared" ref="AH216:AH247" si="639">SQRT((H216+I216)/(0.5*L*Fsw_DCM))</f>
        <v>3.0860793434851465E-2</v>
      </c>
      <c r="AI216" s="173">
        <f t="shared" ref="AI216:AI247" si="640">MAX(IF(F216&gt;AB216,T216,AH216),Isw_min)</f>
        <v>1</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0.20001525871268733</v>
      </c>
      <c r="AT216" s="5">
        <f t="shared" si="605"/>
        <v>99.799984741287318</v>
      </c>
      <c r="AU216" s="173">
        <f t="shared" si="606"/>
        <v>2.0001525871268734E-3</v>
      </c>
      <c r="BA216" s="173">
        <f>AI216*SQRT(AU216/3)</f>
        <v>2.5820873901599286E-2</v>
      </c>
      <c r="BB216" s="173">
        <f>AI216*Npri_sec1*SQRT((1-AU216)/3)*(Pout/Pout_total)</f>
        <v>0.57677258586403968</v>
      </c>
      <c r="BC216" s="173">
        <f>AI216*Npri_sec2*SQRT((1-AU216)/3)*(Pout2/Pout_total)</f>
        <v>0.14164856152837443</v>
      </c>
      <c r="BD216" s="173"/>
      <c r="BE216" s="528">
        <f>Rdson*BA216^2</f>
        <v>1.3334350580845824E-5</v>
      </c>
      <c r="BF216" s="528">
        <f t="shared" ref="BF216:BF247" si="646">0.5*L216*AI216*AM216*1000*Tfall</f>
        <v>1.3997236190939956E-2</v>
      </c>
      <c r="BG216" s="528">
        <f t="shared" ref="BG216:BG247" si="647">Qg*Vdd*AM216*1000*0+Qg*J216*AM216*1000</f>
        <v>1.3798947229144216E-2</v>
      </c>
      <c r="BH216" s="528">
        <f>0.5*(Coss+Csw)*L216^2*AM216*1000</f>
        <v>2.8971106274375664E-2</v>
      </c>
      <c r="BI216">
        <f>J216*IQ</f>
        <v>2.6997940230934336E-2</v>
      </c>
      <c r="BJ216" s="460">
        <f>(BG216+BI216)*1000</f>
        <v>40.796887460078551</v>
      </c>
      <c r="BK216">
        <f t="shared" ref="BK216:BK247" si="648">(BF216+BG216*0+BH216+BI216*0+BE216*(1+RdsonTC*(Ta-25)))/(1-BE216*RdsonTC*ThetaJA)</f>
        <v>4.2985413278732051E-2</v>
      </c>
      <c r="BL216" s="460">
        <f>SUM(BE216:BI216)*1000</f>
        <v>83.778564275975015</v>
      </c>
      <c r="BM216" s="173">
        <f t="shared" ref="BM216:BM247" si="649">Vfwd2*F216*(1+Diode_TC/1000*(Ta-25))</f>
        <v>6.212499999999999E-10</v>
      </c>
      <c r="BN216" s="173">
        <f t="shared" ref="BN216:BN247" si="650">Vfwd22*G216*(1+Diode_TC/1000*(Ta-25))</f>
        <v>1.1093749999999999E-4</v>
      </c>
      <c r="BQ216" s="460">
        <f>SUM(BM216:BP216)*1000</f>
        <v>0.11093812124999999</v>
      </c>
      <c r="BR216" s="528">
        <f>Rdcr_pri*BA216^2</f>
        <v>2.0001525871268735E-5</v>
      </c>
      <c r="BS216" s="528">
        <f>Rdcr_sec*BB216^2</f>
        <v>9.9799984741287297E-3</v>
      </c>
      <c r="BT216" s="528">
        <f>Rdcr_sec2*BC216^2</f>
        <v>1.0032157491528838E-4</v>
      </c>
      <c r="BU216" s="528">
        <f>AI216^2.5*AM216^2.5*k_core</f>
        <v>1.5811388300841911E-5</v>
      </c>
      <c r="BV216" s="528"/>
      <c r="BW216" s="625">
        <f>0.5*Lleak*0.000000001*AI216^2*AM216*1000</f>
        <v>4.9999999999999996E-5</v>
      </c>
      <c r="BX216" s="460">
        <f>SUM(BR216:BW216)*1000</f>
        <v>10.166132963216128</v>
      </c>
      <c r="BY216" s="173">
        <f>SUM(BE216:BI216,BM216:BP216,BR216:BW216)</f>
        <v>9.4055635360441134E-2</v>
      </c>
      <c r="BZ216" s="5">
        <f>MIN(H216+I216,O216+P216)</f>
        <v>2.0000159999999999E-3</v>
      </c>
      <c r="CA216" s="173">
        <f>BZ216/(BZ216+BY216)</f>
        <v>2.0821429782357109E-2</v>
      </c>
      <c r="CB216" s="5">
        <f>CA216*100</f>
        <v>2.0821429782357108</v>
      </c>
      <c r="CC216">
        <f>F216/Iout*100</f>
        <v>1.0000000000000001E-7</v>
      </c>
      <c r="CE216" s="562">
        <f t="shared" ref="CE216:CE247" si="651">IF(ABS(F216-Ioutmax_Vinmax)&lt;Iout/200, AM216, -50)</f>
        <v>-50</v>
      </c>
      <c r="CG216" s="173">
        <f t="shared" ref="CG216:CG247" si="652">MIN(SQRT(2*DT216*1000*Ls1_*CL216)/CW216, 1-DY216)</f>
        <v>3.8729833462074176E-6</v>
      </c>
      <c r="CH216" s="173">
        <f t="shared" ref="CH216:CH247" si="653">MIN(SQRT(2*DT216*1000*Ls2_*CM216)/Vout2, 1-DY216)</f>
        <v>1.3939047122137462E-3</v>
      </c>
      <c r="CI216" s="170">
        <v>0.1</v>
      </c>
      <c r="CJ216" s="217">
        <v>1.0000000000000001E-9</v>
      </c>
      <c r="CK216" s="217">
        <f t="shared" ref="CK216:CK279" si="654">IF(PLOT_TYPE=1, CI216/100*Iout2, min_I*EXP(CU216*rr/100))</f>
        <v>2.5000000000000001E-4</v>
      </c>
      <c r="CL216" s="217">
        <f t="shared" ref="CL216:CL279" si="655">CJ216*Vout</f>
        <v>1.6000000000000001E-8</v>
      </c>
      <c r="CM216" s="217">
        <f t="shared" ref="CM216:CM279" si="656">Vout2*CK216</f>
        <v>2E-3</v>
      </c>
      <c r="CN216" s="541">
        <f t="shared" ref="CN216:CN279" si="657">VIN_max</f>
        <v>60</v>
      </c>
      <c r="CO216" s="443">
        <f t="shared" ref="CO216:CO247" si="658">(CW216+Vfwd2)*Nps</f>
        <v>16.7</v>
      </c>
      <c r="CP216" s="443">
        <f t="shared" ref="CP216:CP247" si="659">(Vout+Vfwd2)*Nps+CN216</f>
        <v>76.7</v>
      </c>
      <c r="CQ216" s="443"/>
      <c r="CR216" s="217">
        <f t="shared" ref="CR216:CR279" si="660">(Vout+Vfwd1)*Nps/((Vout+Vfwd1)*Nps+CN216)</f>
        <v>0.21465968586387432</v>
      </c>
      <c r="CS216" s="172">
        <f t="shared" ref="CS216:CS279" si="661">CR216*CN216*Isw_max*0.5*Efficiency*Pout/(Pout+Pout2)</f>
        <v>28.621291448516576</v>
      </c>
      <c r="CT216" s="172">
        <f t="shared" ref="CT216:CT279" si="662">CR216*CN216*Isw_max*0.5*Efficiency*(Pout2/Pout_total)</f>
        <v>4.0248691099476437</v>
      </c>
      <c r="CU216" s="217">
        <f t="shared" ref="CU216:CU279" si="663">CS216/Vout</f>
        <v>1.788830715532286</v>
      </c>
      <c r="CV216" s="217">
        <f t="shared" ref="CV216:CV279" si="664">CS216/Vout2</f>
        <v>3.577661431064572</v>
      </c>
      <c r="CW216" s="217">
        <f t="shared" ref="CW216:CW279" si="665">MIN(Vout,CS216/CJ216)</f>
        <v>16</v>
      </c>
      <c r="CX216" s="217">
        <f t="shared" ref="CX216:CX279" si="666">MIN(2*(Vout*CJ216+Vout2*CK216)/(Efficiency*CN216*CR216), Isw_max)</f>
        <v>3.1057159024390247E-4</v>
      </c>
      <c r="CY216" s="217">
        <f t="shared" ref="CY216:CY279" si="667">L*CX216/CN216*1000000</f>
        <v>6.2114318048780504E-5</v>
      </c>
      <c r="CZ216" s="217">
        <f t="shared" ref="CZ216:CZ279" si="668">L*CX216/CO216*1000000</f>
        <v>2.2316521454651675E-4</v>
      </c>
      <c r="DA216" s="197">
        <f t="shared" ref="DA216:DA279" si="669">IF(1/((350000*L)*(1/CN216+1/CO216))&gt;Isw_min, 350, 0.001/((Isw_min*L)*(1/CN216+1/CO216)))</f>
        <v>350</v>
      </c>
      <c r="DB216" s="443">
        <f t="shared" ref="DB216:DB279" si="670">MIN(1/(CY216+CZ216)*1000, 350)</f>
        <v>350</v>
      </c>
      <c r="DD216" s="217">
        <f t="shared" ref="DD216:DD279" si="671">1/((DA216*1000*L)*(1/CN216+1/CO216))</f>
        <v>3.1104488731607378</v>
      </c>
      <c r="DE216" s="173">
        <f t="shared" ref="DE216:DE279" si="672">L*DD216/CO216*1000000</f>
        <v>2.23505308251071</v>
      </c>
      <c r="DF216" s="173">
        <f t="shared" ref="DF216:DF279" si="673">0.5*DE216*DD216*Nps*DA216/1000*(Pout/(Pout+Pout2))</f>
        <v>1.0814250754144243</v>
      </c>
      <c r="DG216" s="173"/>
      <c r="DH216" s="173">
        <f t="shared" ref="DH216:DH279" si="674">L*Isw_min/CO216*1000000</f>
        <v>0.71856287425149712</v>
      </c>
      <c r="DI216" s="545">
        <f t="shared" ref="DI216:DI279" si="675">MAX(10, CJ216/(0.5*DH216/1000000*Isw_min*Nps)/1000*Pout_total/Pout)</f>
        <v>10</v>
      </c>
      <c r="DJ216" s="528">
        <f t="shared" ref="DJ216:DJ279" si="676">0.5*DH216/1000000*Isw_min*Nps*DA216*1000*(Pout/Pout_total)</f>
        <v>0.125748502994012</v>
      </c>
      <c r="DL216" s="173">
        <f t="shared" ref="DL216:DL279" si="677">SQRT((CL216+CM216)/(0.5*L*Fsw_DCM))</f>
        <v>3.0860793434851465E-2</v>
      </c>
      <c r="DM216" s="173">
        <f t="shared" ref="DM216:DM279" si="678">MAX(IF(CJ216&gt;DF216,CX216,DL216),Isw_min)</f>
        <v>1</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0.2</v>
      </c>
      <c r="DX216" s="5">
        <f t="shared" ref="DX216:DX279" si="686">DV216-DW216</f>
        <v>99.8</v>
      </c>
      <c r="DY216" s="173">
        <f t="shared" ref="DY216:DY279" si="687">DW216/DV216</f>
        <v>2E-3</v>
      </c>
      <c r="EA216" s="5">
        <f>CJ216*DW216/Vout_ripple*1000</f>
        <v>1.25E-9</v>
      </c>
      <c r="EB216" s="5">
        <f>CK216*DW216/Vout_ripple2*1000</f>
        <v>6.2500000000000001E-4</v>
      </c>
      <c r="EC216" s="5">
        <f>CL216/Efficiency/CN216*DX216/Vinripple1</f>
        <v>2.2177777777777777E-8</v>
      </c>
      <c r="ED216" s="5"/>
      <c r="EE216" s="173">
        <f>DM216*SQRT(DY216/3)</f>
        <v>2.5819888974716113E-2</v>
      </c>
      <c r="EF216" s="173">
        <f>DM216*Npri_sec1*SQRT((1-DY216)/3)*(Pout/Pout_total)</f>
        <v>0.5767726299562651</v>
      </c>
      <c r="EG216" s="173">
        <f>DM216*Npri_sec2*SQRT((1-DY216)/3)*(Pout2/Pout_total)</f>
        <v>0.14164857235690628</v>
      </c>
      <c r="EH216" s="173"/>
      <c r="EI216" s="528">
        <f>Rdson*EE216^2</f>
        <v>1.3333333333333333E-5</v>
      </c>
      <c r="EJ216" s="528">
        <f>0.5*CP216*DM216*DQ216*1000*Trise</f>
        <v>1.4573000000000001E-2</v>
      </c>
      <c r="EK216" s="528">
        <f>Qg*Vdd*DQ216*1000</f>
        <v>1.15E-3</v>
      </c>
      <c r="EL216" s="528">
        <f>0.5*(Coss+Csw)*CP216^2*DQ216*1000</f>
        <v>2.8973233249999997E-2</v>
      </c>
      <c r="EM216">
        <f>CN216*IQ</f>
        <v>2.7E-2</v>
      </c>
      <c r="EN216" s="460">
        <f>(EK216+EM216)*1000</f>
        <v>28.150000000000002</v>
      </c>
      <c r="EP216" s="460">
        <f>SUM(EI216:EM216)*1000</f>
        <v>71.709566583333327</v>
      </c>
      <c r="EQ216" s="173">
        <f>Vfwd2*CJ216</f>
        <v>6.9999999999999996E-10</v>
      </c>
      <c r="ER216" s="173">
        <f t="shared" ref="ER216:ER247" si="688">Vfwd22*CK216*(1+Diode_TC/1000*(Ta-25))</f>
        <v>1.1093749999999999E-4</v>
      </c>
      <c r="ES216" s="528"/>
      <c r="EU216" s="460">
        <f>SUM(EQ216:ET216)*1000</f>
        <v>0.11093819999999999</v>
      </c>
      <c r="EV216" s="528">
        <f>Rdcr_pri*EE216^2</f>
        <v>1.9999999999999998E-5</v>
      </c>
      <c r="EW216" s="528">
        <f>Rdcr_sec*EF216^2</f>
        <v>9.980000000000001E-3</v>
      </c>
      <c r="EX216" s="528">
        <f>Rdcr_sec2*EG216^2</f>
        <v>1.0032159025374858E-4</v>
      </c>
      <c r="EY216" s="528">
        <f>DM216^2.5*DQ216^2.5*k_core</f>
        <v>1.5811388300841911E-5</v>
      </c>
      <c r="EZ216" s="528"/>
      <c r="FA216" s="625">
        <f>0.5*Lleak*0.000000001*DM216^2*DQ216*1000</f>
        <v>4.9999999999999996E-5</v>
      </c>
      <c r="FB216" s="460">
        <f>SUM(EV216:FA216)*1000</f>
        <v>10.166132978554591</v>
      </c>
      <c r="FC216" s="173">
        <f>SUM(EI216:EM216,EQ216:ET216,EV216:FA216)</f>
        <v>8.1986637761887929E-2</v>
      </c>
      <c r="FD216" s="5">
        <f>MIN(CL216+CM216,CS216+CT216)</f>
        <v>2.0000159999999999E-3</v>
      </c>
      <c r="FE216" s="173">
        <f>FD216/(FD216+FC216)</f>
        <v>2.3813497864437858E-2</v>
      </c>
      <c r="FF216" s="5">
        <f>FE216*100</f>
        <v>2.3813497864437858</v>
      </c>
      <c r="FG216">
        <f>CJ216/Iout*100</f>
        <v>1.0000000000000001E-7</v>
      </c>
      <c r="FI216" s="562">
        <f t="shared" ref="FI216:FI279" si="689">IF(ABS(CJ216-Ioutmax_Vinmax)&lt;Iout/200, DQ216, -50)</f>
        <v>-50</v>
      </c>
    </row>
    <row r="217" spans="1:169">
      <c r="E217" s="170">
        <v>1</v>
      </c>
      <c r="F217" s="217">
        <f t="shared" ref="F217:F248" si="690">IF(PLOT_TYPE=1, E217/100*Iout_max, min_I*EXP(O217*rr/100))</f>
        <v>0.01</v>
      </c>
      <c r="G217" s="217">
        <f t="shared" si="617"/>
        <v>2.5000000000000001E-3</v>
      </c>
      <c r="H217" s="217">
        <f t="shared" si="618"/>
        <v>0.16</v>
      </c>
      <c r="I217" s="217">
        <f t="shared" si="619"/>
        <v>0.02</v>
      </c>
      <c r="J217" s="541">
        <f t="shared" si="620"/>
        <v>59.966877954035809</v>
      </c>
      <c r="K217" s="443">
        <f t="shared" si="621"/>
        <v>16.714682263526971</v>
      </c>
      <c r="L217" s="172">
        <f t="shared" si="622"/>
        <v>76.681560217562776</v>
      </c>
      <c r="M217" s="443"/>
      <c r="N217" s="217">
        <f t="shared" si="623"/>
        <v>0.21797525006147073</v>
      </c>
      <c r="O217" s="172">
        <f t="shared" si="624"/>
        <v>29.047322705414778</v>
      </c>
      <c r="P217" s="172">
        <f t="shared" si="625"/>
        <v>4.0847797554489533</v>
      </c>
      <c r="Q217" s="217">
        <f t="shared" si="626"/>
        <v>1.8154576690884237</v>
      </c>
      <c r="R217" s="217">
        <f t="shared" si="627"/>
        <v>3.6309153381768473</v>
      </c>
      <c r="S217" s="217">
        <f t="shared" si="628"/>
        <v>16</v>
      </c>
      <c r="T217" s="217">
        <f t="shared" si="629"/>
        <v>2.754126458101662E-2</v>
      </c>
      <c r="U217" s="217">
        <f t="shared" si="630"/>
        <v>5.5112953391624241E-3</v>
      </c>
      <c r="V217" s="217">
        <f t="shared" si="631"/>
        <v>1.9772746484889598E-2</v>
      </c>
      <c r="W217" s="197">
        <f t="shared" si="632"/>
        <v>350</v>
      </c>
      <c r="X217" s="443">
        <f t="shared" ref="X217:X280" si="691">MIN(1/(U217+V217+0.2)*1000, 350)</f>
        <v>350</v>
      </c>
      <c r="Z217" s="217">
        <f t="shared" si="633"/>
        <v>3.1122131470087258</v>
      </c>
      <c r="AA217" s="173">
        <f t="shared" si="634"/>
        <v>2.234356428395798</v>
      </c>
      <c r="AB217" s="173">
        <f t="shared" si="635"/>
        <v>1.081701203575512</v>
      </c>
      <c r="AC217" s="173"/>
      <c r="AD217" s="173">
        <f t="shared" si="636"/>
        <v>0.71793168489867998</v>
      </c>
      <c r="AE217" s="545">
        <f t="shared" si="637"/>
        <v>27.857803772544955</v>
      </c>
      <c r="AF217" s="528">
        <f t="shared" si="638"/>
        <v>0.12563804485726898</v>
      </c>
      <c r="AH217" s="173">
        <f t="shared" si="639"/>
        <v>0.29277002188455992</v>
      </c>
      <c r="AI217" s="173">
        <f t="shared" si="640"/>
        <v>1</v>
      </c>
      <c r="AJ217" s="173">
        <f t="shared" si="641"/>
        <v>1.0159187450128828</v>
      </c>
      <c r="AL217" s="545">
        <f t="shared" si="642"/>
        <v>10</v>
      </c>
      <c r="AM217" s="460">
        <f t="shared" si="643"/>
        <v>27.857803772544955</v>
      </c>
      <c r="AO217">
        <f t="shared" si="644"/>
        <v>10</v>
      </c>
      <c r="AP217">
        <f t="shared" si="645"/>
        <v>27.857803772544955</v>
      </c>
      <c r="AR217" s="5">
        <f t="shared" si="616"/>
        <v>35.89658424493399</v>
      </c>
      <c r="AS217" s="5">
        <f t="shared" si="604"/>
        <v>0.20011046780187416</v>
      </c>
      <c r="AT217" s="5">
        <f t="shared" si="605"/>
        <v>35.696473777132113</v>
      </c>
      <c r="AU217" s="173">
        <f t="shared" si="606"/>
        <v>5.5746381448567861E-3</v>
      </c>
      <c r="BA217" s="173">
        <f t="shared" ref="BA217:BA280" si="692">AI217*SQRT(AU217/3)</f>
        <v>4.3106991485746975E-2</v>
      </c>
      <c r="BB217" s="173">
        <f t="shared" ref="BB217:BB280" si="693">AI217*Npri_sec1*SQRT((1-AU217)/3)*(Pout/Pout_total)</f>
        <v>0.57573876073995667</v>
      </c>
      <c r="BC217" s="173">
        <f t="shared" ref="BC217:BC280" si="694">AI217*Npri_sec2*SQRT((1-AU217)/3)*(Pout2/Pout_total)</f>
        <v>0.14139466624054817</v>
      </c>
      <c r="BD217" s="173"/>
      <c r="BE217" s="528">
        <f t="shared" ref="BE217:BE280" si="695">Rdson*BA217^2</f>
        <v>3.7164254299045246E-5</v>
      </c>
      <c r="BF217" s="528">
        <f t="shared" si="646"/>
        <v>3.8985282399620527E-2</v>
      </c>
      <c r="BG217" s="528">
        <f t="shared" si="647"/>
        <v>3.8422546934600676E-2</v>
      </c>
      <c r="BH217" s="528">
        <f t="shared" ref="BH217:BH280" si="696">0.5*(Coss+Csw)*L217^2*AM217*1000</f>
        <v>8.0674260156885294E-2</v>
      </c>
      <c r="BI217">
        <f t="shared" ref="BI217:BI280" si="697">J217*IQ</f>
        <v>2.6985095079316113E-2</v>
      </c>
      <c r="BJ217" s="460">
        <f t="shared" ref="BJ217:BJ280" si="698">(BG217+BI217)*1000</f>
        <v>65.407642013916785</v>
      </c>
      <c r="BK217">
        <f t="shared" si="648"/>
        <v>0.11970779820647606</v>
      </c>
      <c r="BL217" s="460">
        <f t="shared" ref="BL217:BL280" si="699">SUM(BE217:BI217)*1000</f>
        <v>185.10434882472165</v>
      </c>
      <c r="BM217" s="173">
        <f t="shared" si="649"/>
        <v>6.2124999999999993E-3</v>
      </c>
      <c r="BN217" s="173">
        <f t="shared" si="650"/>
        <v>1.1093749999999999E-3</v>
      </c>
      <c r="BQ217" s="460">
        <f t="shared" ref="BQ217:BQ280" si="700">SUM(BM217:BP217)*1000</f>
        <v>7.3218749999999995</v>
      </c>
      <c r="BR217" s="528">
        <f t="shared" ref="BR217:BR280" si="701">Rdcr_pri*BA217^2</f>
        <v>5.5746381448567866E-5</v>
      </c>
      <c r="BS217" s="528">
        <f t="shared" ref="BS217:BS280" si="702">Rdcr_sec*BB217^2</f>
        <v>9.9442536185514324E-3</v>
      </c>
      <c r="BT217" s="528">
        <f t="shared" ref="BT217:BT280" si="703">Rdcr_sec2*BC217^2</f>
        <v>9.9962258206380067E-5</v>
      </c>
      <c r="BU217" s="528">
        <f t="shared" ref="BU217:BU280" si="704">AI217^2.5*AM217^2.5*k_core</f>
        <v>2.048034138947136E-4</v>
      </c>
      <c r="BV217" s="528"/>
      <c r="BW217" s="625">
        <f t="shared" ref="BW217:BW280" si="705">0.5*Lleak*0.000000001*AI217^2*AM217*1000</f>
        <v>1.3928901886272476E-4</v>
      </c>
      <c r="BX217" s="460">
        <f t="shared" ref="BX217:BX280" si="706">SUM(BR217:BW217)*1000</f>
        <v>10.444054690963819</v>
      </c>
      <c r="BY217" s="173">
        <f t="shared" ref="BY217:BY280" si="707">SUM(BE217:BI217,BM217:BP217,BR217:BW217)</f>
        <v>0.20287027851568548</v>
      </c>
      <c r="BZ217" s="5">
        <f t="shared" ref="BZ217:BZ280" si="708">MIN(H217+I217,O217+P217)</f>
        <v>0.18</v>
      </c>
      <c r="CA217" s="173">
        <f t="shared" ref="CA217:CA280" si="709">BZ217/(BZ217+BY217)</f>
        <v>0.47013312367265864</v>
      </c>
      <c r="CB217" s="5">
        <f t="shared" ref="CB217:CB280" si="710">CA217*100</f>
        <v>47.013312367265861</v>
      </c>
      <c r="CC217">
        <f t="shared" ref="CC217:CC280" si="711">F217/Iout*100</f>
        <v>1</v>
      </c>
      <c r="CE217" s="562">
        <f t="shared" si="651"/>
        <v>-50</v>
      </c>
      <c r="CG217" s="173">
        <f t="shared" si="652"/>
        <v>2.043281674170255E-2</v>
      </c>
      <c r="CH217" s="173">
        <f t="shared" si="653"/>
        <v>7.3538657396885667E-3</v>
      </c>
      <c r="CI217" s="170">
        <v>1</v>
      </c>
      <c r="CJ217" s="217">
        <f t="shared" ref="CJ217:CJ280" si="712">IF(PLOT_TYPE=1, CI217/100*Iout_max, min_I*EXP(CS217*rr/100))</f>
        <v>0.01</v>
      </c>
      <c r="CK217" s="217">
        <f t="shared" si="654"/>
        <v>2.5000000000000001E-3</v>
      </c>
      <c r="CL217" s="217">
        <f t="shared" si="655"/>
        <v>0.16</v>
      </c>
      <c r="CM217" s="217">
        <f t="shared" si="656"/>
        <v>0.02</v>
      </c>
      <c r="CN217" s="541">
        <f t="shared" si="657"/>
        <v>60</v>
      </c>
      <c r="CO217" s="443">
        <f t="shared" si="658"/>
        <v>16.7</v>
      </c>
      <c r="CP217" s="443">
        <f t="shared" si="659"/>
        <v>76.7</v>
      </c>
      <c r="CQ217" s="443"/>
      <c r="CR217" s="217">
        <f t="shared" si="660"/>
        <v>0.21465968586387432</v>
      </c>
      <c r="CS217" s="172">
        <f t="shared" si="661"/>
        <v>28.621291448516576</v>
      </c>
      <c r="CT217" s="172">
        <f t="shared" si="662"/>
        <v>4.0248691099476437</v>
      </c>
      <c r="CU217" s="217">
        <f t="shared" si="663"/>
        <v>1.788830715532286</v>
      </c>
      <c r="CV217" s="217">
        <f t="shared" si="664"/>
        <v>3.577661431064572</v>
      </c>
      <c r="CW217" s="217">
        <f t="shared" si="665"/>
        <v>16</v>
      </c>
      <c r="CX217" s="217">
        <f t="shared" si="666"/>
        <v>2.7951219512195122E-2</v>
      </c>
      <c r="CY217" s="217">
        <f t="shared" si="667"/>
        <v>5.5902439024390245E-3</v>
      </c>
      <c r="CZ217" s="217">
        <f t="shared" si="668"/>
        <v>2.0084708631517456E-2</v>
      </c>
      <c r="DA217" s="197">
        <f t="shared" si="669"/>
        <v>350</v>
      </c>
      <c r="DB217" s="443">
        <f t="shared" si="670"/>
        <v>350</v>
      </c>
      <c r="DD217" s="217">
        <f t="shared" si="671"/>
        <v>3.1104488731607378</v>
      </c>
      <c r="DE217" s="173">
        <f t="shared" si="672"/>
        <v>2.23505308251071</v>
      </c>
      <c r="DF217" s="173">
        <f t="shared" si="673"/>
        <v>1.0814250754144243</v>
      </c>
      <c r="DG217" s="173"/>
      <c r="DH217" s="173">
        <f t="shared" si="674"/>
        <v>0.71856287425149712</v>
      </c>
      <c r="DI217" s="545">
        <f t="shared" si="675"/>
        <v>27.833333333333332</v>
      </c>
      <c r="DJ217" s="528">
        <f t="shared" si="676"/>
        <v>0.125748502994012</v>
      </c>
      <c r="DL217" s="173">
        <f t="shared" si="677"/>
        <v>0.29277002188455992</v>
      </c>
      <c r="DM217" s="173">
        <f t="shared" si="678"/>
        <v>1</v>
      </c>
      <c r="DN217" s="173">
        <f t="shared" si="679"/>
        <v>1.0159047619047619</v>
      </c>
      <c r="DP217" s="545">
        <f t="shared" si="680"/>
        <v>10</v>
      </c>
      <c r="DQ217" s="460">
        <f t="shared" si="681"/>
        <v>27.833333333333332</v>
      </c>
      <c r="DS217">
        <f t="shared" si="682"/>
        <v>10</v>
      </c>
      <c r="DT217">
        <f t="shared" si="683"/>
        <v>27.833333333333332</v>
      </c>
      <c r="DV217" s="5">
        <f t="shared" si="684"/>
        <v>35.928143712574851</v>
      </c>
      <c r="DW217" s="5">
        <f t="shared" si="685"/>
        <v>0.2</v>
      </c>
      <c r="DX217" s="5">
        <f t="shared" si="686"/>
        <v>35.728143712574848</v>
      </c>
      <c r="DY217" s="173">
        <f t="shared" si="687"/>
        <v>5.5666666666666668E-3</v>
      </c>
      <c r="EA217" s="5">
        <f t="shared" ref="EA217:EA280" si="713">CJ217*DW217/Vout_ripple*1000</f>
        <v>1.2500000000000001E-2</v>
      </c>
      <c r="EB217" s="5">
        <f t="shared" ref="EB217:EB280" si="714">CK217*DW217/Vout_ripple2*1000</f>
        <v>6.2500000000000003E-3</v>
      </c>
      <c r="EC217" s="5">
        <f t="shared" ref="EC217:EC280" si="715">CL217/Efficiency/CN217*DX217/Vinripple1</f>
        <v>7.939587491683299E-2</v>
      </c>
      <c r="ED217" s="5"/>
      <c r="EE217" s="173">
        <f t="shared" ref="EE217:EE280" si="716">DM217*SQRT(DY217/3)</f>
        <v>4.3076159944400283E-2</v>
      </c>
      <c r="EF217" s="173">
        <f t="shared" ref="EF217:EF280" si="717">DM217*Npri_sec1*SQRT((1-DY217)/3)*(Pout/Pout_total)</f>
        <v>0.57574106834390215</v>
      </c>
      <c r="EG217" s="173">
        <f t="shared" ref="EG217:EG280" si="718">DM217*Npri_sec2*SQRT((1-DY217)/3)*(Pout2/Pout_total)</f>
        <v>0.1413952329609289</v>
      </c>
      <c r="EH217" s="173"/>
      <c r="EI217" s="528">
        <f t="shared" ref="EI217:EI280" si="719">Rdson*EE217^2</f>
        <v>3.7111111111111107E-5</v>
      </c>
      <c r="EJ217" s="528">
        <f t="shared" ref="EJ217:EJ280" si="720">0.5*CP217*DM217*DQ217*1000*Trise</f>
        <v>4.0561516666666665E-2</v>
      </c>
      <c r="EK217" s="528">
        <f t="shared" ref="EK217:EK280" si="721">Qg*Vdd*DQ217*1000</f>
        <v>3.2008333333333333E-3</v>
      </c>
      <c r="EL217" s="528">
        <f t="shared" ref="EL217:EL280" si="722">0.5*(Coss+Csw)*CP217^2*DQ217*1000</f>
        <v>8.0642165879166658E-2</v>
      </c>
      <c r="EM217">
        <f t="shared" ref="EM217:EM280" si="723">CN217*IQ</f>
        <v>2.7E-2</v>
      </c>
      <c r="EN217" s="460">
        <f t="shared" ref="EN217:EN280" si="724">(EK217+EM217)*1000</f>
        <v>30.200833333333332</v>
      </c>
      <c r="EP217" s="460">
        <f t="shared" ref="EP217:EP280" si="725">SUM(EI217:EM217)*1000</f>
        <v>151.44162699027777</v>
      </c>
      <c r="EQ217" s="173">
        <f t="shared" ref="EQ217:EQ280" si="726">Vfwd2*CJ217</f>
        <v>6.9999999999999993E-3</v>
      </c>
      <c r="ER217" s="173">
        <f t="shared" si="688"/>
        <v>1.1093749999999999E-3</v>
      </c>
      <c r="ES217" s="528"/>
      <c r="EU217" s="460">
        <f t="shared" ref="EU217:EU280" si="727">SUM(EQ217:ET217)*1000</f>
        <v>8.1093749999999982</v>
      </c>
      <c r="EV217" s="528">
        <f t="shared" ref="EV217:EV280" si="728">Rdcr_pri*EE217^2</f>
        <v>5.566666666666666E-5</v>
      </c>
      <c r="EW217" s="528">
        <f t="shared" ref="EW217:EW280" si="729">Rdcr_sec*EF217^2</f>
        <v>9.9443333333333345E-3</v>
      </c>
      <c r="EX217" s="528">
        <f t="shared" ref="EX217:EX280" si="730">Rdcr_sec2*EG217^2</f>
        <v>9.9963059520376764E-5</v>
      </c>
      <c r="EY217" s="528">
        <f t="shared" ref="EY217:EY280" si="731">DM217^2.5*DQ217^2.5*k_core</f>
        <v>2.0435395919852069E-4</v>
      </c>
      <c r="EZ217" s="528"/>
      <c r="FA217" s="625">
        <f t="shared" ref="FA217:FA280" si="732">0.5*Lleak*0.000000001*DM217^2*DQ217*1000</f>
        <v>1.3916666666666667E-4</v>
      </c>
      <c r="FB217" s="460">
        <f t="shared" ref="FB217:FB280" si="733">SUM(EV217:FA217)*1000</f>
        <v>10.443483685385564</v>
      </c>
      <c r="FC217" s="173">
        <f t="shared" ref="FC217:FC280" si="734">SUM(EI217:EM217,EQ217:ET217,EV217:FA217)</f>
        <v>0.16999448567566333</v>
      </c>
      <c r="FD217" s="5">
        <f t="shared" ref="FD217:FD280" si="735">MIN(CL217+CM217,CS217+CT217)</f>
        <v>0.18</v>
      </c>
      <c r="FE217" s="173">
        <f t="shared" ref="FE217:FE280" si="736">FD217/(FD217+FC217)</f>
        <v>0.51429381709403366</v>
      </c>
      <c r="FF217" s="5">
        <f t="shared" ref="FF217:FF280" si="737">FE217*100</f>
        <v>51.429381709403366</v>
      </c>
      <c r="FG217">
        <f t="shared" ref="FG217:FG280" si="738">CJ217/Iout*100</f>
        <v>1</v>
      </c>
      <c r="FI217" s="562">
        <f t="shared" si="689"/>
        <v>-50</v>
      </c>
    </row>
    <row r="218" spans="1:169">
      <c r="E218" s="170">
        <v>2</v>
      </c>
      <c r="F218" s="217">
        <f t="shared" si="690"/>
        <v>0.02</v>
      </c>
      <c r="G218" s="217">
        <f t="shared" si="617"/>
        <v>5.0000000000000001E-3</v>
      </c>
      <c r="H218" s="217">
        <f t="shared" si="618"/>
        <v>0.32</v>
      </c>
      <c r="I218" s="217">
        <f t="shared" si="619"/>
        <v>0.04</v>
      </c>
      <c r="J218" s="541">
        <f t="shared" si="620"/>
        <v>59.966877954035809</v>
      </c>
      <c r="K218" s="443">
        <f t="shared" si="621"/>
        <v>16.714682263526971</v>
      </c>
      <c r="L218" s="172">
        <f t="shared" si="622"/>
        <v>76.681560217562776</v>
      </c>
      <c r="M218" s="443"/>
      <c r="N218" s="217">
        <f t="shared" si="623"/>
        <v>0.21797525006147073</v>
      </c>
      <c r="O218" s="172">
        <f t="shared" si="624"/>
        <v>29.047322705414778</v>
      </c>
      <c r="P218" s="172">
        <f t="shared" si="625"/>
        <v>4.0847797554489533</v>
      </c>
      <c r="Q218" s="217">
        <f t="shared" si="626"/>
        <v>1.8154576690884237</v>
      </c>
      <c r="R218" s="217">
        <f t="shared" si="627"/>
        <v>3.6309153381768473</v>
      </c>
      <c r="S218" s="217">
        <f t="shared" si="628"/>
        <v>16</v>
      </c>
      <c r="T218" s="217">
        <f t="shared" si="629"/>
        <v>5.5082529162033239E-2</v>
      </c>
      <c r="U218" s="217">
        <f t="shared" si="630"/>
        <v>1.1022590678324848E-2</v>
      </c>
      <c r="V218" s="217">
        <f t="shared" si="631"/>
        <v>3.9545492969779196E-2</v>
      </c>
      <c r="W218" s="197">
        <f t="shared" si="632"/>
        <v>350</v>
      </c>
      <c r="X218" s="443">
        <f t="shared" si="691"/>
        <v>350</v>
      </c>
      <c r="Z218" s="217">
        <f t="shared" si="633"/>
        <v>3.1122131470087258</v>
      </c>
      <c r="AA218" s="173">
        <f t="shared" si="634"/>
        <v>2.234356428395798</v>
      </c>
      <c r="AB218" s="173">
        <f t="shared" si="635"/>
        <v>1.081701203575512</v>
      </c>
      <c r="AC218" s="173"/>
      <c r="AD218" s="173">
        <f t="shared" si="636"/>
        <v>0.71793168489867998</v>
      </c>
      <c r="AE218" s="545">
        <f t="shared" si="637"/>
        <v>55.71560754508991</v>
      </c>
      <c r="AF218" s="528">
        <f t="shared" si="638"/>
        <v>0.12563804485726898</v>
      </c>
      <c r="AH218" s="173">
        <f t="shared" si="639"/>
        <v>0.41403933560541251</v>
      </c>
      <c r="AI218" s="173">
        <f t="shared" si="640"/>
        <v>1</v>
      </c>
      <c r="AJ218" s="173">
        <f t="shared" si="641"/>
        <v>1.0318374900257656</v>
      </c>
      <c r="AL218" s="545">
        <f t="shared" si="642"/>
        <v>20</v>
      </c>
      <c r="AM218" s="460">
        <f t="shared" si="643"/>
        <v>55.71560754508991</v>
      </c>
      <c r="AO218">
        <f t="shared" si="644"/>
        <v>20</v>
      </c>
      <c r="AP218">
        <f t="shared" si="645"/>
        <v>55.71560754508991</v>
      </c>
      <c r="AR218" s="5">
        <f t="shared" si="616"/>
        <v>17.948292122466995</v>
      </c>
      <c r="AS218" s="5">
        <f t="shared" si="604"/>
        <v>0.20011046780187416</v>
      </c>
      <c r="AT218" s="5">
        <f t="shared" si="605"/>
        <v>17.748181654665121</v>
      </c>
      <c r="AU218" s="173">
        <f t="shared" si="606"/>
        <v>1.1149276289713572E-2</v>
      </c>
      <c r="BA218" s="173">
        <f t="shared" si="692"/>
        <v>6.0962491992244905E-2</v>
      </c>
      <c r="BB218" s="173">
        <f t="shared" si="693"/>
        <v>0.57412272895560301</v>
      </c>
      <c r="BC218" s="173">
        <f t="shared" si="694"/>
        <v>0.14099778784644956</v>
      </c>
      <c r="BD218" s="173"/>
      <c r="BE218" s="528">
        <f t="shared" si="695"/>
        <v>7.4328508598090479E-5</v>
      </c>
      <c r="BF218" s="528">
        <f t="shared" si="646"/>
        <v>7.7970564799241054E-2</v>
      </c>
      <c r="BG218" s="528">
        <f t="shared" si="647"/>
        <v>7.6845093869201353E-2</v>
      </c>
      <c r="BH218" s="528">
        <f t="shared" si="696"/>
        <v>0.16134852031377059</v>
      </c>
      <c r="BI218">
        <f t="shared" si="697"/>
        <v>2.6985095079316113E-2</v>
      </c>
      <c r="BJ218" s="460">
        <f t="shared" si="698"/>
        <v>103.83018894851746</v>
      </c>
      <c r="BK218">
        <f t="shared" si="648"/>
        <v>0.2394177105443096</v>
      </c>
      <c r="BL218" s="460">
        <f t="shared" si="699"/>
        <v>343.22360257012718</v>
      </c>
      <c r="BM218" s="173">
        <f t="shared" si="649"/>
        <v>1.2424999999999999E-2</v>
      </c>
      <c r="BN218" s="173">
        <f t="shared" si="650"/>
        <v>2.2187499999999998E-3</v>
      </c>
      <c r="BQ218" s="460">
        <f t="shared" si="700"/>
        <v>14.643749999999999</v>
      </c>
      <c r="BR218" s="528">
        <f t="shared" si="701"/>
        <v>1.1149276289713572E-4</v>
      </c>
      <c r="BS218" s="528">
        <f t="shared" si="702"/>
        <v>9.8885072371028629E-3</v>
      </c>
      <c r="BT218" s="528">
        <f t="shared" si="703"/>
        <v>9.9401880887962013E-5</v>
      </c>
      <c r="BU218" s="528">
        <f t="shared" si="704"/>
        <v>1.1585430622008586E-3</v>
      </c>
      <c r="BV218" s="528"/>
      <c r="BW218" s="625">
        <f t="shared" si="705"/>
        <v>2.7857803772544953E-4</v>
      </c>
      <c r="BX218" s="460">
        <f t="shared" si="706"/>
        <v>11.536522980814269</v>
      </c>
      <c r="BY218" s="173">
        <f t="shared" si="707"/>
        <v>0.36940387555094151</v>
      </c>
      <c r="BZ218" s="5">
        <f t="shared" si="708"/>
        <v>0.36</v>
      </c>
      <c r="CA218" s="173">
        <f t="shared" si="709"/>
        <v>0.49355372526377206</v>
      </c>
      <c r="CB218" s="5">
        <f t="shared" si="710"/>
        <v>49.355372526377209</v>
      </c>
      <c r="CC218">
        <f t="shared" si="711"/>
        <v>2</v>
      </c>
      <c r="CE218" s="562">
        <f t="shared" si="651"/>
        <v>-50</v>
      </c>
      <c r="CG218" s="173">
        <f t="shared" si="652"/>
        <v>4.0865633483405099E-2</v>
      </c>
      <c r="CH218" s="173">
        <f t="shared" si="653"/>
        <v>1.4707731479377133E-2</v>
      </c>
      <c r="CI218" s="170">
        <v>2</v>
      </c>
      <c r="CJ218" s="217">
        <f t="shared" si="712"/>
        <v>0.02</v>
      </c>
      <c r="CK218" s="217">
        <f t="shared" si="654"/>
        <v>5.0000000000000001E-3</v>
      </c>
      <c r="CL218" s="217">
        <f t="shared" si="655"/>
        <v>0.32</v>
      </c>
      <c r="CM218" s="217">
        <f t="shared" si="656"/>
        <v>0.04</v>
      </c>
      <c r="CN218" s="541">
        <f t="shared" si="657"/>
        <v>60</v>
      </c>
      <c r="CO218" s="443">
        <f t="shared" si="658"/>
        <v>16.7</v>
      </c>
      <c r="CP218" s="443">
        <f t="shared" si="659"/>
        <v>76.7</v>
      </c>
      <c r="CQ218" s="443"/>
      <c r="CR218" s="217">
        <f t="shared" si="660"/>
        <v>0.21465968586387432</v>
      </c>
      <c r="CS218" s="172">
        <f t="shared" si="661"/>
        <v>28.621291448516576</v>
      </c>
      <c r="CT218" s="172">
        <f t="shared" si="662"/>
        <v>4.0248691099476437</v>
      </c>
      <c r="CU218" s="217">
        <f t="shared" si="663"/>
        <v>1.788830715532286</v>
      </c>
      <c r="CV218" s="217">
        <f t="shared" si="664"/>
        <v>3.577661431064572</v>
      </c>
      <c r="CW218" s="217">
        <f t="shared" si="665"/>
        <v>16</v>
      </c>
      <c r="CX218" s="217">
        <f t="shared" si="666"/>
        <v>5.5902439024390245E-2</v>
      </c>
      <c r="CY218" s="217">
        <f t="shared" si="667"/>
        <v>1.1180487804878049E-2</v>
      </c>
      <c r="CZ218" s="217">
        <f t="shared" si="668"/>
        <v>4.0169417263034912E-2</v>
      </c>
      <c r="DA218" s="197">
        <f t="shared" si="669"/>
        <v>350</v>
      </c>
      <c r="DB218" s="443">
        <f t="shared" si="670"/>
        <v>350</v>
      </c>
      <c r="DD218" s="217">
        <f t="shared" si="671"/>
        <v>3.1104488731607378</v>
      </c>
      <c r="DE218" s="173">
        <f t="shared" si="672"/>
        <v>2.23505308251071</v>
      </c>
      <c r="DF218" s="173">
        <f t="shared" si="673"/>
        <v>1.0814250754144243</v>
      </c>
      <c r="DG218" s="173"/>
      <c r="DH218" s="173">
        <f t="shared" si="674"/>
        <v>0.71856287425149712</v>
      </c>
      <c r="DI218" s="545">
        <f t="shared" si="675"/>
        <v>55.666666666666664</v>
      </c>
      <c r="DJ218" s="528">
        <f t="shared" si="676"/>
        <v>0.125748502994012</v>
      </c>
      <c r="DL218" s="173">
        <f t="shared" si="677"/>
        <v>0.41403933560541251</v>
      </c>
      <c r="DM218" s="173">
        <f t="shared" si="678"/>
        <v>1</v>
      </c>
      <c r="DN218" s="173">
        <f t="shared" si="679"/>
        <v>1.0318095238095237</v>
      </c>
      <c r="DP218" s="545">
        <f t="shared" si="680"/>
        <v>20</v>
      </c>
      <c r="DQ218" s="460">
        <f t="shared" si="681"/>
        <v>55.666666666666664</v>
      </c>
      <c r="DS218">
        <f t="shared" si="682"/>
        <v>20</v>
      </c>
      <c r="DT218">
        <f t="shared" si="683"/>
        <v>55.666666666666664</v>
      </c>
      <c r="DV218" s="5">
        <f t="shared" si="684"/>
        <v>17.964071856287426</v>
      </c>
      <c r="DW218" s="5">
        <f t="shared" si="685"/>
        <v>0.2</v>
      </c>
      <c r="DX218" s="5">
        <f t="shared" si="686"/>
        <v>17.764071856287426</v>
      </c>
      <c r="DY218" s="173">
        <f t="shared" si="687"/>
        <v>1.1133333333333334E-2</v>
      </c>
      <c r="EA218" s="5">
        <f t="shared" si="713"/>
        <v>2.5000000000000001E-2</v>
      </c>
      <c r="EB218" s="5">
        <f t="shared" si="714"/>
        <v>1.2500000000000001E-2</v>
      </c>
      <c r="EC218" s="5">
        <f t="shared" si="715"/>
        <v>7.8951430472388548E-2</v>
      </c>
      <c r="ED218" s="5"/>
      <c r="EE218" s="173">
        <f t="shared" si="716"/>
        <v>6.0918889608323555E-2</v>
      </c>
      <c r="EF218" s="173">
        <f t="shared" si="717"/>
        <v>0.57412735714493013</v>
      </c>
      <c r="EG218" s="173">
        <f t="shared" si="718"/>
        <v>0.14099892447529902</v>
      </c>
      <c r="EH218" s="173"/>
      <c r="EI218" s="528">
        <f t="shared" si="719"/>
        <v>7.422222222222224E-5</v>
      </c>
      <c r="EJ218" s="528">
        <f t="shared" si="720"/>
        <v>8.112303333333333E-2</v>
      </c>
      <c r="EK218" s="528">
        <f t="shared" si="721"/>
        <v>6.4016666666666666E-3</v>
      </c>
      <c r="EL218" s="528">
        <f t="shared" si="722"/>
        <v>0.16128433175833332</v>
      </c>
      <c r="EM218">
        <f t="shared" si="723"/>
        <v>2.7E-2</v>
      </c>
      <c r="EN218" s="460">
        <f t="shared" si="724"/>
        <v>33.401666666666664</v>
      </c>
      <c r="EP218" s="460">
        <f t="shared" si="725"/>
        <v>275.88325398055559</v>
      </c>
      <c r="EQ218" s="173">
        <f t="shared" si="726"/>
        <v>1.3999999999999999E-2</v>
      </c>
      <c r="ER218" s="173">
        <f t="shared" si="688"/>
        <v>2.2187499999999998E-3</v>
      </c>
      <c r="ES218" s="528"/>
      <c r="EU218" s="460">
        <f t="shared" si="727"/>
        <v>16.218749999999996</v>
      </c>
      <c r="EV218" s="528">
        <f t="shared" si="728"/>
        <v>1.1133333333333335E-4</v>
      </c>
      <c r="EW218" s="528">
        <f t="shared" si="729"/>
        <v>9.8886666666666637E-3</v>
      </c>
      <c r="EX218" s="528">
        <f t="shared" si="730"/>
        <v>9.9403483515955393E-5</v>
      </c>
      <c r="EY218" s="528">
        <f t="shared" si="731"/>
        <v>1.1560005624927435E-3</v>
      </c>
      <c r="EZ218" s="528"/>
      <c r="FA218" s="625">
        <f t="shared" si="732"/>
        <v>2.7833333333333334E-4</v>
      </c>
      <c r="FB218" s="460">
        <f t="shared" si="733"/>
        <v>11.53373737934203</v>
      </c>
      <c r="FC218" s="173">
        <f t="shared" si="734"/>
        <v>0.30363574135989763</v>
      </c>
      <c r="FD218" s="5">
        <f t="shared" si="735"/>
        <v>0.36</v>
      </c>
      <c r="FE218" s="173">
        <f t="shared" si="736"/>
        <v>0.54246626208272231</v>
      </c>
      <c r="FF218" s="5">
        <f t="shared" si="737"/>
        <v>54.246626208272232</v>
      </c>
      <c r="FG218">
        <f t="shared" si="738"/>
        <v>2</v>
      </c>
      <c r="FI218" s="562">
        <f t="shared" si="689"/>
        <v>-50</v>
      </c>
    </row>
    <row r="219" spans="1:169">
      <c r="E219" s="170">
        <v>3</v>
      </c>
      <c r="F219" s="217">
        <f t="shared" si="690"/>
        <v>0.03</v>
      </c>
      <c r="G219" s="217">
        <f t="shared" si="617"/>
        <v>7.4999999999999997E-3</v>
      </c>
      <c r="H219" s="217">
        <f t="shared" si="618"/>
        <v>0.48</v>
      </c>
      <c r="I219" s="217">
        <f t="shared" si="619"/>
        <v>0.06</v>
      </c>
      <c r="J219" s="541">
        <f t="shared" si="620"/>
        <v>59.966877954035809</v>
      </c>
      <c r="K219" s="443">
        <f t="shared" si="621"/>
        <v>16.714682263526971</v>
      </c>
      <c r="L219" s="172">
        <f t="shared" si="622"/>
        <v>76.681560217562776</v>
      </c>
      <c r="M219" s="443"/>
      <c r="N219" s="217">
        <f t="shared" si="623"/>
        <v>0.21797525006147073</v>
      </c>
      <c r="O219" s="172">
        <f t="shared" si="624"/>
        <v>29.047322705414778</v>
      </c>
      <c r="P219" s="172">
        <f t="shared" si="625"/>
        <v>4.0847797554489533</v>
      </c>
      <c r="Q219" s="217">
        <f t="shared" si="626"/>
        <v>1.8154576690884237</v>
      </c>
      <c r="R219" s="217">
        <f t="shared" si="627"/>
        <v>3.6309153381768473</v>
      </c>
      <c r="S219" s="217">
        <f t="shared" si="628"/>
        <v>16</v>
      </c>
      <c r="T219" s="217">
        <f t="shared" si="629"/>
        <v>8.2623793743049873E-2</v>
      </c>
      <c r="U219" s="217">
        <f t="shared" si="630"/>
        <v>1.6533886017487273E-2</v>
      </c>
      <c r="V219" s="217">
        <f t="shared" si="631"/>
        <v>5.9318239454668804E-2</v>
      </c>
      <c r="W219" s="197">
        <f t="shared" si="632"/>
        <v>350</v>
      </c>
      <c r="X219" s="443">
        <f t="shared" si="691"/>
        <v>350</v>
      </c>
      <c r="Z219" s="217">
        <f t="shared" si="633"/>
        <v>3.1122131470087258</v>
      </c>
      <c r="AA219" s="173">
        <f t="shared" si="634"/>
        <v>2.234356428395798</v>
      </c>
      <c r="AB219" s="173">
        <f t="shared" si="635"/>
        <v>1.081701203575512</v>
      </c>
      <c r="AC219" s="173"/>
      <c r="AD219" s="173">
        <f t="shared" si="636"/>
        <v>0.71793168489867998</v>
      </c>
      <c r="AE219" s="545">
        <f t="shared" si="637"/>
        <v>83.573411317634864</v>
      </c>
      <c r="AF219" s="528">
        <f t="shared" si="638"/>
        <v>0.12563804485726898</v>
      </c>
      <c r="AH219" s="173">
        <f t="shared" si="639"/>
        <v>0.50709255283710997</v>
      </c>
      <c r="AI219" s="173">
        <f t="shared" si="640"/>
        <v>1</v>
      </c>
      <c r="AJ219" s="173">
        <f t="shared" si="641"/>
        <v>1.0477562350386485</v>
      </c>
      <c r="AL219" s="545">
        <f t="shared" si="642"/>
        <v>30</v>
      </c>
      <c r="AM219" s="460">
        <f t="shared" si="643"/>
        <v>83.573411317634864</v>
      </c>
      <c r="AO219">
        <f t="shared" si="644"/>
        <v>30</v>
      </c>
      <c r="AP219">
        <f t="shared" si="645"/>
        <v>83.573411317634864</v>
      </c>
      <c r="AR219" s="5">
        <f t="shared" si="616"/>
        <v>11.965528081644665</v>
      </c>
      <c r="AS219" s="5">
        <f t="shared" si="604"/>
        <v>0.20011046780187416</v>
      </c>
      <c r="AT219" s="5">
        <f t="shared" si="605"/>
        <v>11.765417613842791</v>
      </c>
      <c r="AU219" s="173">
        <f t="shared" si="606"/>
        <v>1.6723914434570358E-2</v>
      </c>
      <c r="BA219" s="173">
        <f t="shared" si="692"/>
        <v>7.4663499414752768E-2</v>
      </c>
      <c r="BB219" s="173">
        <f t="shared" si="693"/>
        <v>0.5725021355318044</v>
      </c>
      <c r="BC219" s="173">
        <f t="shared" si="694"/>
        <v>0.14059978916736959</v>
      </c>
      <c r="BD219" s="173"/>
      <c r="BE219" s="528">
        <f t="shared" si="695"/>
        <v>1.1149276289713575E-4</v>
      </c>
      <c r="BF219" s="528">
        <f t="shared" si="646"/>
        <v>0.11695584719886158</v>
      </c>
      <c r="BG219" s="528">
        <f t="shared" si="647"/>
        <v>0.11526764080380203</v>
      </c>
      <c r="BH219" s="528">
        <f t="shared" si="696"/>
        <v>0.2420227804706559</v>
      </c>
      <c r="BI219">
        <f t="shared" si="697"/>
        <v>2.6985095079316113E-2</v>
      </c>
      <c r="BJ219" s="460">
        <f t="shared" si="698"/>
        <v>142.25273588311816</v>
      </c>
      <c r="BK219">
        <f t="shared" si="648"/>
        <v>0.35912973706950679</v>
      </c>
      <c r="BL219" s="460">
        <f t="shared" si="699"/>
        <v>501.34285631553274</v>
      </c>
      <c r="BM219" s="173">
        <f t="shared" si="649"/>
        <v>1.8637499999999998E-2</v>
      </c>
      <c r="BN219" s="173">
        <f t="shared" si="650"/>
        <v>3.3281249999999999E-3</v>
      </c>
      <c r="BQ219" s="460">
        <f t="shared" si="700"/>
        <v>21.965624999999999</v>
      </c>
      <c r="BR219" s="528">
        <f t="shared" si="701"/>
        <v>1.6723914434570359E-4</v>
      </c>
      <c r="BS219" s="528">
        <f t="shared" si="702"/>
        <v>9.8327608556542968E-3</v>
      </c>
      <c r="BT219" s="528">
        <f t="shared" si="703"/>
        <v>9.884150356954389E-5</v>
      </c>
      <c r="BU219" s="528">
        <f t="shared" si="704"/>
        <v>3.1925692658628132E-3</v>
      </c>
      <c r="BV219" s="528"/>
      <c r="BW219" s="625">
        <f t="shared" si="705"/>
        <v>4.1786705658817429E-4</v>
      </c>
      <c r="BX219" s="460">
        <f t="shared" si="706"/>
        <v>13.709277826020532</v>
      </c>
      <c r="BY219" s="173">
        <f t="shared" si="707"/>
        <v>0.53701775914155336</v>
      </c>
      <c r="BZ219" s="5">
        <f t="shared" si="708"/>
        <v>0.54</v>
      </c>
      <c r="CA219" s="173">
        <f t="shared" si="709"/>
        <v>0.50138449010386965</v>
      </c>
      <c r="CB219" s="5">
        <f t="shared" si="710"/>
        <v>50.138449010386964</v>
      </c>
      <c r="CC219">
        <f t="shared" si="711"/>
        <v>3</v>
      </c>
      <c r="CE219" s="562">
        <f t="shared" si="651"/>
        <v>-50</v>
      </c>
      <c r="CG219" s="173">
        <f t="shared" si="652"/>
        <v>6.1298450225107645E-2</v>
      </c>
      <c r="CH219" s="173">
        <f t="shared" si="653"/>
        <v>2.2061597219065698E-2</v>
      </c>
      <c r="CI219" s="170">
        <v>3</v>
      </c>
      <c r="CJ219" s="217">
        <f t="shared" si="712"/>
        <v>0.03</v>
      </c>
      <c r="CK219" s="217">
        <f t="shared" si="654"/>
        <v>7.4999999999999997E-3</v>
      </c>
      <c r="CL219" s="217">
        <f t="shared" si="655"/>
        <v>0.48</v>
      </c>
      <c r="CM219" s="217">
        <f t="shared" si="656"/>
        <v>0.06</v>
      </c>
      <c r="CN219" s="541">
        <f t="shared" si="657"/>
        <v>60</v>
      </c>
      <c r="CO219" s="443">
        <f t="shared" si="658"/>
        <v>16.7</v>
      </c>
      <c r="CP219" s="443">
        <f t="shared" si="659"/>
        <v>76.7</v>
      </c>
      <c r="CQ219" s="443"/>
      <c r="CR219" s="217">
        <f t="shared" si="660"/>
        <v>0.21465968586387432</v>
      </c>
      <c r="CS219" s="172">
        <f t="shared" si="661"/>
        <v>28.621291448516576</v>
      </c>
      <c r="CT219" s="172">
        <f t="shared" si="662"/>
        <v>4.0248691099476437</v>
      </c>
      <c r="CU219" s="217">
        <f t="shared" si="663"/>
        <v>1.788830715532286</v>
      </c>
      <c r="CV219" s="217">
        <f t="shared" si="664"/>
        <v>3.577661431064572</v>
      </c>
      <c r="CW219" s="217">
        <f t="shared" si="665"/>
        <v>16</v>
      </c>
      <c r="CX219" s="217">
        <f t="shared" si="666"/>
        <v>8.3853658536585385E-2</v>
      </c>
      <c r="CY219" s="217">
        <f t="shared" si="667"/>
        <v>1.6770731707317077E-2</v>
      </c>
      <c r="CZ219" s="217">
        <f t="shared" si="668"/>
        <v>6.0254125894552375E-2</v>
      </c>
      <c r="DA219" s="197">
        <f t="shared" si="669"/>
        <v>350</v>
      </c>
      <c r="DB219" s="443">
        <f t="shared" si="670"/>
        <v>350</v>
      </c>
      <c r="DD219" s="217">
        <f t="shared" si="671"/>
        <v>3.1104488731607378</v>
      </c>
      <c r="DE219" s="173">
        <f t="shared" si="672"/>
        <v>2.23505308251071</v>
      </c>
      <c r="DF219" s="173">
        <f t="shared" si="673"/>
        <v>1.0814250754144243</v>
      </c>
      <c r="DG219" s="173"/>
      <c r="DH219" s="173">
        <f t="shared" si="674"/>
        <v>0.71856287425149712</v>
      </c>
      <c r="DI219" s="545">
        <f t="shared" si="675"/>
        <v>83.499999999999986</v>
      </c>
      <c r="DJ219" s="528">
        <f t="shared" si="676"/>
        <v>0.125748502994012</v>
      </c>
      <c r="DL219" s="173">
        <f t="shared" si="677"/>
        <v>0.50709255283710997</v>
      </c>
      <c r="DM219" s="173">
        <f t="shared" si="678"/>
        <v>1</v>
      </c>
      <c r="DN219" s="173">
        <f t="shared" si="679"/>
        <v>1.0477142857142856</v>
      </c>
      <c r="DP219" s="545">
        <f t="shared" si="680"/>
        <v>30</v>
      </c>
      <c r="DQ219" s="460">
        <f t="shared" si="681"/>
        <v>83.499999999999986</v>
      </c>
      <c r="DS219">
        <f t="shared" si="682"/>
        <v>30</v>
      </c>
      <c r="DT219">
        <f t="shared" si="683"/>
        <v>83.499999999999986</v>
      </c>
      <c r="DV219" s="5">
        <f t="shared" si="684"/>
        <v>11.976047904191619</v>
      </c>
      <c r="DW219" s="5">
        <f t="shared" si="685"/>
        <v>0.2</v>
      </c>
      <c r="DX219" s="5">
        <f t="shared" si="686"/>
        <v>11.77604790419162</v>
      </c>
      <c r="DY219" s="173">
        <f t="shared" si="687"/>
        <v>1.67E-2</v>
      </c>
      <c r="EA219" s="5">
        <f t="shared" si="713"/>
        <v>3.7500000000000006E-2</v>
      </c>
      <c r="EB219" s="5">
        <f t="shared" si="714"/>
        <v>1.8750000000000003E-2</v>
      </c>
      <c r="EC219" s="5">
        <f t="shared" si="715"/>
        <v>7.850698602794412E-2</v>
      </c>
      <c r="ED219" s="5"/>
      <c r="EE219" s="173">
        <f t="shared" si="716"/>
        <v>7.4610097618664634E-2</v>
      </c>
      <c r="EF219" s="173">
        <f t="shared" si="717"/>
        <v>0.57250909745319034</v>
      </c>
      <c r="EG219" s="173">
        <f t="shared" si="718"/>
        <v>0.14060149893335702</v>
      </c>
      <c r="EH219" s="173"/>
      <c r="EI219" s="528">
        <f t="shared" si="719"/>
        <v>1.1133333333333332E-4</v>
      </c>
      <c r="EJ219" s="528">
        <f t="shared" si="720"/>
        <v>0.12168454999999999</v>
      </c>
      <c r="EK219" s="528">
        <f t="shared" si="721"/>
        <v>9.6024999999999999E-3</v>
      </c>
      <c r="EL219" s="528">
        <f t="shared" si="722"/>
        <v>0.24192649763749996</v>
      </c>
      <c r="EM219">
        <f t="shared" si="723"/>
        <v>2.7E-2</v>
      </c>
      <c r="EN219" s="460">
        <f t="shared" si="724"/>
        <v>36.602499999999999</v>
      </c>
      <c r="EP219" s="460">
        <f t="shared" si="725"/>
        <v>400.32488097083331</v>
      </c>
      <c r="EQ219" s="173">
        <f t="shared" si="726"/>
        <v>2.0999999999999998E-2</v>
      </c>
      <c r="ER219" s="173">
        <f t="shared" si="688"/>
        <v>3.3281249999999999E-3</v>
      </c>
      <c r="ES219" s="528"/>
      <c r="EU219" s="460">
        <f t="shared" si="727"/>
        <v>24.328125</v>
      </c>
      <c r="EV219" s="528">
        <f t="shared" si="728"/>
        <v>1.6699999999999997E-4</v>
      </c>
      <c r="EW219" s="528">
        <f t="shared" si="729"/>
        <v>9.832999999999998E-3</v>
      </c>
      <c r="EX219" s="528">
        <f t="shared" si="730"/>
        <v>9.8843907511533981E-5</v>
      </c>
      <c r="EY219" s="528">
        <f t="shared" si="731"/>
        <v>3.1855629605372542E-3</v>
      </c>
      <c r="EZ219" s="528"/>
      <c r="FA219" s="625">
        <f t="shared" si="732"/>
        <v>4.174999999999999E-4</v>
      </c>
      <c r="FB219" s="460">
        <f t="shared" si="733"/>
        <v>13.701906868048788</v>
      </c>
      <c r="FC219" s="173">
        <f t="shared" si="734"/>
        <v>0.43835491283888206</v>
      </c>
      <c r="FD219" s="5">
        <f t="shared" si="735"/>
        <v>0.54</v>
      </c>
      <c r="FE219" s="173">
        <f t="shared" si="736"/>
        <v>0.55194693961630725</v>
      </c>
      <c r="FF219" s="5">
        <f t="shared" si="737"/>
        <v>55.194693961630726</v>
      </c>
      <c r="FG219">
        <f t="shared" si="738"/>
        <v>3</v>
      </c>
      <c r="FI219" s="562">
        <f t="shared" si="689"/>
        <v>-50</v>
      </c>
    </row>
    <row r="220" spans="1:169">
      <c r="E220" s="170">
        <v>4</v>
      </c>
      <c r="F220" s="217">
        <f t="shared" si="690"/>
        <v>0.04</v>
      </c>
      <c r="G220" s="217">
        <f t="shared" si="617"/>
        <v>0.01</v>
      </c>
      <c r="H220" s="217">
        <f t="shared" si="618"/>
        <v>0.64</v>
      </c>
      <c r="I220" s="217">
        <f t="shared" si="619"/>
        <v>0.08</v>
      </c>
      <c r="J220" s="541">
        <f t="shared" si="620"/>
        <v>59.966877954035809</v>
      </c>
      <c r="K220" s="443">
        <f t="shared" si="621"/>
        <v>16.714682263526971</v>
      </c>
      <c r="L220" s="172">
        <f t="shared" si="622"/>
        <v>76.681560217562776</v>
      </c>
      <c r="M220" s="443"/>
      <c r="N220" s="217">
        <f t="shared" si="623"/>
        <v>0.21797525006147073</v>
      </c>
      <c r="O220" s="172">
        <f t="shared" si="624"/>
        <v>29.047322705414778</v>
      </c>
      <c r="P220" s="172">
        <f t="shared" si="625"/>
        <v>4.0847797554489533</v>
      </c>
      <c r="Q220" s="217">
        <f t="shared" si="626"/>
        <v>1.8154576690884237</v>
      </c>
      <c r="R220" s="217">
        <f t="shared" si="627"/>
        <v>3.6309153381768473</v>
      </c>
      <c r="S220" s="217">
        <f t="shared" si="628"/>
        <v>16</v>
      </c>
      <c r="T220" s="217">
        <f t="shared" si="629"/>
        <v>0.11016505832406648</v>
      </c>
      <c r="U220" s="217">
        <f t="shared" si="630"/>
        <v>2.2045181356649696E-2</v>
      </c>
      <c r="V220" s="217">
        <f t="shared" si="631"/>
        <v>7.9090985939558392E-2</v>
      </c>
      <c r="W220" s="197">
        <f t="shared" si="632"/>
        <v>350</v>
      </c>
      <c r="X220" s="443">
        <f t="shared" si="691"/>
        <v>350</v>
      </c>
      <c r="Z220" s="217">
        <f t="shared" si="633"/>
        <v>3.1122131470087258</v>
      </c>
      <c r="AA220" s="173">
        <f t="shared" si="634"/>
        <v>2.234356428395798</v>
      </c>
      <c r="AB220" s="173">
        <f t="shared" si="635"/>
        <v>1.081701203575512</v>
      </c>
      <c r="AC220" s="173"/>
      <c r="AD220" s="173">
        <f t="shared" si="636"/>
        <v>0.71793168489867998</v>
      </c>
      <c r="AE220" s="545">
        <f t="shared" si="637"/>
        <v>111.43121509017982</v>
      </c>
      <c r="AF220" s="528">
        <f t="shared" si="638"/>
        <v>0.12563804485726898</v>
      </c>
      <c r="AH220" s="173">
        <f t="shared" si="639"/>
        <v>0.58554004376911983</v>
      </c>
      <c r="AI220" s="173">
        <f t="shared" si="640"/>
        <v>1</v>
      </c>
      <c r="AJ220" s="173">
        <f t="shared" si="641"/>
        <v>1.0636749800515313</v>
      </c>
      <c r="AL220" s="545">
        <f t="shared" si="642"/>
        <v>40</v>
      </c>
      <c r="AM220" s="460">
        <f t="shared" si="643"/>
        <v>111.43121509017982</v>
      </c>
      <c r="AO220">
        <f t="shared" si="644"/>
        <v>40</v>
      </c>
      <c r="AP220">
        <f t="shared" si="645"/>
        <v>111.43121509017982</v>
      </c>
      <c r="AR220" s="5">
        <f t="shared" si="616"/>
        <v>8.9741460612334976</v>
      </c>
      <c r="AS220" s="5">
        <f t="shared" si="604"/>
        <v>0.20011046780187416</v>
      </c>
      <c r="AT220" s="5">
        <f t="shared" si="605"/>
        <v>8.7740355934316234</v>
      </c>
      <c r="AU220" s="173">
        <f t="shared" si="606"/>
        <v>2.2298552579427144E-2</v>
      </c>
      <c r="BA220" s="173">
        <f t="shared" si="692"/>
        <v>8.6213982971493949E-2</v>
      </c>
      <c r="BB220" s="173">
        <f t="shared" si="693"/>
        <v>0.57087694162010461</v>
      </c>
      <c r="BC220" s="173">
        <f t="shared" si="694"/>
        <v>0.14020066066258452</v>
      </c>
      <c r="BD220" s="173"/>
      <c r="BE220" s="528">
        <f t="shared" si="695"/>
        <v>1.4865701719618099E-4</v>
      </c>
      <c r="BF220" s="528">
        <f t="shared" si="646"/>
        <v>0.15594112959848211</v>
      </c>
      <c r="BG220" s="528">
        <f t="shared" si="647"/>
        <v>0.15369018773840271</v>
      </c>
      <c r="BH220" s="528">
        <f t="shared" si="696"/>
        <v>0.32269704062754118</v>
      </c>
      <c r="BI220">
        <f t="shared" si="697"/>
        <v>2.6985095079316113E-2</v>
      </c>
      <c r="BJ220" s="460">
        <f t="shared" si="698"/>
        <v>180.67528281771882</v>
      </c>
      <c r="BK220">
        <f t="shared" si="648"/>
        <v>0.47884387783807597</v>
      </c>
      <c r="BL220" s="460">
        <f t="shared" si="699"/>
        <v>659.46211006093824</v>
      </c>
      <c r="BM220" s="173">
        <f t="shared" si="649"/>
        <v>2.4849999999999997E-2</v>
      </c>
      <c r="BN220" s="173">
        <f t="shared" si="650"/>
        <v>4.4374999999999996E-3</v>
      </c>
      <c r="BQ220" s="460">
        <f t="shared" si="700"/>
        <v>29.287499999999998</v>
      </c>
      <c r="BR220" s="528">
        <f t="shared" si="701"/>
        <v>2.2298552579427146E-4</v>
      </c>
      <c r="BS220" s="528">
        <f t="shared" si="702"/>
        <v>9.777014474205729E-3</v>
      </c>
      <c r="BT220" s="528">
        <f t="shared" si="703"/>
        <v>9.8281126251125863E-5</v>
      </c>
      <c r="BU220" s="528">
        <f t="shared" si="704"/>
        <v>6.5537092446308247E-3</v>
      </c>
      <c r="BV220" s="528"/>
      <c r="BW220" s="625">
        <f t="shared" si="705"/>
        <v>5.5715607545089906E-4</v>
      </c>
      <c r="BX220" s="460">
        <f t="shared" si="706"/>
        <v>17.209146446332852</v>
      </c>
      <c r="BY220" s="173">
        <f t="shared" si="707"/>
        <v>0.70595875650727113</v>
      </c>
      <c r="BZ220" s="5">
        <f t="shared" si="708"/>
        <v>0.72</v>
      </c>
      <c r="CA220" s="173">
        <f t="shared" si="709"/>
        <v>0.50492343955554553</v>
      </c>
      <c r="CB220" s="5">
        <f t="shared" si="710"/>
        <v>50.492343955554553</v>
      </c>
      <c r="CC220">
        <f t="shared" si="711"/>
        <v>4</v>
      </c>
      <c r="CE220" s="562">
        <f t="shared" si="651"/>
        <v>-50</v>
      </c>
      <c r="CG220" s="173">
        <f t="shared" si="652"/>
        <v>8.1731266966810198E-2</v>
      </c>
      <c r="CH220" s="173">
        <f t="shared" si="653"/>
        <v>2.9415462958754267E-2</v>
      </c>
      <c r="CI220" s="170">
        <v>4</v>
      </c>
      <c r="CJ220" s="217">
        <f t="shared" si="712"/>
        <v>0.04</v>
      </c>
      <c r="CK220" s="217">
        <f t="shared" si="654"/>
        <v>0.01</v>
      </c>
      <c r="CL220" s="217">
        <f t="shared" si="655"/>
        <v>0.64</v>
      </c>
      <c r="CM220" s="217">
        <f t="shared" si="656"/>
        <v>0.08</v>
      </c>
      <c r="CN220" s="541">
        <f t="shared" si="657"/>
        <v>60</v>
      </c>
      <c r="CO220" s="443">
        <f t="shared" si="658"/>
        <v>16.7</v>
      </c>
      <c r="CP220" s="443">
        <f t="shared" si="659"/>
        <v>76.7</v>
      </c>
      <c r="CQ220" s="443"/>
      <c r="CR220" s="217">
        <f t="shared" si="660"/>
        <v>0.21465968586387432</v>
      </c>
      <c r="CS220" s="172">
        <f t="shared" si="661"/>
        <v>28.621291448516576</v>
      </c>
      <c r="CT220" s="172">
        <f t="shared" si="662"/>
        <v>4.0248691099476437</v>
      </c>
      <c r="CU220" s="217">
        <f t="shared" si="663"/>
        <v>1.788830715532286</v>
      </c>
      <c r="CV220" s="217">
        <f t="shared" si="664"/>
        <v>3.577661431064572</v>
      </c>
      <c r="CW220" s="217">
        <f t="shared" si="665"/>
        <v>16</v>
      </c>
      <c r="CX220" s="217">
        <f t="shared" si="666"/>
        <v>0.11180487804878049</v>
      </c>
      <c r="CY220" s="217">
        <f t="shared" si="667"/>
        <v>2.2360975609756098E-2</v>
      </c>
      <c r="CZ220" s="217">
        <f t="shared" si="668"/>
        <v>8.0338834526069824E-2</v>
      </c>
      <c r="DA220" s="197">
        <f t="shared" si="669"/>
        <v>350</v>
      </c>
      <c r="DB220" s="443">
        <f t="shared" si="670"/>
        <v>350</v>
      </c>
      <c r="DD220" s="217">
        <f t="shared" si="671"/>
        <v>3.1104488731607378</v>
      </c>
      <c r="DE220" s="173">
        <f t="shared" si="672"/>
        <v>2.23505308251071</v>
      </c>
      <c r="DF220" s="173">
        <f t="shared" si="673"/>
        <v>1.0814250754144243</v>
      </c>
      <c r="DG220" s="173"/>
      <c r="DH220" s="173">
        <f t="shared" si="674"/>
        <v>0.71856287425149712</v>
      </c>
      <c r="DI220" s="545">
        <f t="shared" si="675"/>
        <v>111.33333333333333</v>
      </c>
      <c r="DJ220" s="528">
        <f t="shared" si="676"/>
        <v>0.125748502994012</v>
      </c>
      <c r="DL220" s="173">
        <f t="shared" si="677"/>
        <v>0.58554004376911983</v>
      </c>
      <c r="DM220" s="173">
        <f t="shared" si="678"/>
        <v>1</v>
      </c>
      <c r="DN220" s="173">
        <f t="shared" si="679"/>
        <v>1.0636190476190477</v>
      </c>
      <c r="DP220" s="545">
        <f t="shared" si="680"/>
        <v>40</v>
      </c>
      <c r="DQ220" s="460">
        <f t="shared" si="681"/>
        <v>111.33333333333333</v>
      </c>
      <c r="DS220">
        <f t="shared" si="682"/>
        <v>40</v>
      </c>
      <c r="DT220">
        <f t="shared" si="683"/>
        <v>111.33333333333333</v>
      </c>
      <c r="DV220" s="5">
        <f t="shared" si="684"/>
        <v>8.9820359281437128</v>
      </c>
      <c r="DW220" s="5">
        <f t="shared" si="685"/>
        <v>0.2</v>
      </c>
      <c r="DX220" s="5">
        <f t="shared" si="686"/>
        <v>8.7820359281437135</v>
      </c>
      <c r="DY220" s="173">
        <f t="shared" si="687"/>
        <v>2.2266666666666667E-2</v>
      </c>
      <c r="EA220" s="5">
        <f t="shared" si="713"/>
        <v>0.05</v>
      </c>
      <c r="EB220" s="5">
        <f t="shared" si="714"/>
        <v>2.5000000000000001E-2</v>
      </c>
      <c r="EC220" s="5">
        <f t="shared" si="715"/>
        <v>7.8062541583499664E-2</v>
      </c>
      <c r="ED220" s="5"/>
      <c r="EE220" s="173">
        <f t="shared" si="716"/>
        <v>8.6152319888800566E-2</v>
      </c>
      <c r="EF220" s="173">
        <f t="shared" si="717"/>
        <v>0.5708862505886011</v>
      </c>
      <c r="EG220" s="173">
        <f t="shared" si="718"/>
        <v>0.14020294683572998</v>
      </c>
      <c r="EH220" s="173"/>
      <c r="EI220" s="528">
        <f t="shared" si="719"/>
        <v>1.4844444444444443E-4</v>
      </c>
      <c r="EJ220" s="528">
        <f t="shared" si="720"/>
        <v>0.16224606666666666</v>
      </c>
      <c r="EK220" s="528">
        <f t="shared" si="721"/>
        <v>1.2803333333333333E-2</v>
      </c>
      <c r="EL220" s="528">
        <f t="shared" si="722"/>
        <v>0.32256866351666663</v>
      </c>
      <c r="EM220">
        <f t="shared" si="723"/>
        <v>2.7E-2</v>
      </c>
      <c r="EN220" s="460">
        <f t="shared" si="724"/>
        <v>39.803333333333327</v>
      </c>
      <c r="EP220" s="460">
        <f t="shared" si="725"/>
        <v>524.76650796111107</v>
      </c>
      <c r="EQ220" s="173">
        <f t="shared" si="726"/>
        <v>2.7999999999999997E-2</v>
      </c>
      <c r="ER220" s="173">
        <f t="shared" si="688"/>
        <v>4.4374999999999996E-3</v>
      </c>
      <c r="ES220" s="528"/>
      <c r="EU220" s="460">
        <f t="shared" si="727"/>
        <v>32.437499999999993</v>
      </c>
      <c r="EV220" s="528">
        <f t="shared" si="728"/>
        <v>2.2266666666666664E-4</v>
      </c>
      <c r="EW220" s="528">
        <f t="shared" si="729"/>
        <v>9.7773333333333306E-3</v>
      </c>
      <c r="EX220" s="528">
        <f t="shared" si="730"/>
        <v>9.8284331507112637E-5</v>
      </c>
      <c r="EY220" s="528">
        <f t="shared" si="731"/>
        <v>6.5393266943526533E-3</v>
      </c>
      <c r="EZ220" s="528"/>
      <c r="FA220" s="625">
        <f t="shared" si="732"/>
        <v>5.5666666666666668E-4</v>
      </c>
      <c r="FB220" s="460">
        <f t="shared" si="733"/>
        <v>17.19427769252643</v>
      </c>
      <c r="FC220" s="173">
        <f t="shared" si="734"/>
        <v>0.5743982856536376</v>
      </c>
      <c r="FD220" s="5">
        <f t="shared" si="735"/>
        <v>0.72</v>
      </c>
      <c r="FE220" s="173">
        <f t="shared" si="736"/>
        <v>0.55624301111957875</v>
      </c>
      <c r="FF220" s="5">
        <f t="shared" si="737"/>
        <v>55.624301111957877</v>
      </c>
      <c r="FG220">
        <f t="shared" si="738"/>
        <v>4</v>
      </c>
      <c r="FI220" s="562">
        <f t="shared" si="689"/>
        <v>-50</v>
      </c>
    </row>
    <row r="221" spans="1:169">
      <c r="E221" s="170">
        <v>5</v>
      </c>
      <c r="F221" s="217">
        <f t="shared" si="690"/>
        <v>0.05</v>
      </c>
      <c r="G221" s="217">
        <f t="shared" si="617"/>
        <v>1.2500000000000001E-2</v>
      </c>
      <c r="H221" s="217">
        <f t="shared" si="618"/>
        <v>0.8</v>
      </c>
      <c r="I221" s="217">
        <f t="shared" si="619"/>
        <v>0.1</v>
      </c>
      <c r="J221" s="541">
        <f t="shared" si="620"/>
        <v>59.966877954035809</v>
      </c>
      <c r="K221" s="443">
        <f t="shared" si="621"/>
        <v>16.714682263526971</v>
      </c>
      <c r="L221" s="172">
        <f t="shared" si="622"/>
        <v>76.681560217562776</v>
      </c>
      <c r="M221" s="443"/>
      <c r="N221" s="217">
        <f t="shared" si="623"/>
        <v>0.21797525006147073</v>
      </c>
      <c r="O221" s="172">
        <f t="shared" si="624"/>
        <v>29.047322705414778</v>
      </c>
      <c r="P221" s="172">
        <f t="shared" si="625"/>
        <v>4.0847797554489533</v>
      </c>
      <c r="Q221" s="217">
        <f t="shared" si="626"/>
        <v>1.8154576690884237</v>
      </c>
      <c r="R221" s="217">
        <f t="shared" si="627"/>
        <v>3.6309153381768473</v>
      </c>
      <c r="S221" s="217">
        <f t="shared" si="628"/>
        <v>16</v>
      </c>
      <c r="T221" s="217">
        <f t="shared" si="629"/>
        <v>0.13770632290508311</v>
      </c>
      <c r="U221" s="217">
        <f t="shared" si="630"/>
        <v>2.755647669581212E-2</v>
      </c>
      <c r="V221" s="217">
        <f t="shared" si="631"/>
        <v>9.8863732424448014E-2</v>
      </c>
      <c r="W221" s="197">
        <f t="shared" si="632"/>
        <v>350</v>
      </c>
      <c r="X221" s="443">
        <f t="shared" si="691"/>
        <v>350</v>
      </c>
      <c r="Z221" s="217">
        <f t="shared" si="633"/>
        <v>3.1122131470087258</v>
      </c>
      <c r="AA221" s="173">
        <f t="shared" si="634"/>
        <v>2.234356428395798</v>
      </c>
      <c r="AB221" s="173">
        <f t="shared" si="635"/>
        <v>1.081701203575512</v>
      </c>
      <c r="AC221" s="173"/>
      <c r="AD221" s="173">
        <f t="shared" si="636"/>
        <v>0.71793168489867998</v>
      </c>
      <c r="AE221" s="545">
        <f t="shared" si="637"/>
        <v>139.28901886272476</v>
      </c>
      <c r="AF221" s="528">
        <f t="shared" si="638"/>
        <v>0.12563804485726898</v>
      </c>
      <c r="AH221" s="173">
        <f t="shared" si="639"/>
        <v>0.65465367070797709</v>
      </c>
      <c r="AI221" s="173">
        <f t="shared" si="640"/>
        <v>1</v>
      </c>
      <c r="AJ221" s="173">
        <f t="shared" si="641"/>
        <v>1.0795937250644141</v>
      </c>
      <c r="AL221" s="545">
        <f t="shared" si="642"/>
        <v>50</v>
      </c>
      <c r="AM221" s="460">
        <f t="shared" si="643"/>
        <v>139.28901886272476</v>
      </c>
      <c r="AO221">
        <f t="shared" si="644"/>
        <v>50</v>
      </c>
      <c r="AP221">
        <f t="shared" si="645"/>
        <v>139.28901886272476</v>
      </c>
      <c r="AR221" s="5">
        <f t="shared" si="616"/>
        <v>7.1793168489867991</v>
      </c>
      <c r="AS221" s="5">
        <f t="shared" si="604"/>
        <v>0.20011046780187416</v>
      </c>
      <c r="AT221" s="5">
        <f t="shared" si="605"/>
        <v>6.979206381184925</v>
      </c>
      <c r="AU221" s="173">
        <f t="shared" si="606"/>
        <v>2.7873190724283927E-2</v>
      </c>
      <c r="BA221" s="173">
        <f t="shared" si="692"/>
        <v>9.6390163267634874E-2</v>
      </c>
      <c r="BB221" s="173">
        <f t="shared" si="693"/>
        <v>0.56924710781748555</v>
      </c>
      <c r="BC221" s="173">
        <f t="shared" si="694"/>
        <v>0.1398003926551766</v>
      </c>
      <c r="BD221" s="173"/>
      <c r="BE221" s="528">
        <f t="shared" si="695"/>
        <v>1.8582127149522614E-4</v>
      </c>
      <c r="BF221" s="528">
        <f t="shared" si="646"/>
        <v>0.19492641199810265</v>
      </c>
      <c r="BG221" s="528">
        <f t="shared" si="647"/>
        <v>0.19211273467300338</v>
      </c>
      <c r="BH221" s="528">
        <f t="shared" si="696"/>
        <v>0.40337130078442646</v>
      </c>
      <c r="BI221">
        <f t="shared" si="697"/>
        <v>2.6985095079316113E-2</v>
      </c>
      <c r="BJ221" s="460">
        <f t="shared" si="698"/>
        <v>219.09782975231951</v>
      </c>
      <c r="BK221">
        <f t="shared" si="648"/>
        <v>0.59856013290602716</v>
      </c>
      <c r="BL221" s="460">
        <f t="shared" si="699"/>
        <v>817.5813638063438</v>
      </c>
      <c r="BM221" s="173">
        <f t="shared" si="649"/>
        <v>3.1062499999999996E-2</v>
      </c>
      <c r="BN221" s="173">
        <f t="shared" si="650"/>
        <v>5.5468749999999997E-3</v>
      </c>
      <c r="BQ221" s="460">
        <f t="shared" si="700"/>
        <v>36.609375</v>
      </c>
      <c r="BR221" s="528">
        <f t="shared" si="701"/>
        <v>2.7873190724283918E-4</v>
      </c>
      <c r="BS221" s="528">
        <f t="shared" si="702"/>
        <v>9.7212680927571612E-3</v>
      </c>
      <c r="BT221" s="528">
        <f t="shared" si="703"/>
        <v>9.7720748932707795E-5</v>
      </c>
      <c r="BU221" s="528">
        <f t="shared" si="704"/>
        <v>1.144885888731509E-2</v>
      </c>
      <c r="BV221" s="528"/>
      <c r="BW221" s="625">
        <f t="shared" si="705"/>
        <v>6.9644509431362382E-4</v>
      </c>
      <c r="BX221" s="460">
        <f t="shared" si="706"/>
        <v>22.243024730561423</v>
      </c>
      <c r="BY221" s="173">
        <f t="shared" si="707"/>
        <v>0.87643376353690516</v>
      </c>
      <c r="BZ221" s="5">
        <f t="shared" si="708"/>
        <v>0.9</v>
      </c>
      <c r="CA221" s="173">
        <f t="shared" si="709"/>
        <v>0.50663301862045618</v>
      </c>
      <c r="CB221" s="5">
        <f t="shared" si="710"/>
        <v>50.663301862045614</v>
      </c>
      <c r="CC221">
        <f t="shared" si="711"/>
        <v>5</v>
      </c>
      <c r="CE221" s="562">
        <f t="shared" si="651"/>
        <v>-50</v>
      </c>
      <c r="CG221" s="173">
        <f t="shared" si="652"/>
        <v>0.10216408370851275</v>
      </c>
      <c r="CH221" s="173">
        <f t="shared" si="653"/>
        <v>3.6769328698442835E-2</v>
      </c>
      <c r="CI221" s="170">
        <v>5</v>
      </c>
      <c r="CJ221" s="217">
        <f t="shared" si="712"/>
        <v>0.05</v>
      </c>
      <c r="CK221" s="217">
        <f t="shared" si="654"/>
        <v>1.2500000000000001E-2</v>
      </c>
      <c r="CL221" s="217">
        <f t="shared" si="655"/>
        <v>0.8</v>
      </c>
      <c r="CM221" s="217">
        <f t="shared" si="656"/>
        <v>0.1</v>
      </c>
      <c r="CN221" s="541">
        <f t="shared" si="657"/>
        <v>60</v>
      </c>
      <c r="CO221" s="443">
        <f t="shared" si="658"/>
        <v>16.7</v>
      </c>
      <c r="CP221" s="443">
        <f t="shared" si="659"/>
        <v>76.7</v>
      </c>
      <c r="CQ221" s="443"/>
      <c r="CR221" s="217">
        <f t="shared" si="660"/>
        <v>0.21465968586387432</v>
      </c>
      <c r="CS221" s="172">
        <f t="shared" si="661"/>
        <v>28.621291448516576</v>
      </c>
      <c r="CT221" s="172">
        <f t="shared" si="662"/>
        <v>4.0248691099476437</v>
      </c>
      <c r="CU221" s="217">
        <f t="shared" si="663"/>
        <v>1.788830715532286</v>
      </c>
      <c r="CV221" s="217">
        <f t="shared" si="664"/>
        <v>3.577661431064572</v>
      </c>
      <c r="CW221" s="217">
        <f t="shared" si="665"/>
        <v>16</v>
      </c>
      <c r="CX221" s="217">
        <f t="shared" si="666"/>
        <v>0.13975609756097562</v>
      </c>
      <c r="CY221" s="217">
        <f t="shared" si="667"/>
        <v>2.7951219512195126E-2</v>
      </c>
      <c r="CZ221" s="217">
        <f t="shared" si="668"/>
        <v>0.10042354315758728</v>
      </c>
      <c r="DA221" s="197">
        <f t="shared" si="669"/>
        <v>350</v>
      </c>
      <c r="DB221" s="443">
        <f t="shared" si="670"/>
        <v>350</v>
      </c>
      <c r="DD221" s="217">
        <f t="shared" si="671"/>
        <v>3.1104488731607378</v>
      </c>
      <c r="DE221" s="173">
        <f t="shared" si="672"/>
        <v>2.23505308251071</v>
      </c>
      <c r="DF221" s="173">
        <f t="shared" si="673"/>
        <v>1.0814250754144243</v>
      </c>
      <c r="DG221" s="173"/>
      <c r="DH221" s="173">
        <f t="shared" si="674"/>
        <v>0.71856287425149712</v>
      </c>
      <c r="DI221" s="545">
        <f t="shared" si="675"/>
        <v>139.16666666666666</v>
      </c>
      <c r="DJ221" s="528">
        <f t="shared" si="676"/>
        <v>0.125748502994012</v>
      </c>
      <c r="DL221" s="173">
        <f t="shared" si="677"/>
        <v>0.65465367070797709</v>
      </c>
      <c r="DM221" s="173">
        <f t="shared" si="678"/>
        <v>1</v>
      </c>
      <c r="DN221" s="173">
        <f t="shared" si="679"/>
        <v>1.0795238095238096</v>
      </c>
      <c r="DP221" s="545">
        <f t="shared" si="680"/>
        <v>50</v>
      </c>
      <c r="DQ221" s="460">
        <f t="shared" si="681"/>
        <v>139.16666666666666</v>
      </c>
      <c r="DS221">
        <f t="shared" si="682"/>
        <v>50</v>
      </c>
      <c r="DT221">
        <f t="shared" si="683"/>
        <v>139.16666666666666</v>
      </c>
      <c r="DV221" s="5">
        <f t="shared" si="684"/>
        <v>7.1856287425149707</v>
      </c>
      <c r="DW221" s="5">
        <f t="shared" si="685"/>
        <v>0.2</v>
      </c>
      <c r="DX221" s="5">
        <f t="shared" si="686"/>
        <v>6.9856287425149706</v>
      </c>
      <c r="DY221" s="173">
        <f t="shared" si="687"/>
        <v>2.7833333333333331E-2</v>
      </c>
      <c r="EA221" s="5">
        <f t="shared" si="713"/>
        <v>6.2500000000000014E-2</v>
      </c>
      <c r="EB221" s="5">
        <f t="shared" si="714"/>
        <v>3.1250000000000007E-2</v>
      </c>
      <c r="EC221" s="5">
        <f t="shared" si="715"/>
        <v>7.7618097139055223E-2</v>
      </c>
      <c r="ED221" s="5"/>
      <c r="EE221" s="173">
        <f t="shared" si="716"/>
        <v>9.6321221845332594E-2</v>
      </c>
      <c r="EF221" s="173">
        <f t="shared" si="717"/>
        <v>0.5692587773197314</v>
      </c>
      <c r="EG221" s="173">
        <f t="shared" si="718"/>
        <v>0.13980325854763992</v>
      </c>
      <c r="EH221" s="173"/>
      <c r="EI221" s="528">
        <f t="shared" si="719"/>
        <v>1.8555555555555556E-4</v>
      </c>
      <c r="EJ221" s="528">
        <f t="shared" si="720"/>
        <v>0.20280758333333332</v>
      </c>
      <c r="EK221" s="528">
        <f t="shared" si="721"/>
        <v>1.600416666666667E-2</v>
      </c>
      <c r="EL221" s="528">
        <f t="shared" si="722"/>
        <v>0.4032108293958333</v>
      </c>
      <c r="EM221">
        <f t="shared" si="723"/>
        <v>2.7E-2</v>
      </c>
      <c r="EN221" s="460">
        <f t="shared" si="724"/>
        <v>43.00416666666667</v>
      </c>
      <c r="EP221" s="460">
        <f t="shared" si="725"/>
        <v>649.20813495138884</v>
      </c>
      <c r="EQ221" s="173">
        <f t="shared" si="726"/>
        <v>3.4999999999999996E-2</v>
      </c>
      <c r="ER221" s="173">
        <f t="shared" si="688"/>
        <v>5.5468749999999997E-3</v>
      </c>
      <c r="ES221" s="528"/>
      <c r="EU221" s="460">
        <f t="shared" si="727"/>
        <v>40.546874999999993</v>
      </c>
      <c r="EV221" s="528">
        <f t="shared" si="728"/>
        <v>2.7833333333333329E-4</v>
      </c>
      <c r="EW221" s="528">
        <f t="shared" si="729"/>
        <v>9.7216666666666667E-3</v>
      </c>
      <c r="EX221" s="528">
        <f t="shared" si="730"/>
        <v>9.7724755502691266E-5</v>
      </c>
      <c r="EY221" s="528">
        <f t="shared" si="731"/>
        <v>1.1423733605977766E-2</v>
      </c>
      <c r="EZ221" s="528"/>
      <c r="FA221" s="625">
        <f t="shared" si="732"/>
        <v>6.9583333333333324E-4</v>
      </c>
      <c r="FB221" s="460">
        <f t="shared" si="733"/>
        <v>22.217291694813788</v>
      </c>
      <c r="FC221" s="173">
        <f t="shared" si="734"/>
        <v>0.71197230164620273</v>
      </c>
      <c r="FD221" s="5">
        <f t="shared" si="735"/>
        <v>0.9</v>
      </c>
      <c r="FE221" s="173">
        <f t="shared" si="736"/>
        <v>0.55832224851561552</v>
      </c>
      <c r="FF221" s="5">
        <f t="shared" si="737"/>
        <v>55.832224851561548</v>
      </c>
      <c r="FG221">
        <f t="shared" si="738"/>
        <v>5</v>
      </c>
      <c r="FI221" s="562">
        <f t="shared" si="689"/>
        <v>-50</v>
      </c>
    </row>
    <row r="222" spans="1:169">
      <c r="E222" s="170">
        <v>6</v>
      </c>
      <c r="F222" s="217">
        <f t="shared" si="690"/>
        <v>0.06</v>
      </c>
      <c r="G222" s="217">
        <f t="shared" si="617"/>
        <v>1.4999999999999999E-2</v>
      </c>
      <c r="H222" s="217">
        <f t="shared" si="618"/>
        <v>0.96</v>
      </c>
      <c r="I222" s="217">
        <f t="shared" si="619"/>
        <v>0.12</v>
      </c>
      <c r="J222" s="541">
        <f t="shared" si="620"/>
        <v>59.966877954035809</v>
      </c>
      <c r="K222" s="443">
        <f t="shared" si="621"/>
        <v>16.714682263526971</v>
      </c>
      <c r="L222" s="172">
        <f t="shared" si="622"/>
        <v>76.681560217562776</v>
      </c>
      <c r="M222" s="443"/>
      <c r="N222" s="217">
        <f t="shared" si="623"/>
        <v>0.21797525006147073</v>
      </c>
      <c r="O222" s="172">
        <f t="shared" si="624"/>
        <v>29.047322705414778</v>
      </c>
      <c r="P222" s="172">
        <f t="shared" si="625"/>
        <v>4.0847797554489533</v>
      </c>
      <c r="Q222" s="217">
        <f t="shared" si="626"/>
        <v>1.8154576690884237</v>
      </c>
      <c r="R222" s="217">
        <f t="shared" si="627"/>
        <v>3.6309153381768473</v>
      </c>
      <c r="S222" s="217">
        <f t="shared" si="628"/>
        <v>16</v>
      </c>
      <c r="T222" s="217">
        <f t="shared" si="629"/>
        <v>0.16524758748609975</v>
      </c>
      <c r="U222" s="217">
        <f t="shared" si="630"/>
        <v>3.3067772034974546E-2</v>
      </c>
      <c r="V222" s="217">
        <f t="shared" si="631"/>
        <v>0.11863647890933761</v>
      </c>
      <c r="W222" s="197">
        <f t="shared" si="632"/>
        <v>350</v>
      </c>
      <c r="X222" s="443">
        <f t="shared" si="691"/>
        <v>350</v>
      </c>
      <c r="Z222" s="217">
        <f t="shared" si="633"/>
        <v>3.1122131470087258</v>
      </c>
      <c r="AA222" s="173">
        <f t="shared" si="634"/>
        <v>2.234356428395798</v>
      </c>
      <c r="AB222" s="173">
        <f t="shared" si="635"/>
        <v>1.081701203575512</v>
      </c>
      <c r="AC222" s="173"/>
      <c r="AD222" s="173">
        <f t="shared" si="636"/>
        <v>0.71793168489867998</v>
      </c>
      <c r="AE222" s="545">
        <f t="shared" si="637"/>
        <v>167.14682263526973</v>
      </c>
      <c r="AF222" s="528">
        <f t="shared" si="638"/>
        <v>0.12563804485726898</v>
      </c>
      <c r="AH222" s="173">
        <f t="shared" si="639"/>
        <v>0.71713716560063623</v>
      </c>
      <c r="AI222" s="173">
        <f t="shared" si="640"/>
        <v>1</v>
      </c>
      <c r="AJ222" s="173">
        <f t="shared" si="641"/>
        <v>1.0955124700772969</v>
      </c>
      <c r="AL222" s="545">
        <f t="shared" si="642"/>
        <v>60</v>
      </c>
      <c r="AM222" s="460">
        <f t="shared" si="643"/>
        <v>167.14682263526973</v>
      </c>
      <c r="AO222">
        <f t="shared" si="644"/>
        <v>60</v>
      </c>
      <c r="AP222">
        <f t="shared" si="645"/>
        <v>167.14682263526973</v>
      </c>
      <c r="AR222" s="5">
        <f t="shared" si="616"/>
        <v>5.9827640408223326</v>
      </c>
      <c r="AS222" s="5">
        <f t="shared" si="604"/>
        <v>0.20011046780187416</v>
      </c>
      <c r="AT222" s="5">
        <f t="shared" si="605"/>
        <v>5.7826535730204585</v>
      </c>
      <c r="AU222" s="173">
        <f t="shared" si="606"/>
        <v>3.3447828869140717E-2</v>
      </c>
      <c r="BA222" s="173">
        <f t="shared" si="692"/>
        <v>0.105590133486579</v>
      </c>
      <c r="BB222" s="173">
        <f t="shared" si="693"/>
        <v>0.56761259415522114</v>
      </c>
      <c r="BC222" s="173">
        <f t="shared" si="694"/>
        <v>0.13939897532929696</v>
      </c>
      <c r="BD222" s="173"/>
      <c r="BE222" s="528">
        <f t="shared" si="695"/>
        <v>2.2298552579427144E-4</v>
      </c>
      <c r="BF222" s="528">
        <f t="shared" si="646"/>
        <v>0.23391169439772316</v>
      </c>
      <c r="BG222" s="528">
        <f t="shared" si="647"/>
        <v>0.23053528160760406</v>
      </c>
      <c r="BH222" s="528">
        <f t="shared" si="696"/>
        <v>0.48404556094131179</v>
      </c>
      <c r="BI222">
        <f t="shared" si="697"/>
        <v>2.6985095079316113E-2</v>
      </c>
      <c r="BJ222" s="460">
        <f t="shared" si="698"/>
        <v>257.5203766869202</v>
      </c>
      <c r="BK222">
        <f t="shared" si="648"/>
        <v>0.71827850232937296</v>
      </c>
      <c r="BL222" s="460">
        <f t="shared" si="699"/>
        <v>975.70061755174936</v>
      </c>
      <c r="BM222" s="173">
        <f t="shared" si="649"/>
        <v>3.7274999999999996E-2</v>
      </c>
      <c r="BN222" s="173">
        <f t="shared" si="650"/>
        <v>6.6562499999999998E-3</v>
      </c>
      <c r="BQ222" s="460">
        <f t="shared" si="700"/>
        <v>43.931249999999999</v>
      </c>
      <c r="BR222" s="528">
        <f t="shared" si="701"/>
        <v>3.3447828869140713E-4</v>
      </c>
      <c r="BS222" s="528">
        <f t="shared" si="702"/>
        <v>9.6655217113085935E-3</v>
      </c>
      <c r="BT222" s="528">
        <f t="shared" si="703"/>
        <v>9.7160371614289713E-5</v>
      </c>
      <c r="BU222" s="528">
        <f t="shared" si="704"/>
        <v>1.8059899018394811E-2</v>
      </c>
      <c r="BV222" s="528"/>
      <c r="BW222" s="625">
        <f t="shared" si="705"/>
        <v>8.3573411317634859E-4</v>
      </c>
      <c r="BX222" s="460">
        <f t="shared" si="706"/>
        <v>28.992793503185446</v>
      </c>
      <c r="BY222" s="173">
        <f t="shared" si="707"/>
        <v>1.048624661054935</v>
      </c>
      <c r="BZ222" s="5">
        <f t="shared" si="708"/>
        <v>1.08</v>
      </c>
      <c r="CA222" s="173">
        <f t="shared" si="709"/>
        <v>0.50736986175137044</v>
      </c>
      <c r="CB222" s="5">
        <f t="shared" si="710"/>
        <v>50.736986175137048</v>
      </c>
      <c r="CC222">
        <f t="shared" si="711"/>
        <v>6</v>
      </c>
      <c r="CE222" s="562">
        <f t="shared" si="651"/>
        <v>-50</v>
      </c>
      <c r="CG222" s="173">
        <f t="shared" si="652"/>
        <v>0.12259690045021529</v>
      </c>
      <c r="CH222" s="173">
        <f t="shared" si="653"/>
        <v>4.4123194438131397E-2</v>
      </c>
      <c r="CI222" s="170">
        <v>6</v>
      </c>
      <c r="CJ222" s="217">
        <f t="shared" si="712"/>
        <v>0.06</v>
      </c>
      <c r="CK222" s="217">
        <f t="shared" si="654"/>
        <v>1.4999999999999999E-2</v>
      </c>
      <c r="CL222" s="217">
        <f t="shared" si="655"/>
        <v>0.96</v>
      </c>
      <c r="CM222" s="217">
        <f t="shared" si="656"/>
        <v>0.12</v>
      </c>
      <c r="CN222" s="541">
        <f t="shared" si="657"/>
        <v>60</v>
      </c>
      <c r="CO222" s="443">
        <f t="shared" si="658"/>
        <v>16.7</v>
      </c>
      <c r="CP222" s="443">
        <f t="shared" si="659"/>
        <v>76.7</v>
      </c>
      <c r="CQ222" s="443"/>
      <c r="CR222" s="217">
        <f t="shared" si="660"/>
        <v>0.21465968586387432</v>
      </c>
      <c r="CS222" s="172">
        <f t="shared" si="661"/>
        <v>28.621291448516576</v>
      </c>
      <c r="CT222" s="172">
        <f t="shared" si="662"/>
        <v>4.0248691099476437</v>
      </c>
      <c r="CU222" s="217">
        <f t="shared" si="663"/>
        <v>1.788830715532286</v>
      </c>
      <c r="CV222" s="217">
        <f t="shared" si="664"/>
        <v>3.577661431064572</v>
      </c>
      <c r="CW222" s="217">
        <f t="shared" si="665"/>
        <v>16</v>
      </c>
      <c r="CX222" s="217">
        <f t="shared" si="666"/>
        <v>0.16770731707317077</v>
      </c>
      <c r="CY222" s="217">
        <f t="shared" si="667"/>
        <v>3.3541463414634154E-2</v>
      </c>
      <c r="CZ222" s="217">
        <f t="shared" si="668"/>
        <v>0.12050825178910475</v>
      </c>
      <c r="DA222" s="197">
        <f t="shared" si="669"/>
        <v>350</v>
      </c>
      <c r="DB222" s="443">
        <f t="shared" si="670"/>
        <v>350</v>
      </c>
      <c r="DD222" s="217">
        <f t="shared" si="671"/>
        <v>3.1104488731607378</v>
      </c>
      <c r="DE222" s="173">
        <f t="shared" si="672"/>
        <v>2.23505308251071</v>
      </c>
      <c r="DF222" s="173">
        <f t="shared" si="673"/>
        <v>1.0814250754144243</v>
      </c>
      <c r="DG222" s="173"/>
      <c r="DH222" s="173">
        <f t="shared" si="674"/>
        <v>0.71856287425149712</v>
      </c>
      <c r="DI222" s="545">
        <f t="shared" si="675"/>
        <v>166.99999999999997</v>
      </c>
      <c r="DJ222" s="528">
        <f t="shared" si="676"/>
        <v>0.125748502994012</v>
      </c>
      <c r="DL222" s="173">
        <f t="shared" si="677"/>
        <v>0.71713716560063623</v>
      </c>
      <c r="DM222" s="173">
        <f t="shared" si="678"/>
        <v>1</v>
      </c>
      <c r="DN222" s="173">
        <f t="shared" si="679"/>
        <v>1.0954285714285714</v>
      </c>
      <c r="DP222" s="545">
        <f t="shared" si="680"/>
        <v>60</v>
      </c>
      <c r="DQ222" s="460">
        <f t="shared" si="681"/>
        <v>166.99999999999997</v>
      </c>
      <c r="DS222">
        <f t="shared" si="682"/>
        <v>60</v>
      </c>
      <c r="DT222">
        <f t="shared" si="683"/>
        <v>166.99999999999997</v>
      </c>
      <c r="DV222" s="5">
        <f t="shared" si="684"/>
        <v>5.9880239520958094</v>
      </c>
      <c r="DW222" s="5">
        <f t="shared" si="685"/>
        <v>0.2</v>
      </c>
      <c r="DX222" s="5">
        <f t="shared" si="686"/>
        <v>5.7880239520958092</v>
      </c>
      <c r="DY222" s="173">
        <f t="shared" si="687"/>
        <v>3.3399999999999999E-2</v>
      </c>
      <c r="EA222" s="5">
        <f t="shared" si="713"/>
        <v>7.5000000000000011E-2</v>
      </c>
      <c r="EB222" s="5">
        <f t="shared" si="714"/>
        <v>3.7500000000000006E-2</v>
      </c>
      <c r="EC222" s="5">
        <f t="shared" si="715"/>
        <v>7.7173652694610781E-2</v>
      </c>
      <c r="ED222" s="5"/>
      <c r="EE222" s="173">
        <f t="shared" si="716"/>
        <v>0.1055146119422961</v>
      </c>
      <c r="EF222" s="173">
        <f t="shared" si="717"/>
        <v>0.56762663785273504</v>
      </c>
      <c r="EG222" s="173">
        <f t="shared" si="718"/>
        <v>0.13940242429618641</v>
      </c>
      <c r="EH222" s="173"/>
      <c r="EI222" s="528">
        <f t="shared" si="719"/>
        <v>2.2266666666666667E-4</v>
      </c>
      <c r="EJ222" s="528">
        <f t="shared" si="720"/>
        <v>0.24336909999999998</v>
      </c>
      <c r="EK222" s="528">
        <f t="shared" si="721"/>
        <v>1.9205E-2</v>
      </c>
      <c r="EL222" s="528">
        <f t="shared" si="722"/>
        <v>0.48385299527499992</v>
      </c>
      <c r="EM222">
        <f t="shared" si="723"/>
        <v>2.7E-2</v>
      </c>
      <c r="EN222" s="460">
        <f t="shared" si="724"/>
        <v>46.204999999999998</v>
      </c>
      <c r="EP222" s="460">
        <f t="shared" si="725"/>
        <v>773.64976194166661</v>
      </c>
      <c r="EQ222" s="173">
        <f t="shared" si="726"/>
        <v>4.1999999999999996E-2</v>
      </c>
      <c r="ER222" s="173">
        <f t="shared" si="688"/>
        <v>6.6562499999999998E-3</v>
      </c>
      <c r="ES222" s="528"/>
      <c r="EU222" s="460">
        <f t="shared" si="727"/>
        <v>48.65625</v>
      </c>
      <c r="EV222" s="528">
        <f t="shared" si="728"/>
        <v>3.3399999999999999E-4</v>
      </c>
      <c r="EW222" s="528">
        <f t="shared" si="729"/>
        <v>9.666000000000001E-3</v>
      </c>
      <c r="EX222" s="528">
        <f t="shared" si="730"/>
        <v>9.7165179498269908E-5</v>
      </c>
      <c r="EY222" s="528">
        <f t="shared" si="731"/>
        <v>1.8020265370340682E-2</v>
      </c>
      <c r="EZ222" s="528"/>
      <c r="FA222" s="625">
        <f t="shared" si="732"/>
        <v>8.349999999999998E-4</v>
      </c>
      <c r="FB222" s="460">
        <f t="shared" si="733"/>
        <v>28.952430549838951</v>
      </c>
      <c r="FC222" s="173">
        <f t="shared" si="734"/>
        <v>0.85125844249150562</v>
      </c>
      <c r="FD222" s="5">
        <f t="shared" si="735"/>
        <v>1.08</v>
      </c>
      <c r="FE222" s="173">
        <f t="shared" si="736"/>
        <v>0.55922085632759644</v>
      </c>
      <c r="FF222" s="5">
        <f t="shared" si="737"/>
        <v>55.922085632759647</v>
      </c>
      <c r="FG222">
        <f t="shared" si="738"/>
        <v>6</v>
      </c>
      <c r="FI222" s="562">
        <f t="shared" si="689"/>
        <v>-50</v>
      </c>
    </row>
    <row r="223" spans="1:169">
      <c r="E223" s="170">
        <v>7</v>
      </c>
      <c r="F223" s="217">
        <f t="shared" si="690"/>
        <v>7.0000000000000007E-2</v>
      </c>
      <c r="G223" s="217">
        <f t="shared" si="617"/>
        <v>1.7500000000000002E-2</v>
      </c>
      <c r="H223" s="217">
        <f t="shared" si="618"/>
        <v>1.1200000000000001</v>
      </c>
      <c r="I223" s="217">
        <f t="shared" si="619"/>
        <v>0.14000000000000001</v>
      </c>
      <c r="J223" s="541">
        <f t="shared" si="620"/>
        <v>59.966877954035809</v>
      </c>
      <c r="K223" s="443">
        <f t="shared" si="621"/>
        <v>16.714682263526971</v>
      </c>
      <c r="L223" s="172">
        <f t="shared" si="622"/>
        <v>76.681560217562776</v>
      </c>
      <c r="M223" s="443"/>
      <c r="N223" s="217">
        <f t="shared" si="623"/>
        <v>0.21797525006147073</v>
      </c>
      <c r="O223" s="172">
        <f t="shared" si="624"/>
        <v>29.047322705414778</v>
      </c>
      <c r="P223" s="172">
        <f t="shared" si="625"/>
        <v>4.0847797554489533</v>
      </c>
      <c r="Q223" s="217">
        <f t="shared" si="626"/>
        <v>1.8154576690884237</v>
      </c>
      <c r="R223" s="217">
        <f t="shared" si="627"/>
        <v>3.6309153381768473</v>
      </c>
      <c r="S223" s="217">
        <f t="shared" si="628"/>
        <v>16</v>
      </c>
      <c r="T223" s="217">
        <f t="shared" si="629"/>
        <v>0.19278885206711638</v>
      </c>
      <c r="U223" s="217">
        <f t="shared" si="630"/>
        <v>3.8579067374136973E-2</v>
      </c>
      <c r="V223" s="217">
        <f t="shared" si="631"/>
        <v>0.1384092253942272</v>
      </c>
      <c r="W223" s="197">
        <f t="shared" si="632"/>
        <v>350</v>
      </c>
      <c r="X223" s="443">
        <f t="shared" si="691"/>
        <v>350</v>
      </c>
      <c r="Z223" s="217">
        <f t="shared" si="633"/>
        <v>3.1122131470087258</v>
      </c>
      <c r="AA223" s="173">
        <f t="shared" si="634"/>
        <v>2.234356428395798</v>
      </c>
      <c r="AB223" s="173">
        <f t="shared" si="635"/>
        <v>1.081701203575512</v>
      </c>
      <c r="AC223" s="173"/>
      <c r="AD223" s="173">
        <f t="shared" si="636"/>
        <v>0.71793168489867998</v>
      </c>
      <c r="AE223" s="545">
        <f t="shared" si="637"/>
        <v>195.00462640781467</v>
      </c>
      <c r="AF223" s="528">
        <f t="shared" si="638"/>
        <v>0.12563804485726898</v>
      </c>
      <c r="AH223" s="173">
        <f t="shared" si="639"/>
        <v>0.7745966692414834</v>
      </c>
      <c r="AI223" s="173">
        <f t="shared" si="640"/>
        <v>1</v>
      </c>
      <c r="AJ223" s="173">
        <f t="shared" si="641"/>
        <v>1.1114312150901797</v>
      </c>
      <c r="AL223" s="545">
        <f t="shared" si="642"/>
        <v>70</v>
      </c>
      <c r="AM223" s="460">
        <f t="shared" si="643"/>
        <v>195.00462640781467</v>
      </c>
      <c r="AO223">
        <f t="shared" si="644"/>
        <v>70</v>
      </c>
      <c r="AP223">
        <f t="shared" si="645"/>
        <v>195.00462640781467</v>
      </c>
      <c r="AR223" s="5">
        <f t="shared" si="616"/>
        <v>5.1280834635619996</v>
      </c>
      <c r="AS223" s="5">
        <f t="shared" si="604"/>
        <v>0.20011046780187416</v>
      </c>
      <c r="AT223" s="5">
        <f t="shared" si="605"/>
        <v>4.9279729957601255</v>
      </c>
      <c r="AU223" s="173">
        <f t="shared" si="606"/>
        <v>3.9022467013997496E-2</v>
      </c>
      <c r="BA223" s="173">
        <f t="shared" si="692"/>
        <v>0.11405037923946519</v>
      </c>
      <c r="BB223" s="173">
        <f t="shared" si="693"/>
        <v>0.56597336008744048</v>
      </c>
      <c r="BC223" s="173">
        <f t="shared" si="694"/>
        <v>0.1389963987273567</v>
      </c>
      <c r="BD223" s="173"/>
      <c r="BE223" s="528">
        <f t="shared" si="695"/>
        <v>2.6014978009331665E-4</v>
      </c>
      <c r="BF223" s="528">
        <f t="shared" si="646"/>
        <v>0.27289697679734365</v>
      </c>
      <c r="BG223" s="528">
        <f t="shared" si="647"/>
        <v>0.26895782854220474</v>
      </c>
      <c r="BH223" s="528">
        <f t="shared" si="696"/>
        <v>0.56471982109819707</v>
      </c>
      <c r="BI223">
        <f t="shared" si="697"/>
        <v>2.6985095079316113E-2</v>
      </c>
      <c r="BJ223" s="460">
        <f t="shared" si="698"/>
        <v>295.94292362152083</v>
      </c>
      <c r="BK223">
        <f t="shared" si="648"/>
        <v>0.83799898616412694</v>
      </c>
      <c r="BL223" s="460">
        <f t="shared" si="699"/>
        <v>1133.8198712971548</v>
      </c>
      <c r="BM223" s="173">
        <f t="shared" si="649"/>
        <v>4.3487499999999998E-2</v>
      </c>
      <c r="BN223" s="173">
        <f t="shared" si="650"/>
        <v>7.765625E-3</v>
      </c>
      <c r="BQ223" s="460">
        <f t="shared" si="700"/>
        <v>51.253124999999997</v>
      </c>
      <c r="BR223" s="528">
        <f t="shared" si="701"/>
        <v>3.9022467013997498E-4</v>
      </c>
      <c r="BS223" s="528">
        <f t="shared" si="702"/>
        <v>9.6097753298600274E-3</v>
      </c>
      <c r="BT223" s="528">
        <f t="shared" si="703"/>
        <v>9.6599994295871631E-5</v>
      </c>
      <c r="BU223" s="528">
        <f t="shared" si="704"/>
        <v>2.6551086140299662E-2</v>
      </c>
      <c r="BV223" s="528"/>
      <c r="BW223" s="625">
        <f t="shared" si="705"/>
        <v>9.7502313203907346E-4</v>
      </c>
      <c r="BX223" s="460">
        <f t="shared" si="706"/>
        <v>37.622709266634608</v>
      </c>
      <c r="BY223" s="173">
        <f t="shared" si="707"/>
        <v>1.2226957055637893</v>
      </c>
      <c r="BZ223" s="5">
        <f t="shared" si="708"/>
        <v>1.2600000000000002</v>
      </c>
      <c r="CA223" s="173">
        <f t="shared" si="709"/>
        <v>0.5075128607893048</v>
      </c>
      <c r="CB223" s="5">
        <f t="shared" si="710"/>
        <v>50.751286078930477</v>
      </c>
      <c r="CC223">
        <f t="shared" si="711"/>
        <v>7.0000000000000009</v>
      </c>
      <c r="CE223" s="562">
        <f t="shared" si="651"/>
        <v>-50</v>
      </c>
      <c r="CG223" s="173">
        <f t="shared" si="652"/>
        <v>0.14302971719191784</v>
      </c>
      <c r="CH223" s="173">
        <f t="shared" si="653"/>
        <v>5.1477060177819972E-2</v>
      </c>
      <c r="CI223" s="170">
        <v>7</v>
      </c>
      <c r="CJ223" s="217">
        <f t="shared" si="712"/>
        <v>7.0000000000000007E-2</v>
      </c>
      <c r="CK223" s="217">
        <f t="shared" si="654"/>
        <v>1.7500000000000002E-2</v>
      </c>
      <c r="CL223" s="217">
        <f t="shared" si="655"/>
        <v>1.1200000000000001</v>
      </c>
      <c r="CM223" s="217">
        <f t="shared" si="656"/>
        <v>0.14000000000000001</v>
      </c>
      <c r="CN223" s="541">
        <f t="shared" si="657"/>
        <v>60</v>
      </c>
      <c r="CO223" s="443">
        <f t="shared" si="658"/>
        <v>16.7</v>
      </c>
      <c r="CP223" s="443">
        <f t="shared" si="659"/>
        <v>76.7</v>
      </c>
      <c r="CQ223" s="443"/>
      <c r="CR223" s="217">
        <f t="shared" si="660"/>
        <v>0.21465968586387432</v>
      </c>
      <c r="CS223" s="172">
        <f t="shared" si="661"/>
        <v>28.621291448516576</v>
      </c>
      <c r="CT223" s="172">
        <f t="shared" si="662"/>
        <v>4.0248691099476437</v>
      </c>
      <c r="CU223" s="217">
        <f t="shared" si="663"/>
        <v>1.788830715532286</v>
      </c>
      <c r="CV223" s="217">
        <f t="shared" si="664"/>
        <v>3.577661431064572</v>
      </c>
      <c r="CW223" s="217">
        <f t="shared" si="665"/>
        <v>16</v>
      </c>
      <c r="CX223" s="217">
        <f t="shared" si="666"/>
        <v>0.19565853658536592</v>
      </c>
      <c r="CY223" s="217">
        <f t="shared" si="667"/>
        <v>3.9131707317073189E-2</v>
      </c>
      <c r="CZ223" s="217">
        <f t="shared" si="668"/>
        <v>0.14059296042062222</v>
      </c>
      <c r="DA223" s="197">
        <f t="shared" si="669"/>
        <v>350</v>
      </c>
      <c r="DB223" s="443">
        <f t="shared" si="670"/>
        <v>350</v>
      </c>
      <c r="DD223" s="217">
        <f t="shared" si="671"/>
        <v>3.1104488731607378</v>
      </c>
      <c r="DE223" s="173">
        <f t="shared" si="672"/>
        <v>2.23505308251071</v>
      </c>
      <c r="DF223" s="173">
        <f t="shared" si="673"/>
        <v>1.0814250754144243</v>
      </c>
      <c r="DG223" s="173"/>
      <c r="DH223" s="173">
        <f t="shared" si="674"/>
        <v>0.71856287425149712</v>
      </c>
      <c r="DI223" s="545">
        <f t="shared" si="675"/>
        <v>194.83333333333331</v>
      </c>
      <c r="DJ223" s="528">
        <f t="shared" si="676"/>
        <v>0.125748502994012</v>
      </c>
      <c r="DL223" s="173">
        <f t="shared" si="677"/>
        <v>0.7745966692414834</v>
      </c>
      <c r="DM223" s="173">
        <f t="shared" si="678"/>
        <v>1</v>
      </c>
      <c r="DN223" s="173">
        <f t="shared" si="679"/>
        <v>1.1113333333333333</v>
      </c>
      <c r="DP223" s="545">
        <f t="shared" si="680"/>
        <v>70</v>
      </c>
      <c r="DQ223" s="460">
        <f t="shared" si="681"/>
        <v>194.83333333333331</v>
      </c>
      <c r="DS223">
        <f t="shared" si="682"/>
        <v>70</v>
      </c>
      <c r="DT223">
        <f t="shared" si="683"/>
        <v>194.83333333333331</v>
      </c>
      <c r="DV223" s="5">
        <f t="shared" si="684"/>
        <v>5.1325919589392646</v>
      </c>
      <c r="DW223" s="5">
        <f t="shared" si="685"/>
        <v>0.2</v>
      </c>
      <c r="DX223" s="5">
        <f t="shared" si="686"/>
        <v>4.9325919589392644</v>
      </c>
      <c r="DY223" s="173">
        <f t="shared" si="687"/>
        <v>3.896666666666667E-2</v>
      </c>
      <c r="EA223" s="5">
        <f t="shared" si="713"/>
        <v>8.7500000000000008E-2</v>
      </c>
      <c r="EB223" s="5">
        <f t="shared" si="714"/>
        <v>4.3750000000000004E-2</v>
      </c>
      <c r="EC223" s="5">
        <f t="shared" si="715"/>
        <v>7.6729208250166339E-2</v>
      </c>
      <c r="ED223" s="5"/>
      <c r="EE223" s="173">
        <f t="shared" si="716"/>
        <v>0.11396880664852506</v>
      </c>
      <c r="EF223" s="173">
        <f t="shared" si="717"/>
        <v>0.56598979181999776</v>
      </c>
      <c r="EG223" s="173">
        <f t="shared" si="718"/>
        <v>0.13900043416755828</v>
      </c>
      <c r="EH223" s="173"/>
      <c r="EI223" s="528">
        <f t="shared" si="719"/>
        <v>2.5977777777777783E-4</v>
      </c>
      <c r="EJ223" s="528">
        <f t="shared" si="720"/>
        <v>0.28393061666666669</v>
      </c>
      <c r="EK223" s="528">
        <f t="shared" si="721"/>
        <v>2.2405833333333333E-2</v>
      </c>
      <c r="EL223" s="528">
        <f t="shared" si="722"/>
        <v>0.56449516115416665</v>
      </c>
      <c r="EM223">
        <f t="shared" si="723"/>
        <v>2.7E-2</v>
      </c>
      <c r="EN223" s="460">
        <f t="shared" si="724"/>
        <v>49.405833333333327</v>
      </c>
      <c r="EP223" s="460">
        <f t="shared" si="725"/>
        <v>898.09138893194449</v>
      </c>
      <c r="EQ223" s="173">
        <f t="shared" si="726"/>
        <v>4.9000000000000002E-2</v>
      </c>
      <c r="ER223" s="173">
        <f t="shared" si="688"/>
        <v>7.765625E-3</v>
      </c>
      <c r="ES223" s="528"/>
      <c r="EU223" s="460">
        <f t="shared" si="727"/>
        <v>56.765625</v>
      </c>
      <c r="EV223" s="528">
        <f t="shared" si="728"/>
        <v>3.8966666666666669E-4</v>
      </c>
      <c r="EW223" s="528">
        <f t="shared" si="729"/>
        <v>9.6103333333333301E-3</v>
      </c>
      <c r="EX223" s="528">
        <f t="shared" si="730"/>
        <v>9.660560349384851E-5</v>
      </c>
      <c r="EY223" s="528">
        <f t="shared" si="731"/>
        <v>2.6492818018065554E-2</v>
      </c>
      <c r="EZ223" s="528"/>
      <c r="FA223" s="625">
        <f t="shared" si="732"/>
        <v>9.7416666666666648E-4</v>
      </c>
      <c r="FB223" s="460">
        <f t="shared" si="733"/>
        <v>37.563590288226059</v>
      </c>
      <c r="FC223" s="173">
        <f t="shared" si="734"/>
        <v>0.99242060422017064</v>
      </c>
      <c r="FD223" s="5">
        <f t="shared" si="735"/>
        <v>1.2600000000000002</v>
      </c>
      <c r="FE223" s="173">
        <f t="shared" si="736"/>
        <v>0.55939818595125812</v>
      </c>
      <c r="FF223" s="5">
        <f t="shared" si="737"/>
        <v>55.939818595125814</v>
      </c>
      <c r="FG223">
        <f t="shared" si="738"/>
        <v>7.0000000000000009</v>
      </c>
      <c r="FI223" s="562">
        <f t="shared" si="689"/>
        <v>-50</v>
      </c>
    </row>
    <row r="224" spans="1:169">
      <c r="E224" s="170">
        <v>8</v>
      </c>
      <c r="F224" s="217">
        <f t="shared" si="690"/>
        <v>0.08</v>
      </c>
      <c r="G224" s="217">
        <f t="shared" si="617"/>
        <v>0.02</v>
      </c>
      <c r="H224" s="217">
        <f t="shared" si="618"/>
        <v>1.28</v>
      </c>
      <c r="I224" s="217">
        <f t="shared" si="619"/>
        <v>0.16</v>
      </c>
      <c r="J224" s="541">
        <f t="shared" si="620"/>
        <v>59.966877954035809</v>
      </c>
      <c r="K224" s="443">
        <f t="shared" si="621"/>
        <v>16.714682263526971</v>
      </c>
      <c r="L224" s="172">
        <f t="shared" si="622"/>
        <v>76.681560217562776</v>
      </c>
      <c r="M224" s="443"/>
      <c r="N224" s="217">
        <f t="shared" si="623"/>
        <v>0.21797525006147073</v>
      </c>
      <c r="O224" s="172">
        <f t="shared" si="624"/>
        <v>29.047322705414778</v>
      </c>
      <c r="P224" s="172">
        <f t="shared" si="625"/>
        <v>4.0847797554489533</v>
      </c>
      <c r="Q224" s="217">
        <f t="shared" si="626"/>
        <v>1.8154576690884237</v>
      </c>
      <c r="R224" s="217">
        <f t="shared" si="627"/>
        <v>3.6309153381768473</v>
      </c>
      <c r="S224" s="217">
        <f t="shared" si="628"/>
        <v>16</v>
      </c>
      <c r="T224" s="217">
        <f t="shared" si="629"/>
        <v>0.22033011664813296</v>
      </c>
      <c r="U224" s="217">
        <f t="shared" si="630"/>
        <v>4.4090362713299393E-2</v>
      </c>
      <c r="V224" s="217">
        <f t="shared" si="631"/>
        <v>0.15818197187911678</v>
      </c>
      <c r="W224" s="197">
        <f t="shared" si="632"/>
        <v>350</v>
      </c>
      <c r="X224" s="443">
        <f t="shared" si="691"/>
        <v>350</v>
      </c>
      <c r="Z224" s="217">
        <f t="shared" si="633"/>
        <v>3.1122131470087258</v>
      </c>
      <c r="AA224" s="173">
        <f t="shared" si="634"/>
        <v>2.234356428395798</v>
      </c>
      <c r="AB224" s="173">
        <f t="shared" si="635"/>
        <v>1.081701203575512</v>
      </c>
      <c r="AC224" s="173"/>
      <c r="AD224" s="173">
        <f t="shared" si="636"/>
        <v>0.71793168489867998</v>
      </c>
      <c r="AE224" s="545">
        <f t="shared" si="637"/>
        <v>222.86243018035964</v>
      </c>
      <c r="AF224" s="528">
        <f t="shared" si="638"/>
        <v>0.12563804485726898</v>
      </c>
      <c r="AH224" s="173">
        <f t="shared" si="639"/>
        <v>0.82807867121082501</v>
      </c>
      <c r="AI224" s="173">
        <f t="shared" si="640"/>
        <v>1</v>
      </c>
      <c r="AJ224" s="173">
        <f t="shared" si="641"/>
        <v>1.1273499601030625</v>
      </c>
      <c r="AL224" s="545">
        <f t="shared" si="642"/>
        <v>80</v>
      </c>
      <c r="AM224" s="460">
        <f t="shared" si="643"/>
        <v>222.86243018035964</v>
      </c>
      <c r="AO224">
        <f t="shared" si="644"/>
        <v>80</v>
      </c>
      <c r="AP224">
        <f t="shared" si="645"/>
        <v>222.86243018035964</v>
      </c>
      <c r="AR224" s="5">
        <f t="shared" si="616"/>
        <v>4.4870730306167488</v>
      </c>
      <c r="AS224" s="5">
        <f t="shared" si="604"/>
        <v>0.20011046780187416</v>
      </c>
      <c r="AT224" s="5">
        <f t="shared" si="605"/>
        <v>4.2869625628148746</v>
      </c>
      <c r="AU224" s="173">
        <f t="shared" si="606"/>
        <v>4.4597105158854289E-2</v>
      </c>
      <c r="BA224" s="173">
        <f t="shared" si="692"/>
        <v>0.12192498398448981</v>
      </c>
      <c r="BB224" s="173">
        <f t="shared" si="693"/>
        <v>0.56432936447939264</v>
      </c>
      <c r="BC224" s="173">
        <f t="shared" si="694"/>
        <v>0.13859265274714494</v>
      </c>
      <c r="BD224" s="173"/>
      <c r="BE224" s="528">
        <f t="shared" si="695"/>
        <v>2.9731403439236192E-4</v>
      </c>
      <c r="BF224" s="528">
        <f t="shared" si="646"/>
        <v>0.31188225919696422</v>
      </c>
      <c r="BG224" s="528">
        <f t="shared" si="647"/>
        <v>0.30738037547680541</v>
      </c>
      <c r="BH224" s="528">
        <f t="shared" si="696"/>
        <v>0.64539408125508235</v>
      </c>
      <c r="BI224">
        <f t="shared" si="697"/>
        <v>2.6985095079316113E-2</v>
      </c>
      <c r="BJ224" s="460">
        <f t="shared" si="698"/>
        <v>334.36547055612152</v>
      </c>
      <c r="BK224">
        <f t="shared" si="648"/>
        <v>0.95772158446630595</v>
      </c>
      <c r="BL224" s="460">
        <f t="shared" si="699"/>
        <v>1291.9391250425604</v>
      </c>
      <c r="BM224" s="173">
        <f t="shared" si="649"/>
        <v>4.9699999999999994E-2</v>
      </c>
      <c r="BN224" s="173">
        <f t="shared" si="650"/>
        <v>8.8749999999999992E-3</v>
      </c>
      <c r="BQ224" s="460">
        <f t="shared" si="700"/>
        <v>58.574999999999996</v>
      </c>
      <c r="BR224" s="528">
        <f t="shared" si="701"/>
        <v>4.4597105158854288E-4</v>
      </c>
      <c r="BS224" s="528">
        <f t="shared" si="702"/>
        <v>9.5540289484114544E-3</v>
      </c>
      <c r="BT224" s="528">
        <f t="shared" si="703"/>
        <v>9.6039616977453509E-5</v>
      </c>
      <c r="BU224" s="528">
        <f t="shared" si="704"/>
        <v>3.7073377990427356E-2</v>
      </c>
      <c r="BV224" s="528"/>
      <c r="BW224" s="625">
        <f t="shared" si="705"/>
        <v>1.1143121509017981E-3</v>
      </c>
      <c r="BX224" s="460">
        <f t="shared" si="706"/>
        <v>48.283729758306599</v>
      </c>
      <c r="BY224" s="173">
        <f t="shared" si="707"/>
        <v>1.3987978548008668</v>
      </c>
      <c r="BZ224" s="5">
        <f t="shared" si="708"/>
        <v>1.44</v>
      </c>
      <c r="CA224" s="173">
        <f t="shared" si="709"/>
        <v>0.50725697060983987</v>
      </c>
      <c r="CB224" s="5">
        <f t="shared" si="710"/>
        <v>50.72569706098399</v>
      </c>
      <c r="CC224">
        <f t="shared" si="711"/>
        <v>8</v>
      </c>
      <c r="CE224" s="562">
        <f t="shared" si="651"/>
        <v>-50</v>
      </c>
      <c r="CG224" s="173">
        <f t="shared" si="652"/>
        <v>0.1634625339336204</v>
      </c>
      <c r="CH224" s="173">
        <f t="shared" si="653"/>
        <v>5.8830925917508534E-2</v>
      </c>
      <c r="CI224" s="170">
        <v>8</v>
      </c>
      <c r="CJ224" s="217">
        <f t="shared" si="712"/>
        <v>0.08</v>
      </c>
      <c r="CK224" s="217">
        <f t="shared" si="654"/>
        <v>0.02</v>
      </c>
      <c r="CL224" s="217">
        <f t="shared" si="655"/>
        <v>1.28</v>
      </c>
      <c r="CM224" s="217">
        <f t="shared" si="656"/>
        <v>0.16</v>
      </c>
      <c r="CN224" s="541">
        <f t="shared" si="657"/>
        <v>60</v>
      </c>
      <c r="CO224" s="443">
        <f t="shared" si="658"/>
        <v>16.7</v>
      </c>
      <c r="CP224" s="443">
        <f t="shared" si="659"/>
        <v>76.7</v>
      </c>
      <c r="CQ224" s="443"/>
      <c r="CR224" s="217">
        <f t="shared" si="660"/>
        <v>0.21465968586387432</v>
      </c>
      <c r="CS224" s="172">
        <f t="shared" si="661"/>
        <v>28.621291448516576</v>
      </c>
      <c r="CT224" s="172">
        <f t="shared" si="662"/>
        <v>4.0248691099476437</v>
      </c>
      <c r="CU224" s="217">
        <f t="shared" si="663"/>
        <v>1.788830715532286</v>
      </c>
      <c r="CV224" s="217">
        <f t="shared" si="664"/>
        <v>3.577661431064572</v>
      </c>
      <c r="CW224" s="217">
        <f t="shared" si="665"/>
        <v>16</v>
      </c>
      <c r="CX224" s="217">
        <f t="shared" si="666"/>
        <v>0.22360975609756098</v>
      </c>
      <c r="CY224" s="217">
        <f t="shared" si="667"/>
        <v>4.4721951219512196E-2</v>
      </c>
      <c r="CZ224" s="217">
        <f t="shared" si="668"/>
        <v>0.16067766905213965</v>
      </c>
      <c r="DA224" s="197">
        <f t="shared" si="669"/>
        <v>350</v>
      </c>
      <c r="DB224" s="443">
        <f t="shared" si="670"/>
        <v>350</v>
      </c>
      <c r="DD224" s="217">
        <f t="shared" si="671"/>
        <v>3.1104488731607378</v>
      </c>
      <c r="DE224" s="173">
        <f t="shared" si="672"/>
        <v>2.23505308251071</v>
      </c>
      <c r="DF224" s="173">
        <f t="shared" si="673"/>
        <v>1.0814250754144243</v>
      </c>
      <c r="DG224" s="173"/>
      <c r="DH224" s="173">
        <f t="shared" si="674"/>
        <v>0.71856287425149712</v>
      </c>
      <c r="DI224" s="545">
        <f t="shared" si="675"/>
        <v>222.66666666666666</v>
      </c>
      <c r="DJ224" s="528">
        <f t="shared" si="676"/>
        <v>0.125748502994012</v>
      </c>
      <c r="DL224" s="173">
        <f t="shared" si="677"/>
        <v>0.82807867121082501</v>
      </c>
      <c r="DM224" s="173">
        <f t="shared" si="678"/>
        <v>1</v>
      </c>
      <c r="DN224" s="173">
        <f t="shared" si="679"/>
        <v>1.1272380952380952</v>
      </c>
      <c r="DP224" s="545">
        <f t="shared" si="680"/>
        <v>80</v>
      </c>
      <c r="DQ224" s="460">
        <f t="shared" si="681"/>
        <v>222.66666666666666</v>
      </c>
      <c r="DS224">
        <f t="shared" si="682"/>
        <v>80</v>
      </c>
      <c r="DT224">
        <f t="shared" si="683"/>
        <v>222.66666666666666</v>
      </c>
      <c r="DV224" s="5">
        <f t="shared" si="684"/>
        <v>4.4910179640718564</v>
      </c>
      <c r="DW224" s="5">
        <f t="shared" si="685"/>
        <v>0.2</v>
      </c>
      <c r="DX224" s="5">
        <f t="shared" si="686"/>
        <v>4.2910179640718562</v>
      </c>
      <c r="DY224" s="173">
        <f t="shared" si="687"/>
        <v>4.4533333333333334E-2</v>
      </c>
      <c r="EA224" s="5">
        <f t="shared" si="713"/>
        <v>0.1</v>
      </c>
      <c r="EB224" s="5">
        <f t="shared" si="714"/>
        <v>0.05</v>
      </c>
      <c r="EC224" s="5">
        <f t="shared" si="715"/>
        <v>7.628476380572187E-2</v>
      </c>
      <c r="ED224" s="5"/>
      <c r="EE224" s="173">
        <f t="shared" si="716"/>
        <v>0.12183777921664711</v>
      </c>
      <c r="EF224" s="173">
        <f t="shared" si="717"/>
        <v>0.56434819826848825</v>
      </c>
      <c r="EG224" s="173">
        <f t="shared" si="718"/>
        <v>0.13859727810417286</v>
      </c>
      <c r="EH224" s="173"/>
      <c r="EI224" s="528">
        <f t="shared" si="719"/>
        <v>2.9688888888888896E-4</v>
      </c>
      <c r="EJ224" s="528">
        <f t="shared" si="720"/>
        <v>0.32449213333333332</v>
      </c>
      <c r="EK224" s="528">
        <f t="shared" si="721"/>
        <v>2.5606666666666666E-2</v>
      </c>
      <c r="EL224" s="528">
        <f t="shared" si="722"/>
        <v>0.64513732703333326</v>
      </c>
      <c r="EM224">
        <f t="shared" si="723"/>
        <v>2.7E-2</v>
      </c>
      <c r="EN224" s="460">
        <f t="shared" si="724"/>
        <v>52.606666666666662</v>
      </c>
      <c r="EP224" s="460">
        <f t="shared" si="725"/>
        <v>1022.5330159222221</v>
      </c>
      <c r="EQ224" s="173">
        <f t="shared" si="726"/>
        <v>5.5999999999999994E-2</v>
      </c>
      <c r="ER224" s="173">
        <f t="shared" si="688"/>
        <v>8.8749999999999992E-3</v>
      </c>
      <c r="ES224" s="528"/>
      <c r="EU224" s="460">
        <f t="shared" si="727"/>
        <v>64.874999999999986</v>
      </c>
      <c r="EV224" s="528">
        <f t="shared" si="728"/>
        <v>4.4533333333333339E-4</v>
      </c>
      <c r="EW224" s="528">
        <f t="shared" si="729"/>
        <v>9.5546666666666679E-3</v>
      </c>
      <c r="EX224" s="528">
        <f t="shared" si="730"/>
        <v>9.6046027489427152E-5</v>
      </c>
      <c r="EY224" s="528">
        <f t="shared" si="731"/>
        <v>3.6992017999767805E-2</v>
      </c>
      <c r="EZ224" s="528"/>
      <c r="FA224" s="625">
        <f t="shared" si="732"/>
        <v>1.1133333333333334E-3</v>
      </c>
      <c r="FB224" s="460">
        <f t="shared" si="733"/>
        <v>48.201397360590569</v>
      </c>
      <c r="FC224" s="173">
        <f t="shared" si="734"/>
        <v>1.1356094132828127</v>
      </c>
      <c r="FD224" s="5">
        <f t="shared" si="735"/>
        <v>1.44</v>
      </c>
      <c r="FE224" s="173">
        <f t="shared" si="736"/>
        <v>0.5590909835061556</v>
      </c>
      <c r="FF224" s="5">
        <f t="shared" si="737"/>
        <v>55.909098350615558</v>
      </c>
      <c r="FG224">
        <f t="shared" si="738"/>
        <v>8</v>
      </c>
      <c r="FI224" s="562">
        <f t="shared" si="689"/>
        <v>-50</v>
      </c>
    </row>
    <row r="225" spans="5:165">
      <c r="E225" s="170">
        <v>9</v>
      </c>
      <c r="F225" s="217">
        <f t="shared" si="690"/>
        <v>0.09</v>
      </c>
      <c r="G225" s="217">
        <f t="shared" si="617"/>
        <v>2.2499999999999999E-2</v>
      </c>
      <c r="H225" s="217">
        <f t="shared" si="618"/>
        <v>1.44</v>
      </c>
      <c r="I225" s="217">
        <f t="shared" si="619"/>
        <v>0.18</v>
      </c>
      <c r="J225" s="541">
        <f t="shared" si="620"/>
        <v>59.966877954035809</v>
      </c>
      <c r="K225" s="443">
        <f t="shared" si="621"/>
        <v>16.714682263526971</v>
      </c>
      <c r="L225" s="172">
        <f t="shared" si="622"/>
        <v>76.681560217562776</v>
      </c>
      <c r="M225" s="443"/>
      <c r="N225" s="217">
        <f t="shared" si="623"/>
        <v>0.21797525006147073</v>
      </c>
      <c r="O225" s="172">
        <f t="shared" si="624"/>
        <v>29.047322705414778</v>
      </c>
      <c r="P225" s="172">
        <f t="shared" si="625"/>
        <v>4.0847797554489533</v>
      </c>
      <c r="Q225" s="217">
        <f t="shared" si="626"/>
        <v>1.8154576690884237</v>
      </c>
      <c r="R225" s="217">
        <f t="shared" si="627"/>
        <v>3.6309153381768473</v>
      </c>
      <c r="S225" s="217">
        <f t="shared" si="628"/>
        <v>16</v>
      </c>
      <c r="T225" s="217">
        <f t="shared" si="629"/>
        <v>0.24787138122914959</v>
      </c>
      <c r="U225" s="217">
        <f t="shared" si="630"/>
        <v>4.9601658052461813E-2</v>
      </c>
      <c r="V225" s="217">
        <f t="shared" si="631"/>
        <v>0.17795471836400639</v>
      </c>
      <c r="W225" s="197">
        <f t="shared" si="632"/>
        <v>350</v>
      </c>
      <c r="X225" s="443">
        <f t="shared" si="691"/>
        <v>350</v>
      </c>
      <c r="Z225" s="217">
        <f t="shared" si="633"/>
        <v>3.1122131470087258</v>
      </c>
      <c r="AA225" s="173">
        <f t="shared" si="634"/>
        <v>2.234356428395798</v>
      </c>
      <c r="AB225" s="173">
        <f t="shared" si="635"/>
        <v>1.081701203575512</v>
      </c>
      <c r="AC225" s="173"/>
      <c r="AD225" s="173">
        <f t="shared" si="636"/>
        <v>0.71793168489867998</v>
      </c>
      <c r="AE225" s="545">
        <f t="shared" si="637"/>
        <v>250.72023395290455</v>
      </c>
      <c r="AF225" s="528">
        <f t="shared" si="638"/>
        <v>0.12563804485726898</v>
      </c>
      <c r="AH225" s="173">
        <f t="shared" si="639"/>
        <v>0.87831006565367986</v>
      </c>
      <c r="AI225" s="173">
        <f t="shared" si="640"/>
        <v>1</v>
      </c>
      <c r="AJ225" s="173">
        <f t="shared" si="641"/>
        <v>1.1432687051159456</v>
      </c>
      <c r="AL225" s="545">
        <f t="shared" si="642"/>
        <v>90</v>
      </c>
      <c r="AM225" s="460">
        <f t="shared" si="643"/>
        <v>250.72023395290455</v>
      </c>
      <c r="AO225">
        <f t="shared" si="644"/>
        <v>90</v>
      </c>
      <c r="AP225">
        <f t="shared" si="645"/>
        <v>250.72023395290455</v>
      </c>
      <c r="AR225" s="5">
        <f t="shared" si="616"/>
        <v>3.988509360548222</v>
      </c>
      <c r="AS225" s="5">
        <f t="shared" si="604"/>
        <v>0.20011046780187416</v>
      </c>
      <c r="AT225" s="5">
        <f t="shared" si="605"/>
        <v>3.7883988927463479</v>
      </c>
      <c r="AU225" s="173">
        <f t="shared" si="606"/>
        <v>5.0171743303711068E-2</v>
      </c>
      <c r="BA225" s="173">
        <f t="shared" si="692"/>
        <v>0.12932097445724092</v>
      </c>
      <c r="BB225" s="173">
        <f t="shared" si="693"/>
        <v>0.56268056559540336</v>
      </c>
      <c r="BC225" s="173">
        <f t="shared" si="694"/>
        <v>0.13818772713887112</v>
      </c>
      <c r="BD225" s="173"/>
      <c r="BE225" s="528">
        <f t="shared" si="695"/>
        <v>3.3447828869140718E-4</v>
      </c>
      <c r="BF225" s="528">
        <f t="shared" si="646"/>
        <v>0.35086754159658468</v>
      </c>
      <c r="BG225" s="528">
        <f t="shared" si="647"/>
        <v>0.34580292241140603</v>
      </c>
      <c r="BH225" s="528">
        <f t="shared" si="696"/>
        <v>0.72606834141196752</v>
      </c>
      <c r="BI225">
        <f t="shared" si="697"/>
        <v>2.6985095079316113E-2</v>
      </c>
      <c r="BJ225" s="460">
        <f t="shared" si="698"/>
        <v>372.78801749072215</v>
      </c>
      <c r="BK225">
        <f t="shared" si="648"/>
        <v>1.0774462972919274</v>
      </c>
      <c r="BL225" s="460">
        <f t="shared" si="699"/>
        <v>1450.0583787879657</v>
      </c>
      <c r="BM225" s="173">
        <f t="shared" si="649"/>
        <v>5.5912499999999997E-2</v>
      </c>
      <c r="BN225" s="173">
        <f t="shared" si="650"/>
        <v>9.9843749999999985E-3</v>
      </c>
      <c r="BQ225" s="460">
        <f t="shared" si="700"/>
        <v>65.896874999999994</v>
      </c>
      <c r="BR225" s="528">
        <f t="shared" si="701"/>
        <v>5.0171743303711078E-4</v>
      </c>
      <c r="BS225" s="528">
        <f t="shared" si="702"/>
        <v>9.4982825669628901E-3</v>
      </c>
      <c r="BT225" s="528">
        <f t="shared" si="703"/>
        <v>9.5479239659035495E-5</v>
      </c>
      <c r="BU225" s="528">
        <f t="shared" si="704"/>
        <v>4.9767229576415425E-2</v>
      </c>
      <c r="BV225" s="528"/>
      <c r="BW225" s="625">
        <f t="shared" si="705"/>
        <v>1.2536011697645228E-3</v>
      </c>
      <c r="BX225" s="460">
        <f t="shared" si="706"/>
        <v>61.116309985838981</v>
      </c>
      <c r="BY225" s="173">
        <f t="shared" si="707"/>
        <v>1.5770715637738046</v>
      </c>
      <c r="BZ225" s="5">
        <f t="shared" si="708"/>
        <v>1.6199999999999999</v>
      </c>
      <c r="CA225" s="173">
        <f t="shared" si="709"/>
        <v>0.50671371212215255</v>
      </c>
      <c r="CB225" s="5">
        <f t="shared" si="710"/>
        <v>50.671371212215256</v>
      </c>
      <c r="CC225">
        <f t="shared" si="711"/>
        <v>9</v>
      </c>
      <c r="CE225" s="562">
        <f t="shared" si="651"/>
        <v>-50</v>
      </c>
      <c r="CG225" s="173">
        <f t="shared" si="652"/>
        <v>0.18389535067532292</v>
      </c>
      <c r="CH225" s="173">
        <f t="shared" si="653"/>
        <v>6.6184791657197095E-2</v>
      </c>
      <c r="CI225" s="170">
        <v>9</v>
      </c>
      <c r="CJ225" s="217">
        <f t="shared" si="712"/>
        <v>0.09</v>
      </c>
      <c r="CK225" s="217">
        <f t="shared" si="654"/>
        <v>2.2499999999999999E-2</v>
      </c>
      <c r="CL225" s="217">
        <f t="shared" si="655"/>
        <v>1.44</v>
      </c>
      <c r="CM225" s="217">
        <f t="shared" si="656"/>
        <v>0.18</v>
      </c>
      <c r="CN225" s="541">
        <f t="shared" si="657"/>
        <v>60</v>
      </c>
      <c r="CO225" s="443">
        <f t="shared" si="658"/>
        <v>16.7</v>
      </c>
      <c r="CP225" s="443">
        <f t="shared" si="659"/>
        <v>76.7</v>
      </c>
      <c r="CQ225" s="443"/>
      <c r="CR225" s="217">
        <f t="shared" si="660"/>
        <v>0.21465968586387432</v>
      </c>
      <c r="CS225" s="172">
        <f t="shared" si="661"/>
        <v>28.621291448516576</v>
      </c>
      <c r="CT225" s="172">
        <f t="shared" si="662"/>
        <v>4.0248691099476437</v>
      </c>
      <c r="CU225" s="217">
        <f t="shared" si="663"/>
        <v>1.788830715532286</v>
      </c>
      <c r="CV225" s="217">
        <f t="shared" si="664"/>
        <v>3.577661431064572</v>
      </c>
      <c r="CW225" s="217">
        <f t="shared" si="665"/>
        <v>16</v>
      </c>
      <c r="CX225" s="217">
        <f t="shared" si="666"/>
        <v>0.2515609756097561</v>
      </c>
      <c r="CY225" s="217">
        <f t="shared" si="667"/>
        <v>5.0312195121951217E-2</v>
      </c>
      <c r="CZ225" s="217">
        <f t="shared" si="668"/>
        <v>0.18076237768365708</v>
      </c>
      <c r="DA225" s="197">
        <f t="shared" si="669"/>
        <v>350</v>
      </c>
      <c r="DB225" s="443">
        <f t="shared" si="670"/>
        <v>350</v>
      </c>
      <c r="DD225" s="217">
        <f t="shared" si="671"/>
        <v>3.1104488731607378</v>
      </c>
      <c r="DE225" s="173">
        <f t="shared" si="672"/>
        <v>2.23505308251071</v>
      </c>
      <c r="DF225" s="173">
        <f t="shared" si="673"/>
        <v>1.0814250754144243</v>
      </c>
      <c r="DG225" s="173"/>
      <c r="DH225" s="173">
        <f t="shared" si="674"/>
        <v>0.71856287425149712</v>
      </c>
      <c r="DI225" s="545">
        <f t="shared" si="675"/>
        <v>250.49999999999997</v>
      </c>
      <c r="DJ225" s="528">
        <f t="shared" si="676"/>
        <v>0.125748502994012</v>
      </c>
      <c r="DL225" s="173">
        <f t="shared" si="677"/>
        <v>0.87831006565367986</v>
      </c>
      <c r="DM225" s="173">
        <f t="shared" si="678"/>
        <v>1</v>
      </c>
      <c r="DN225" s="173">
        <f t="shared" si="679"/>
        <v>1.1431428571428572</v>
      </c>
      <c r="DP225" s="545">
        <f t="shared" si="680"/>
        <v>90</v>
      </c>
      <c r="DQ225" s="460">
        <f t="shared" si="681"/>
        <v>250.49999999999997</v>
      </c>
      <c r="DS225">
        <f t="shared" si="682"/>
        <v>90</v>
      </c>
      <c r="DT225">
        <f t="shared" si="683"/>
        <v>250.49999999999997</v>
      </c>
      <c r="DV225" s="5">
        <f t="shared" si="684"/>
        <v>3.9920159680638729</v>
      </c>
      <c r="DW225" s="5">
        <f t="shared" si="685"/>
        <v>0.2</v>
      </c>
      <c r="DX225" s="5">
        <f t="shared" si="686"/>
        <v>3.7920159680638728</v>
      </c>
      <c r="DY225" s="173">
        <f t="shared" si="687"/>
        <v>5.0099999999999992E-2</v>
      </c>
      <c r="EA225" s="5">
        <f t="shared" si="713"/>
        <v>0.1125</v>
      </c>
      <c r="EB225" s="5">
        <f t="shared" si="714"/>
        <v>5.6250000000000001E-2</v>
      </c>
      <c r="EC225" s="5">
        <f t="shared" si="715"/>
        <v>7.5840319361277442E-2</v>
      </c>
      <c r="ED225" s="5"/>
      <c r="EE225" s="173">
        <f t="shared" si="716"/>
        <v>0.12922847983320085</v>
      </c>
      <c r="EF225" s="173">
        <f t="shared" si="717"/>
        <v>0.56270181564780231</v>
      </c>
      <c r="EG225" s="173">
        <f t="shared" si="718"/>
        <v>0.13819294590173967</v>
      </c>
      <c r="EH225" s="173"/>
      <c r="EI225" s="528">
        <f t="shared" si="719"/>
        <v>3.3399999999999999E-4</v>
      </c>
      <c r="EJ225" s="528">
        <f t="shared" si="720"/>
        <v>0.36505365000000001</v>
      </c>
      <c r="EK225" s="528">
        <f t="shared" si="721"/>
        <v>2.88075E-2</v>
      </c>
      <c r="EL225" s="528">
        <f t="shared" si="722"/>
        <v>0.72577949291249999</v>
      </c>
      <c r="EM225">
        <f t="shared" si="723"/>
        <v>2.7E-2</v>
      </c>
      <c r="EN225" s="460">
        <f t="shared" si="724"/>
        <v>55.807499999999997</v>
      </c>
      <c r="EP225" s="460">
        <f t="shared" si="725"/>
        <v>1146.9746429124998</v>
      </c>
      <c r="EQ225" s="173">
        <f t="shared" si="726"/>
        <v>6.3E-2</v>
      </c>
      <c r="ER225" s="173">
        <f t="shared" si="688"/>
        <v>9.9843749999999985E-3</v>
      </c>
      <c r="ES225" s="528"/>
      <c r="EU225" s="460">
        <f t="shared" si="727"/>
        <v>72.984375</v>
      </c>
      <c r="EV225" s="528">
        <f t="shared" si="728"/>
        <v>5.0099999999999993E-4</v>
      </c>
      <c r="EW225" s="528">
        <f t="shared" si="729"/>
        <v>9.498999999999997E-3</v>
      </c>
      <c r="EX225" s="528">
        <f t="shared" si="730"/>
        <v>9.5486451485005727E-5</v>
      </c>
      <c r="EY225" s="528">
        <f t="shared" si="731"/>
        <v>4.9658012085240469E-2</v>
      </c>
      <c r="EZ225" s="528"/>
      <c r="FA225" s="625">
        <f t="shared" si="732"/>
        <v>1.2524999999999999E-3</v>
      </c>
      <c r="FB225" s="460">
        <f t="shared" si="733"/>
        <v>61.005998536725471</v>
      </c>
      <c r="FC225" s="173">
        <f t="shared" si="734"/>
        <v>1.2809650164492254</v>
      </c>
      <c r="FD225" s="5">
        <f t="shared" si="735"/>
        <v>1.6199999999999999</v>
      </c>
      <c r="FE225" s="173">
        <f t="shared" si="736"/>
        <v>0.5584348624730664</v>
      </c>
      <c r="FF225" s="5">
        <f t="shared" si="737"/>
        <v>55.843486247306643</v>
      </c>
      <c r="FG225">
        <f t="shared" si="738"/>
        <v>9</v>
      </c>
      <c r="FI225" s="562">
        <f t="shared" si="689"/>
        <v>-50</v>
      </c>
    </row>
    <row r="226" spans="5:165">
      <c r="E226" s="170">
        <v>10</v>
      </c>
      <c r="F226" s="217">
        <f t="shared" si="690"/>
        <v>0.1</v>
      </c>
      <c r="G226" s="217">
        <f t="shared" si="617"/>
        <v>2.5000000000000001E-2</v>
      </c>
      <c r="H226" s="217">
        <f t="shared" si="618"/>
        <v>1.6</v>
      </c>
      <c r="I226" s="217">
        <f t="shared" si="619"/>
        <v>0.2</v>
      </c>
      <c r="J226" s="541">
        <f t="shared" si="620"/>
        <v>59.966877954035809</v>
      </c>
      <c r="K226" s="443">
        <f t="shared" si="621"/>
        <v>16.714682263526971</v>
      </c>
      <c r="L226" s="172">
        <f t="shared" si="622"/>
        <v>76.681560217562776</v>
      </c>
      <c r="M226" s="443"/>
      <c r="N226" s="217">
        <f t="shared" si="623"/>
        <v>0.21797525006147073</v>
      </c>
      <c r="O226" s="172">
        <f t="shared" si="624"/>
        <v>29.047322705414778</v>
      </c>
      <c r="P226" s="172">
        <f t="shared" si="625"/>
        <v>4.0847797554489533</v>
      </c>
      <c r="Q226" s="217">
        <f t="shared" si="626"/>
        <v>1.8154576690884237</v>
      </c>
      <c r="R226" s="217">
        <f t="shared" si="627"/>
        <v>3.6309153381768473</v>
      </c>
      <c r="S226" s="217">
        <f t="shared" si="628"/>
        <v>16</v>
      </c>
      <c r="T226" s="217">
        <f t="shared" si="629"/>
        <v>0.27541264581016622</v>
      </c>
      <c r="U226" s="217">
        <f t="shared" si="630"/>
        <v>5.5112953391624239E-2</v>
      </c>
      <c r="V226" s="217">
        <f t="shared" si="631"/>
        <v>0.19772746484889603</v>
      </c>
      <c r="W226" s="197">
        <f t="shared" si="632"/>
        <v>350</v>
      </c>
      <c r="X226" s="443">
        <f t="shared" si="691"/>
        <v>350</v>
      </c>
      <c r="Z226" s="217">
        <f t="shared" si="633"/>
        <v>3.1122131470087258</v>
      </c>
      <c r="AA226" s="173">
        <f t="shared" si="634"/>
        <v>2.234356428395798</v>
      </c>
      <c r="AB226" s="173">
        <f t="shared" si="635"/>
        <v>1.081701203575512</v>
      </c>
      <c r="AC226" s="173"/>
      <c r="AD226" s="173">
        <f t="shared" si="636"/>
        <v>0.71793168489867998</v>
      </c>
      <c r="AE226" s="545">
        <f t="shared" si="637"/>
        <v>278.57803772544952</v>
      </c>
      <c r="AF226" s="528">
        <f t="shared" si="638"/>
        <v>0.12563804485726898</v>
      </c>
      <c r="AH226" s="173">
        <f t="shared" si="639"/>
        <v>0.92582009977255142</v>
      </c>
      <c r="AI226" s="173">
        <f t="shared" si="640"/>
        <v>1</v>
      </c>
      <c r="AJ226" s="173">
        <f t="shared" si="641"/>
        <v>1.1591874501288284</v>
      </c>
      <c r="AL226" s="545">
        <f t="shared" si="642"/>
        <v>100</v>
      </c>
      <c r="AM226" s="460">
        <f t="shared" si="643"/>
        <v>278.57803772544952</v>
      </c>
      <c r="AO226">
        <f t="shared" si="644"/>
        <v>100</v>
      </c>
      <c r="AP226">
        <f t="shared" si="645"/>
        <v>278.57803772544952</v>
      </c>
      <c r="AR226" s="5">
        <f t="shared" si="616"/>
        <v>3.5896584244933996</v>
      </c>
      <c r="AS226" s="5">
        <f t="shared" si="604"/>
        <v>0.20011046780187416</v>
      </c>
      <c r="AT226" s="5">
        <f t="shared" si="605"/>
        <v>3.3895479566915254</v>
      </c>
      <c r="AU226" s="173">
        <f t="shared" si="606"/>
        <v>5.5746381448567854E-2</v>
      </c>
      <c r="BA226" s="173">
        <f t="shared" si="692"/>
        <v>0.13631627617244618</v>
      </c>
      <c r="BB226" s="173">
        <f t="shared" si="693"/>
        <v>0.56102692108651142</v>
      </c>
      <c r="BC226" s="173">
        <f t="shared" si="694"/>
        <v>0.13778161150212853</v>
      </c>
      <c r="BD226" s="173"/>
      <c r="BE226" s="528">
        <f t="shared" si="695"/>
        <v>3.716425429904524E-4</v>
      </c>
      <c r="BF226" s="528">
        <f t="shared" si="646"/>
        <v>0.3898528239962053</v>
      </c>
      <c r="BG226" s="528">
        <f t="shared" si="647"/>
        <v>0.38422546934600676</v>
      </c>
      <c r="BH226" s="528">
        <f t="shared" si="696"/>
        <v>0.80674260156885291</v>
      </c>
      <c r="BI226">
        <f t="shared" si="697"/>
        <v>2.6985095079316113E-2</v>
      </c>
      <c r="BJ226" s="460">
        <f t="shared" si="698"/>
        <v>411.2105644253229</v>
      </c>
      <c r="BK226">
        <f t="shared" si="648"/>
        <v>1.1971731246970123</v>
      </c>
      <c r="BL226" s="460">
        <f t="shared" si="699"/>
        <v>1608.1776325333715</v>
      </c>
      <c r="BM226" s="173">
        <f t="shared" si="649"/>
        <v>6.2124999999999993E-2</v>
      </c>
      <c r="BN226" s="173">
        <f t="shared" si="650"/>
        <v>1.1093749999999999E-2</v>
      </c>
      <c r="BQ226" s="460">
        <f t="shared" si="700"/>
        <v>73.21875</v>
      </c>
      <c r="BR226" s="528">
        <f t="shared" si="701"/>
        <v>5.5746381448567857E-4</v>
      </c>
      <c r="BS226" s="528">
        <f t="shared" si="702"/>
        <v>9.4425361855143206E-3</v>
      </c>
      <c r="BT226" s="528">
        <f t="shared" si="703"/>
        <v>9.4918862340617386E-5</v>
      </c>
      <c r="BU226" s="528">
        <f t="shared" si="704"/>
        <v>6.4764526048547044E-2</v>
      </c>
      <c r="BV226" s="528"/>
      <c r="BW226" s="625">
        <f t="shared" si="705"/>
        <v>1.3928901886272476E-3</v>
      </c>
      <c r="BX226" s="460">
        <f t="shared" si="706"/>
        <v>76.252335099514895</v>
      </c>
      <c r="BY226" s="173">
        <f t="shared" si="707"/>
        <v>1.7576487176328863</v>
      </c>
      <c r="BZ226" s="5">
        <f t="shared" si="708"/>
        <v>1.8</v>
      </c>
      <c r="CA226" s="173">
        <f t="shared" si="709"/>
        <v>0.50595214504417019</v>
      </c>
      <c r="CB226" s="5">
        <f t="shared" si="710"/>
        <v>50.595214504417015</v>
      </c>
      <c r="CC226">
        <f t="shared" si="711"/>
        <v>10</v>
      </c>
      <c r="CE226" s="562">
        <f t="shared" si="651"/>
        <v>-50</v>
      </c>
      <c r="CG226" s="173">
        <f t="shared" si="652"/>
        <v>0.2043281674170255</v>
      </c>
      <c r="CH226" s="173">
        <f t="shared" si="653"/>
        <v>7.353865739688567E-2</v>
      </c>
      <c r="CI226" s="170">
        <v>10</v>
      </c>
      <c r="CJ226" s="217">
        <f t="shared" si="712"/>
        <v>0.1</v>
      </c>
      <c r="CK226" s="217">
        <f t="shared" si="654"/>
        <v>2.5000000000000001E-2</v>
      </c>
      <c r="CL226" s="217">
        <f t="shared" si="655"/>
        <v>1.6</v>
      </c>
      <c r="CM226" s="217">
        <f t="shared" si="656"/>
        <v>0.2</v>
      </c>
      <c r="CN226" s="541">
        <f t="shared" si="657"/>
        <v>60</v>
      </c>
      <c r="CO226" s="443">
        <f t="shared" si="658"/>
        <v>16.7</v>
      </c>
      <c r="CP226" s="443">
        <f t="shared" si="659"/>
        <v>76.7</v>
      </c>
      <c r="CQ226" s="443"/>
      <c r="CR226" s="217">
        <f t="shared" si="660"/>
        <v>0.21465968586387432</v>
      </c>
      <c r="CS226" s="172">
        <f t="shared" si="661"/>
        <v>28.621291448516576</v>
      </c>
      <c r="CT226" s="172">
        <f t="shared" si="662"/>
        <v>4.0248691099476437</v>
      </c>
      <c r="CU226" s="217">
        <f t="shared" si="663"/>
        <v>1.788830715532286</v>
      </c>
      <c r="CV226" s="217">
        <f t="shared" si="664"/>
        <v>3.577661431064572</v>
      </c>
      <c r="CW226" s="217">
        <f t="shared" si="665"/>
        <v>16</v>
      </c>
      <c r="CX226" s="217">
        <f t="shared" si="666"/>
        <v>0.27951219512195125</v>
      </c>
      <c r="CY226" s="217">
        <f t="shared" si="667"/>
        <v>5.5902439024390252E-2</v>
      </c>
      <c r="CZ226" s="217">
        <f t="shared" si="668"/>
        <v>0.20084708631517456</v>
      </c>
      <c r="DA226" s="197">
        <f t="shared" si="669"/>
        <v>350</v>
      </c>
      <c r="DB226" s="443">
        <f t="shared" si="670"/>
        <v>350</v>
      </c>
      <c r="DD226" s="217">
        <f t="shared" si="671"/>
        <v>3.1104488731607378</v>
      </c>
      <c r="DE226" s="173">
        <f t="shared" si="672"/>
        <v>2.23505308251071</v>
      </c>
      <c r="DF226" s="173">
        <f t="shared" si="673"/>
        <v>1.0814250754144243</v>
      </c>
      <c r="DG226" s="173"/>
      <c r="DH226" s="173">
        <f t="shared" si="674"/>
        <v>0.71856287425149712</v>
      </c>
      <c r="DI226" s="545">
        <f t="shared" si="675"/>
        <v>278.33333333333331</v>
      </c>
      <c r="DJ226" s="528">
        <f t="shared" si="676"/>
        <v>0.125748502994012</v>
      </c>
      <c r="DL226" s="173">
        <f t="shared" si="677"/>
        <v>0.92582009977255142</v>
      </c>
      <c r="DM226" s="173">
        <f t="shared" si="678"/>
        <v>1</v>
      </c>
      <c r="DN226" s="173">
        <f t="shared" si="679"/>
        <v>1.1590476190476191</v>
      </c>
      <c r="DP226" s="545">
        <f t="shared" si="680"/>
        <v>100</v>
      </c>
      <c r="DQ226" s="460">
        <f t="shared" si="681"/>
        <v>278.33333333333331</v>
      </c>
      <c r="DS226">
        <f t="shared" si="682"/>
        <v>100</v>
      </c>
      <c r="DT226">
        <f t="shared" si="683"/>
        <v>278.33333333333331</v>
      </c>
      <c r="DV226" s="5">
        <f t="shared" si="684"/>
        <v>3.5928143712574854</v>
      </c>
      <c r="DW226" s="5">
        <f t="shared" si="685"/>
        <v>0.2</v>
      </c>
      <c r="DX226" s="5">
        <f t="shared" si="686"/>
        <v>3.3928143712574852</v>
      </c>
      <c r="DY226" s="173">
        <f t="shared" si="687"/>
        <v>5.5666666666666663E-2</v>
      </c>
      <c r="EA226" s="5">
        <f t="shared" si="713"/>
        <v>0.12500000000000003</v>
      </c>
      <c r="EB226" s="5">
        <f t="shared" si="714"/>
        <v>6.2500000000000014E-2</v>
      </c>
      <c r="EC226" s="5">
        <f t="shared" si="715"/>
        <v>7.5395874916833E-2</v>
      </c>
      <c r="ED226" s="5"/>
      <c r="EE226" s="173">
        <f t="shared" si="716"/>
        <v>0.13621877827801698</v>
      </c>
      <c r="EF226" s="173">
        <f t="shared" si="717"/>
        <v>0.5610506017978929</v>
      </c>
      <c r="EG226" s="173">
        <f t="shared" si="718"/>
        <v>0.13778742720624723</v>
      </c>
      <c r="EH226" s="173"/>
      <c r="EI226" s="528">
        <f t="shared" si="719"/>
        <v>3.7111111111111101E-4</v>
      </c>
      <c r="EJ226" s="528">
        <f t="shared" si="720"/>
        <v>0.40561516666666664</v>
      </c>
      <c r="EK226" s="528">
        <f t="shared" si="721"/>
        <v>3.200833333333334E-2</v>
      </c>
      <c r="EL226" s="528">
        <f t="shared" si="722"/>
        <v>0.80642165879166661</v>
      </c>
      <c r="EM226">
        <f t="shared" si="723"/>
        <v>2.7E-2</v>
      </c>
      <c r="EN226" s="460">
        <f t="shared" si="724"/>
        <v>59.00833333333334</v>
      </c>
      <c r="EP226" s="460">
        <f t="shared" si="725"/>
        <v>1271.4162699027775</v>
      </c>
      <c r="EQ226" s="173">
        <f t="shared" si="726"/>
        <v>6.9999999999999993E-2</v>
      </c>
      <c r="ER226" s="173">
        <f t="shared" si="688"/>
        <v>1.1093749999999999E-2</v>
      </c>
      <c r="ES226" s="528"/>
      <c r="EU226" s="460">
        <f t="shared" si="727"/>
        <v>81.093749999999986</v>
      </c>
      <c r="EV226" s="528">
        <f t="shared" si="728"/>
        <v>5.5666666666666646E-4</v>
      </c>
      <c r="EW226" s="528">
        <f t="shared" si="729"/>
        <v>9.4433333333333331E-3</v>
      </c>
      <c r="EX226" s="528">
        <f t="shared" si="730"/>
        <v>9.4926875480584409E-5</v>
      </c>
      <c r="EY226" s="528">
        <f t="shared" si="731"/>
        <v>6.4622395994044179E-2</v>
      </c>
      <c r="EZ226" s="528"/>
      <c r="FA226" s="625">
        <f t="shared" si="732"/>
        <v>1.3916666666666665E-3</v>
      </c>
      <c r="FB226" s="460">
        <f t="shared" si="733"/>
        <v>76.10898953619143</v>
      </c>
      <c r="FC226" s="173">
        <f t="shared" si="734"/>
        <v>1.428619009438969</v>
      </c>
      <c r="FD226" s="5">
        <f t="shared" si="735"/>
        <v>1.8</v>
      </c>
      <c r="FE226" s="173">
        <f t="shared" si="736"/>
        <v>0.55751390756780028</v>
      </c>
      <c r="FF226" s="5">
        <f t="shared" si="737"/>
        <v>55.751390756780026</v>
      </c>
      <c r="FG226">
        <f t="shared" si="738"/>
        <v>10</v>
      </c>
      <c r="FI226" s="562">
        <f t="shared" si="689"/>
        <v>-50</v>
      </c>
    </row>
    <row r="227" spans="5:165">
      <c r="E227" s="170">
        <v>11</v>
      </c>
      <c r="F227" s="217">
        <f t="shared" si="690"/>
        <v>0.11</v>
      </c>
      <c r="G227" s="217">
        <f t="shared" si="617"/>
        <v>2.75E-2</v>
      </c>
      <c r="H227" s="217">
        <f t="shared" si="618"/>
        <v>1.76</v>
      </c>
      <c r="I227" s="217">
        <f t="shared" si="619"/>
        <v>0.22</v>
      </c>
      <c r="J227" s="541">
        <f t="shared" si="620"/>
        <v>59.966877954035809</v>
      </c>
      <c r="K227" s="443">
        <f t="shared" si="621"/>
        <v>16.714682263526971</v>
      </c>
      <c r="L227" s="172">
        <f t="shared" si="622"/>
        <v>76.681560217562776</v>
      </c>
      <c r="M227" s="443"/>
      <c r="N227" s="217">
        <f t="shared" si="623"/>
        <v>0.21797525006147073</v>
      </c>
      <c r="O227" s="172">
        <f t="shared" si="624"/>
        <v>29.047322705414778</v>
      </c>
      <c r="P227" s="172">
        <f t="shared" si="625"/>
        <v>4.0847797554489533</v>
      </c>
      <c r="Q227" s="217">
        <f t="shared" si="626"/>
        <v>1.8154576690884237</v>
      </c>
      <c r="R227" s="217">
        <f t="shared" si="627"/>
        <v>3.6309153381768473</v>
      </c>
      <c r="S227" s="217">
        <f t="shared" si="628"/>
        <v>16</v>
      </c>
      <c r="T227" s="217">
        <f t="shared" si="629"/>
        <v>0.30295391039118286</v>
      </c>
      <c r="U227" s="217">
        <f t="shared" si="630"/>
        <v>6.0624248730786659E-2</v>
      </c>
      <c r="V227" s="217">
        <f t="shared" si="631"/>
        <v>0.21750021133378561</v>
      </c>
      <c r="W227" s="197">
        <f t="shared" si="632"/>
        <v>350</v>
      </c>
      <c r="X227" s="443">
        <f t="shared" si="691"/>
        <v>350</v>
      </c>
      <c r="Z227" s="217">
        <f t="shared" si="633"/>
        <v>3.1122131470087258</v>
      </c>
      <c r="AA227" s="173">
        <f t="shared" si="634"/>
        <v>2.234356428395798</v>
      </c>
      <c r="AB227" s="173">
        <f t="shared" si="635"/>
        <v>1.081701203575512</v>
      </c>
      <c r="AC227" s="173"/>
      <c r="AD227" s="173">
        <f t="shared" si="636"/>
        <v>0.71793168489867998</v>
      </c>
      <c r="AE227" s="545">
        <f t="shared" si="637"/>
        <v>306.43584149799449</v>
      </c>
      <c r="AF227" s="528">
        <f t="shared" si="638"/>
        <v>0.12563804485726898</v>
      </c>
      <c r="AH227" s="173">
        <f t="shared" si="639"/>
        <v>0.97100831245522445</v>
      </c>
      <c r="AI227" s="173">
        <f t="shared" si="640"/>
        <v>1</v>
      </c>
      <c r="AJ227" s="173">
        <f t="shared" si="641"/>
        <v>1.1751061951417112</v>
      </c>
      <c r="AL227" s="545">
        <f t="shared" si="642"/>
        <v>110</v>
      </c>
      <c r="AM227" s="460">
        <f t="shared" si="643"/>
        <v>306.43584149799449</v>
      </c>
      <c r="AO227">
        <f t="shared" si="644"/>
        <v>110</v>
      </c>
      <c r="AP227">
        <f t="shared" si="645"/>
        <v>306.43584149799449</v>
      </c>
      <c r="AR227" s="5">
        <f t="shared" si="616"/>
        <v>3.263325840448545</v>
      </c>
      <c r="AS227" s="5">
        <f t="shared" si="604"/>
        <v>0.20011046780187416</v>
      </c>
      <c r="AT227" s="5">
        <f t="shared" si="605"/>
        <v>3.0632153726466709</v>
      </c>
      <c r="AU227" s="173">
        <f t="shared" si="606"/>
        <v>6.132101959342464E-2</v>
      </c>
      <c r="BA227" s="173">
        <f t="shared" si="692"/>
        <v>0.14296971659926755</v>
      </c>
      <c r="BB227" s="173">
        <f t="shared" si="693"/>
        <v>0.55936838797777844</v>
      </c>
      <c r="BC227" s="173">
        <f t="shared" si="694"/>
        <v>0.13737429528277792</v>
      </c>
      <c r="BD227" s="173"/>
      <c r="BE227" s="528">
        <f t="shared" si="695"/>
        <v>4.0880679728949761E-4</v>
      </c>
      <c r="BF227" s="528">
        <f t="shared" si="646"/>
        <v>0.42883810639582576</v>
      </c>
      <c r="BG227" s="528">
        <f t="shared" si="647"/>
        <v>0.42264801628060744</v>
      </c>
      <c r="BH227" s="528">
        <f t="shared" si="696"/>
        <v>0.8874168617257383</v>
      </c>
      <c r="BI227">
        <f t="shared" si="697"/>
        <v>2.6985095079316113E-2</v>
      </c>
      <c r="BJ227" s="460">
        <f t="shared" si="698"/>
        <v>449.63311135992359</v>
      </c>
      <c r="BK227">
        <f t="shared" si="648"/>
        <v>1.3169020667375819</v>
      </c>
      <c r="BL227" s="460">
        <f t="shared" si="699"/>
        <v>1766.2968862787768</v>
      </c>
      <c r="BM227" s="173">
        <f t="shared" si="649"/>
        <v>6.8337499999999995E-2</v>
      </c>
      <c r="BN227" s="173">
        <f t="shared" si="650"/>
        <v>1.2203124999999999E-2</v>
      </c>
      <c r="BQ227" s="460">
        <f t="shared" si="700"/>
        <v>80.540624999999991</v>
      </c>
      <c r="BR227" s="528">
        <f t="shared" si="701"/>
        <v>6.1321019593424636E-4</v>
      </c>
      <c r="BS227" s="528">
        <f t="shared" si="702"/>
        <v>9.3867898040657528E-3</v>
      </c>
      <c r="BT227" s="528">
        <f t="shared" si="703"/>
        <v>9.4358485022199304E-5</v>
      </c>
      <c r="BU227" s="528">
        <f t="shared" si="704"/>
        <v>8.2189985640387528E-2</v>
      </c>
      <c r="BV227" s="528"/>
      <c r="BW227" s="625">
        <f t="shared" si="705"/>
        <v>1.5321792074899725E-3</v>
      </c>
      <c r="BX227" s="460">
        <f t="shared" si="706"/>
        <v>93.816523332899706</v>
      </c>
      <c r="BY227" s="173">
        <f t="shared" si="707"/>
        <v>1.9406540346116767</v>
      </c>
      <c r="BZ227" s="5">
        <f t="shared" si="708"/>
        <v>1.98</v>
      </c>
      <c r="CA227" s="173">
        <f t="shared" si="709"/>
        <v>0.50501778083974957</v>
      </c>
      <c r="CB227" s="5">
        <f t="shared" si="710"/>
        <v>50.501778083974955</v>
      </c>
      <c r="CC227">
        <f t="shared" si="711"/>
        <v>11</v>
      </c>
      <c r="CE227" s="562">
        <f t="shared" si="651"/>
        <v>-50</v>
      </c>
      <c r="CG227" s="173">
        <f t="shared" si="652"/>
        <v>0.22476098415872803</v>
      </c>
      <c r="CH227" s="173">
        <f t="shared" si="653"/>
        <v>8.0892523136574232E-2</v>
      </c>
      <c r="CI227" s="170">
        <v>11</v>
      </c>
      <c r="CJ227" s="217">
        <f t="shared" si="712"/>
        <v>0.11</v>
      </c>
      <c r="CK227" s="217">
        <f t="shared" si="654"/>
        <v>2.75E-2</v>
      </c>
      <c r="CL227" s="217">
        <f t="shared" si="655"/>
        <v>1.76</v>
      </c>
      <c r="CM227" s="217">
        <f t="shared" si="656"/>
        <v>0.22</v>
      </c>
      <c r="CN227" s="541">
        <f t="shared" si="657"/>
        <v>60</v>
      </c>
      <c r="CO227" s="443">
        <f t="shared" si="658"/>
        <v>16.7</v>
      </c>
      <c r="CP227" s="443">
        <f t="shared" si="659"/>
        <v>76.7</v>
      </c>
      <c r="CQ227" s="443"/>
      <c r="CR227" s="217">
        <f t="shared" si="660"/>
        <v>0.21465968586387432</v>
      </c>
      <c r="CS227" s="172">
        <f t="shared" si="661"/>
        <v>28.621291448516576</v>
      </c>
      <c r="CT227" s="172">
        <f t="shared" si="662"/>
        <v>4.0248691099476437</v>
      </c>
      <c r="CU227" s="217">
        <f t="shared" si="663"/>
        <v>1.788830715532286</v>
      </c>
      <c r="CV227" s="217">
        <f t="shared" si="664"/>
        <v>3.577661431064572</v>
      </c>
      <c r="CW227" s="217">
        <f t="shared" si="665"/>
        <v>16</v>
      </c>
      <c r="CX227" s="217">
        <f t="shared" si="666"/>
        <v>0.30746341463414639</v>
      </c>
      <c r="CY227" s="217">
        <f t="shared" si="667"/>
        <v>6.149268292682928E-2</v>
      </c>
      <c r="CZ227" s="217">
        <f t="shared" si="668"/>
        <v>0.22093179494669204</v>
      </c>
      <c r="DA227" s="197">
        <f t="shared" si="669"/>
        <v>350</v>
      </c>
      <c r="DB227" s="443">
        <f t="shared" si="670"/>
        <v>350</v>
      </c>
      <c r="DD227" s="217">
        <f t="shared" si="671"/>
        <v>3.1104488731607378</v>
      </c>
      <c r="DE227" s="173">
        <f t="shared" si="672"/>
        <v>2.23505308251071</v>
      </c>
      <c r="DF227" s="173">
        <f t="shared" si="673"/>
        <v>1.0814250754144243</v>
      </c>
      <c r="DG227" s="173"/>
      <c r="DH227" s="173">
        <f t="shared" si="674"/>
        <v>0.71856287425149712</v>
      </c>
      <c r="DI227" s="545">
        <f t="shared" si="675"/>
        <v>306.16666666666663</v>
      </c>
      <c r="DJ227" s="528">
        <f t="shared" si="676"/>
        <v>0.125748502994012</v>
      </c>
      <c r="DL227" s="173">
        <f t="shared" si="677"/>
        <v>0.97100831245522445</v>
      </c>
      <c r="DM227" s="173">
        <f t="shared" si="678"/>
        <v>1</v>
      </c>
      <c r="DN227" s="173">
        <f t="shared" si="679"/>
        <v>1.174952380952381</v>
      </c>
      <c r="DP227" s="545">
        <f t="shared" si="680"/>
        <v>110</v>
      </c>
      <c r="DQ227" s="460">
        <f t="shared" si="681"/>
        <v>306.16666666666663</v>
      </c>
      <c r="DS227">
        <f t="shared" si="682"/>
        <v>110</v>
      </c>
      <c r="DT227">
        <f t="shared" si="683"/>
        <v>306.16666666666663</v>
      </c>
      <c r="DV227" s="5">
        <f t="shared" si="684"/>
        <v>3.2661948829613503</v>
      </c>
      <c r="DW227" s="5">
        <f t="shared" si="685"/>
        <v>0.2</v>
      </c>
      <c r="DX227" s="5">
        <f t="shared" si="686"/>
        <v>3.0661948829613501</v>
      </c>
      <c r="DY227" s="173">
        <f t="shared" si="687"/>
        <v>6.1233333333333334E-2</v>
      </c>
      <c r="EA227" s="5">
        <f t="shared" si="713"/>
        <v>0.13750000000000001</v>
      </c>
      <c r="EB227" s="5">
        <f t="shared" si="714"/>
        <v>6.8750000000000006E-2</v>
      </c>
      <c r="EC227" s="5">
        <f t="shared" si="715"/>
        <v>7.4951430472388544E-2</v>
      </c>
      <c r="ED227" s="5"/>
      <c r="EE227" s="173">
        <f t="shared" si="716"/>
        <v>0.14286745994491226</v>
      </c>
      <c r="EF227" s="173">
        <f t="shared" si="717"/>
        <v>0.55939451393647244</v>
      </c>
      <c r="EG227" s="173">
        <f t="shared" si="718"/>
        <v>0.13738071151086895</v>
      </c>
      <c r="EH227" s="173"/>
      <c r="EI227" s="528">
        <f t="shared" si="719"/>
        <v>4.082222222222222E-4</v>
      </c>
      <c r="EJ227" s="528">
        <f t="shared" si="720"/>
        <v>0.44617668333333327</v>
      </c>
      <c r="EK227" s="528">
        <f t="shared" si="721"/>
        <v>3.5209166666666666E-2</v>
      </c>
      <c r="EL227" s="528">
        <f t="shared" si="722"/>
        <v>0.88706382467083322</v>
      </c>
      <c r="EM227">
        <f t="shared" si="723"/>
        <v>2.7E-2</v>
      </c>
      <c r="EN227" s="460">
        <f t="shared" si="724"/>
        <v>62.209166666666661</v>
      </c>
      <c r="EP227" s="460">
        <f t="shared" si="725"/>
        <v>1395.8578968930553</v>
      </c>
      <c r="EQ227" s="173">
        <f t="shared" si="726"/>
        <v>7.6999999999999999E-2</v>
      </c>
      <c r="ER227" s="173">
        <f t="shared" si="688"/>
        <v>1.2203124999999999E-2</v>
      </c>
      <c r="ES227" s="528"/>
      <c r="EU227" s="460">
        <f t="shared" si="727"/>
        <v>89.203125</v>
      </c>
      <c r="EV227" s="528">
        <f t="shared" si="728"/>
        <v>6.1233333333333322E-4</v>
      </c>
      <c r="EW227" s="528">
        <f t="shared" si="729"/>
        <v>9.3876666666666674E-3</v>
      </c>
      <c r="EX227" s="528">
        <f t="shared" si="730"/>
        <v>9.4367299476162998E-5</v>
      </c>
      <c r="EY227" s="528">
        <f t="shared" si="731"/>
        <v>8.200961425729579E-2</v>
      </c>
      <c r="EZ227" s="528"/>
      <c r="FA227" s="625">
        <f t="shared" si="732"/>
        <v>1.5308333333333333E-3</v>
      </c>
      <c r="FB227" s="460">
        <f t="shared" si="733"/>
        <v>93.634814890105275</v>
      </c>
      <c r="FC227" s="173">
        <f t="shared" si="734"/>
        <v>1.5786958367831605</v>
      </c>
      <c r="FD227" s="5">
        <f t="shared" si="735"/>
        <v>1.98</v>
      </c>
      <c r="FE227" s="173">
        <f t="shared" si="736"/>
        <v>0.55638359972618423</v>
      </c>
      <c r="FF227" s="5">
        <f t="shared" si="737"/>
        <v>55.638359972618424</v>
      </c>
      <c r="FG227">
        <f t="shared" si="738"/>
        <v>11</v>
      </c>
      <c r="FI227" s="562">
        <f t="shared" si="689"/>
        <v>-50</v>
      </c>
    </row>
    <row r="228" spans="5:165">
      <c r="E228" s="170">
        <v>12</v>
      </c>
      <c r="F228" s="217">
        <f t="shared" si="690"/>
        <v>0.12</v>
      </c>
      <c r="G228" s="217">
        <f t="shared" si="617"/>
        <v>0.03</v>
      </c>
      <c r="H228" s="217">
        <f t="shared" si="618"/>
        <v>1.92</v>
      </c>
      <c r="I228" s="217">
        <f t="shared" si="619"/>
        <v>0.24</v>
      </c>
      <c r="J228" s="541">
        <f t="shared" si="620"/>
        <v>59.966877954035809</v>
      </c>
      <c r="K228" s="443">
        <f t="shared" si="621"/>
        <v>16.714682263526971</v>
      </c>
      <c r="L228" s="172">
        <f t="shared" si="622"/>
        <v>76.681560217562776</v>
      </c>
      <c r="M228" s="443"/>
      <c r="N228" s="217">
        <f t="shared" si="623"/>
        <v>0.21797525006147073</v>
      </c>
      <c r="O228" s="172">
        <f t="shared" si="624"/>
        <v>29.047322705414778</v>
      </c>
      <c r="P228" s="172">
        <f t="shared" si="625"/>
        <v>4.0847797554489533</v>
      </c>
      <c r="Q228" s="217">
        <f t="shared" si="626"/>
        <v>1.8154576690884237</v>
      </c>
      <c r="R228" s="217">
        <f t="shared" si="627"/>
        <v>3.6309153381768473</v>
      </c>
      <c r="S228" s="217">
        <f t="shared" si="628"/>
        <v>16</v>
      </c>
      <c r="T228" s="217">
        <f t="shared" si="629"/>
        <v>0.33049517497219949</v>
      </c>
      <c r="U228" s="217">
        <f t="shared" si="630"/>
        <v>6.6135544069949093E-2</v>
      </c>
      <c r="V228" s="217">
        <f t="shared" si="631"/>
        <v>0.23727295781867522</v>
      </c>
      <c r="W228" s="197">
        <f t="shared" si="632"/>
        <v>350</v>
      </c>
      <c r="X228" s="443">
        <f t="shared" si="691"/>
        <v>350</v>
      </c>
      <c r="Z228" s="217">
        <f t="shared" si="633"/>
        <v>3.1122131470087258</v>
      </c>
      <c r="AA228" s="173">
        <f t="shared" si="634"/>
        <v>2.234356428395798</v>
      </c>
      <c r="AB228" s="173">
        <f t="shared" si="635"/>
        <v>1.081701203575512</v>
      </c>
      <c r="AC228" s="173"/>
      <c r="AD228" s="173">
        <f t="shared" si="636"/>
        <v>0.71793168489867998</v>
      </c>
      <c r="AE228" s="545">
        <f t="shared" si="637"/>
        <v>334.29364527053946</v>
      </c>
      <c r="AF228" s="528">
        <f t="shared" si="638"/>
        <v>0.12563804485726898</v>
      </c>
      <c r="AH228" s="173">
        <f t="shared" si="639"/>
        <v>1.0141851056742199</v>
      </c>
      <c r="AI228" s="173">
        <f t="shared" si="640"/>
        <v>1.0141851056742199</v>
      </c>
      <c r="AJ228" s="173">
        <f t="shared" si="641"/>
        <v>1.191024940154594</v>
      </c>
      <c r="AL228" s="545">
        <f t="shared" si="642"/>
        <v>120</v>
      </c>
      <c r="AM228" s="460">
        <f t="shared" si="643"/>
        <v>334.29364527053946</v>
      </c>
      <c r="AO228">
        <f t="shared" si="644"/>
        <v>120</v>
      </c>
      <c r="AP228">
        <f t="shared" si="645"/>
        <v>334.29364527053946</v>
      </c>
      <c r="AR228" s="5">
        <f t="shared" si="616"/>
        <v>2.9913820204111663</v>
      </c>
      <c r="AS228" s="5">
        <f t="shared" si="604"/>
        <v>0.20294905593416132</v>
      </c>
      <c r="AT228" s="5">
        <f t="shared" si="605"/>
        <v>2.7884329644770052</v>
      </c>
      <c r="AU228" s="173">
        <f t="shared" si="606"/>
        <v>6.7844579712445396E-2</v>
      </c>
      <c r="BA228" s="173">
        <f t="shared" si="692"/>
        <v>0.15251556890544882</v>
      </c>
      <c r="BB228" s="173">
        <f t="shared" si="693"/>
        <v>0.56532835069416976</v>
      </c>
      <c r="BC228" s="173">
        <f t="shared" si="694"/>
        <v>0.13883799200871519</v>
      </c>
      <c r="BD228" s="173"/>
      <c r="BE228" s="528">
        <f t="shared" si="695"/>
        <v>4.652199751710541E-4</v>
      </c>
      <c r="BF228" s="528">
        <f t="shared" si="646"/>
        <v>0.47445951300238137</v>
      </c>
      <c r="BG228" s="528">
        <f t="shared" si="647"/>
        <v>0.46107056321520812</v>
      </c>
      <c r="BH228" s="528">
        <f t="shared" si="696"/>
        <v>0.96809112188262358</v>
      </c>
      <c r="BI228">
        <f t="shared" si="697"/>
        <v>2.6985095079316113E-2</v>
      </c>
      <c r="BJ228" s="460">
        <f t="shared" si="698"/>
        <v>488.05565829452422</v>
      </c>
      <c r="BK228">
        <f t="shared" si="648"/>
        <v>1.4433010013570218</v>
      </c>
      <c r="BL228" s="460">
        <f t="shared" si="699"/>
        <v>1931.0715131547001</v>
      </c>
      <c r="BM228" s="173">
        <f t="shared" si="649"/>
        <v>7.4549999999999991E-2</v>
      </c>
      <c r="BN228" s="173">
        <f t="shared" si="650"/>
        <v>1.33125E-2</v>
      </c>
      <c r="BQ228" s="460">
        <f t="shared" si="700"/>
        <v>87.862499999999997</v>
      </c>
      <c r="BR228" s="528">
        <f t="shared" si="701"/>
        <v>6.9782996275658113E-4</v>
      </c>
      <c r="BS228" s="528">
        <f t="shared" si="702"/>
        <v>9.5878843229577054E-3</v>
      </c>
      <c r="BT228" s="528">
        <f t="shared" si="703"/>
        <v>9.6379940125060313E-5</v>
      </c>
      <c r="BU228" s="528">
        <f t="shared" si="704"/>
        <v>0.10582380605981903</v>
      </c>
      <c r="BV228" s="528"/>
      <c r="BW228" s="625">
        <f t="shared" si="705"/>
        <v>1.7192244613913458E-3</v>
      </c>
      <c r="BX228" s="460">
        <f t="shared" si="706"/>
        <v>117.92512474704972</v>
      </c>
      <c r="BY228" s="173">
        <f t="shared" si="707"/>
        <v>2.1368591379017499</v>
      </c>
      <c r="BZ228" s="5">
        <f t="shared" si="708"/>
        <v>2.16</v>
      </c>
      <c r="CA228" s="173">
        <f t="shared" si="709"/>
        <v>0.50269276480279856</v>
      </c>
      <c r="CB228" s="5">
        <f t="shared" si="710"/>
        <v>50.269276480279856</v>
      </c>
      <c r="CC228">
        <f t="shared" si="711"/>
        <v>12</v>
      </c>
      <c r="CE228" s="562">
        <f t="shared" si="651"/>
        <v>-50</v>
      </c>
      <c r="CG228" s="173">
        <f t="shared" si="652"/>
        <v>0.24519380090043058</v>
      </c>
      <c r="CH228" s="173">
        <f t="shared" si="653"/>
        <v>8.8246388876262793E-2</v>
      </c>
      <c r="CI228" s="170">
        <v>12</v>
      </c>
      <c r="CJ228" s="217">
        <f t="shared" si="712"/>
        <v>0.12</v>
      </c>
      <c r="CK228" s="217">
        <f t="shared" si="654"/>
        <v>0.03</v>
      </c>
      <c r="CL228" s="217">
        <f t="shared" si="655"/>
        <v>1.92</v>
      </c>
      <c r="CM228" s="217">
        <f t="shared" si="656"/>
        <v>0.24</v>
      </c>
      <c r="CN228" s="541">
        <f t="shared" si="657"/>
        <v>60</v>
      </c>
      <c r="CO228" s="443">
        <f t="shared" si="658"/>
        <v>16.7</v>
      </c>
      <c r="CP228" s="443">
        <f t="shared" si="659"/>
        <v>76.7</v>
      </c>
      <c r="CQ228" s="443"/>
      <c r="CR228" s="217">
        <f t="shared" si="660"/>
        <v>0.21465968586387432</v>
      </c>
      <c r="CS228" s="172">
        <f t="shared" si="661"/>
        <v>28.621291448516576</v>
      </c>
      <c r="CT228" s="172">
        <f t="shared" si="662"/>
        <v>4.0248691099476437</v>
      </c>
      <c r="CU228" s="217">
        <f t="shared" si="663"/>
        <v>1.788830715532286</v>
      </c>
      <c r="CV228" s="217">
        <f t="shared" si="664"/>
        <v>3.577661431064572</v>
      </c>
      <c r="CW228" s="217">
        <f t="shared" si="665"/>
        <v>16</v>
      </c>
      <c r="CX228" s="217">
        <f t="shared" si="666"/>
        <v>0.33541463414634154</v>
      </c>
      <c r="CY228" s="217">
        <f t="shared" si="667"/>
        <v>6.7082926829268308E-2</v>
      </c>
      <c r="CZ228" s="217">
        <f t="shared" si="668"/>
        <v>0.2410165035782095</v>
      </c>
      <c r="DA228" s="197">
        <f t="shared" si="669"/>
        <v>350</v>
      </c>
      <c r="DB228" s="443">
        <f t="shared" si="670"/>
        <v>350</v>
      </c>
      <c r="DD228" s="217">
        <f t="shared" si="671"/>
        <v>3.1104488731607378</v>
      </c>
      <c r="DE228" s="173">
        <f t="shared" si="672"/>
        <v>2.23505308251071</v>
      </c>
      <c r="DF228" s="173">
        <f t="shared" si="673"/>
        <v>1.0814250754144243</v>
      </c>
      <c r="DG228" s="173"/>
      <c r="DH228" s="173">
        <f t="shared" si="674"/>
        <v>0.71856287425149712</v>
      </c>
      <c r="DI228" s="545">
        <f t="shared" si="675"/>
        <v>333.99999999999994</v>
      </c>
      <c r="DJ228" s="528">
        <f t="shared" si="676"/>
        <v>0.125748502994012</v>
      </c>
      <c r="DL228" s="173">
        <f t="shared" si="677"/>
        <v>1.0141851056742199</v>
      </c>
      <c r="DM228" s="173">
        <f t="shared" si="678"/>
        <v>1.0141851056742199</v>
      </c>
      <c r="DN228" s="173">
        <f t="shared" si="679"/>
        <v>1.1908571428571428</v>
      </c>
      <c r="DP228" s="545">
        <f t="shared" si="680"/>
        <v>120</v>
      </c>
      <c r="DQ228" s="460">
        <f t="shared" si="681"/>
        <v>333.99999999999994</v>
      </c>
      <c r="DS228">
        <f t="shared" si="682"/>
        <v>120</v>
      </c>
      <c r="DT228">
        <f t="shared" si="683"/>
        <v>333.99999999999994</v>
      </c>
      <c r="DV228" s="5">
        <f t="shared" si="684"/>
        <v>2.9940119760479047</v>
      </c>
      <c r="DW228" s="5">
        <f t="shared" si="685"/>
        <v>0.202837021134844</v>
      </c>
      <c r="DX228" s="5">
        <f t="shared" si="686"/>
        <v>2.7911749549130609</v>
      </c>
      <c r="DY228" s="173">
        <f t="shared" si="687"/>
        <v>6.7747565059037881E-2</v>
      </c>
      <c r="EA228" s="5">
        <f t="shared" si="713"/>
        <v>0.152127765851133</v>
      </c>
      <c r="EB228" s="5">
        <f t="shared" si="714"/>
        <v>7.6063882925566498E-2</v>
      </c>
      <c r="EC228" s="5">
        <f t="shared" si="715"/>
        <v>7.4431332131014952E-2</v>
      </c>
      <c r="ED228" s="5"/>
      <c r="EE228" s="173">
        <f t="shared" si="716"/>
        <v>0.15240648474284199</v>
      </c>
      <c r="EF228" s="173">
        <f t="shared" si="717"/>
        <v>0.56535776837810647</v>
      </c>
      <c r="EG228" s="173">
        <f t="shared" si="718"/>
        <v>0.13884521664579969</v>
      </c>
      <c r="EH228" s="173"/>
      <c r="EI228" s="528">
        <f t="shared" si="719"/>
        <v>4.6455473183340258E-4</v>
      </c>
      <c r="EJ228" s="528">
        <f t="shared" si="720"/>
        <v>0.49364263280267956</v>
      </c>
      <c r="EK228" s="528">
        <f t="shared" si="721"/>
        <v>3.841E-2</v>
      </c>
      <c r="EL228" s="528">
        <f t="shared" si="722"/>
        <v>0.96770599054999984</v>
      </c>
      <c r="EM228">
        <f t="shared" si="723"/>
        <v>2.7E-2</v>
      </c>
      <c r="EN228" s="460">
        <f t="shared" si="724"/>
        <v>65.41</v>
      </c>
      <c r="EP228" s="460">
        <f t="shared" si="725"/>
        <v>1527.2231780845127</v>
      </c>
      <c r="EQ228" s="173">
        <f t="shared" si="726"/>
        <v>8.3999999999999991E-2</v>
      </c>
      <c r="ER228" s="173">
        <f t="shared" si="688"/>
        <v>1.33125E-2</v>
      </c>
      <c r="ES228" s="528"/>
      <c r="EU228" s="460">
        <f t="shared" si="727"/>
        <v>97.3125</v>
      </c>
      <c r="EV228" s="528">
        <f t="shared" si="728"/>
        <v>6.9683209775010379E-4</v>
      </c>
      <c r="EW228" s="528">
        <f t="shared" si="729"/>
        <v>9.5888821879641806E-3</v>
      </c>
      <c r="EX228" s="528">
        <f t="shared" si="730"/>
        <v>9.6389970927095262E-5</v>
      </c>
      <c r="EY228" s="528">
        <f t="shared" si="731"/>
        <v>0.10559156868790157</v>
      </c>
      <c r="EZ228" s="528"/>
      <c r="FA228" s="625">
        <f t="shared" si="732"/>
        <v>1.7177142857142857E-3</v>
      </c>
      <c r="FB228" s="460">
        <f t="shared" si="733"/>
        <v>117.69138723025722</v>
      </c>
      <c r="FC228" s="173">
        <f t="shared" si="734"/>
        <v>1.7422270653147702</v>
      </c>
      <c r="FD228" s="5">
        <f t="shared" si="735"/>
        <v>2.16</v>
      </c>
      <c r="FE228" s="173">
        <f t="shared" si="736"/>
        <v>0.55353006471594579</v>
      </c>
      <c r="FF228" s="5">
        <f t="shared" si="737"/>
        <v>55.353006471594583</v>
      </c>
      <c r="FG228">
        <f t="shared" si="738"/>
        <v>12</v>
      </c>
      <c r="FI228" s="562">
        <f t="shared" si="689"/>
        <v>-50</v>
      </c>
    </row>
    <row r="229" spans="5:165">
      <c r="E229" s="170">
        <v>13</v>
      </c>
      <c r="F229" s="217">
        <f t="shared" si="690"/>
        <v>0.13</v>
      </c>
      <c r="G229" s="217">
        <f t="shared" si="617"/>
        <v>3.2500000000000001E-2</v>
      </c>
      <c r="H229" s="217">
        <f t="shared" si="618"/>
        <v>2.08</v>
      </c>
      <c r="I229" s="217">
        <f t="shared" si="619"/>
        <v>0.26</v>
      </c>
      <c r="J229" s="541">
        <f t="shared" si="620"/>
        <v>59.966322688041728</v>
      </c>
      <c r="K229" s="443">
        <f t="shared" si="621"/>
        <v>16.714928400545844</v>
      </c>
      <c r="L229" s="172">
        <f t="shared" si="622"/>
        <v>76.681251088587572</v>
      </c>
      <c r="M229" s="443"/>
      <c r="N229" s="217">
        <f t="shared" si="623"/>
        <v>0.21797933866826955</v>
      </c>
      <c r="O229" s="172">
        <f t="shared" si="624"/>
        <v>29.047598582016406</v>
      </c>
      <c r="P229" s="172">
        <f t="shared" si="625"/>
        <v>4.084818550596057</v>
      </c>
      <c r="Q229" s="217">
        <f t="shared" si="626"/>
        <v>1.8154749113760253</v>
      </c>
      <c r="R229" s="217">
        <f t="shared" si="627"/>
        <v>3.6309498227520507</v>
      </c>
      <c r="S229" s="217">
        <f t="shared" si="628"/>
        <v>16</v>
      </c>
      <c r="T229" s="217">
        <f t="shared" si="629"/>
        <v>0.35803303913868872</v>
      </c>
      <c r="U229" s="217">
        <f t="shared" si="630"/>
        <v>7.16468223675326E-2</v>
      </c>
      <c r="V229" s="217">
        <f t="shared" si="631"/>
        <v>0.2570394779270464</v>
      </c>
      <c r="W229" s="197">
        <f t="shared" si="632"/>
        <v>350</v>
      </c>
      <c r="X229" s="443">
        <f t="shared" si="691"/>
        <v>350</v>
      </c>
      <c r="Z229" s="217">
        <f t="shared" si="633"/>
        <v>3.112242705216044</v>
      </c>
      <c r="AA229" s="173">
        <f t="shared" si="634"/>
        <v>2.2343447466620869</v>
      </c>
      <c r="AB229" s="173">
        <f t="shared" si="635"/>
        <v>1.0817058215812907</v>
      </c>
      <c r="AC229" s="173"/>
      <c r="AD229" s="173">
        <f t="shared" si="636"/>
        <v>0.71792111293806837</v>
      </c>
      <c r="AE229" s="545">
        <f t="shared" si="637"/>
        <v>362.15678201182664</v>
      </c>
      <c r="AF229" s="528">
        <f t="shared" si="638"/>
        <v>0.12563619476416199</v>
      </c>
      <c r="AH229" s="173">
        <f t="shared" si="639"/>
        <v>1.0555973258234952</v>
      </c>
      <c r="AI229" s="173">
        <f t="shared" si="640"/>
        <v>1.0555973258234952</v>
      </c>
      <c r="AJ229" s="173">
        <f t="shared" si="641"/>
        <v>1.2411832043137001</v>
      </c>
      <c r="AL229" s="545">
        <f t="shared" si="642"/>
        <v>130</v>
      </c>
      <c r="AM229" s="460">
        <f t="shared" si="643"/>
        <v>350</v>
      </c>
      <c r="AO229">
        <f t="shared" si="644"/>
        <v>130</v>
      </c>
      <c r="AP229">
        <f t="shared" si="645"/>
        <v>350</v>
      </c>
      <c r="AR229" s="5">
        <f t="shared" si="616"/>
        <v>2.8571428571428572</v>
      </c>
      <c r="AS229" s="5">
        <f t="shared" si="604"/>
        <v>0.2112380306489593</v>
      </c>
      <c r="AT229" s="5">
        <f t="shared" si="605"/>
        <v>2.645904826493898</v>
      </c>
      <c r="AU229" s="173">
        <f t="shared" si="606"/>
        <v>7.3933310727135756E-2</v>
      </c>
      <c r="BA229" s="173">
        <f t="shared" si="692"/>
        <v>0.16571343935953023</v>
      </c>
      <c r="BB229" s="173">
        <f t="shared" si="693"/>
        <v>0.58648753392054864</v>
      </c>
      <c r="BC229" s="173">
        <f t="shared" si="694"/>
        <v>0.14403443847754649</v>
      </c>
      <c r="BD229" s="173"/>
      <c r="BE229" s="528">
        <f t="shared" si="695"/>
        <v>5.4921887968729401E-4</v>
      </c>
      <c r="BF229" s="528">
        <f t="shared" si="646"/>
        <v>0.51703314443056947</v>
      </c>
      <c r="BG229" s="528">
        <f t="shared" si="647"/>
        <v>0.48272889763873589</v>
      </c>
      <c r="BH229" s="528">
        <f t="shared" si="696"/>
        <v>1.0135674595345858</v>
      </c>
      <c r="BI229">
        <f t="shared" si="697"/>
        <v>2.6984845209618778E-2</v>
      </c>
      <c r="BJ229" s="460">
        <f t="shared" si="698"/>
        <v>509.71374284835468</v>
      </c>
      <c r="BK229">
        <f t="shared" si="648"/>
        <v>1.531497963859157</v>
      </c>
      <c r="BL229" s="460">
        <f t="shared" si="699"/>
        <v>2040.8635656931974</v>
      </c>
      <c r="BM229" s="173">
        <f t="shared" si="649"/>
        <v>8.0762499999999987E-2</v>
      </c>
      <c r="BN229" s="173">
        <f t="shared" si="650"/>
        <v>1.4421874999999999E-2</v>
      </c>
      <c r="BQ229" s="460">
        <f t="shared" si="700"/>
        <v>95.184374999999989</v>
      </c>
      <c r="BR229" s="528">
        <f t="shared" si="701"/>
        <v>8.2382831953094107E-4</v>
      </c>
      <c r="BS229" s="528">
        <f t="shared" si="702"/>
        <v>1.03190288233262E-2</v>
      </c>
      <c r="BT229" s="528">
        <f t="shared" si="703"/>
        <v>1.0372959733771062E-4</v>
      </c>
      <c r="BU229" s="528">
        <f t="shared" si="704"/>
        <v>0.13118549506258462</v>
      </c>
      <c r="BV229" s="528"/>
      <c r="BW229" s="625">
        <f t="shared" si="705"/>
        <v>1.9500000000000003E-3</v>
      </c>
      <c r="BX229" s="460">
        <f t="shared" si="706"/>
        <v>144.38208180277948</v>
      </c>
      <c r="BY229" s="173">
        <f t="shared" si="707"/>
        <v>2.280430022495977</v>
      </c>
      <c r="BZ229" s="5">
        <f t="shared" si="708"/>
        <v>2.34</v>
      </c>
      <c r="CA229" s="173">
        <f t="shared" si="709"/>
        <v>0.50644636724438929</v>
      </c>
      <c r="CB229" s="5">
        <f t="shared" si="710"/>
        <v>50.644636724438932</v>
      </c>
      <c r="CC229">
        <f t="shared" si="711"/>
        <v>13</v>
      </c>
      <c r="CE229" s="562">
        <f t="shared" si="651"/>
        <v>-50</v>
      </c>
      <c r="CG229" s="173">
        <f t="shared" si="652"/>
        <v>0.26124700955226265</v>
      </c>
      <c r="CH229" s="173">
        <f t="shared" si="653"/>
        <v>9.4024013303140669E-2</v>
      </c>
      <c r="CI229" s="170">
        <v>13</v>
      </c>
      <c r="CJ229" s="217">
        <f t="shared" si="712"/>
        <v>0.13</v>
      </c>
      <c r="CK229" s="217">
        <f t="shared" si="654"/>
        <v>3.2500000000000001E-2</v>
      </c>
      <c r="CL229" s="217">
        <f t="shared" si="655"/>
        <v>2.08</v>
      </c>
      <c r="CM229" s="217">
        <f t="shared" si="656"/>
        <v>0.26</v>
      </c>
      <c r="CN229" s="541">
        <f t="shared" si="657"/>
        <v>60</v>
      </c>
      <c r="CO229" s="443">
        <f t="shared" si="658"/>
        <v>16.7</v>
      </c>
      <c r="CP229" s="443">
        <f t="shared" si="659"/>
        <v>76.7</v>
      </c>
      <c r="CQ229" s="443"/>
      <c r="CR229" s="217">
        <f t="shared" si="660"/>
        <v>0.21465968586387432</v>
      </c>
      <c r="CS229" s="172">
        <f t="shared" si="661"/>
        <v>28.621291448516576</v>
      </c>
      <c r="CT229" s="172">
        <f t="shared" si="662"/>
        <v>4.0248691099476437</v>
      </c>
      <c r="CU229" s="217">
        <f t="shared" si="663"/>
        <v>1.788830715532286</v>
      </c>
      <c r="CV229" s="217">
        <f t="shared" si="664"/>
        <v>3.577661431064572</v>
      </c>
      <c r="CW229" s="217">
        <f t="shared" si="665"/>
        <v>16</v>
      </c>
      <c r="CX229" s="217">
        <f t="shared" si="666"/>
        <v>0.36336585365853658</v>
      </c>
      <c r="CY229" s="217">
        <f t="shared" si="667"/>
        <v>7.2673170731707315E-2</v>
      </c>
      <c r="CZ229" s="217">
        <f t="shared" si="668"/>
        <v>0.26110121220972693</v>
      </c>
      <c r="DA229" s="197">
        <f t="shared" si="669"/>
        <v>350</v>
      </c>
      <c r="DB229" s="443">
        <f t="shared" si="670"/>
        <v>350</v>
      </c>
      <c r="DD229" s="217">
        <f t="shared" si="671"/>
        <v>3.1104488731607378</v>
      </c>
      <c r="DE229" s="173">
        <f t="shared" si="672"/>
        <v>2.23505308251071</v>
      </c>
      <c r="DF229" s="173">
        <f t="shared" si="673"/>
        <v>1.0814250754144243</v>
      </c>
      <c r="DG229" s="173"/>
      <c r="DH229" s="173">
        <f t="shared" si="674"/>
        <v>0.71856287425149712</v>
      </c>
      <c r="DI229" s="545">
        <f t="shared" si="675"/>
        <v>361.83333333333331</v>
      </c>
      <c r="DJ229" s="528">
        <f t="shared" si="676"/>
        <v>0.125748502994012</v>
      </c>
      <c r="DL229" s="173">
        <f t="shared" si="677"/>
        <v>1.0555973258234952</v>
      </c>
      <c r="DM229" s="173">
        <f t="shared" si="678"/>
        <v>1.0555973258234952</v>
      </c>
      <c r="DN229" s="173">
        <f t="shared" si="679"/>
        <v>1.2411832043137001</v>
      </c>
      <c r="DP229" s="545">
        <f t="shared" si="680"/>
        <v>130</v>
      </c>
      <c r="DQ229" s="460">
        <f t="shared" si="681"/>
        <v>350</v>
      </c>
      <c r="DS229">
        <f t="shared" si="682"/>
        <v>130</v>
      </c>
      <c r="DT229">
        <f t="shared" si="683"/>
        <v>350</v>
      </c>
      <c r="DV229" s="5">
        <f t="shared" si="684"/>
        <v>2.8571428571428572</v>
      </c>
      <c r="DW229" s="5">
        <f t="shared" si="685"/>
        <v>0.21111946516469904</v>
      </c>
      <c r="DX229" s="5">
        <f t="shared" si="686"/>
        <v>2.6460233919781579</v>
      </c>
      <c r="DY229" s="173">
        <f t="shared" si="687"/>
        <v>7.3891812807644661E-2</v>
      </c>
      <c r="EA229" s="5">
        <f t="shared" si="713"/>
        <v>0.17153456544631795</v>
      </c>
      <c r="EB229" s="5">
        <f t="shared" si="714"/>
        <v>8.5767282723158977E-2</v>
      </c>
      <c r="EC229" s="5">
        <f t="shared" si="715"/>
        <v>7.6440675768257887E-2</v>
      </c>
      <c r="ED229" s="5"/>
      <c r="EE229" s="173">
        <f t="shared" si="716"/>
        <v>0.16566692630519489</v>
      </c>
      <c r="EF229" s="173">
        <f t="shared" si="717"/>
        <v>0.58650067430239194</v>
      </c>
      <c r="EG229" s="173">
        <f t="shared" si="718"/>
        <v>0.1440376656007345</v>
      </c>
      <c r="EH229" s="173"/>
      <c r="EI229" s="528">
        <f t="shared" si="719"/>
        <v>5.4891060942821753E-4</v>
      </c>
      <c r="EJ229" s="528">
        <f t="shared" si="720"/>
        <v>0.53841269402290293</v>
      </c>
      <c r="EK229" s="528">
        <f t="shared" si="721"/>
        <v>4.0250000000000001E-2</v>
      </c>
      <c r="EL229" s="528">
        <f t="shared" si="722"/>
        <v>1.0140631637499999</v>
      </c>
      <c r="EM229">
        <f t="shared" si="723"/>
        <v>2.7E-2</v>
      </c>
      <c r="EN229" s="460">
        <f t="shared" si="724"/>
        <v>67.25</v>
      </c>
      <c r="EP229" s="460">
        <f t="shared" si="725"/>
        <v>1620.2747683823311</v>
      </c>
      <c r="EQ229" s="173">
        <f t="shared" si="726"/>
        <v>9.0999999999999998E-2</v>
      </c>
      <c r="ER229" s="173">
        <f t="shared" si="688"/>
        <v>1.4421874999999999E-2</v>
      </c>
      <c r="ES229" s="528"/>
      <c r="EU229" s="460">
        <f t="shared" si="727"/>
        <v>105.421875</v>
      </c>
      <c r="EV229" s="528">
        <f t="shared" si="728"/>
        <v>8.2336591414232624E-4</v>
      </c>
      <c r="EW229" s="528">
        <f t="shared" si="729"/>
        <v>1.0319491228714813E-2</v>
      </c>
      <c r="EX229" s="528">
        <f t="shared" si="730"/>
        <v>1.0373424555854508E-4</v>
      </c>
      <c r="EY229" s="528">
        <f t="shared" si="731"/>
        <v>0.13118549506258462</v>
      </c>
      <c r="EZ229" s="528"/>
      <c r="FA229" s="625">
        <f t="shared" si="732"/>
        <v>1.9500000000000003E-3</v>
      </c>
      <c r="FB229" s="460">
        <f t="shared" si="733"/>
        <v>144.3820864510003</v>
      </c>
      <c r="FC229" s="173">
        <f t="shared" si="734"/>
        <v>1.8700787298333312</v>
      </c>
      <c r="FD229" s="5">
        <f t="shared" si="735"/>
        <v>2.34</v>
      </c>
      <c r="FE229" s="173">
        <f t="shared" si="736"/>
        <v>0.55580908343075952</v>
      </c>
      <c r="FF229" s="5">
        <f t="shared" si="737"/>
        <v>55.580908343075954</v>
      </c>
      <c r="FG229">
        <f t="shared" si="738"/>
        <v>13</v>
      </c>
      <c r="FI229" s="562">
        <f t="shared" si="689"/>
        <v>-50</v>
      </c>
    </row>
    <row r="230" spans="5:165">
      <c r="E230" s="170">
        <v>14</v>
      </c>
      <c r="F230" s="217">
        <f t="shared" si="690"/>
        <v>0.14000000000000001</v>
      </c>
      <c r="G230" s="217">
        <f t="shared" si="617"/>
        <v>3.5000000000000003E-2</v>
      </c>
      <c r="H230" s="217">
        <f t="shared" si="618"/>
        <v>2.2400000000000002</v>
      </c>
      <c r="I230" s="217">
        <f t="shared" si="619"/>
        <v>0.28000000000000003</v>
      </c>
      <c r="J230" s="541">
        <f t="shared" si="620"/>
        <v>59.965051401733533</v>
      </c>
      <c r="K230" s="443">
        <f t="shared" si="621"/>
        <v>16.715491933384829</v>
      </c>
      <c r="L230" s="172">
        <f t="shared" si="622"/>
        <v>76.680543335118358</v>
      </c>
      <c r="M230" s="443"/>
      <c r="N230" s="217">
        <f t="shared" si="623"/>
        <v>0.21798869969312573</v>
      </c>
      <c r="O230" s="172">
        <f t="shared" si="624"/>
        <v>29.048230182434086</v>
      </c>
      <c r="P230" s="172">
        <f t="shared" si="625"/>
        <v>4.0849073694047933</v>
      </c>
      <c r="Q230" s="217">
        <f t="shared" si="626"/>
        <v>1.8155143864021304</v>
      </c>
      <c r="R230" s="217">
        <f t="shared" si="627"/>
        <v>3.6310287728042607</v>
      </c>
      <c r="S230" s="217">
        <f t="shared" si="628"/>
        <v>16</v>
      </c>
      <c r="T230" s="217">
        <f t="shared" si="629"/>
        <v>0.38556565854992486</v>
      </c>
      <c r="U230" s="217">
        <f t="shared" si="630"/>
        <v>7.7158074485788611E-2</v>
      </c>
      <c r="V230" s="217">
        <f t="shared" si="631"/>
        <v>0.27679639468810951</v>
      </c>
      <c r="W230" s="197">
        <f t="shared" si="632"/>
        <v>350</v>
      </c>
      <c r="X230" s="443">
        <f t="shared" si="691"/>
        <v>350</v>
      </c>
      <c r="Z230" s="217">
        <f t="shared" si="633"/>
        <v>3.1123103766893663</v>
      </c>
      <c r="AA230" s="173">
        <f t="shared" si="634"/>
        <v>2.2343180008767836</v>
      </c>
      <c r="AB230" s="173">
        <f t="shared" si="635"/>
        <v>1.0817163931704128</v>
      </c>
      <c r="AC230" s="173"/>
      <c r="AD230" s="173">
        <f t="shared" si="636"/>
        <v>0.71789690951500706</v>
      </c>
      <c r="AE230" s="545">
        <f t="shared" si="637"/>
        <v>390.02814511231276</v>
      </c>
      <c r="AF230" s="528">
        <f t="shared" si="638"/>
        <v>0.12563195916512626</v>
      </c>
      <c r="AH230" s="173">
        <f t="shared" si="639"/>
        <v>1.0954451150103324</v>
      </c>
      <c r="AI230" s="173">
        <f t="shared" si="640"/>
        <v>1.0954451150103324</v>
      </c>
      <c r="AJ230" s="173">
        <f t="shared" si="641"/>
        <v>1.2707000851928387</v>
      </c>
      <c r="AL230" s="545">
        <f t="shared" si="642"/>
        <v>140</v>
      </c>
      <c r="AM230" s="460">
        <f t="shared" si="643"/>
        <v>350</v>
      </c>
      <c r="AO230">
        <f t="shared" si="644"/>
        <v>140</v>
      </c>
      <c r="AP230">
        <f t="shared" si="645"/>
        <v>350</v>
      </c>
      <c r="AR230" s="5">
        <f t="shared" si="616"/>
        <v>2.8571428571428572</v>
      </c>
      <c r="AS230" s="5">
        <f t="shared" si="604"/>
        <v>0.21921671161519207</v>
      </c>
      <c r="AT230" s="5">
        <f t="shared" si="605"/>
        <v>2.6379261455276652</v>
      </c>
      <c r="AU230" s="173">
        <f t="shared" si="606"/>
        <v>7.6725849065317223E-2</v>
      </c>
      <c r="BA230" s="173">
        <f t="shared" si="692"/>
        <v>0.17518658517742416</v>
      </c>
      <c r="BB230" s="173">
        <f t="shared" si="693"/>
        <v>0.60770853241819245</v>
      </c>
      <c r="BC230" s="173">
        <f t="shared" si="694"/>
        <v>0.14924606604976196</v>
      </c>
      <c r="BD230" s="173"/>
      <c r="BE230" s="528">
        <f t="shared" si="695"/>
        <v>6.1380679252253777E-4</v>
      </c>
      <c r="BF230" s="528">
        <f t="shared" si="646"/>
        <v>0.53654569873921854</v>
      </c>
      <c r="BG230" s="528">
        <f t="shared" si="647"/>
        <v>0.48271866378395489</v>
      </c>
      <c r="BH230" s="528">
        <f t="shared" si="696"/>
        <v>1.0135487495483753</v>
      </c>
      <c r="BI230">
        <f t="shared" si="697"/>
        <v>2.6984273130780088E-2</v>
      </c>
      <c r="BJ230" s="460">
        <f t="shared" si="698"/>
        <v>509.70293691473501</v>
      </c>
      <c r="BK230">
        <f t="shared" si="648"/>
        <v>1.551100196132795</v>
      </c>
      <c r="BL230" s="460">
        <f t="shared" si="699"/>
        <v>2060.4111919948514</v>
      </c>
      <c r="BM230" s="173">
        <f t="shared" si="649"/>
        <v>8.6974999999999997E-2</v>
      </c>
      <c r="BN230" s="173">
        <f t="shared" si="650"/>
        <v>1.553125E-2</v>
      </c>
      <c r="BQ230" s="460">
        <f t="shared" si="700"/>
        <v>102.50624999999999</v>
      </c>
      <c r="BR230" s="528">
        <f t="shared" si="701"/>
        <v>9.2071018878380666E-4</v>
      </c>
      <c r="BS230" s="528">
        <f t="shared" si="702"/>
        <v>1.1079289811216197E-2</v>
      </c>
      <c r="BT230" s="528">
        <f t="shared" si="703"/>
        <v>1.1137194115664955E-4</v>
      </c>
      <c r="BU230" s="528">
        <f t="shared" si="704"/>
        <v>0.1439185161957138</v>
      </c>
      <c r="BV230" s="528"/>
      <c r="BW230" s="625">
        <f t="shared" si="705"/>
        <v>2.1000000000000007E-3</v>
      </c>
      <c r="BX230" s="460">
        <f t="shared" si="706"/>
        <v>158.12988813687045</v>
      </c>
      <c r="BY230" s="173">
        <f t="shared" si="707"/>
        <v>2.3210473301317216</v>
      </c>
      <c r="BZ230" s="5">
        <f t="shared" si="708"/>
        <v>2.5200000000000005</v>
      </c>
      <c r="CA230" s="173">
        <f t="shared" si="709"/>
        <v>0.52054851525928636</v>
      </c>
      <c r="CB230" s="5">
        <f t="shared" si="710"/>
        <v>52.054851525928633</v>
      </c>
      <c r="CC230">
        <f t="shared" si="711"/>
        <v>14.000000000000002</v>
      </c>
      <c r="CE230" s="562">
        <f t="shared" si="651"/>
        <v>-50</v>
      </c>
      <c r="CG230" s="173">
        <f t="shared" si="652"/>
        <v>0.2711088342345192</v>
      </c>
      <c r="CH230" s="173">
        <f t="shared" si="653"/>
        <v>9.757332985496224E-2</v>
      </c>
      <c r="CI230" s="170">
        <v>14</v>
      </c>
      <c r="CJ230" s="217">
        <f t="shared" si="712"/>
        <v>0.14000000000000001</v>
      </c>
      <c r="CK230" s="217">
        <f t="shared" si="654"/>
        <v>3.5000000000000003E-2</v>
      </c>
      <c r="CL230" s="217">
        <f t="shared" si="655"/>
        <v>2.2400000000000002</v>
      </c>
      <c r="CM230" s="217">
        <f t="shared" si="656"/>
        <v>0.28000000000000003</v>
      </c>
      <c r="CN230" s="541">
        <f t="shared" si="657"/>
        <v>60</v>
      </c>
      <c r="CO230" s="443">
        <f t="shared" si="658"/>
        <v>16.7</v>
      </c>
      <c r="CP230" s="443">
        <f t="shared" si="659"/>
        <v>76.7</v>
      </c>
      <c r="CQ230" s="443"/>
      <c r="CR230" s="217">
        <f t="shared" si="660"/>
        <v>0.21465968586387432</v>
      </c>
      <c r="CS230" s="172">
        <f t="shared" si="661"/>
        <v>28.621291448516576</v>
      </c>
      <c r="CT230" s="172">
        <f t="shared" si="662"/>
        <v>4.0248691099476437</v>
      </c>
      <c r="CU230" s="217">
        <f t="shared" si="663"/>
        <v>1.788830715532286</v>
      </c>
      <c r="CV230" s="217">
        <f t="shared" si="664"/>
        <v>3.577661431064572</v>
      </c>
      <c r="CW230" s="217">
        <f t="shared" si="665"/>
        <v>16</v>
      </c>
      <c r="CX230" s="217">
        <f t="shared" si="666"/>
        <v>0.39131707317073183</v>
      </c>
      <c r="CY230" s="217">
        <f t="shared" si="667"/>
        <v>7.8263414634146378E-2</v>
      </c>
      <c r="CZ230" s="217">
        <f t="shared" si="668"/>
        <v>0.28118592084124444</v>
      </c>
      <c r="DA230" s="197">
        <f t="shared" si="669"/>
        <v>350</v>
      </c>
      <c r="DB230" s="443">
        <f t="shared" si="670"/>
        <v>350</v>
      </c>
      <c r="DD230" s="217">
        <f t="shared" si="671"/>
        <v>3.1104488731607378</v>
      </c>
      <c r="DE230" s="173">
        <f t="shared" si="672"/>
        <v>2.23505308251071</v>
      </c>
      <c r="DF230" s="173">
        <f t="shared" si="673"/>
        <v>1.0814250754144243</v>
      </c>
      <c r="DG230" s="173"/>
      <c r="DH230" s="173">
        <f t="shared" si="674"/>
        <v>0.71856287425149712</v>
      </c>
      <c r="DI230" s="545">
        <f t="shared" si="675"/>
        <v>389.66666666666663</v>
      </c>
      <c r="DJ230" s="528">
        <f t="shared" si="676"/>
        <v>0.125748502994012</v>
      </c>
      <c r="DL230" s="173">
        <f t="shared" si="677"/>
        <v>1.0954451150103324</v>
      </c>
      <c r="DM230" s="173">
        <f t="shared" si="678"/>
        <v>1.0954451150103324</v>
      </c>
      <c r="DN230" s="173">
        <f t="shared" si="679"/>
        <v>1.2707000851928387</v>
      </c>
      <c r="DP230" s="545">
        <f t="shared" si="680"/>
        <v>140</v>
      </c>
      <c r="DQ230" s="460">
        <f t="shared" si="681"/>
        <v>350</v>
      </c>
      <c r="DS230">
        <f t="shared" si="682"/>
        <v>140</v>
      </c>
      <c r="DT230">
        <f t="shared" si="683"/>
        <v>350</v>
      </c>
      <c r="DV230" s="5">
        <f t="shared" si="684"/>
        <v>2.8571428571428572</v>
      </c>
      <c r="DW230" s="5">
        <f t="shared" si="685"/>
        <v>0.21908902300206648</v>
      </c>
      <c r="DX230" s="5">
        <f t="shared" si="686"/>
        <v>2.6380538341407909</v>
      </c>
      <c r="DY230" s="173">
        <f t="shared" si="687"/>
        <v>7.6681158050723272E-2</v>
      </c>
      <c r="EA230" s="5">
        <f t="shared" si="713"/>
        <v>0.19170289512680821</v>
      </c>
      <c r="EB230" s="5">
        <f t="shared" si="714"/>
        <v>9.5851447563404107E-2</v>
      </c>
      <c r="EC230" s="5">
        <f t="shared" si="715"/>
        <v>8.207278595104682E-2</v>
      </c>
      <c r="ED230" s="5"/>
      <c r="EE230" s="173">
        <f t="shared" si="716"/>
        <v>0.17513555669905903</v>
      </c>
      <c r="EF230" s="173">
        <f t="shared" si="717"/>
        <v>0.6077232402827053</v>
      </c>
      <c r="EG230" s="173">
        <f t="shared" si="718"/>
        <v>0.14924967812825263</v>
      </c>
      <c r="EH230" s="173"/>
      <c r="EI230" s="528">
        <f t="shared" si="719"/>
        <v>6.1344926440578651E-4</v>
      </c>
      <c r="EJ230" s="528">
        <f t="shared" si="720"/>
        <v>0.55873725813659514</v>
      </c>
      <c r="EK230" s="528">
        <f t="shared" si="721"/>
        <v>4.0250000000000001E-2</v>
      </c>
      <c r="EL230" s="528">
        <f t="shared" si="722"/>
        <v>1.0140631637499999</v>
      </c>
      <c r="EM230">
        <f t="shared" si="723"/>
        <v>2.7E-2</v>
      </c>
      <c r="EN230" s="460">
        <f t="shared" si="724"/>
        <v>67.25</v>
      </c>
      <c r="EP230" s="460">
        <f t="shared" si="725"/>
        <v>1640.6638711510009</v>
      </c>
      <c r="EQ230" s="173">
        <f t="shared" si="726"/>
        <v>9.8000000000000004E-2</v>
      </c>
      <c r="ER230" s="173">
        <f t="shared" si="688"/>
        <v>1.553125E-2</v>
      </c>
      <c r="ES230" s="528"/>
      <c r="EU230" s="460">
        <f t="shared" si="727"/>
        <v>113.53125</v>
      </c>
      <c r="EV230" s="528">
        <f t="shared" si="728"/>
        <v>9.201738966086796E-4</v>
      </c>
      <c r="EW230" s="528">
        <f t="shared" si="729"/>
        <v>1.1079826103391322E-2</v>
      </c>
      <c r="EX230" s="528">
        <f t="shared" si="730"/>
        <v>1.1137733210693505E-4</v>
      </c>
      <c r="EY230" s="528">
        <f t="shared" si="731"/>
        <v>0.1439185161957138</v>
      </c>
      <c r="EZ230" s="528"/>
      <c r="FA230" s="625">
        <f t="shared" si="732"/>
        <v>2.1000000000000007E-3</v>
      </c>
      <c r="FB230" s="460">
        <f t="shared" si="733"/>
        <v>158.12989352782071</v>
      </c>
      <c r="FC230" s="173">
        <f t="shared" si="734"/>
        <v>1.9123250146788215</v>
      </c>
      <c r="FD230" s="5">
        <f t="shared" si="735"/>
        <v>2.5200000000000005</v>
      </c>
      <c r="FE230" s="173">
        <f t="shared" si="736"/>
        <v>0.56855036389577718</v>
      </c>
      <c r="FF230" s="5">
        <f t="shared" si="737"/>
        <v>56.85503638957772</v>
      </c>
      <c r="FG230">
        <f t="shared" si="738"/>
        <v>14.000000000000002</v>
      </c>
      <c r="FI230" s="562">
        <f t="shared" si="689"/>
        <v>-50</v>
      </c>
    </row>
    <row r="231" spans="5:165">
      <c r="E231" s="170">
        <v>15</v>
      </c>
      <c r="F231" s="217">
        <f t="shared" si="690"/>
        <v>0.15</v>
      </c>
      <c r="G231" s="217">
        <f t="shared" si="617"/>
        <v>3.7499999999999999E-2</v>
      </c>
      <c r="H231" s="217">
        <f t="shared" si="618"/>
        <v>2.4</v>
      </c>
      <c r="I231" s="217">
        <f t="shared" si="619"/>
        <v>0.3</v>
      </c>
      <c r="J231" s="541">
        <f t="shared" si="620"/>
        <v>59.963824763983524</v>
      </c>
      <c r="K231" s="443">
        <f t="shared" si="621"/>
        <v>16.716035674514746</v>
      </c>
      <c r="L231" s="172">
        <f t="shared" si="622"/>
        <v>76.679860438498267</v>
      </c>
      <c r="M231" s="443"/>
      <c r="N231" s="217">
        <f t="shared" si="623"/>
        <v>0.21799773211535753</v>
      </c>
      <c r="O231" s="172">
        <f t="shared" si="624"/>
        <v>29.048839572246933</v>
      </c>
      <c r="P231" s="172">
        <f t="shared" si="625"/>
        <v>4.0849930648472252</v>
      </c>
      <c r="Q231" s="217">
        <f t="shared" si="626"/>
        <v>1.8155524732654333</v>
      </c>
      <c r="R231" s="217">
        <f t="shared" si="627"/>
        <v>3.6311049465308667</v>
      </c>
      <c r="S231" s="217">
        <f t="shared" si="628"/>
        <v>16</v>
      </c>
      <c r="T231" s="217">
        <f t="shared" si="629"/>
        <v>0.41309739654677002</v>
      </c>
      <c r="U231" s="217">
        <f t="shared" si="630"/>
        <v>8.2669322346807655E-2</v>
      </c>
      <c r="V231" s="217">
        <f t="shared" si="631"/>
        <v>0.2965516977281244</v>
      </c>
      <c r="W231" s="197">
        <f t="shared" si="632"/>
        <v>350</v>
      </c>
      <c r="X231" s="443">
        <f t="shared" si="691"/>
        <v>350</v>
      </c>
      <c r="Z231" s="217">
        <f t="shared" si="633"/>
        <v>3.1123756684550288</v>
      </c>
      <c r="AA231" s="173">
        <f t="shared" si="634"/>
        <v>2.2342921939561213</v>
      </c>
      <c r="AB231" s="173">
        <f t="shared" si="635"/>
        <v>1.0817265916625833</v>
      </c>
      <c r="AC231" s="173"/>
      <c r="AD231" s="173">
        <f t="shared" si="636"/>
        <v>0.7178735576818126</v>
      </c>
      <c r="AE231" s="545">
        <f t="shared" si="637"/>
        <v>417.9008918628686</v>
      </c>
      <c r="AF231" s="528">
        <f t="shared" si="638"/>
        <v>0.12562787259431721</v>
      </c>
      <c r="AH231" s="173">
        <f t="shared" si="639"/>
        <v>1.1338934190276817</v>
      </c>
      <c r="AI231" s="173">
        <f t="shared" si="640"/>
        <v>1.1338934190276817</v>
      </c>
      <c r="AJ231" s="173">
        <f t="shared" si="641"/>
        <v>1.2991803103908752</v>
      </c>
      <c r="AL231" s="545">
        <f t="shared" si="642"/>
        <v>150</v>
      </c>
      <c r="AM231" s="460">
        <f t="shared" si="643"/>
        <v>350</v>
      </c>
      <c r="AO231">
        <f t="shared" si="644"/>
        <v>150</v>
      </c>
      <c r="AP231">
        <f t="shared" si="645"/>
        <v>350</v>
      </c>
      <c r="AR231" s="5">
        <f t="shared" si="616"/>
        <v>2.8571428571428572</v>
      </c>
      <c r="AS231" s="5">
        <f t="shared" si="604"/>
        <v>0.22691549583249529</v>
      </c>
      <c r="AT231" s="5">
        <f t="shared" si="605"/>
        <v>2.6302273613103617</v>
      </c>
      <c r="AU231" s="173">
        <f t="shared" si="606"/>
        <v>7.9420423541373353E-2</v>
      </c>
      <c r="BA231" s="173">
        <f t="shared" si="692"/>
        <v>0.18449207130626047</v>
      </c>
      <c r="BB231" s="173">
        <f t="shared" si="693"/>
        <v>0.62811949834132219</v>
      </c>
      <c r="BC231" s="173">
        <f t="shared" si="694"/>
        <v>0.15425875915147175</v>
      </c>
      <c r="BD231" s="173"/>
      <c r="BE231" s="528">
        <f t="shared" si="695"/>
        <v>6.8074648749748604E-4</v>
      </c>
      <c r="BF231" s="528">
        <f t="shared" si="646"/>
        <v>0.55537261552427575</v>
      </c>
      <c r="BG231" s="528">
        <f t="shared" si="647"/>
        <v>0.48270878935006739</v>
      </c>
      <c r="BH231" s="528">
        <f t="shared" si="696"/>
        <v>1.0135306968350477</v>
      </c>
      <c r="BI231">
        <f t="shared" si="697"/>
        <v>2.6983721143792584E-2</v>
      </c>
      <c r="BJ231" s="460">
        <f t="shared" si="698"/>
        <v>509.69251049385997</v>
      </c>
      <c r="BK231">
        <f t="shared" si="648"/>
        <v>1.5700218041488896</v>
      </c>
      <c r="BL231" s="460">
        <f t="shared" si="699"/>
        <v>2079.2765693406809</v>
      </c>
      <c r="BM231" s="173">
        <f t="shared" si="649"/>
        <v>9.3187499999999993E-2</v>
      </c>
      <c r="BN231" s="173">
        <f t="shared" si="650"/>
        <v>1.6640624999999999E-2</v>
      </c>
      <c r="BQ231" s="460">
        <f t="shared" si="700"/>
        <v>109.828125</v>
      </c>
      <c r="BR231" s="528">
        <f t="shared" si="701"/>
        <v>1.021119731246229E-3</v>
      </c>
      <c r="BS231" s="528">
        <f t="shared" si="702"/>
        <v>1.1836023125896628E-2</v>
      </c>
      <c r="BT231" s="528">
        <f t="shared" si="703"/>
        <v>1.1897882387475885E-4</v>
      </c>
      <c r="BU231" s="528">
        <f t="shared" si="704"/>
        <v>0.15688112752187858</v>
      </c>
      <c r="BV231" s="528"/>
      <c r="BW231" s="625">
        <f t="shared" si="705"/>
        <v>2.2500000000000003E-3</v>
      </c>
      <c r="BX231" s="460">
        <f t="shared" si="706"/>
        <v>172.10724920289618</v>
      </c>
      <c r="BY231" s="173">
        <f t="shared" si="707"/>
        <v>2.3612119435435774</v>
      </c>
      <c r="BZ231" s="5">
        <f t="shared" si="708"/>
        <v>2.6999999999999997</v>
      </c>
      <c r="CA231" s="173">
        <f t="shared" si="709"/>
        <v>0.53346906435015062</v>
      </c>
      <c r="CB231" s="5">
        <f t="shared" si="710"/>
        <v>53.346906435015065</v>
      </c>
      <c r="CC231">
        <f t="shared" si="711"/>
        <v>15</v>
      </c>
      <c r="CE231" s="562">
        <f t="shared" si="651"/>
        <v>-50</v>
      </c>
      <c r="CG231" s="173">
        <f t="shared" si="652"/>
        <v>0.28062430400804561</v>
      </c>
      <c r="CH231" s="173">
        <f t="shared" si="653"/>
        <v>0.1009979916648908</v>
      </c>
      <c r="CI231" s="170">
        <v>15</v>
      </c>
      <c r="CJ231" s="217">
        <f t="shared" si="712"/>
        <v>0.15</v>
      </c>
      <c r="CK231" s="217">
        <f t="shared" si="654"/>
        <v>3.7499999999999999E-2</v>
      </c>
      <c r="CL231" s="217">
        <f t="shared" si="655"/>
        <v>2.4</v>
      </c>
      <c r="CM231" s="217">
        <f t="shared" si="656"/>
        <v>0.3</v>
      </c>
      <c r="CN231" s="541">
        <f t="shared" si="657"/>
        <v>60</v>
      </c>
      <c r="CO231" s="443">
        <f t="shared" si="658"/>
        <v>16.7</v>
      </c>
      <c r="CP231" s="443">
        <f t="shared" si="659"/>
        <v>76.7</v>
      </c>
      <c r="CQ231" s="443"/>
      <c r="CR231" s="217">
        <f t="shared" si="660"/>
        <v>0.21465968586387432</v>
      </c>
      <c r="CS231" s="172">
        <f t="shared" si="661"/>
        <v>28.621291448516576</v>
      </c>
      <c r="CT231" s="172">
        <f t="shared" si="662"/>
        <v>4.0248691099476437</v>
      </c>
      <c r="CU231" s="217">
        <f t="shared" si="663"/>
        <v>1.788830715532286</v>
      </c>
      <c r="CV231" s="217">
        <f t="shared" si="664"/>
        <v>3.577661431064572</v>
      </c>
      <c r="CW231" s="217">
        <f t="shared" si="665"/>
        <v>16</v>
      </c>
      <c r="CX231" s="217">
        <f t="shared" si="666"/>
        <v>0.41926829268292681</v>
      </c>
      <c r="CY231" s="217">
        <f t="shared" si="667"/>
        <v>8.3853658536585357E-2</v>
      </c>
      <c r="CZ231" s="217">
        <f t="shared" si="668"/>
        <v>0.30127062947276173</v>
      </c>
      <c r="DA231" s="197">
        <f t="shared" si="669"/>
        <v>350</v>
      </c>
      <c r="DB231" s="443">
        <f t="shared" si="670"/>
        <v>350</v>
      </c>
      <c r="DD231" s="217">
        <f t="shared" si="671"/>
        <v>3.1104488731607378</v>
      </c>
      <c r="DE231" s="173">
        <f t="shared" si="672"/>
        <v>2.23505308251071</v>
      </c>
      <c r="DF231" s="173">
        <f t="shared" si="673"/>
        <v>1.0814250754144243</v>
      </c>
      <c r="DG231" s="173"/>
      <c r="DH231" s="173">
        <f t="shared" si="674"/>
        <v>0.71856287425149712</v>
      </c>
      <c r="DI231" s="545">
        <f t="shared" si="675"/>
        <v>417.49999999999994</v>
      </c>
      <c r="DJ231" s="528">
        <f t="shared" si="676"/>
        <v>0.125748502994012</v>
      </c>
      <c r="DL231" s="173">
        <f t="shared" si="677"/>
        <v>1.1338934190276817</v>
      </c>
      <c r="DM231" s="173">
        <f t="shared" si="678"/>
        <v>1.1338934190276817</v>
      </c>
      <c r="DN231" s="173">
        <f t="shared" si="679"/>
        <v>1.2991803103908752</v>
      </c>
      <c r="DP231" s="545">
        <f t="shared" si="680"/>
        <v>150</v>
      </c>
      <c r="DQ231" s="460">
        <f t="shared" si="681"/>
        <v>350</v>
      </c>
      <c r="DS231">
        <f t="shared" si="682"/>
        <v>150</v>
      </c>
      <c r="DT231">
        <f t="shared" si="683"/>
        <v>350</v>
      </c>
      <c r="DV231" s="5">
        <f t="shared" si="684"/>
        <v>2.8571428571428572</v>
      </c>
      <c r="DW231" s="5">
        <f t="shared" si="685"/>
        <v>0.22677868380553634</v>
      </c>
      <c r="DX231" s="5">
        <f t="shared" si="686"/>
        <v>2.6303641733373206</v>
      </c>
      <c r="DY231" s="173">
        <f t="shared" si="687"/>
        <v>7.9372539331937719E-2</v>
      </c>
      <c r="EA231" s="5">
        <f t="shared" si="713"/>
        <v>0.21260501606769033</v>
      </c>
      <c r="EB231" s="5">
        <f t="shared" si="714"/>
        <v>0.10630250803384517</v>
      </c>
      <c r="EC231" s="5">
        <f t="shared" si="715"/>
        <v>8.7678805777910679E-2</v>
      </c>
      <c r="ED231" s="5"/>
      <c r="EE231" s="173">
        <f t="shared" si="716"/>
        <v>0.18443644588537933</v>
      </c>
      <c r="EF231" s="173">
        <f t="shared" si="717"/>
        <v>0.62813583403639539</v>
      </c>
      <c r="EG231" s="173">
        <f t="shared" si="718"/>
        <v>0.15426277100599708</v>
      </c>
      <c r="EH231" s="173"/>
      <c r="EI231" s="528">
        <f t="shared" si="719"/>
        <v>6.8033605141660917E-4</v>
      </c>
      <c r="EJ231" s="528">
        <f t="shared" si="720"/>
        <v>0.57834800784216434</v>
      </c>
      <c r="EK231" s="528">
        <f t="shared" si="721"/>
        <v>4.0250000000000001E-2</v>
      </c>
      <c r="EL231" s="528">
        <f t="shared" si="722"/>
        <v>1.0140631637499999</v>
      </c>
      <c r="EM231">
        <f t="shared" si="723"/>
        <v>2.7E-2</v>
      </c>
      <c r="EN231" s="460">
        <f t="shared" si="724"/>
        <v>67.25</v>
      </c>
      <c r="EP231" s="460">
        <f t="shared" si="725"/>
        <v>1660.3415076435808</v>
      </c>
      <c r="EQ231" s="173">
        <f t="shared" si="726"/>
        <v>0.105</v>
      </c>
      <c r="ER231" s="173">
        <f t="shared" si="688"/>
        <v>1.6640624999999999E-2</v>
      </c>
      <c r="ES231" s="528"/>
      <c r="EU231" s="460">
        <f t="shared" si="727"/>
        <v>121.640625</v>
      </c>
      <c r="EV231" s="528">
        <f t="shared" si="728"/>
        <v>1.0205040771249136E-3</v>
      </c>
      <c r="EW231" s="528">
        <f t="shared" si="729"/>
        <v>1.1836638780017941E-2</v>
      </c>
      <c r="EX231" s="528">
        <f t="shared" si="730"/>
        <v>1.1898501259224348E-4</v>
      </c>
      <c r="EY231" s="528">
        <f t="shared" si="731"/>
        <v>0.15688112752187858</v>
      </c>
      <c r="EZ231" s="528"/>
      <c r="FA231" s="625">
        <f t="shared" si="732"/>
        <v>2.2500000000000003E-3</v>
      </c>
      <c r="FB231" s="460">
        <f t="shared" si="733"/>
        <v>172.10725539161368</v>
      </c>
      <c r="FC231" s="173">
        <f t="shared" si="734"/>
        <v>1.9540893880351946</v>
      </c>
      <c r="FD231" s="5">
        <f t="shared" si="735"/>
        <v>2.6999999999999997</v>
      </c>
      <c r="FE231" s="173">
        <f t="shared" si="736"/>
        <v>0.58013496838741474</v>
      </c>
      <c r="FF231" s="5">
        <f t="shared" si="737"/>
        <v>58.013496838741474</v>
      </c>
      <c r="FG231">
        <f t="shared" si="738"/>
        <v>15</v>
      </c>
      <c r="FI231" s="562">
        <f t="shared" si="689"/>
        <v>-50</v>
      </c>
    </row>
    <row r="232" spans="5:165">
      <c r="E232" s="170">
        <v>16</v>
      </c>
      <c r="F232" s="217">
        <f t="shared" si="690"/>
        <v>0.16</v>
      </c>
      <c r="G232" s="217">
        <f t="shared" si="617"/>
        <v>0.04</v>
      </c>
      <c r="H232" s="217">
        <f t="shared" si="618"/>
        <v>2.56</v>
      </c>
      <c r="I232" s="217">
        <f t="shared" si="619"/>
        <v>0.32</v>
      </c>
      <c r="J232" s="541">
        <f t="shared" si="620"/>
        <v>59.96263837689682</v>
      </c>
      <c r="K232" s="443">
        <f t="shared" si="621"/>
        <v>16.716561573424215</v>
      </c>
      <c r="L232" s="172">
        <f t="shared" si="622"/>
        <v>76.679199950321035</v>
      </c>
      <c r="M232" s="443"/>
      <c r="N232" s="217">
        <f t="shared" si="623"/>
        <v>0.21800646830241513</v>
      </c>
      <c r="O232" s="172">
        <f t="shared" si="624"/>
        <v>29.049428939204752</v>
      </c>
      <c r="P232" s="172">
        <f t="shared" si="625"/>
        <v>4.0850759445756681</v>
      </c>
      <c r="Q232" s="217">
        <f t="shared" si="626"/>
        <v>1.815589308700297</v>
      </c>
      <c r="R232" s="217">
        <f t="shared" si="627"/>
        <v>3.631178617400594</v>
      </c>
      <c r="S232" s="217">
        <f t="shared" si="628"/>
        <v>16</v>
      </c>
      <c r="T232" s="217">
        <f t="shared" si="629"/>
        <v>0.44062828315104252</v>
      </c>
      <c r="U232" s="217">
        <f t="shared" si="630"/>
        <v>8.8180566114811954E-2</v>
      </c>
      <c r="V232" s="217">
        <f t="shared" si="631"/>
        <v>0.31630544203651162</v>
      </c>
      <c r="W232" s="197">
        <f t="shared" si="632"/>
        <v>350</v>
      </c>
      <c r="X232" s="443">
        <f t="shared" si="691"/>
        <v>350</v>
      </c>
      <c r="Z232" s="217">
        <f t="shared" si="633"/>
        <v>3.1124388149147948</v>
      </c>
      <c r="AA232" s="173">
        <f t="shared" si="634"/>
        <v>2.2342672334216713</v>
      </c>
      <c r="AB232" s="173">
        <f t="shared" si="635"/>
        <v>1.0817364538079406</v>
      </c>
      <c r="AC232" s="173"/>
      <c r="AD232" s="173">
        <f t="shared" si="636"/>
        <v>0.71785097355651495</v>
      </c>
      <c r="AE232" s="545">
        <f t="shared" si="637"/>
        <v>445.77497529131244</v>
      </c>
      <c r="AF232" s="528">
        <f t="shared" si="638"/>
        <v>0.12562392037239012</v>
      </c>
      <c r="AH232" s="173">
        <f t="shared" si="639"/>
        <v>1.1710800875382397</v>
      </c>
      <c r="AI232" s="173">
        <f t="shared" si="640"/>
        <v>1.1710800875382397</v>
      </c>
      <c r="AJ232" s="173">
        <f t="shared" si="641"/>
        <v>1.3267259907690663</v>
      </c>
      <c r="AL232" s="545">
        <f t="shared" si="642"/>
        <v>160</v>
      </c>
      <c r="AM232" s="460">
        <f t="shared" si="643"/>
        <v>350</v>
      </c>
      <c r="AO232">
        <f t="shared" si="644"/>
        <v>160</v>
      </c>
      <c r="AP232">
        <f t="shared" si="645"/>
        <v>350</v>
      </c>
      <c r="AR232" s="5">
        <f t="shared" si="616"/>
        <v>2.8571428571428572</v>
      </c>
      <c r="AS232" s="5">
        <f t="shared" si="604"/>
        <v>0.23436195322374914</v>
      </c>
      <c r="AT232" s="5">
        <f t="shared" si="605"/>
        <v>2.6227809039191081</v>
      </c>
      <c r="AU232" s="173">
        <f t="shared" si="606"/>
        <v>8.2026683628312197E-2</v>
      </c>
      <c r="BA232" s="173">
        <f t="shared" si="692"/>
        <v>0.19364377737433197</v>
      </c>
      <c r="BB232" s="173">
        <f t="shared" si="693"/>
        <v>0.64780008075567364</v>
      </c>
      <c r="BC232" s="173">
        <f t="shared" si="694"/>
        <v>0.15909207865617278</v>
      </c>
      <c r="BD232" s="173"/>
      <c r="BE232" s="528">
        <f t="shared" si="695"/>
        <v>7.4995825031599688E-4</v>
      </c>
      <c r="BF232" s="528">
        <f t="shared" si="646"/>
        <v>0.57358143026480124</v>
      </c>
      <c r="BG232" s="528">
        <f t="shared" si="647"/>
        <v>0.48269923893401939</v>
      </c>
      <c r="BH232" s="528">
        <f t="shared" si="696"/>
        <v>1.0135132366530488</v>
      </c>
      <c r="BI232">
        <f t="shared" si="697"/>
        <v>2.6983187269603567E-2</v>
      </c>
      <c r="BJ232" s="460">
        <f t="shared" si="698"/>
        <v>509.68242620362292</v>
      </c>
      <c r="BK232">
        <f t="shared" si="648"/>
        <v>1.5883301385706468</v>
      </c>
      <c r="BL232" s="460">
        <f t="shared" si="699"/>
        <v>2097.5270513717887</v>
      </c>
      <c r="BM232" s="173">
        <f t="shared" si="649"/>
        <v>9.9399999999999988E-2</v>
      </c>
      <c r="BN232" s="173">
        <f t="shared" si="650"/>
        <v>1.7749999999999998E-2</v>
      </c>
      <c r="BQ232" s="460">
        <f t="shared" si="700"/>
        <v>117.14999999999999</v>
      </c>
      <c r="BR232" s="528">
        <f t="shared" si="701"/>
        <v>1.1249373754739951E-3</v>
      </c>
      <c r="BS232" s="528">
        <f t="shared" si="702"/>
        <v>1.2589348338811717E-2</v>
      </c>
      <c r="BT232" s="528">
        <f t="shared" si="703"/>
        <v>1.2655144745570934E-4</v>
      </c>
      <c r="BU232" s="528">
        <f t="shared" si="704"/>
        <v>0.17006173538407826</v>
      </c>
      <c r="BV232" s="528"/>
      <c r="BW232" s="625">
        <f t="shared" si="705"/>
        <v>2.3999999999999989E-3</v>
      </c>
      <c r="BX232" s="460">
        <f t="shared" si="706"/>
        <v>186.30257254581966</v>
      </c>
      <c r="BY232" s="173">
        <f t="shared" si="707"/>
        <v>2.4009796239176082</v>
      </c>
      <c r="BZ232" s="5">
        <f t="shared" si="708"/>
        <v>2.88</v>
      </c>
      <c r="CA232" s="173">
        <f t="shared" si="709"/>
        <v>0.54535336340940455</v>
      </c>
      <c r="CB232" s="5">
        <f t="shared" si="710"/>
        <v>54.535336340940454</v>
      </c>
      <c r="CC232">
        <f t="shared" si="711"/>
        <v>16</v>
      </c>
      <c r="CE232" s="562">
        <f t="shared" si="651"/>
        <v>-50</v>
      </c>
      <c r="CG232" s="173">
        <f t="shared" si="652"/>
        <v>0.28982753492378877</v>
      </c>
      <c r="CH232" s="173">
        <f t="shared" si="653"/>
        <v>0.10431027725827137</v>
      </c>
      <c r="CI232" s="170">
        <v>16</v>
      </c>
      <c r="CJ232" s="217">
        <f t="shared" si="712"/>
        <v>0.16</v>
      </c>
      <c r="CK232" s="217">
        <f t="shared" si="654"/>
        <v>0.04</v>
      </c>
      <c r="CL232" s="217">
        <f t="shared" si="655"/>
        <v>2.56</v>
      </c>
      <c r="CM232" s="217">
        <f t="shared" si="656"/>
        <v>0.32</v>
      </c>
      <c r="CN232" s="541">
        <f t="shared" si="657"/>
        <v>60</v>
      </c>
      <c r="CO232" s="443">
        <f t="shared" si="658"/>
        <v>16.7</v>
      </c>
      <c r="CP232" s="443">
        <f t="shared" si="659"/>
        <v>76.7</v>
      </c>
      <c r="CQ232" s="443"/>
      <c r="CR232" s="217">
        <f t="shared" si="660"/>
        <v>0.21465968586387432</v>
      </c>
      <c r="CS232" s="172">
        <f t="shared" si="661"/>
        <v>28.621291448516576</v>
      </c>
      <c r="CT232" s="172">
        <f t="shared" si="662"/>
        <v>4.0248691099476437</v>
      </c>
      <c r="CU232" s="217">
        <f t="shared" si="663"/>
        <v>1.788830715532286</v>
      </c>
      <c r="CV232" s="217">
        <f t="shared" si="664"/>
        <v>3.577661431064572</v>
      </c>
      <c r="CW232" s="217">
        <f t="shared" si="665"/>
        <v>16</v>
      </c>
      <c r="CX232" s="217">
        <f t="shared" si="666"/>
        <v>0.44721951219512196</v>
      </c>
      <c r="CY232" s="217">
        <f t="shared" si="667"/>
        <v>8.9443902439024392E-2</v>
      </c>
      <c r="CZ232" s="217">
        <f t="shared" si="668"/>
        <v>0.3213553381042793</v>
      </c>
      <c r="DA232" s="197">
        <f t="shared" si="669"/>
        <v>350</v>
      </c>
      <c r="DB232" s="443">
        <f t="shared" si="670"/>
        <v>350</v>
      </c>
      <c r="DD232" s="217">
        <f t="shared" si="671"/>
        <v>3.1104488731607378</v>
      </c>
      <c r="DE232" s="173">
        <f t="shared" si="672"/>
        <v>2.23505308251071</v>
      </c>
      <c r="DF232" s="173">
        <f t="shared" si="673"/>
        <v>1.0814250754144243</v>
      </c>
      <c r="DG232" s="173"/>
      <c r="DH232" s="173">
        <f t="shared" si="674"/>
        <v>0.71856287425149712</v>
      </c>
      <c r="DI232" s="545">
        <f t="shared" si="675"/>
        <v>445.33333333333331</v>
      </c>
      <c r="DJ232" s="528">
        <f t="shared" si="676"/>
        <v>0.125748502994012</v>
      </c>
      <c r="DL232" s="173">
        <f t="shared" si="677"/>
        <v>1.1710800875382397</v>
      </c>
      <c r="DM232" s="173">
        <f t="shared" si="678"/>
        <v>1.1710800875382397</v>
      </c>
      <c r="DN232" s="173">
        <f t="shared" si="679"/>
        <v>1.3267259907690663</v>
      </c>
      <c r="DP232" s="545">
        <f t="shared" si="680"/>
        <v>160</v>
      </c>
      <c r="DQ232" s="460">
        <f t="shared" si="681"/>
        <v>350</v>
      </c>
      <c r="DS232">
        <f t="shared" si="682"/>
        <v>160</v>
      </c>
      <c r="DT232">
        <f t="shared" si="683"/>
        <v>350</v>
      </c>
      <c r="DV232" s="5">
        <f t="shared" si="684"/>
        <v>2.8571428571428572</v>
      </c>
      <c r="DW232" s="5">
        <f t="shared" si="685"/>
        <v>0.23421601750764792</v>
      </c>
      <c r="DX232" s="5">
        <f t="shared" si="686"/>
        <v>2.6229268396352095</v>
      </c>
      <c r="DY232" s="173">
        <f t="shared" si="687"/>
        <v>8.1975606127676764E-2</v>
      </c>
      <c r="EA232" s="5">
        <f t="shared" si="713"/>
        <v>0.23421601750764792</v>
      </c>
      <c r="EB232" s="5">
        <f t="shared" si="714"/>
        <v>0.11710800875382396</v>
      </c>
      <c r="EC232" s="5">
        <f t="shared" si="715"/>
        <v>9.325962096480743E-2</v>
      </c>
      <c r="ED232" s="5"/>
      <c r="EE232" s="173">
        <f t="shared" si="716"/>
        <v>0.19358347760391034</v>
      </c>
      <c r="EF232" s="173">
        <f t="shared" si="717"/>
        <v>0.6478181028202542</v>
      </c>
      <c r="EG232" s="173">
        <f t="shared" si="718"/>
        <v>0.15909650466320949</v>
      </c>
      <c r="EH232" s="173"/>
      <c r="EI232" s="528">
        <f t="shared" si="719"/>
        <v>7.4949125602447324E-4</v>
      </c>
      <c r="EJ232" s="528">
        <f t="shared" si="720"/>
        <v>0.59731525404931696</v>
      </c>
      <c r="EK232" s="528">
        <f t="shared" si="721"/>
        <v>4.0250000000000001E-2</v>
      </c>
      <c r="EL232" s="528">
        <f t="shared" si="722"/>
        <v>1.0140631637499999</v>
      </c>
      <c r="EM232">
        <f t="shared" si="723"/>
        <v>2.7E-2</v>
      </c>
      <c r="EN232" s="460">
        <f t="shared" si="724"/>
        <v>67.25</v>
      </c>
      <c r="EP232" s="460">
        <f t="shared" si="725"/>
        <v>1679.3779090553414</v>
      </c>
      <c r="EQ232" s="173">
        <f t="shared" si="726"/>
        <v>0.11199999999999999</v>
      </c>
      <c r="ER232" s="173">
        <f t="shared" si="688"/>
        <v>1.7749999999999998E-2</v>
      </c>
      <c r="ES232" s="528"/>
      <c r="EU232" s="460">
        <f t="shared" si="727"/>
        <v>129.74999999999997</v>
      </c>
      <c r="EV232" s="528">
        <f t="shared" si="728"/>
        <v>1.1242368840367098E-3</v>
      </c>
      <c r="EW232" s="528">
        <f t="shared" si="729"/>
        <v>1.2590048830249003E-2</v>
      </c>
      <c r="EX232" s="528">
        <f t="shared" si="730"/>
        <v>1.2655848898025321E-4</v>
      </c>
      <c r="EY232" s="528">
        <f t="shared" si="731"/>
        <v>0.17006173538407826</v>
      </c>
      <c r="EZ232" s="528"/>
      <c r="FA232" s="625">
        <f t="shared" si="732"/>
        <v>2.3999999999999989E-3</v>
      </c>
      <c r="FB232" s="460">
        <f t="shared" si="733"/>
        <v>186.30257958734421</v>
      </c>
      <c r="FC232" s="173">
        <f t="shared" si="734"/>
        <v>1.9954304886426857</v>
      </c>
      <c r="FD232" s="5">
        <f t="shared" si="735"/>
        <v>2.88</v>
      </c>
      <c r="FE232" s="173">
        <f t="shared" si="736"/>
        <v>0.59071706728440898</v>
      </c>
      <c r="FF232" s="5">
        <f t="shared" si="737"/>
        <v>59.071706728440901</v>
      </c>
      <c r="FG232">
        <f t="shared" si="738"/>
        <v>16</v>
      </c>
      <c r="FI232" s="562">
        <f t="shared" si="689"/>
        <v>-50</v>
      </c>
    </row>
    <row r="233" spans="5:165">
      <c r="E233" s="170">
        <v>17</v>
      </c>
      <c r="F233" s="217">
        <f t="shared" si="690"/>
        <v>0.17</v>
      </c>
      <c r="G233" s="217">
        <f t="shared" si="617"/>
        <v>4.2500000000000003E-2</v>
      </c>
      <c r="H233" s="217">
        <f t="shared" si="618"/>
        <v>2.72</v>
      </c>
      <c r="I233" s="217">
        <f t="shared" si="619"/>
        <v>0.34</v>
      </c>
      <c r="J233" s="541">
        <f t="shared" si="620"/>
        <v>59.961488520400266</v>
      </c>
      <c r="K233" s="443">
        <f t="shared" si="621"/>
        <v>16.717071279138615</v>
      </c>
      <c r="L233" s="172">
        <f t="shared" si="622"/>
        <v>76.678559799538874</v>
      </c>
      <c r="M233" s="443"/>
      <c r="N233" s="217">
        <f t="shared" si="623"/>
        <v>0.21801493563314353</v>
      </c>
      <c r="O233" s="172">
        <f t="shared" si="624"/>
        <v>29.050000133872306</v>
      </c>
      <c r="P233" s="172">
        <f t="shared" si="625"/>
        <v>4.0851562688257932</v>
      </c>
      <c r="Q233" s="217">
        <f t="shared" si="626"/>
        <v>1.8156250083670191</v>
      </c>
      <c r="R233" s="217">
        <f t="shared" si="627"/>
        <v>3.6312500167340382</v>
      </c>
      <c r="S233" s="217">
        <f t="shared" si="628"/>
        <v>16</v>
      </c>
      <c r="T233" s="217">
        <f t="shared" si="629"/>
        <v>0.46815834551898666</v>
      </c>
      <c r="U233" s="217">
        <f t="shared" si="630"/>
        <v>9.3691805938348277E-2</v>
      </c>
      <c r="V233" s="217">
        <f t="shared" si="631"/>
        <v>0.33605767735395548</v>
      </c>
      <c r="W233" s="197">
        <f t="shared" si="632"/>
        <v>350</v>
      </c>
      <c r="X233" s="443">
        <f t="shared" si="691"/>
        <v>350</v>
      </c>
      <c r="Z233" s="217">
        <f t="shared" si="633"/>
        <v>3.1125000143434609</v>
      </c>
      <c r="AA233" s="173">
        <f t="shared" si="634"/>
        <v>2.2342430410481615</v>
      </c>
      <c r="AB233" s="173">
        <f t="shared" si="635"/>
        <v>1.0817460106925392</v>
      </c>
      <c r="AC233" s="173"/>
      <c r="AD233" s="173">
        <f t="shared" si="636"/>
        <v>0.71782908618538399</v>
      </c>
      <c r="AE233" s="545">
        <f t="shared" si="637"/>
        <v>473.65035290892746</v>
      </c>
      <c r="AF233" s="528">
        <f t="shared" si="638"/>
        <v>0.12562009008244218</v>
      </c>
      <c r="AH233" s="173">
        <f t="shared" si="639"/>
        <v>1.2071217242444348</v>
      </c>
      <c r="AI233" s="173">
        <f t="shared" si="640"/>
        <v>1.2071217242444348</v>
      </c>
      <c r="AJ233" s="173">
        <f t="shared" si="641"/>
        <v>1.353423499440322</v>
      </c>
      <c r="AL233" s="545">
        <f t="shared" si="642"/>
        <v>170</v>
      </c>
      <c r="AM233" s="460">
        <f t="shared" si="643"/>
        <v>350</v>
      </c>
      <c r="AO233">
        <f t="shared" si="644"/>
        <v>170</v>
      </c>
      <c r="AP233">
        <f t="shared" si="645"/>
        <v>350</v>
      </c>
      <c r="AR233" s="5">
        <f t="shared" si="616"/>
        <v>2.8571428571428572</v>
      </c>
      <c r="AS233" s="5">
        <f t="shared" si="604"/>
        <v>0.2415794045207022</v>
      </c>
      <c r="AT233" s="5">
        <f t="shared" si="605"/>
        <v>2.6155634526221552</v>
      </c>
      <c r="AU233" s="173">
        <f t="shared" si="606"/>
        <v>8.4552791582245768E-2</v>
      </c>
      <c r="BA233" s="173">
        <f t="shared" si="692"/>
        <v>0.20265364237664069</v>
      </c>
      <c r="BB233" s="173">
        <f t="shared" si="693"/>
        <v>0.66681765644422342</v>
      </c>
      <c r="BC233" s="173">
        <f t="shared" si="694"/>
        <v>0.16376257150909604</v>
      </c>
      <c r="BD233" s="173"/>
      <c r="BE233" s="528">
        <f t="shared" si="695"/>
        <v>8.213699753703875E-4</v>
      </c>
      <c r="BF233" s="528">
        <f t="shared" si="646"/>
        <v>0.59122926959244348</v>
      </c>
      <c r="BG233" s="528">
        <f t="shared" si="647"/>
        <v>0.48268998258922213</v>
      </c>
      <c r="BH233" s="528">
        <f t="shared" si="696"/>
        <v>1.0134963142390601</v>
      </c>
      <c r="BI233">
        <f t="shared" si="697"/>
        <v>2.6982669834180118E-2</v>
      </c>
      <c r="BJ233" s="460">
        <f t="shared" si="698"/>
        <v>509.67265242340221</v>
      </c>
      <c r="BK233">
        <f t="shared" si="648"/>
        <v>1.606082162689763</v>
      </c>
      <c r="BL233" s="460">
        <f t="shared" si="699"/>
        <v>2115.219606230276</v>
      </c>
      <c r="BM233" s="173">
        <f t="shared" si="649"/>
        <v>0.10561249999999998</v>
      </c>
      <c r="BN233" s="173">
        <f t="shared" si="650"/>
        <v>1.8859375000000001E-2</v>
      </c>
      <c r="BQ233" s="460">
        <f t="shared" si="700"/>
        <v>124.47187499999998</v>
      </c>
      <c r="BR233" s="528">
        <f t="shared" si="701"/>
        <v>1.2320549630555813E-3</v>
      </c>
      <c r="BS233" s="528">
        <f t="shared" si="702"/>
        <v>1.3339373608372991E-2</v>
      </c>
      <c r="BT233" s="528">
        <f t="shared" si="703"/>
        <v>1.3409089913635897E-4</v>
      </c>
      <c r="BU233" s="528">
        <f t="shared" si="704"/>
        <v>0.18345002695153451</v>
      </c>
      <c r="BV233" s="528"/>
      <c r="BW233" s="625">
        <f t="shared" si="705"/>
        <v>2.5500000000000006E-3</v>
      </c>
      <c r="BX233" s="460">
        <f t="shared" si="706"/>
        <v>200.70554642209942</v>
      </c>
      <c r="BY233" s="173">
        <f t="shared" si="707"/>
        <v>2.440397027652375</v>
      </c>
      <c r="BZ233" s="5">
        <f t="shared" si="708"/>
        <v>3.06</v>
      </c>
      <c r="CA233" s="173">
        <f t="shared" si="709"/>
        <v>0.55632347712653007</v>
      </c>
      <c r="CB233" s="5">
        <f t="shared" si="710"/>
        <v>55.632347712653008</v>
      </c>
      <c r="CC233">
        <f t="shared" si="711"/>
        <v>17</v>
      </c>
      <c r="CE233" s="562">
        <f t="shared" si="651"/>
        <v>-50</v>
      </c>
      <c r="CG233" s="173">
        <f t="shared" si="652"/>
        <v>0.29874738492579311</v>
      </c>
      <c r="CH233" s="173">
        <f t="shared" si="653"/>
        <v>0.10752057274332914</v>
      </c>
      <c r="CI233" s="170">
        <v>17</v>
      </c>
      <c r="CJ233" s="217">
        <f t="shared" si="712"/>
        <v>0.17</v>
      </c>
      <c r="CK233" s="217">
        <f t="shared" si="654"/>
        <v>4.2500000000000003E-2</v>
      </c>
      <c r="CL233" s="217">
        <f t="shared" si="655"/>
        <v>2.72</v>
      </c>
      <c r="CM233" s="217">
        <f t="shared" si="656"/>
        <v>0.34</v>
      </c>
      <c r="CN233" s="541">
        <f t="shared" si="657"/>
        <v>60</v>
      </c>
      <c r="CO233" s="443">
        <f t="shared" si="658"/>
        <v>16.7</v>
      </c>
      <c r="CP233" s="443">
        <f t="shared" si="659"/>
        <v>76.7</v>
      </c>
      <c r="CQ233" s="443"/>
      <c r="CR233" s="217">
        <f t="shared" si="660"/>
        <v>0.21465968586387432</v>
      </c>
      <c r="CS233" s="172">
        <f t="shared" si="661"/>
        <v>28.621291448516576</v>
      </c>
      <c r="CT233" s="172">
        <f t="shared" si="662"/>
        <v>4.0248691099476437</v>
      </c>
      <c r="CU233" s="217">
        <f t="shared" si="663"/>
        <v>1.788830715532286</v>
      </c>
      <c r="CV233" s="217">
        <f t="shared" si="664"/>
        <v>3.577661431064572</v>
      </c>
      <c r="CW233" s="217">
        <f t="shared" si="665"/>
        <v>16</v>
      </c>
      <c r="CX233" s="217">
        <f t="shared" si="666"/>
        <v>0.47517073170731711</v>
      </c>
      <c r="CY233" s="217">
        <f t="shared" si="667"/>
        <v>9.5034146341463427E-2</v>
      </c>
      <c r="CZ233" s="217">
        <f t="shared" si="668"/>
        <v>0.34144004673579675</v>
      </c>
      <c r="DA233" s="197">
        <f t="shared" si="669"/>
        <v>350</v>
      </c>
      <c r="DB233" s="443">
        <f t="shared" si="670"/>
        <v>350</v>
      </c>
      <c r="DD233" s="217">
        <f t="shared" si="671"/>
        <v>3.1104488731607378</v>
      </c>
      <c r="DE233" s="173">
        <f t="shared" si="672"/>
        <v>2.23505308251071</v>
      </c>
      <c r="DF233" s="173">
        <f t="shared" si="673"/>
        <v>1.0814250754144243</v>
      </c>
      <c r="DG233" s="173"/>
      <c r="DH233" s="173">
        <f t="shared" si="674"/>
        <v>0.71856287425149712</v>
      </c>
      <c r="DI233" s="545">
        <f t="shared" si="675"/>
        <v>473.16666666666663</v>
      </c>
      <c r="DJ233" s="528">
        <f t="shared" si="676"/>
        <v>0.125748502994012</v>
      </c>
      <c r="DL233" s="173">
        <f t="shared" si="677"/>
        <v>1.2071217242444348</v>
      </c>
      <c r="DM233" s="173">
        <f t="shared" si="678"/>
        <v>1.2071217242444348</v>
      </c>
      <c r="DN233" s="173">
        <f t="shared" si="679"/>
        <v>1.353423499440322</v>
      </c>
      <c r="DP233" s="545">
        <f t="shared" si="680"/>
        <v>170</v>
      </c>
      <c r="DQ233" s="460">
        <f t="shared" si="681"/>
        <v>350</v>
      </c>
      <c r="DS233">
        <f t="shared" si="682"/>
        <v>170</v>
      </c>
      <c r="DT233">
        <f t="shared" si="683"/>
        <v>350</v>
      </c>
      <c r="DV233" s="5">
        <f t="shared" si="684"/>
        <v>2.8571428571428572</v>
      </c>
      <c r="DW233" s="5">
        <f t="shared" si="685"/>
        <v>0.24142434484888697</v>
      </c>
      <c r="DX233" s="5">
        <f t="shared" si="686"/>
        <v>2.6157185122939701</v>
      </c>
      <c r="DY233" s="173">
        <f t="shared" si="687"/>
        <v>8.4498520697110432E-2</v>
      </c>
      <c r="EA233" s="5">
        <f t="shared" si="713"/>
        <v>0.25651336640194239</v>
      </c>
      <c r="EB233" s="5">
        <f t="shared" si="714"/>
        <v>0.12825668320097119</v>
      </c>
      <c r="EC233" s="5">
        <f t="shared" si="715"/>
        <v>9.8816032686661087E-2</v>
      </c>
      <c r="ED233" s="5"/>
      <c r="EE233" s="173">
        <f t="shared" si="716"/>
        <v>0.20258859450697311</v>
      </c>
      <c r="EF233" s="173">
        <f t="shared" si="717"/>
        <v>0.66683742178283223</v>
      </c>
      <c r="EG233" s="173">
        <f t="shared" si="718"/>
        <v>0.16376742564372498</v>
      </c>
      <c r="EH233" s="173"/>
      <c r="EI233" s="528">
        <f t="shared" si="719"/>
        <v>8.2084277248621552E-4</v>
      </c>
      <c r="EJ233" s="528">
        <f t="shared" si="720"/>
        <v>0.61569847105949527</v>
      </c>
      <c r="EK233" s="528">
        <f t="shared" si="721"/>
        <v>4.0250000000000001E-2</v>
      </c>
      <c r="EL233" s="528">
        <f t="shared" si="722"/>
        <v>1.0140631637499999</v>
      </c>
      <c r="EM233">
        <f t="shared" si="723"/>
        <v>2.7E-2</v>
      </c>
      <c r="EN233" s="460">
        <f t="shared" si="724"/>
        <v>67.25</v>
      </c>
      <c r="EP233" s="460">
        <f t="shared" si="725"/>
        <v>1697.8324775819813</v>
      </c>
      <c r="EQ233" s="173">
        <f t="shared" si="726"/>
        <v>0.11899999999999999</v>
      </c>
      <c r="ER233" s="173">
        <f t="shared" si="688"/>
        <v>1.8859375000000001E-2</v>
      </c>
      <c r="ES233" s="528"/>
      <c r="EU233" s="460">
        <f t="shared" si="727"/>
        <v>137.859375</v>
      </c>
      <c r="EV233" s="528">
        <f t="shared" si="728"/>
        <v>1.2312641587293232E-3</v>
      </c>
      <c r="EW233" s="528">
        <f t="shared" si="729"/>
        <v>1.3340164412699246E-2</v>
      </c>
      <c r="EX233" s="528">
        <f t="shared" si="730"/>
        <v>1.3409884850986497E-4</v>
      </c>
      <c r="EY233" s="528">
        <f t="shared" si="731"/>
        <v>0.18345002695153451</v>
      </c>
      <c r="EZ233" s="528"/>
      <c r="FA233" s="625">
        <f t="shared" si="732"/>
        <v>2.5500000000000006E-3</v>
      </c>
      <c r="FB233" s="460">
        <f t="shared" si="733"/>
        <v>200.70555437147294</v>
      </c>
      <c r="FC233" s="173">
        <f t="shared" si="734"/>
        <v>2.0363974069534541</v>
      </c>
      <c r="FD233" s="5">
        <f t="shared" si="735"/>
        <v>3.06</v>
      </c>
      <c r="FE233" s="173">
        <f t="shared" si="736"/>
        <v>0.6004241340804739</v>
      </c>
      <c r="FF233" s="5">
        <f t="shared" si="737"/>
        <v>60.042413408047388</v>
      </c>
      <c r="FG233">
        <f t="shared" si="738"/>
        <v>17</v>
      </c>
      <c r="FI233" s="562">
        <f t="shared" si="689"/>
        <v>-50</v>
      </c>
    </row>
    <row r="234" spans="5:165">
      <c r="E234" s="170">
        <v>18</v>
      </c>
      <c r="F234" s="217">
        <f t="shared" si="690"/>
        <v>0.18</v>
      </c>
      <c r="G234" s="217">
        <f t="shared" si="617"/>
        <v>4.4999999999999998E-2</v>
      </c>
      <c r="H234" s="217">
        <f t="shared" si="618"/>
        <v>2.88</v>
      </c>
      <c r="I234" s="217">
        <f t="shared" si="619"/>
        <v>0.36</v>
      </c>
      <c r="J234" s="541">
        <f t="shared" si="620"/>
        <v>59.960372014421409</v>
      </c>
      <c r="K234" s="443">
        <f t="shared" si="621"/>
        <v>16.717566201313073</v>
      </c>
      <c r="L234" s="172">
        <f t="shared" si="622"/>
        <v>76.677938215734486</v>
      </c>
      <c r="M234" s="443"/>
      <c r="N234" s="217">
        <f t="shared" si="623"/>
        <v>0.21802315751211201</v>
      </c>
      <c r="O234" s="172">
        <f t="shared" si="624"/>
        <v>29.050554738188957</v>
      </c>
      <c r="P234" s="172">
        <f t="shared" si="625"/>
        <v>4.0852342600578222</v>
      </c>
      <c r="Q234" s="217">
        <f t="shared" si="626"/>
        <v>1.8156596711368098</v>
      </c>
      <c r="R234" s="217">
        <f t="shared" si="627"/>
        <v>3.6313193422736196</v>
      </c>
      <c r="S234" s="217">
        <f t="shared" si="628"/>
        <v>16</v>
      </c>
      <c r="T234" s="217">
        <f t="shared" si="629"/>
        <v>0.49568760837018389</v>
      </c>
      <c r="U234" s="217">
        <f t="shared" si="630"/>
        <v>9.9203041952634297E-2</v>
      </c>
      <c r="V234" s="217">
        <f t="shared" si="631"/>
        <v>0.35580844895801905</v>
      </c>
      <c r="W234" s="197">
        <f t="shared" si="632"/>
        <v>350</v>
      </c>
      <c r="X234" s="443">
        <f t="shared" si="691"/>
        <v>350</v>
      </c>
      <c r="Z234" s="217">
        <f t="shared" si="633"/>
        <v>3.1125594362345312</v>
      </c>
      <c r="AA234" s="173">
        <f t="shared" si="634"/>
        <v>2.2342195499653941</v>
      </c>
      <c r="AB234" s="173">
        <f t="shared" si="635"/>
        <v>1.0817552888900264</v>
      </c>
      <c r="AC234" s="173"/>
      <c r="AD234" s="173">
        <f t="shared" si="636"/>
        <v>0.71780783491423927</v>
      </c>
      <c r="AE234" s="545">
        <f t="shared" si="637"/>
        <v>501.52698603939217</v>
      </c>
      <c r="AF234" s="528">
        <f t="shared" si="638"/>
        <v>0.12561637110999188</v>
      </c>
      <c r="AH234" s="173">
        <f t="shared" si="639"/>
        <v>1.2421180068162376</v>
      </c>
      <c r="AI234" s="173">
        <f t="shared" si="640"/>
        <v>1.2421180068162376</v>
      </c>
      <c r="AJ234" s="173">
        <f t="shared" si="641"/>
        <v>1.3793466717157314</v>
      </c>
      <c r="AL234" s="545">
        <f t="shared" si="642"/>
        <v>180</v>
      </c>
      <c r="AM234" s="460">
        <f t="shared" si="643"/>
        <v>350</v>
      </c>
      <c r="AO234">
        <f t="shared" si="644"/>
        <v>180</v>
      </c>
      <c r="AP234">
        <f t="shared" si="645"/>
        <v>350</v>
      </c>
      <c r="AR234" s="5">
        <f t="shared" si="616"/>
        <v>2.8571428571428572</v>
      </c>
      <c r="AS234" s="5">
        <f t="shared" si="604"/>
        <v>0.24858778524939545</v>
      </c>
      <c r="AT234" s="5">
        <f t="shared" si="605"/>
        <v>2.6085550718934618</v>
      </c>
      <c r="AU234" s="173">
        <f t="shared" si="606"/>
        <v>8.7005724837288412E-2</v>
      </c>
      <c r="BA234" s="173">
        <f t="shared" si="692"/>
        <v>0.21153203385041042</v>
      </c>
      <c r="BB234" s="173">
        <f t="shared" si="693"/>
        <v>0.68522982490608453</v>
      </c>
      <c r="BC234" s="173">
        <f t="shared" si="694"/>
        <v>0.16828438346958252</v>
      </c>
      <c r="BD234" s="173"/>
      <c r="BE234" s="528">
        <f t="shared" si="695"/>
        <v>8.9491602689782364E-4</v>
      </c>
      <c r="BF234" s="528">
        <f t="shared" si="646"/>
        <v>0.6083649677158719</v>
      </c>
      <c r="BG234" s="528">
        <f t="shared" si="647"/>
        <v>0.48268099471609233</v>
      </c>
      <c r="BH234" s="528">
        <f t="shared" si="696"/>
        <v>1.0134798827791323</v>
      </c>
      <c r="BI234">
        <f t="shared" si="697"/>
        <v>2.6982167406489635E-2</v>
      </c>
      <c r="BJ234" s="460">
        <f t="shared" si="698"/>
        <v>509.66316212258198</v>
      </c>
      <c r="BK234">
        <f t="shared" si="648"/>
        <v>1.6233265651012598</v>
      </c>
      <c r="BL234" s="460">
        <f t="shared" si="699"/>
        <v>2132.4029286444838</v>
      </c>
      <c r="BM234" s="173">
        <f t="shared" si="649"/>
        <v>0.11182499999999999</v>
      </c>
      <c r="BN234" s="173">
        <f t="shared" si="650"/>
        <v>1.9968749999999997E-2</v>
      </c>
      <c r="BQ234" s="460">
        <f t="shared" si="700"/>
        <v>131.79374999999999</v>
      </c>
      <c r="BR234" s="528">
        <f t="shared" si="701"/>
        <v>1.3423740403467354E-3</v>
      </c>
      <c r="BS234" s="528">
        <f t="shared" si="702"/>
        <v>1.4086197388224697E-2</v>
      </c>
      <c r="BT234" s="528">
        <f t="shared" si="703"/>
        <v>1.415981685986875E-4</v>
      </c>
      <c r="BU234" s="528">
        <f t="shared" si="704"/>
        <v>0.19703676092622247</v>
      </c>
      <c r="BV234" s="528"/>
      <c r="BW234" s="625">
        <f t="shared" si="705"/>
        <v>2.7000000000000001E-3</v>
      </c>
      <c r="BX234" s="460">
        <f t="shared" si="706"/>
        <v>215.30693052339259</v>
      </c>
      <c r="BY234" s="173">
        <f t="shared" si="707"/>
        <v>2.4795036091678764</v>
      </c>
      <c r="BZ234" s="5">
        <f t="shared" si="708"/>
        <v>3.2399999999999998</v>
      </c>
      <c r="CA234" s="173">
        <f t="shared" si="709"/>
        <v>0.56648272671889843</v>
      </c>
      <c r="CB234" s="5">
        <f t="shared" si="710"/>
        <v>56.648272671889842</v>
      </c>
      <c r="CC234">
        <f t="shared" si="711"/>
        <v>18</v>
      </c>
      <c r="CE234" s="562">
        <f t="shared" si="651"/>
        <v>-50</v>
      </c>
      <c r="CG234" s="173">
        <f t="shared" si="652"/>
        <v>0.30740852297878796</v>
      </c>
      <c r="CH234" s="173">
        <f t="shared" si="653"/>
        <v>0.11063775659515888</v>
      </c>
      <c r="CI234" s="170">
        <v>18</v>
      </c>
      <c r="CJ234" s="217">
        <f t="shared" si="712"/>
        <v>0.18</v>
      </c>
      <c r="CK234" s="217">
        <f t="shared" si="654"/>
        <v>4.4999999999999998E-2</v>
      </c>
      <c r="CL234" s="217">
        <f t="shared" si="655"/>
        <v>2.88</v>
      </c>
      <c r="CM234" s="217">
        <f t="shared" si="656"/>
        <v>0.36</v>
      </c>
      <c r="CN234" s="541">
        <f t="shared" si="657"/>
        <v>60</v>
      </c>
      <c r="CO234" s="443">
        <f t="shared" si="658"/>
        <v>16.7</v>
      </c>
      <c r="CP234" s="443">
        <f t="shared" si="659"/>
        <v>76.7</v>
      </c>
      <c r="CQ234" s="443"/>
      <c r="CR234" s="217">
        <f t="shared" si="660"/>
        <v>0.21465968586387432</v>
      </c>
      <c r="CS234" s="172">
        <f t="shared" si="661"/>
        <v>28.621291448516576</v>
      </c>
      <c r="CT234" s="172">
        <f t="shared" si="662"/>
        <v>4.0248691099476437</v>
      </c>
      <c r="CU234" s="217">
        <f t="shared" si="663"/>
        <v>1.788830715532286</v>
      </c>
      <c r="CV234" s="217">
        <f t="shared" si="664"/>
        <v>3.577661431064572</v>
      </c>
      <c r="CW234" s="217">
        <f t="shared" si="665"/>
        <v>16</v>
      </c>
      <c r="CX234" s="217">
        <f t="shared" si="666"/>
        <v>0.5031219512195122</v>
      </c>
      <c r="CY234" s="217">
        <f t="shared" si="667"/>
        <v>0.10062439024390243</v>
      </c>
      <c r="CZ234" s="217">
        <f t="shared" si="668"/>
        <v>0.36152475536731415</v>
      </c>
      <c r="DA234" s="197">
        <f t="shared" si="669"/>
        <v>350</v>
      </c>
      <c r="DB234" s="443">
        <f t="shared" si="670"/>
        <v>350</v>
      </c>
      <c r="DD234" s="217">
        <f t="shared" si="671"/>
        <v>3.1104488731607378</v>
      </c>
      <c r="DE234" s="173">
        <f t="shared" si="672"/>
        <v>2.23505308251071</v>
      </c>
      <c r="DF234" s="173">
        <f t="shared" si="673"/>
        <v>1.0814250754144243</v>
      </c>
      <c r="DG234" s="173"/>
      <c r="DH234" s="173">
        <f t="shared" si="674"/>
        <v>0.71856287425149712</v>
      </c>
      <c r="DI234" s="545">
        <f t="shared" si="675"/>
        <v>500.99999999999994</v>
      </c>
      <c r="DJ234" s="528">
        <f t="shared" si="676"/>
        <v>0.125748502994012</v>
      </c>
      <c r="DL234" s="173">
        <f t="shared" si="677"/>
        <v>1.2421180068162376</v>
      </c>
      <c r="DM234" s="173">
        <f t="shared" si="678"/>
        <v>1.2421180068162376</v>
      </c>
      <c r="DN234" s="173">
        <f t="shared" si="679"/>
        <v>1.3793466717157314</v>
      </c>
      <c r="DP234" s="545">
        <f t="shared" si="680"/>
        <v>180</v>
      </c>
      <c r="DQ234" s="460">
        <f t="shared" si="681"/>
        <v>350</v>
      </c>
      <c r="DS234">
        <f t="shared" si="682"/>
        <v>180</v>
      </c>
      <c r="DT234">
        <f t="shared" si="683"/>
        <v>350</v>
      </c>
      <c r="DV234" s="5">
        <f t="shared" si="684"/>
        <v>2.8571428571428572</v>
      </c>
      <c r="DW234" s="5">
        <f t="shared" si="685"/>
        <v>0.24842360136324751</v>
      </c>
      <c r="DX234" s="5">
        <f t="shared" si="686"/>
        <v>2.6087192557796097</v>
      </c>
      <c r="DY234" s="173">
        <f t="shared" si="687"/>
        <v>8.6948260477136621E-2</v>
      </c>
      <c r="EA234" s="5">
        <f t="shared" si="713"/>
        <v>0.27947655153365347</v>
      </c>
      <c r="EB234" s="5">
        <f t="shared" si="714"/>
        <v>0.13973827576682674</v>
      </c>
      <c r="EC234" s="5">
        <f t="shared" si="715"/>
        <v>0.10434877023118438</v>
      </c>
      <c r="ED234" s="5"/>
      <c r="EE234" s="173">
        <f t="shared" si="716"/>
        <v>0.2114621674091717</v>
      </c>
      <c r="EF234" s="173">
        <f t="shared" si="717"/>
        <v>0.68525138893717652</v>
      </c>
      <c r="EG234" s="173">
        <f t="shared" si="718"/>
        <v>0.16828967934192424</v>
      </c>
      <c r="EH234" s="173"/>
      <c r="EI234" s="528">
        <f t="shared" si="719"/>
        <v>8.9432496490769123E-4</v>
      </c>
      <c r="EJ234" s="528">
        <f t="shared" si="720"/>
        <v>0.63354849996665619</v>
      </c>
      <c r="EK234" s="528">
        <f t="shared" si="721"/>
        <v>4.0250000000000001E-2</v>
      </c>
      <c r="EL234" s="528">
        <f t="shared" si="722"/>
        <v>1.0140631637499999</v>
      </c>
      <c r="EM234">
        <f t="shared" si="723"/>
        <v>2.7E-2</v>
      </c>
      <c r="EN234" s="460">
        <f t="shared" si="724"/>
        <v>67.25</v>
      </c>
      <c r="EP234" s="460">
        <f t="shared" si="725"/>
        <v>1715.7559886815636</v>
      </c>
      <c r="EQ234" s="173">
        <f t="shared" si="726"/>
        <v>0.126</v>
      </c>
      <c r="ER234" s="173">
        <f t="shared" si="688"/>
        <v>1.9968749999999997E-2</v>
      </c>
      <c r="ES234" s="528"/>
      <c r="EU234" s="460">
        <f t="shared" si="727"/>
        <v>145.96875</v>
      </c>
      <c r="EV234" s="528">
        <f t="shared" si="728"/>
        <v>1.3414874473615369E-3</v>
      </c>
      <c r="EW234" s="528">
        <f t="shared" si="729"/>
        <v>1.4087083981209886E-2</v>
      </c>
      <c r="EX234" s="528">
        <f t="shared" si="730"/>
        <v>1.4160708086503841E-4</v>
      </c>
      <c r="EY234" s="528">
        <f t="shared" si="731"/>
        <v>0.19703676092622247</v>
      </c>
      <c r="EZ234" s="528"/>
      <c r="FA234" s="625">
        <f t="shared" si="732"/>
        <v>2.7000000000000001E-3</v>
      </c>
      <c r="FB234" s="460">
        <f t="shared" si="733"/>
        <v>215.30693943565893</v>
      </c>
      <c r="FC234" s="173">
        <f t="shared" si="734"/>
        <v>2.0770316781172227</v>
      </c>
      <c r="FD234" s="5">
        <f t="shared" si="735"/>
        <v>3.2399999999999998</v>
      </c>
      <c r="FE234" s="173">
        <f t="shared" si="736"/>
        <v>0.60936255342140333</v>
      </c>
      <c r="FF234" s="5">
        <f t="shared" si="737"/>
        <v>60.936255342140335</v>
      </c>
      <c r="FG234">
        <f t="shared" si="738"/>
        <v>18</v>
      </c>
      <c r="FI234" s="562">
        <f t="shared" si="689"/>
        <v>-50</v>
      </c>
    </row>
    <row r="235" spans="5:165">
      <c r="E235" s="170">
        <v>19</v>
      </c>
      <c r="F235" s="217">
        <f t="shared" si="690"/>
        <v>0.19</v>
      </c>
      <c r="G235" s="217">
        <f t="shared" si="617"/>
        <v>4.7500000000000001E-2</v>
      </c>
      <c r="H235" s="217">
        <f t="shared" si="618"/>
        <v>3.04</v>
      </c>
      <c r="I235" s="217">
        <f t="shared" si="619"/>
        <v>0.38</v>
      </c>
      <c r="J235" s="541">
        <f t="shared" si="620"/>
        <v>59.959286115131647</v>
      </c>
      <c r="K235" s="443">
        <f t="shared" si="621"/>
        <v>16.718047556225546</v>
      </c>
      <c r="L235" s="172">
        <f t="shared" si="622"/>
        <v>76.677333671357189</v>
      </c>
      <c r="M235" s="443"/>
      <c r="N235" s="217">
        <f t="shared" si="623"/>
        <v>0.21803115413323992</v>
      </c>
      <c r="O235" s="172">
        <f t="shared" si="624"/>
        <v>29.051094117082886</v>
      </c>
      <c r="P235" s="172">
        <f t="shared" si="625"/>
        <v>4.0853101102147811</v>
      </c>
      <c r="Q235" s="217">
        <f t="shared" si="626"/>
        <v>1.8156933823176804</v>
      </c>
      <c r="R235" s="217">
        <f t="shared" si="627"/>
        <v>3.6313867646353608</v>
      </c>
      <c r="S235" s="217">
        <f t="shared" si="628"/>
        <v>16</v>
      </c>
      <c r="T235" s="217">
        <f t="shared" si="629"/>
        <v>0.52321609433160576</v>
      </c>
      <c r="U235" s="217">
        <f t="shared" si="630"/>
        <v>0.10471427428144062</v>
      </c>
      <c r="V235" s="217">
        <f t="shared" si="631"/>
        <v>0.37555779829333102</v>
      </c>
      <c r="W235" s="197">
        <f t="shared" si="632"/>
        <v>350</v>
      </c>
      <c r="X235" s="443">
        <f t="shared" si="691"/>
        <v>350</v>
      </c>
      <c r="Z235" s="217">
        <f t="shared" si="633"/>
        <v>3.1126172268303094</v>
      </c>
      <c r="AA235" s="173">
        <f t="shared" si="634"/>
        <v>2.2341967024764577</v>
      </c>
      <c r="AB235" s="173">
        <f t="shared" si="635"/>
        <v>1.0817643113286635</v>
      </c>
      <c r="AC235" s="173"/>
      <c r="AD235" s="173">
        <f t="shared" si="636"/>
        <v>0.71778716740947313</v>
      </c>
      <c r="AE235" s="545">
        <f t="shared" si="637"/>
        <v>529.40483928047558</v>
      </c>
      <c r="AF235" s="528">
        <f t="shared" si="638"/>
        <v>0.1256127542966578</v>
      </c>
      <c r="AH235" s="173">
        <f t="shared" si="639"/>
        <v>1.2761549390929883</v>
      </c>
      <c r="AI235" s="173">
        <f t="shared" si="640"/>
        <v>1.2761549390929883</v>
      </c>
      <c r="AJ235" s="173">
        <f t="shared" si="641"/>
        <v>1.4045592141429544</v>
      </c>
      <c r="AL235" s="545">
        <f t="shared" si="642"/>
        <v>190</v>
      </c>
      <c r="AM235" s="460">
        <f t="shared" si="643"/>
        <v>350</v>
      </c>
      <c r="AO235">
        <f t="shared" si="644"/>
        <v>190</v>
      </c>
      <c r="AP235">
        <f t="shared" si="645"/>
        <v>350</v>
      </c>
      <c r="AR235" s="5">
        <f t="shared" si="616"/>
        <v>2.8571428571428572</v>
      </c>
      <c r="AS235" s="5">
        <f t="shared" si="604"/>
        <v>0.2554042961704171</v>
      </c>
      <c r="AT235" s="5">
        <f t="shared" si="605"/>
        <v>2.6017385609724402</v>
      </c>
      <c r="AU235" s="173">
        <f t="shared" si="606"/>
        <v>8.9391503659645988E-2</v>
      </c>
      <c r="BA235" s="173">
        <f t="shared" si="692"/>
        <v>0.22028803025216614</v>
      </c>
      <c r="BB235" s="173">
        <f t="shared" si="693"/>
        <v>0.70308628672785511</v>
      </c>
      <c r="BC235" s="173">
        <f t="shared" si="694"/>
        <v>0.17266972041698794</v>
      </c>
      <c r="BD235" s="173"/>
      <c r="BE235" s="528">
        <f t="shared" si="695"/>
        <v>9.7053632544758536E-4</v>
      </c>
      <c r="BF235" s="528">
        <f t="shared" si="646"/>
        <v>0.62503065974356009</v>
      </c>
      <c r="BG235" s="528">
        <f t="shared" si="647"/>
        <v>0.48267225322680979</v>
      </c>
      <c r="BH235" s="528">
        <f t="shared" si="696"/>
        <v>1.0134639018812732</v>
      </c>
      <c r="BI235">
        <f t="shared" si="697"/>
        <v>2.6981678751809242E-2</v>
      </c>
      <c r="BJ235" s="460">
        <f t="shared" si="698"/>
        <v>509.65393197861908</v>
      </c>
      <c r="BK235">
        <f t="shared" si="648"/>
        <v>1.6401053501185483</v>
      </c>
      <c r="BL235" s="460">
        <f t="shared" si="699"/>
        <v>2149.1190299288996</v>
      </c>
      <c r="BM235" s="173">
        <f t="shared" si="649"/>
        <v>0.11803749999999998</v>
      </c>
      <c r="BN235" s="173">
        <f t="shared" si="650"/>
        <v>2.1078125E-2</v>
      </c>
      <c r="BQ235" s="460">
        <f t="shared" si="700"/>
        <v>139.11562499999997</v>
      </c>
      <c r="BR235" s="528">
        <f t="shared" si="701"/>
        <v>1.4558044881713779E-3</v>
      </c>
      <c r="BS235" s="528">
        <f t="shared" si="702"/>
        <v>1.4829909797542909E-2</v>
      </c>
      <c r="BT235" s="528">
        <f t="shared" si="703"/>
        <v>1.4907416174440391E-4</v>
      </c>
      <c r="BU235" s="528">
        <f t="shared" si="704"/>
        <v>0.21081360229550203</v>
      </c>
      <c r="BV235" s="528"/>
      <c r="BW235" s="625">
        <f t="shared" si="705"/>
        <v>2.8500000000000001E-3</v>
      </c>
      <c r="BX235" s="460">
        <f t="shared" si="706"/>
        <v>230.0983907429607</v>
      </c>
      <c r="BY235" s="173">
        <f t="shared" si="707"/>
        <v>2.5183330456718593</v>
      </c>
      <c r="BZ235" s="5">
        <f t="shared" si="708"/>
        <v>3.42</v>
      </c>
      <c r="CA235" s="173">
        <f t="shared" si="709"/>
        <v>0.57591919713776563</v>
      </c>
      <c r="CB235" s="5">
        <f t="shared" si="710"/>
        <v>57.591919713776562</v>
      </c>
      <c r="CC235">
        <f t="shared" si="711"/>
        <v>19</v>
      </c>
      <c r="CE235" s="562">
        <f t="shared" si="651"/>
        <v>-50</v>
      </c>
      <c r="CG235" s="173">
        <f t="shared" si="652"/>
        <v>0.31583223394707516</v>
      </c>
      <c r="CH235" s="173">
        <f t="shared" si="653"/>
        <v>0.11366948933537845</v>
      </c>
      <c r="CI235" s="170">
        <v>19</v>
      </c>
      <c r="CJ235" s="217">
        <f t="shared" si="712"/>
        <v>0.19</v>
      </c>
      <c r="CK235" s="217">
        <f t="shared" si="654"/>
        <v>4.7500000000000001E-2</v>
      </c>
      <c r="CL235" s="217">
        <f t="shared" si="655"/>
        <v>3.04</v>
      </c>
      <c r="CM235" s="217">
        <f t="shared" si="656"/>
        <v>0.38</v>
      </c>
      <c r="CN235" s="541">
        <f t="shared" si="657"/>
        <v>60</v>
      </c>
      <c r="CO235" s="443">
        <f t="shared" si="658"/>
        <v>16.7</v>
      </c>
      <c r="CP235" s="443">
        <f t="shared" si="659"/>
        <v>76.7</v>
      </c>
      <c r="CQ235" s="443"/>
      <c r="CR235" s="217">
        <f t="shared" si="660"/>
        <v>0.21465968586387432</v>
      </c>
      <c r="CS235" s="172">
        <f t="shared" si="661"/>
        <v>28.621291448516576</v>
      </c>
      <c r="CT235" s="172">
        <f t="shared" si="662"/>
        <v>4.0248691099476437</v>
      </c>
      <c r="CU235" s="217">
        <f t="shared" si="663"/>
        <v>1.788830715532286</v>
      </c>
      <c r="CV235" s="217">
        <f t="shared" si="664"/>
        <v>3.577661431064572</v>
      </c>
      <c r="CW235" s="217">
        <f t="shared" si="665"/>
        <v>16</v>
      </c>
      <c r="CX235" s="217">
        <f t="shared" si="666"/>
        <v>0.53107317073170734</v>
      </c>
      <c r="CY235" s="217">
        <f t="shared" si="667"/>
        <v>0.10621463414634147</v>
      </c>
      <c r="CZ235" s="217">
        <f t="shared" si="668"/>
        <v>0.38160946399883161</v>
      </c>
      <c r="DA235" s="197">
        <f t="shared" si="669"/>
        <v>350</v>
      </c>
      <c r="DB235" s="443">
        <f t="shared" si="670"/>
        <v>350</v>
      </c>
      <c r="DD235" s="217">
        <f t="shared" si="671"/>
        <v>3.1104488731607378</v>
      </c>
      <c r="DE235" s="173">
        <f t="shared" si="672"/>
        <v>2.23505308251071</v>
      </c>
      <c r="DF235" s="173">
        <f t="shared" si="673"/>
        <v>1.0814250754144243</v>
      </c>
      <c r="DG235" s="173"/>
      <c r="DH235" s="173">
        <f t="shared" si="674"/>
        <v>0.71856287425149712</v>
      </c>
      <c r="DI235" s="545">
        <f t="shared" si="675"/>
        <v>528.83333333333326</v>
      </c>
      <c r="DJ235" s="528">
        <f t="shared" si="676"/>
        <v>0.125748502994012</v>
      </c>
      <c r="DL235" s="173">
        <f t="shared" si="677"/>
        <v>1.2761549390929883</v>
      </c>
      <c r="DM235" s="173">
        <f t="shared" si="678"/>
        <v>1.2761549390929883</v>
      </c>
      <c r="DN235" s="173">
        <f t="shared" si="679"/>
        <v>1.4045592141429544</v>
      </c>
      <c r="DP235" s="545">
        <f t="shared" si="680"/>
        <v>190</v>
      </c>
      <c r="DQ235" s="460">
        <f t="shared" si="681"/>
        <v>350</v>
      </c>
      <c r="DS235">
        <f t="shared" si="682"/>
        <v>190</v>
      </c>
      <c r="DT235">
        <f t="shared" si="683"/>
        <v>350</v>
      </c>
      <c r="DV235" s="5">
        <f t="shared" si="684"/>
        <v>2.8571428571428572</v>
      </c>
      <c r="DW235" s="5">
        <f t="shared" si="685"/>
        <v>0.25523098781859765</v>
      </c>
      <c r="DX235" s="5">
        <f t="shared" si="686"/>
        <v>2.6019118693242596</v>
      </c>
      <c r="DY235" s="173">
        <f t="shared" si="687"/>
        <v>8.9330845736509179E-2</v>
      </c>
      <c r="EA235" s="5">
        <f t="shared" si="713"/>
        <v>0.30308679803458471</v>
      </c>
      <c r="EB235" s="5">
        <f t="shared" si="714"/>
        <v>0.15154339901729236</v>
      </c>
      <c r="EC235" s="5">
        <f t="shared" si="715"/>
        <v>0.1098585011492465</v>
      </c>
      <c r="ED235" s="5"/>
      <c r="EE235" s="173">
        <f t="shared" si="716"/>
        <v>0.22021327772306001</v>
      </c>
      <c r="EF235" s="173">
        <f t="shared" si="717"/>
        <v>0.70310970351120117</v>
      </c>
      <c r="EG235" s="173">
        <f t="shared" si="718"/>
        <v>0.17267547130348615</v>
      </c>
      <c r="EH235" s="173"/>
      <c r="EI235" s="528">
        <f t="shared" si="719"/>
        <v>9.698777537106712E-4</v>
      </c>
      <c r="EJ235" s="528">
        <f t="shared" si="720"/>
        <v>0.65090920745907421</v>
      </c>
      <c r="EK235" s="528">
        <f t="shared" si="721"/>
        <v>4.0250000000000001E-2</v>
      </c>
      <c r="EL235" s="528">
        <f t="shared" si="722"/>
        <v>1.0140631637499999</v>
      </c>
      <c r="EM235">
        <f t="shared" si="723"/>
        <v>2.7E-2</v>
      </c>
      <c r="EN235" s="460">
        <f t="shared" si="724"/>
        <v>67.25</v>
      </c>
      <c r="EP235" s="460">
        <f t="shared" si="725"/>
        <v>1733.1922489627848</v>
      </c>
      <c r="EQ235" s="173">
        <f t="shared" si="726"/>
        <v>0.13299999999999998</v>
      </c>
      <c r="ER235" s="173">
        <f t="shared" si="688"/>
        <v>2.1078125E-2</v>
      </c>
      <c r="ES235" s="528"/>
      <c r="EU235" s="460">
        <f t="shared" si="727"/>
        <v>154.07812499999997</v>
      </c>
      <c r="EV235" s="528">
        <f t="shared" si="728"/>
        <v>1.4548166305660068E-3</v>
      </c>
      <c r="EW235" s="528">
        <f t="shared" si="729"/>
        <v>1.4830897655148277E-2</v>
      </c>
      <c r="EX235" s="528">
        <f t="shared" si="730"/>
        <v>1.4908409194940535E-4</v>
      </c>
      <c r="EY235" s="528">
        <f t="shared" si="731"/>
        <v>0.21081360229550203</v>
      </c>
      <c r="EZ235" s="528"/>
      <c r="FA235" s="625">
        <f t="shared" si="732"/>
        <v>2.8500000000000001E-3</v>
      </c>
      <c r="FB235" s="460">
        <f t="shared" si="733"/>
        <v>230.09840067316568</v>
      </c>
      <c r="FC235" s="173">
        <f t="shared" si="734"/>
        <v>2.1173687746359504</v>
      </c>
      <c r="FD235" s="5">
        <f t="shared" si="735"/>
        <v>3.42</v>
      </c>
      <c r="FE235" s="173">
        <f t="shared" si="736"/>
        <v>0.61762185962137672</v>
      </c>
      <c r="FF235" s="5">
        <f t="shared" si="737"/>
        <v>61.762185962137671</v>
      </c>
      <c r="FG235">
        <f t="shared" si="738"/>
        <v>19</v>
      </c>
      <c r="FI235" s="562">
        <f t="shared" si="689"/>
        <v>-50</v>
      </c>
    </row>
    <row r="236" spans="5:165">
      <c r="E236" s="170">
        <v>20</v>
      </c>
      <c r="F236" s="217">
        <f t="shared" si="690"/>
        <v>0.2</v>
      </c>
      <c r="G236" s="217">
        <f t="shared" si="617"/>
        <v>0.05</v>
      </c>
      <c r="H236" s="217">
        <f t="shared" si="618"/>
        <v>3.2</v>
      </c>
      <c r="I236" s="217">
        <f t="shared" si="619"/>
        <v>0.4</v>
      </c>
      <c r="J236" s="541">
        <f t="shared" si="620"/>
        <v>59.958228435495784</v>
      </c>
      <c r="K236" s="443">
        <f t="shared" si="621"/>
        <v>16.718516401995451</v>
      </c>
      <c r="L236" s="172">
        <f t="shared" si="622"/>
        <v>76.676744837491242</v>
      </c>
      <c r="M236" s="443"/>
      <c r="N236" s="217">
        <f t="shared" si="623"/>
        <v>0.21803894306453267</v>
      </c>
      <c r="O236" s="172">
        <f t="shared" si="624"/>
        <v>29.051619457994022</v>
      </c>
      <c r="P236" s="172">
        <f t="shared" si="625"/>
        <v>4.0853839862804096</v>
      </c>
      <c r="Q236" s="217">
        <f t="shared" si="626"/>
        <v>1.8157262161246264</v>
      </c>
      <c r="R236" s="217">
        <f t="shared" si="627"/>
        <v>3.6314524322492527</v>
      </c>
      <c r="S236" s="217">
        <f t="shared" si="628"/>
        <v>16</v>
      </c>
      <c r="T236" s="217">
        <f t="shared" si="629"/>
        <v>0.55074382421725354</v>
      </c>
      <c r="U236" s="217">
        <f t="shared" si="630"/>
        <v>0.1102255030386205</v>
      </c>
      <c r="V236" s="217">
        <f t="shared" si="631"/>
        <v>0.39530576348378788</v>
      </c>
      <c r="W236" s="197">
        <f t="shared" si="632"/>
        <v>350</v>
      </c>
      <c r="X236" s="443">
        <f t="shared" si="691"/>
        <v>350</v>
      </c>
      <c r="Z236" s="217">
        <f t="shared" si="633"/>
        <v>3.1126735133565022</v>
      </c>
      <c r="AA236" s="173">
        <f t="shared" si="634"/>
        <v>2.2341744483870496</v>
      </c>
      <c r="AB236" s="173">
        <f t="shared" si="635"/>
        <v>1.0817730979552376</v>
      </c>
      <c r="AC236" s="173"/>
      <c r="AD236" s="173">
        <f t="shared" si="636"/>
        <v>0.71776703814267462</v>
      </c>
      <c r="AE236" s="545">
        <f t="shared" si="637"/>
        <v>557.28388006651505</v>
      </c>
      <c r="AF236" s="528">
        <f t="shared" si="638"/>
        <v>0.12560923167496804</v>
      </c>
      <c r="AH236" s="173">
        <f t="shared" si="639"/>
        <v>1.3093073414159542</v>
      </c>
      <c r="AI236" s="173">
        <f t="shared" si="640"/>
        <v>1.3093073414159542</v>
      </c>
      <c r="AJ236" s="173">
        <f t="shared" si="641"/>
        <v>1.429116549197003</v>
      </c>
      <c r="AL236" s="545">
        <f t="shared" si="642"/>
        <v>200</v>
      </c>
      <c r="AM236" s="460">
        <f t="shared" si="643"/>
        <v>350</v>
      </c>
      <c r="AO236">
        <f t="shared" si="644"/>
        <v>200</v>
      </c>
      <c r="AP236">
        <f t="shared" si="645"/>
        <v>350</v>
      </c>
      <c r="AR236" s="5">
        <f t="shared" si="616"/>
        <v>2.8571428571428572</v>
      </c>
      <c r="AS236" s="5">
        <f t="shared" si="604"/>
        <v>0.2620439013453239</v>
      </c>
      <c r="AT236" s="5">
        <f t="shared" si="605"/>
        <v>2.5950989557975332</v>
      </c>
      <c r="AU236" s="173">
        <f t="shared" si="606"/>
        <v>9.1715365470863369E-2</v>
      </c>
      <c r="BA236" s="173">
        <f t="shared" si="692"/>
        <v>0.22892964043361613</v>
      </c>
      <c r="BB236" s="173">
        <f t="shared" si="693"/>
        <v>0.72043028195621162</v>
      </c>
      <c r="BC236" s="173">
        <f t="shared" si="694"/>
        <v>0.1769292015980696</v>
      </c>
      <c r="BD236" s="173"/>
      <c r="BE236" s="528">
        <f t="shared" si="695"/>
        <v>1.0481756053812954E-3</v>
      </c>
      <c r="BF236" s="528">
        <f t="shared" si="646"/>
        <v>0.641263001750628</v>
      </c>
      <c r="BG236" s="528">
        <f t="shared" si="647"/>
        <v>0.4826637389057411</v>
      </c>
      <c r="BH236" s="528">
        <f t="shared" si="696"/>
        <v>1.0134483364058609</v>
      </c>
      <c r="BI236">
        <f t="shared" si="697"/>
        <v>2.6981202795973103E-2</v>
      </c>
      <c r="BJ236" s="460">
        <f t="shared" si="698"/>
        <v>509.64494170171417</v>
      </c>
      <c r="BK236">
        <f t="shared" si="648"/>
        <v>1.6564550555488025</v>
      </c>
      <c r="BL236" s="460">
        <f t="shared" si="699"/>
        <v>2165.4044554635843</v>
      </c>
      <c r="BM236" s="173">
        <f t="shared" si="649"/>
        <v>0.12424999999999999</v>
      </c>
      <c r="BN236" s="173">
        <f t="shared" si="650"/>
        <v>2.2187499999999999E-2</v>
      </c>
      <c r="BQ236" s="460">
        <f t="shared" si="700"/>
        <v>146.4375</v>
      </c>
      <c r="BR236" s="528">
        <f t="shared" si="701"/>
        <v>1.5722634080719432E-3</v>
      </c>
      <c r="BS236" s="528">
        <f t="shared" si="702"/>
        <v>1.5570593734785197E-2</v>
      </c>
      <c r="BT236" s="528">
        <f t="shared" si="703"/>
        <v>1.5651971189065177E-4</v>
      </c>
      <c r="BU236" s="528">
        <f t="shared" si="704"/>
        <v>0.22477299000744716</v>
      </c>
      <c r="BV236" s="528"/>
      <c r="BW236" s="625">
        <f t="shared" si="705"/>
        <v>2.9999999999999996E-3</v>
      </c>
      <c r="BX236" s="460">
        <f t="shared" si="706"/>
        <v>245.07236686219497</v>
      </c>
      <c r="BY236" s="173">
        <f t="shared" si="707"/>
        <v>2.5569143223257793</v>
      </c>
      <c r="BZ236" s="5">
        <f t="shared" si="708"/>
        <v>3.6</v>
      </c>
      <c r="CA236" s="173">
        <f t="shared" si="709"/>
        <v>0.58470847758038924</v>
      </c>
      <c r="CB236" s="5">
        <f t="shared" si="710"/>
        <v>58.470847758038921</v>
      </c>
      <c r="CC236">
        <f t="shared" si="711"/>
        <v>20</v>
      </c>
      <c r="CE236" s="562">
        <f t="shared" si="651"/>
        <v>-50</v>
      </c>
      <c r="CG236" s="173">
        <f t="shared" si="652"/>
        <v>0.32403703492039304</v>
      </c>
      <c r="CH236" s="173">
        <f t="shared" si="653"/>
        <v>0.11662243535067258</v>
      </c>
      <c r="CI236" s="170">
        <v>20</v>
      </c>
      <c r="CJ236" s="217">
        <f t="shared" si="712"/>
        <v>0.2</v>
      </c>
      <c r="CK236" s="217">
        <f t="shared" si="654"/>
        <v>0.05</v>
      </c>
      <c r="CL236" s="217">
        <f t="shared" si="655"/>
        <v>3.2</v>
      </c>
      <c r="CM236" s="217">
        <f t="shared" si="656"/>
        <v>0.4</v>
      </c>
      <c r="CN236" s="541">
        <f t="shared" si="657"/>
        <v>60</v>
      </c>
      <c r="CO236" s="443">
        <f t="shared" si="658"/>
        <v>16.7</v>
      </c>
      <c r="CP236" s="443">
        <f t="shared" si="659"/>
        <v>76.7</v>
      </c>
      <c r="CQ236" s="443"/>
      <c r="CR236" s="217">
        <f t="shared" si="660"/>
        <v>0.21465968586387432</v>
      </c>
      <c r="CS236" s="172">
        <f t="shared" si="661"/>
        <v>28.621291448516576</v>
      </c>
      <c r="CT236" s="172">
        <f t="shared" si="662"/>
        <v>4.0248691099476437</v>
      </c>
      <c r="CU236" s="217">
        <f t="shared" si="663"/>
        <v>1.788830715532286</v>
      </c>
      <c r="CV236" s="217">
        <f t="shared" si="664"/>
        <v>3.577661431064572</v>
      </c>
      <c r="CW236" s="217">
        <f t="shared" si="665"/>
        <v>16</v>
      </c>
      <c r="CX236" s="217">
        <f t="shared" si="666"/>
        <v>0.55902439024390249</v>
      </c>
      <c r="CY236" s="217">
        <f t="shared" si="667"/>
        <v>0.1118048780487805</v>
      </c>
      <c r="CZ236" s="217">
        <f t="shared" si="668"/>
        <v>0.40169417263034912</v>
      </c>
      <c r="DA236" s="197">
        <f t="shared" si="669"/>
        <v>350</v>
      </c>
      <c r="DB236" s="443">
        <f t="shared" si="670"/>
        <v>350</v>
      </c>
      <c r="DD236" s="217">
        <f t="shared" si="671"/>
        <v>3.1104488731607378</v>
      </c>
      <c r="DE236" s="173">
        <f t="shared" si="672"/>
        <v>2.23505308251071</v>
      </c>
      <c r="DF236" s="173">
        <f t="shared" si="673"/>
        <v>1.0814250754144243</v>
      </c>
      <c r="DG236" s="173"/>
      <c r="DH236" s="173">
        <f t="shared" si="674"/>
        <v>0.71856287425149712</v>
      </c>
      <c r="DI236" s="545">
        <f t="shared" si="675"/>
        <v>556.66666666666663</v>
      </c>
      <c r="DJ236" s="528">
        <f t="shared" si="676"/>
        <v>0.125748502994012</v>
      </c>
      <c r="DL236" s="173">
        <f t="shared" si="677"/>
        <v>1.3093073414159542</v>
      </c>
      <c r="DM236" s="173">
        <f t="shared" si="678"/>
        <v>1.3093073414159542</v>
      </c>
      <c r="DN236" s="173">
        <f t="shared" si="679"/>
        <v>1.429116549197003</v>
      </c>
      <c r="DP236" s="545">
        <f t="shared" si="680"/>
        <v>200</v>
      </c>
      <c r="DQ236" s="460">
        <f t="shared" si="681"/>
        <v>350</v>
      </c>
      <c r="DS236">
        <f t="shared" si="682"/>
        <v>200</v>
      </c>
      <c r="DT236">
        <f t="shared" si="683"/>
        <v>350</v>
      </c>
      <c r="DV236" s="5">
        <f t="shared" si="684"/>
        <v>2.8571428571428572</v>
      </c>
      <c r="DW236" s="5">
        <f t="shared" si="685"/>
        <v>0.26186146828319085</v>
      </c>
      <c r="DX236" s="5">
        <f t="shared" si="686"/>
        <v>2.5952813888596662</v>
      </c>
      <c r="DY236" s="173">
        <f t="shared" si="687"/>
        <v>9.1651513899116799E-2</v>
      </c>
      <c r="EA236" s="5">
        <f t="shared" si="713"/>
        <v>0.3273268353539886</v>
      </c>
      <c r="EB236" s="5">
        <f t="shared" si="714"/>
        <v>0.1636634176769943</v>
      </c>
      <c r="EC236" s="5">
        <f t="shared" si="715"/>
        <v>0.11534583950487404</v>
      </c>
      <c r="ED236" s="5"/>
      <c r="EE236" s="173">
        <f t="shared" si="716"/>
        <v>0.22884993698194056</v>
      </c>
      <c r="EF236" s="173">
        <f t="shared" si="717"/>
        <v>0.72045560430323063</v>
      </c>
      <c r="EG236" s="173">
        <f t="shared" si="718"/>
        <v>0.17693542046858751</v>
      </c>
      <c r="EH236" s="173"/>
      <c r="EI236" s="528">
        <f t="shared" si="719"/>
        <v>1.0474458731327633E-3</v>
      </c>
      <c r="EJ236" s="528">
        <f t="shared" si="720"/>
        <v>0.66781875602591456</v>
      </c>
      <c r="EK236" s="528">
        <f t="shared" si="721"/>
        <v>4.0250000000000001E-2</v>
      </c>
      <c r="EL236" s="528">
        <f t="shared" si="722"/>
        <v>1.0140631637499999</v>
      </c>
      <c r="EM236">
        <f t="shared" si="723"/>
        <v>2.7E-2</v>
      </c>
      <c r="EN236" s="460">
        <f t="shared" si="724"/>
        <v>67.25</v>
      </c>
      <c r="EP236" s="460">
        <f t="shared" si="725"/>
        <v>1750.1793656490472</v>
      </c>
      <c r="EQ236" s="173">
        <f t="shared" si="726"/>
        <v>0.13999999999999999</v>
      </c>
      <c r="ER236" s="173">
        <f t="shared" si="688"/>
        <v>2.2187499999999999E-2</v>
      </c>
      <c r="ES236" s="528"/>
      <c r="EU236" s="460">
        <f t="shared" si="727"/>
        <v>162.18749999999997</v>
      </c>
      <c r="EV236" s="528">
        <f t="shared" si="728"/>
        <v>1.5711688096991449E-3</v>
      </c>
      <c r="EW236" s="528">
        <f t="shared" si="729"/>
        <v>1.5571688333157994E-2</v>
      </c>
      <c r="EX236" s="528">
        <f t="shared" si="730"/>
        <v>1.565307150819793E-4</v>
      </c>
      <c r="EY236" s="528">
        <f t="shared" si="731"/>
        <v>0.22477299000744716</v>
      </c>
      <c r="EZ236" s="528"/>
      <c r="FA236" s="625">
        <f t="shared" si="732"/>
        <v>2.9999999999999996E-3</v>
      </c>
      <c r="FB236" s="460">
        <f t="shared" si="733"/>
        <v>245.07237786538627</v>
      </c>
      <c r="FC236" s="173">
        <f t="shared" si="734"/>
        <v>2.1574392435144336</v>
      </c>
      <c r="FD236" s="5">
        <f t="shared" si="735"/>
        <v>3.6</v>
      </c>
      <c r="FE236" s="173">
        <f t="shared" si="736"/>
        <v>0.62527798344642238</v>
      </c>
      <c r="FF236" s="5">
        <f t="shared" si="737"/>
        <v>62.527798344642235</v>
      </c>
      <c r="FG236">
        <f t="shared" si="738"/>
        <v>20</v>
      </c>
      <c r="FI236" s="562">
        <f t="shared" si="689"/>
        <v>-50</v>
      </c>
    </row>
    <row r="237" spans="5:165">
      <c r="E237" s="170">
        <v>21</v>
      </c>
      <c r="F237" s="217">
        <f t="shared" si="690"/>
        <v>0.21</v>
      </c>
      <c r="G237" s="217">
        <f t="shared" si="617"/>
        <v>5.2499999999999998E-2</v>
      </c>
      <c r="H237" s="217">
        <f t="shared" si="618"/>
        <v>3.36</v>
      </c>
      <c r="I237" s="217">
        <f t="shared" si="619"/>
        <v>0.42</v>
      </c>
      <c r="J237" s="541">
        <f t="shared" si="620"/>
        <v>59.957196883510818</v>
      </c>
      <c r="K237" s="443">
        <f t="shared" si="621"/>
        <v>16.718973665961009</v>
      </c>
      <c r="L237" s="172">
        <f t="shared" si="622"/>
        <v>76.676170549471834</v>
      </c>
      <c r="M237" s="443"/>
      <c r="N237" s="217">
        <f t="shared" si="623"/>
        <v>0.2180465397026296</v>
      </c>
      <c r="O237" s="172">
        <f t="shared" si="624"/>
        <v>29.05213180159738</v>
      </c>
      <c r="P237" s="172">
        <f t="shared" si="625"/>
        <v>4.0854560345996314</v>
      </c>
      <c r="Q237" s="217">
        <f t="shared" si="626"/>
        <v>1.8157582375998362</v>
      </c>
      <c r="R237" s="217">
        <f t="shared" si="627"/>
        <v>3.6315164751996725</v>
      </c>
      <c r="S237" s="217">
        <f t="shared" si="628"/>
        <v>16</v>
      </c>
      <c r="T237" s="217">
        <f t="shared" si="629"/>
        <v>0.57827081725810847</v>
      </c>
      <c r="U237" s="217">
        <f t="shared" si="630"/>
        <v>0.11573672832936767</v>
      </c>
      <c r="V237" s="217">
        <f t="shared" si="631"/>
        <v>0.41505237975374443</v>
      </c>
      <c r="W237" s="197">
        <f t="shared" si="632"/>
        <v>350</v>
      </c>
      <c r="X237" s="443">
        <f t="shared" si="691"/>
        <v>350</v>
      </c>
      <c r="Z237" s="217">
        <f t="shared" si="633"/>
        <v>3.1127284073140049</v>
      </c>
      <c r="AA237" s="173">
        <f t="shared" si="634"/>
        <v>2.2341527437067721</v>
      </c>
      <c r="AB237" s="173">
        <f t="shared" si="635"/>
        <v>1.0817816662511592</v>
      </c>
      <c r="AC237" s="173"/>
      <c r="AD237" s="173">
        <f t="shared" si="636"/>
        <v>0.71774740721264474</v>
      </c>
      <c r="AE237" s="545">
        <f t="shared" si="637"/>
        <v>585.16407830863523</v>
      </c>
      <c r="AF237" s="528">
        <f t="shared" si="638"/>
        <v>0.12560579626221283</v>
      </c>
      <c r="AH237" s="173">
        <f t="shared" si="639"/>
        <v>1.3416407864998738</v>
      </c>
      <c r="AI237" s="173">
        <f t="shared" si="640"/>
        <v>1.3416407864998738</v>
      </c>
      <c r="AJ237" s="173">
        <f t="shared" si="641"/>
        <v>1.4530672492591656</v>
      </c>
      <c r="AL237" s="545">
        <f t="shared" si="642"/>
        <v>210</v>
      </c>
      <c r="AM237" s="460">
        <f t="shared" si="643"/>
        <v>350</v>
      </c>
      <c r="AO237">
        <f t="shared" si="644"/>
        <v>210</v>
      </c>
      <c r="AP237">
        <f t="shared" si="645"/>
        <v>350</v>
      </c>
      <c r="AR237" s="5">
        <f t="shared" si="616"/>
        <v>2.8571428571428572</v>
      </c>
      <c r="AS237" s="5">
        <f t="shared" si="604"/>
        <v>0.26851971531087626</v>
      </c>
      <c r="AT237" s="5">
        <f t="shared" si="605"/>
        <v>2.5886231418319809</v>
      </c>
      <c r="AU237" s="173">
        <f t="shared" si="606"/>
        <v>9.3981900358806686E-2</v>
      </c>
      <c r="BA237" s="173">
        <f t="shared" si="692"/>
        <v>0.23746397666863919</v>
      </c>
      <c r="BB237" s="173">
        <f t="shared" si="693"/>
        <v>0.73729970824944457</v>
      </c>
      <c r="BC237" s="173">
        <f t="shared" si="694"/>
        <v>0.18107213423184887</v>
      </c>
      <c r="BD237" s="173"/>
      <c r="BE237" s="528">
        <f t="shared" si="695"/>
        <v>1.1277828043056804E-3</v>
      </c>
      <c r="BF237" s="528">
        <f t="shared" si="646"/>
        <v>0.65709411920344551</v>
      </c>
      <c r="BG237" s="528">
        <f t="shared" si="647"/>
        <v>0.48265543491226209</v>
      </c>
      <c r="BH237" s="528">
        <f t="shared" si="696"/>
        <v>1.0134331555564504</v>
      </c>
      <c r="BI237">
        <f t="shared" si="697"/>
        <v>2.6980738597579868E-2</v>
      </c>
      <c r="BJ237" s="460">
        <f t="shared" si="698"/>
        <v>509.63617350984191</v>
      </c>
      <c r="BK237">
        <f t="shared" si="648"/>
        <v>1.6724076992858266</v>
      </c>
      <c r="BL237" s="460">
        <f t="shared" si="699"/>
        <v>2181.2912310740439</v>
      </c>
      <c r="BM237" s="173">
        <f t="shared" si="649"/>
        <v>0.13046249999999998</v>
      </c>
      <c r="BN237" s="173">
        <f t="shared" si="650"/>
        <v>2.3296874999999998E-2</v>
      </c>
      <c r="BQ237" s="460">
        <f t="shared" si="700"/>
        <v>153.75937499999998</v>
      </c>
      <c r="BR237" s="528">
        <f t="shared" si="701"/>
        <v>1.6916742064585204E-3</v>
      </c>
      <c r="BS237" s="528">
        <f t="shared" si="702"/>
        <v>1.6308325793541485E-2</v>
      </c>
      <c r="BT237" s="528">
        <f t="shared" si="703"/>
        <v>1.6393558897638349E-4</v>
      </c>
      <c r="BU237" s="528">
        <f t="shared" si="704"/>
        <v>0.23890802967584152</v>
      </c>
      <c r="BV237" s="528"/>
      <c r="BW237" s="625">
        <f t="shared" si="705"/>
        <v>3.1500000000000005E-3</v>
      </c>
      <c r="BX237" s="460">
        <f t="shared" si="706"/>
        <v>260.22196526481787</v>
      </c>
      <c r="BY237" s="173">
        <f t="shared" si="707"/>
        <v>2.595272571338862</v>
      </c>
      <c r="BZ237" s="5">
        <f t="shared" si="708"/>
        <v>3.78</v>
      </c>
      <c r="CA237" s="173">
        <f t="shared" si="709"/>
        <v>0.59291582559052336</v>
      </c>
      <c r="CB237" s="5">
        <f t="shared" si="710"/>
        <v>59.291582559052337</v>
      </c>
      <c r="CC237">
        <f t="shared" si="711"/>
        <v>21</v>
      </c>
      <c r="CE237" s="562">
        <f t="shared" si="651"/>
        <v>-50</v>
      </c>
      <c r="CG237" s="173">
        <f t="shared" si="652"/>
        <v>0.33203915431767983</v>
      </c>
      <c r="CH237" s="173">
        <f t="shared" si="653"/>
        <v>0.11950243532446481</v>
      </c>
      <c r="CI237" s="170">
        <v>21</v>
      </c>
      <c r="CJ237" s="217">
        <f t="shared" si="712"/>
        <v>0.21</v>
      </c>
      <c r="CK237" s="217">
        <f t="shared" si="654"/>
        <v>5.2499999999999998E-2</v>
      </c>
      <c r="CL237" s="217">
        <f t="shared" si="655"/>
        <v>3.36</v>
      </c>
      <c r="CM237" s="217">
        <f t="shared" si="656"/>
        <v>0.42</v>
      </c>
      <c r="CN237" s="541">
        <f t="shared" si="657"/>
        <v>60</v>
      </c>
      <c r="CO237" s="443">
        <f t="shared" si="658"/>
        <v>16.7</v>
      </c>
      <c r="CP237" s="443">
        <f t="shared" si="659"/>
        <v>76.7</v>
      </c>
      <c r="CQ237" s="443"/>
      <c r="CR237" s="217">
        <f t="shared" si="660"/>
        <v>0.21465968586387432</v>
      </c>
      <c r="CS237" s="172">
        <f t="shared" si="661"/>
        <v>28.621291448516576</v>
      </c>
      <c r="CT237" s="172">
        <f t="shared" si="662"/>
        <v>4.0248691099476437</v>
      </c>
      <c r="CU237" s="217">
        <f t="shared" si="663"/>
        <v>1.788830715532286</v>
      </c>
      <c r="CV237" s="217">
        <f t="shared" si="664"/>
        <v>3.577661431064572</v>
      </c>
      <c r="CW237" s="217">
        <f t="shared" si="665"/>
        <v>16</v>
      </c>
      <c r="CX237" s="217">
        <f t="shared" si="666"/>
        <v>0.58697560975609764</v>
      </c>
      <c r="CY237" s="217">
        <f t="shared" si="667"/>
        <v>0.11739512195121954</v>
      </c>
      <c r="CZ237" s="217">
        <f t="shared" si="668"/>
        <v>0.42177888126186663</v>
      </c>
      <c r="DA237" s="197">
        <f t="shared" si="669"/>
        <v>350</v>
      </c>
      <c r="DB237" s="443">
        <f t="shared" si="670"/>
        <v>350</v>
      </c>
      <c r="DD237" s="217">
        <f t="shared" si="671"/>
        <v>3.1104488731607378</v>
      </c>
      <c r="DE237" s="173">
        <f t="shared" si="672"/>
        <v>2.23505308251071</v>
      </c>
      <c r="DF237" s="173">
        <f t="shared" si="673"/>
        <v>1.0814250754144243</v>
      </c>
      <c r="DG237" s="173"/>
      <c r="DH237" s="173">
        <f t="shared" si="674"/>
        <v>0.71856287425149712</v>
      </c>
      <c r="DI237" s="545">
        <f t="shared" si="675"/>
        <v>584.49999999999989</v>
      </c>
      <c r="DJ237" s="528">
        <f t="shared" si="676"/>
        <v>0.125748502994012</v>
      </c>
      <c r="DL237" s="173">
        <f t="shared" si="677"/>
        <v>1.3416407864998738</v>
      </c>
      <c r="DM237" s="173">
        <f t="shared" si="678"/>
        <v>1.3416407864998738</v>
      </c>
      <c r="DN237" s="173">
        <f t="shared" si="679"/>
        <v>1.4530672492591656</v>
      </c>
      <c r="DP237" s="545">
        <f t="shared" si="680"/>
        <v>210</v>
      </c>
      <c r="DQ237" s="460">
        <f t="shared" si="681"/>
        <v>350</v>
      </c>
      <c r="DS237">
        <f t="shared" si="682"/>
        <v>210</v>
      </c>
      <c r="DT237">
        <f t="shared" si="683"/>
        <v>350</v>
      </c>
      <c r="DV237" s="5">
        <f t="shared" si="684"/>
        <v>2.8571428571428572</v>
      </c>
      <c r="DW237" s="5">
        <f t="shared" si="685"/>
        <v>0.26832815729997478</v>
      </c>
      <c r="DX237" s="5">
        <f t="shared" si="686"/>
        <v>2.5888146998428825</v>
      </c>
      <c r="DY237" s="173">
        <f t="shared" si="687"/>
        <v>9.391485505499117E-2</v>
      </c>
      <c r="EA237" s="5">
        <f t="shared" si="713"/>
        <v>0.35218070645621691</v>
      </c>
      <c r="EB237" s="5">
        <f t="shared" si="714"/>
        <v>0.17609035322810845</v>
      </c>
      <c r="EC237" s="5">
        <f t="shared" si="715"/>
        <v>0.12081135265933449</v>
      </c>
      <c r="ED237" s="5"/>
      <c r="EE237" s="173">
        <f t="shared" si="716"/>
        <v>0.23737925990489292</v>
      </c>
      <c r="EF237" s="173">
        <f t="shared" si="717"/>
        <v>0.73732698781951911</v>
      </c>
      <c r="EG237" s="173">
        <f t="shared" si="718"/>
        <v>0.18107883377332307</v>
      </c>
      <c r="EH237" s="173"/>
      <c r="EI237" s="528">
        <f t="shared" si="719"/>
        <v>1.1269782606598941E-3</v>
      </c>
      <c r="EJ237" s="528">
        <f t="shared" si="720"/>
        <v>0.68431059135819317</v>
      </c>
      <c r="EK237" s="528">
        <f t="shared" si="721"/>
        <v>4.0250000000000001E-2</v>
      </c>
      <c r="EL237" s="528">
        <f t="shared" si="722"/>
        <v>1.0140631637499999</v>
      </c>
      <c r="EM237">
        <f t="shared" si="723"/>
        <v>2.7E-2</v>
      </c>
      <c r="EN237" s="460">
        <f t="shared" si="724"/>
        <v>67.25</v>
      </c>
      <c r="EP237" s="460">
        <f t="shared" si="725"/>
        <v>1766.7507333688529</v>
      </c>
      <c r="EQ237" s="173">
        <f t="shared" si="726"/>
        <v>0.14699999999999999</v>
      </c>
      <c r="ER237" s="173">
        <f t="shared" si="688"/>
        <v>2.3296874999999998E-2</v>
      </c>
      <c r="ES237" s="528"/>
      <c r="EU237" s="460">
        <f t="shared" si="727"/>
        <v>170.296875</v>
      </c>
      <c r="EV237" s="528">
        <f t="shared" si="728"/>
        <v>1.6904673909898412E-3</v>
      </c>
      <c r="EW237" s="528">
        <f t="shared" si="729"/>
        <v>1.6309532609010156E-2</v>
      </c>
      <c r="EX237" s="528">
        <f t="shared" si="730"/>
        <v>1.6394772020353384E-4</v>
      </c>
      <c r="EY237" s="528">
        <f t="shared" si="731"/>
        <v>0.23890802967584152</v>
      </c>
      <c r="EZ237" s="528"/>
      <c r="FA237" s="625">
        <f t="shared" si="732"/>
        <v>3.1500000000000005E-3</v>
      </c>
      <c r="FB237" s="460">
        <f t="shared" si="733"/>
        <v>260.22197739604502</v>
      </c>
      <c r="FC237" s="173">
        <f t="shared" si="734"/>
        <v>2.1972695857648983</v>
      </c>
      <c r="FD237" s="5">
        <f t="shared" si="735"/>
        <v>3.78</v>
      </c>
      <c r="FE237" s="173">
        <f t="shared" si="736"/>
        <v>0.63239576963405131</v>
      </c>
      <c r="FF237" s="5">
        <f t="shared" si="737"/>
        <v>63.239576963405128</v>
      </c>
      <c r="FG237">
        <f t="shared" si="738"/>
        <v>21</v>
      </c>
      <c r="FI237" s="562">
        <f t="shared" si="689"/>
        <v>-50</v>
      </c>
    </row>
    <row r="238" spans="5:165">
      <c r="E238" s="170">
        <v>22</v>
      </c>
      <c r="F238" s="217">
        <f t="shared" si="690"/>
        <v>0.22</v>
      </c>
      <c r="G238" s="217">
        <f t="shared" si="617"/>
        <v>5.5E-2</v>
      </c>
      <c r="H238" s="217">
        <f t="shared" si="618"/>
        <v>3.52</v>
      </c>
      <c r="I238" s="217">
        <f t="shared" si="619"/>
        <v>0.44</v>
      </c>
      <c r="J238" s="541">
        <f t="shared" si="620"/>
        <v>59.956189613546066</v>
      </c>
      <c r="K238" s="443">
        <f t="shared" si="621"/>
        <v>16.719420166249105</v>
      </c>
      <c r="L238" s="172">
        <f t="shared" si="622"/>
        <v>76.675609779795167</v>
      </c>
      <c r="M238" s="443"/>
      <c r="N238" s="217">
        <f t="shared" si="623"/>
        <v>0.21805395763092905</v>
      </c>
      <c r="O238" s="172">
        <f t="shared" si="624"/>
        <v>29.05263206600916</v>
      </c>
      <c r="P238" s="172">
        <f t="shared" si="625"/>
        <v>4.085526384282538</v>
      </c>
      <c r="Q238" s="217">
        <f t="shared" si="626"/>
        <v>1.8157895041255725</v>
      </c>
      <c r="R238" s="217">
        <f t="shared" si="627"/>
        <v>3.631579008251145</v>
      </c>
      <c r="S238" s="217">
        <f t="shared" si="628"/>
        <v>16</v>
      </c>
      <c r="T238" s="217">
        <f t="shared" si="629"/>
        <v>0.60579709129320336</v>
      </c>
      <c r="U238" s="217">
        <f t="shared" si="630"/>
        <v>0.12124795025126162</v>
      </c>
      <c r="V238" s="217">
        <f t="shared" si="631"/>
        <v>0.43479767977798967</v>
      </c>
      <c r="W238" s="197">
        <f t="shared" si="632"/>
        <v>350</v>
      </c>
      <c r="X238" s="443">
        <f t="shared" si="691"/>
        <v>350</v>
      </c>
      <c r="Z238" s="217">
        <f t="shared" si="633"/>
        <v>3.1127820070724099</v>
      </c>
      <c r="AA238" s="173">
        <f t="shared" si="634"/>
        <v>2.2341315496259169</v>
      </c>
      <c r="AB238" s="173">
        <f t="shared" si="635"/>
        <v>1.0817900316390774</v>
      </c>
      <c r="AC238" s="173"/>
      <c r="AD238" s="173">
        <f t="shared" si="636"/>
        <v>0.71772823941729569</v>
      </c>
      <c r="AE238" s="545">
        <f t="shared" si="637"/>
        <v>613.04540609580056</v>
      </c>
      <c r="AF238" s="528">
        <f t="shared" si="638"/>
        <v>0.12560244189802677</v>
      </c>
      <c r="AH238" s="173">
        <f t="shared" si="639"/>
        <v>1.3732131246511903</v>
      </c>
      <c r="AI238" s="173">
        <f t="shared" si="640"/>
        <v>1.3732131246511903</v>
      </c>
      <c r="AJ238" s="173">
        <f t="shared" si="641"/>
        <v>1.4764541664082891</v>
      </c>
      <c r="AL238" s="545">
        <f t="shared" si="642"/>
        <v>220</v>
      </c>
      <c r="AM238" s="460">
        <f t="shared" si="643"/>
        <v>350</v>
      </c>
      <c r="AO238">
        <f t="shared" si="644"/>
        <v>220</v>
      </c>
      <c r="AP238">
        <f t="shared" si="645"/>
        <v>350</v>
      </c>
      <c r="AR238" s="5">
        <f t="shared" si="616"/>
        <v>2.8571428571428572</v>
      </c>
      <c r="AS238" s="5">
        <f t="shared" si="604"/>
        <v>0.27484330812262353</v>
      </c>
      <c r="AT238" s="5">
        <f t="shared" si="605"/>
        <v>2.5822995490202336</v>
      </c>
      <c r="AU238" s="173">
        <f t="shared" si="606"/>
        <v>9.6195157842918239E-2</v>
      </c>
      <c r="BA238" s="173">
        <f t="shared" si="692"/>
        <v>0.2458973928023174</v>
      </c>
      <c r="BB238" s="173">
        <f t="shared" si="693"/>
        <v>0.75372800185773337</v>
      </c>
      <c r="BC238" s="173">
        <f t="shared" si="694"/>
        <v>0.18510672986800214</v>
      </c>
      <c r="BD238" s="173"/>
      <c r="BE238" s="528">
        <f t="shared" si="695"/>
        <v>1.2093105557395435E-3</v>
      </c>
      <c r="BF238" s="528">
        <f t="shared" si="646"/>
        <v>0.67255235419645831</v>
      </c>
      <c r="BG238" s="528">
        <f t="shared" si="647"/>
        <v>0.48264732638904584</v>
      </c>
      <c r="BH238" s="528">
        <f t="shared" si="696"/>
        <v>1.013418332163452</v>
      </c>
      <c r="BI238">
        <f t="shared" si="697"/>
        <v>2.698028532609573E-2</v>
      </c>
      <c r="BJ238" s="460">
        <f t="shared" si="698"/>
        <v>509.6276117151416</v>
      </c>
      <c r="BK238">
        <f t="shared" si="648"/>
        <v>1.6879915250639954</v>
      </c>
      <c r="BL238" s="460">
        <f t="shared" si="699"/>
        <v>2196.8076086307915</v>
      </c>
      <c r="BM238" s="173">
        <f t="shared" si="649"/>
        <v>0.13667499999999999</v>
      </c>
      <c r="BN238" s="173">
        <f t="shared" si="650"/>
        <v>2.4406249999999997E-2</v>
      </c>
      <c r="BQ238" s="460">
        <f t="shared" si="700"/>
        <v>161.08124999999998</v>
      </c>
      <c r="BR238" s="528">
        <f t="shared" si="701"/>
        <v>1.8139658336093151E-3</v>
      </c>
      <c r="BS238" s="528">
        <f t="shared" si="702"/>
        <v>1.7043177023533539E-2</v>
      </c>
      <c r="BT238" s="528">
        <f t="shared" si="703"/>
        <v>1.7132250721212759E-4</v>
      </c>
      <c r="BU238" s="528">
        <f t="shared" si="704"/>
        <v>0.2532124056033746</v>
      </c>
      <c r="BV238" s="528"/>
      <c r="BW238" s="625">
        <f t="shared" si="705"/>
        <v>3.2999999999999995E-3</v>
      </c>
      <c r="BX238" s="460">
        <f t="shared" si="706"/>
        <v>275.54087096772963</v>
      </c>
      <c r="BY238" s="173">
        <f t="shared" si="707"/>
        <v>2.6334297295985207</v>
      </c>
      <c r="BZ238" s="5">
        <f t="shared" si="708"/>
        <v>3.96</v>
      </c>
      <c r="CA238" s="173">
        <f t="shared" si="709"/>
        <v>0.60059789250853635</v>
      </c>
      <c r="CB238" s="5">
        <f t="shared" si="710"/>
        <v>60.059789250853633</v>
      </c>
      <c r="CC238">
        <f t="shared" si="711"/>
        <v>22</v>
      </c>
      <c r="CE238" s="562">
        <f t="shared" si="651"/>
        <v>-50</v>
      </c>
      <c r="CG238" s="173">
        <f t="shared" si="652"/>
        <v>0.3398529093593286</v>
      </c>
      <c r="CH238" s="173">
        <f t="shared" si="653"/>
        <v>0.12231464209093687</v>
      </c>
      <c r="CI238" s="170">
        <v>22</v>
      </c>
      <c r="CJ238" s="217">
        <f t="shared" si="712"/>
        <v>0.22</v>
      </c>
      <c r="CK238" s="217">
        <f t="shared" si="654"/>
        <v>5.5E-2</v>
      </c>
      <c r="CL238" s="217">
        <f t="shared" si="655"/>
        <v>3.52</v>
      </c>
      <c r="CM238" s="217">
        <f t="shared" si="656"/>
        <v>0.44</v>
      </c>
      <c r="CN238" s="541">
        <f t="shared" si="657"/>
        <v>60</v>
      </c>
      <c r="CO238" s="443">
        <f t="shared" si="658"/>
        <v>16.7</v>
      </c>
      <c r="CP238" s="443">
        <f t="shared" si="659"/>
        <v>76.7</v>
      </c>
      <c r="CQ238" s="443"/>
      <c r="CR238" s="217">
        <f t="shared" si="660"/>
        <v>0.21465968586387432</v>
      </c>
      <c r="CS238" s="172">
        <f t="shared" si="661"/>
        <v>28.621291448516576</v>
      </c>
      <c r="CT238" s="172">
        <f t="shared" si="662"/>
        <v>4.0248691099476437</v>
      </c>
      <c r="CU238" s="217">
        <f t="shared" si="663"/>
        <v>1.788830715532286</v>
      </c>
      <c r="CV238" s="217">
        <f t="shared" si="664"/>
        <v>3.577661431064572</v>
      </c>
      <c r="CW238" s="217">
        <f t="shared" si="665"/>
        <v>16</v>
      </c>
      <c r="CX238" s="217">
        <f t="shared" si="666"/>
        <v>0.61492682926829279</v>
      </c>
      <c r="CY238" s="217">
        <f t="shared" si="667"/>
        <v>0.12298536585365856</v>
      </c>
      <c r="CZ238" s="217">
        <f t="shared" si="668"/>
        <v>0.44186358989338409</v>
      </c>
      <c r="DA238" s="197">
        <f t="shared" si="669"/>
        <v>350</v>
      </c>
      <c r="DB238" s="443">
        <f t="shared" si="670"/>
        <v>350</v>
      </c>
      <c r="DD238" s="217">
        <f t="shared" si="671"/>
        <v>3.1104488731607378</v>
      </c>
      <c r="DE238" s="173">
        <f t="shared" si="672"/>
        <v>2.23505308251071</v>
      </c>
      <c r="DF238" s="173">
        <f t="shared" si="673"/>
        <v>1.0814250754144243</v>
      </c>
      <c r="DG238" s="173"/>
      <c r="DH238" s="173">
        <f t="shared" si="674"/>
        <v>0.71856287425149712</v>
      </c>
      <c r="DI238" s="545">
        <f t="shared" si="675"/>
        <v>612.33333333333326</v>
      </c>
      <c r="DJ238" s="528">
        <f t="shared" si="676"/>
        <v>0.125748502994012</v>
      </c>
      <c r="DL238" s="173">
        <f t="shared" si="677"/>
        <v>1.3732131246511903</v>
      </c>
      <c r="DM238" s="173">
        <f t="shared" si="678"/>
        <v>1.3732131246511903</v>
      </c>
      <c r="DN238" s="173">
        <f t="shared" si="679"/>
        <v>1.4764541664082891</v>
      </c>
      <c r="DP238" s="545">
        <f t="shared" si="680"/>
        <v>220</v>
      </c>
      <c r="DQ238" s="460">
        <f t="shared" si="681"/>
        <v>350</v>
      </c>
      <c r="DS238">
        <f t="shared" si="682"/>
        <v>220</v>
      </c>
      <c r="DT238">
        <f t="shared" si="683"/>
        <v>350</v>
      </c>
      <c r="DV238" s="5">
        <f t="shared" si="684"/>
        <v>2.8571428571428572</v>
      </c>
      <c r="DW238" s="5">
        <f t="shared" si="685"/>
        <v>0.27464262493023806</v>
      </c>
      <c r="DX238" s="5">
        <f t="shared" si="686"/>
        <v>2.5825002322126194</v>
      </c>
      <c r="DY238" s="173">
        <f t="shared" si="687"/>
        <v>9.6124918725583319E-2</v>
      </c>
      <c r="EA238" s="5">
        <f t="shared" si="713"/>
        <v>0.3776336092790773</v>
      </c>
      <c r="EB238" s="5">
        <f t="shared" si="714"/>
        <v>0.18881680463953865</v>
      </c>
      <c r="EC238" s="5">
        <f t="shared" si="715"/>
        <v>0.12625556690817247</v>
      </c>
      <c r="ED238" s="5"/>
      <c r="EE238" s="173">
        <f t="shared" si="716"/>
        <v>0.24580760257699993</v>
      </c>
      <c r="EF238" s="173">
        <f t="shared" si="717"/>
        <v>0.75375728924288099</v>
      </c>
      <c r="EG238" s="173">
        <f t="shared" si="718"/>
        <v>0.18511392250523692</v>
      </c>
      <c r="EH238" s="173"/>
      <c r="EI238" s="528">
        <f t="shared" si="719"/>
        <v>1.2084275496930469E-3</v>
      </c>
      <c r="EJ238" s="528">
        <f t="shared" si="720"/>
        <v>0.70041422029396294</v>
      </c>
      <c r="EK238" s="528">
        <f t="shared" si="721"/>
        <v>4.0250000000000001E-2</v>
      </c>
      <c r="EL238" s="528">
        <f t="shared" si="722"/>
        <v>1.0140631637499999</v>
      </c>
      <c r="EM238">
        <f t="shared" si="723"/>
        <v>2.7E-2</v>
      </c>
      <c r="EN238" s="460">
        <f t="shared" si="724"/>
        <v>67.25</v>
      </c>
      <c r="EP238" s="460">
        <f t="shared" si="725"/>
        <v>1782.9358115936557</v>
      </c>
      <c r="EQ238" s="173">
        <f t="shared" si="726"/>
        <v>0.154</v>
      </c>
      <c r="ER238" s="173">
        <f t="shared" si="688"/>
        <v>2.4406249999999997E-2</v>
      </c>
      <c r="ES238" s="528"/>
      <c r="EU238" s="460">
        <f t="shared" si="727"/>
        <v>178.40625</v>
      </c>
      <c r="EV238" s="528">
        <f t="shared" si="728"/>
        <v>1.8126413245395702E-3</v>
      </c>
      <c r="EW238" s="528">
        <f t="shared" si="729"/>
        <v>1.7044501532603284E-2</v>
      </c>
      <c r="EX238" s="528">
        <f t="shared" si="730"/>
        <v>1.7133582152637432E-4</v>
      </c>
      <c r="EY238" s="528">
        <f t="shared" si="731"/>
        <v>0.2532124056033746</v>
      </c>
      <c r="EZ238" s="528"/>
      <c r="FA238" s="625">
        <f t="shared" si="732"/>
        <v>3.2999999999999995E-3</v>
      </c>
      <c r="FB238" s="460">
        <f t="shared" si="733"/>
        <v>275.54088428204386</v>
      </c>
      <c r="FC238" s="173">
        <f t="shared" si="734"/>
        <v>2.2368829458756991</v>
      </c>
      <c r="FD238" s="5">
        <f t="shared" si="735"/>
        <v>3.96</v>
      </c>
      <c r="FE238" s="173">
        <f t="shared" si="736"/>
        <v>0.63903095065488624</v>
      </c>
      <c r="FF238" s="5">
        <f t="shared" si="737"/>
        <v>63.903095065488621</v>
      </c>
      <c r="FG238">
        <f t="shared" si="738"/>
        <v>22</v>
      </c>
      <c r="FI238" s="562">
        <f t="shared" si="689"/>
        <v>-50</v>
      </c>
    </row>
    <row r="239" spans="5:165">
      <c r="E239" s="170">
        <v>23</v>
      </c>
      <c r="F239" s="217">
        <f t="shared" si="690"/>
        <v>0.23</v>
      </c>
      <c r="G239" s="217">
        <f t="shared" si="617"/>
        <v>5.7500000000000002E-2</v>
      </c>
      <c r="H239" s="217">
        <f t="shared" si="618"/>
        <v>3.68</v>
      </c>
      <c r="I239" s="217">
        <f t="shared" si="619"/>
        <v>0.46</v>
      </c>
      <c r="J239" s="541">
        <f t="shared" si="620"/>
        <v>59.955204987539908</v>
      </c>
      <c r="K239" s="443">
        <f t="shared" si="621"/>
        <v>16.719856628975879</v>
      </c>
      <c r="L239" s="172">
        <f t="shared" si="622"/>
        <v>76.675061616515791</v>
      </c>
      <c r="M239" s="443"/>
      <c r="N239" s="217">
        <f t="shared" si="623"/>
        <v>0.21806120890517061</v>
      </c>
      <c r="O239" s="172">
        <f t="shared" si="624"/>
        <v>29.053121066089481</v>
      </c>
      <c r="P239" s="172">
        <f t="shared" si="625"/>
        <v>4.0855951499188334</v>
      </c>
      <c r="Q239" s="217">
        <f t="shared" si="626"/>
        <v>1.8158200666305926</v>
      </c>
      <c r="R239" s="217">
        <f t="shared" si="627"/>
        <v>3.6316401332611852</v>
      </c>
      <c r="S239" s="217">
        <f t="shared" si="628"/>
        <v>16</v>
      </c>
      <c r="T239" s="217">
        <f t="shared" si="629"/>
        <v>0.63332266292988071</v>
      </c>
      <c r="U239" s="217">
        <f t="shared" si="630"/>
        <v>0.1267591688951443</v>
      </c>
      <c r="V239" s="217">
        <f t="shared" si="631"/>
        <v>0.45454169397528349</v>
      </c>
      <c r="W239" s="197">
        <f t="shared" si="632"/>
        <v>350</v>
      </c>
      <c r="X239" s="443">
        <f t="shared" si="691"/>
        <v>350</v>
      </c>
      <c r="Z239" s="217">
        <f t="shared" si="633"/>
        <v>3.1128343999381589</v>
      </c>
      <c r="AA239" s="173">
        <f t="shared" si="634"/>
        <v>2.2341108316995122</v>
      </c>
      <c r="AB239" s="173">
        <f t="shared" si="635"/>
        <v>1.0817982078071298</v>
      </c>
      <c r="AC239" s="173"/>
      <c r="AD239" s="173">
        <f t="shared" si="636"/>
        <v>0.71770950351354912</v>
      </c>
      <c r="AE239" s="545">
        <f t="shared" si="637"/>
        <v>640.92783744407541</v>
      </c>
      <c r="AF239" s="528">
        <f t="shared" si="638"/>
        <v>0.1255991631148711</v>
      </c>
      <c r="AH239" s="173">
        <f t="shared" si="639"/>
        <v>1.4040757000349275</v>
      </c>
      <c r="AI239" s="173">
        <f t="shared" si="640"/>
        <v>1.4040757000349275</v>
      </c>
      <c r="AJ239" s="173">
        <f t="shared" si="641"/>
        <v>1.4993153333592055</v>
      </c>
      <c r="AL239" s="545">
        <f t="shared" si="642"/>
        <v>230</v>
      </c>
      <c r="AM239" s="460">
        <f t="shared" si="643"/>
        <v>350</v>
      </c>
      <c r="AO239">
        <f t="shared" si="644"/>
        <v>230</v>
      </c>
      <c r="AP239">
        <f t="shared" si="645"/>
        <v>350</v>
      </c>
      <c r="AR239" s="5">
        <f t="shared" si="616"/>
        <v>2.8571428571428572</v>
      </c>
      <c r="AS239" s="5">
        <f t="shared" si="604"/>
        <v>0.28102494860822719</v>
      </c>
      <c r="AT239" s="5">
        <f t="shared" si="605"/>
        <v>2.5761179085346302</v>
      </c>
      <c r="AU239" s="173">
        <f t="shared" si="606"/>
        <v>9.8358732012879507E-2</v>
      </c>
      <c r="BA239" s="173">
        <f t="shared" si="692"/>
        <v>0.25423559581595229</v>
      </c>
      <c r="BB239" s="173">
        <f t="shared" si="693"/>
        <v>0.76974484016650946</v>
      </c>
      <c r="BC239" s="173">
        <f t="shared" si="694"/>
        <v>0.18904027692324568</v>
      </c>
      <c r="BD239" s="173"/>
      <c r="BE239" s="528">
        <f t="shared" si="695"/>
        <v>1.292714763597845E-3</v>
      </c>
      <c r="BF239" s="528">
        <f t="shared" si="646"/>
        <v>0.68766286132717558</v>
      </c>
      <c r="BG239" s="528">
        <f t="shared" si="647"/>
        <v>0.48263940014969625</v>
      </c>
      <c r="BH239" s="528">
        <f t="shared" si="696"/>
        <v>1.0134038421129079</v>
      </c>
      <c r="BI239">
        <f t="shared" si="697"/>
        <v>2.6979842244392958E-2</v>
      </c>
      <c r="BJ239" s="460">
        <f t="shared" si="698"/>
        <v>509.61924239408916</v>
      </c>
      <c r="BK239">
        <f t="shared" si="648"/>
        <v>1.7032315971190786</v>
      </c>
      <c r="BL239" s="460">
        <f t="shared" si="699"/>
        <v>2211.9786605977702</v>
      </c>
      <c r="BM239" s="173">
        <f t="shared" si="649"/>
        <v>0.1428875</v>
      </c>
      <c r="BN239" s="173">
        <f t="shared" si="650"/>
        <v>2.5515625E-2</v>
      </c>
      <c r="BQ239" s="460">
        <f t="shared" si="700"/>
        <v>168.40312499999999</v>
      </c>
      <c r="BR239" s="528">
        <f t="shared" si="701"/>
        <v>1.9390721453967676E-3</v>
      </c>
      <c r="BS239" s="528">
        <f t="shared" si="702"/>
        <v>1.7775213568888955E-2</v>
      </c>
      <c r="BT239" s="528">
        <f t="shared" si="703"/>
        <v>1.7868113149608706E-4</v>
      </c>
      <c r="BU239" s="528">
        <f t="shared" si="704"/>
        <v>0.26768030791751679</v>
      </c>
      <c r="BV239" s="528"/>
      <c r="BW239" s="625">
        <f t="shared" si="705"/>
        <v>3.4500000000000004E-3</v>
      </c>
      <c r="BX239" s="460">
        <f t="shared" si="706"/>
        <v>291.02327476329862</v>
      </c>
      <c r="BY239" s="173">
        <f t="shared" si="707"/>
        <v>2.6714050603610691</v>
      </c>
      <c r="BZ239" s="5">
        <f t="shared" si="708"/>
        <v>4.1400000000000006</v>
      </c>
      <c r="CA239" s="173">
        <f t="shared" si="709"/>
        <v>0.60780411138557966</v>
      </c>
      <c r="CB239" s="5">
        <f t="shared" si="710"/>
        <v>60.780411138557966</v>
      </c>
      <c r="CC239">
        <f t="shared" si="711"/>
        <v>23</v>
      </c>
      <c r="CE239" s="562">
        <f t="shared" si="651"/>
        <v>-50</v>
      </c>
      <c r="CG239" s="173">
        <f t="shared" si="652"/>
        <v>0.34749100707788111</v>
      </c>
      <c r="CH239" s="173">
        <f t="shared" si="653"/>
        <v>0.12506362897017692</v>
      </c>
      <c r="CI239" s="170">
        <v>23</v>
      </c>
      <c r="CJ239" s="217">
        <f t="shared" si="712"/>
        <v>0.23</v>
      </c>
      <c r="CK239" s="217">
        <f t="shared" si="654"/>
        <v>5.7500000000000002E-2</v>
      </c>
      <c r="CL239" s="217">
        <f t="shared" si="655"/>
        <v>3.68</v>
      </c>
      <c r="CM239" s="217">
        <f t="shared" si="656"/>
        <v>0.46</v>
      </c>
      <c r="CN239" s="541">
        <f t="shared" si="657"/>
        <v>60</v>
      </c>
      <c r="CO239" s="443">
        <f t="shared" si="658"/>
        <v>16.7</v>
      </c>
      <c r="CP239" s="443">
        <f t="shared" si="659"/>
        <v>76.7</v>
      </c>
      <c r="CQ239" s="443"/>
      <c r="CR239" s="217">
        <f t="shared" si="660"/>
        <v>0.21465968586387432</v>
      </c>
      <c r="CS239" s="172">
        <f t="shared" si="661"/>
        <v>28.621291448516576</v>
      </c>
      <c r="CT239" s="172">
        <f t="shared" si="662"/>
        <v>4.0248691099476437</v>
      </c>
      <c r="CU239" s="217">
        <f t="shared" si="663"/>
        <v>1.788830715532286</v>
      </c>
      <c r="CV239" s="217">
        <f t="shared" si="664"/>
        <v>3.577661431064572</v>
      </c>
      <c r="CW239" s="217">
        <f t="shared" si="665"/>
        <v>16</v>
      </c>
      <c r="CX239" s="217">
        <f t="shared" si="666"/>
        <v>0.64287804878048793</v>
      </c>
      <c r="CY239" s="217">
        <f t="shared" si="667"/>
        <v>0.12857560975609758</v>
      </c>
      <c r="CZ239" s="217">
        <f t="shared" si="668"/>
        <v>0.4619482985249016</v>
      </c>
      <c r="DA239" s="197">
        <f t="shared" si="669"/>
        <v>350</v>
      </c>
      <c r="DB239" s="443">
        <f t="shared" si="670"/>
        <v>350</v>
      </c>
      <c r="DD239" s="217">
        <f t="shared" si="671"/>
        <v>3.1104488731607378</v>
      </c>
      <c r="DE239" s="173">
        <f t="shared" si="672"/>
        <v>2.23505308251071</v>
      </c>
      <c r="DF239" s="173">
        <f t="shared" si="673"/>
        <v>1.0814250754144243</v>
      </c>
      <c r="DG239" s="173"/>
      <c r="DH239" s="173">
        <f t="shared" si="674"/>
        <v>0.71856287425149712</v>
      </c>
      <c r="DI239" s="545">
        <f t="shared" si="675"/>
        <v>640.16666666666663</v>
      </c>
      <c r="DJ239" s="528">
        <f t="shared" si="676"/>
        <v>0.125748502994012</v>
      </c>
      <c r="DL239" s="173">
        <f t="shared" si="677"/>
        <v>1.4040757000349275</v>
      </c>
      <c r="DM239" s="173">
        <f t="shared" si="678"/>
        <v>1.4040757000349275</v>
      </c>
      <c r="DN239" s="173">
        <f t="shared" si="679"/>
        <v>1.4993153333592055</v>
      </c>
      <c r="DP239" s="545">
        <f t="shared" si="680"/>
        <v>230</v>
      </c>
      <c r="DQ239" s="460">
        <f t="shared" si="681"/>
        <v>350</v>
      </c>
      <c r="DS239">
        <f t="shared" si="682"/>
        <v>230</v>
      </c>
      <c r="DT239">
        <f t="shared" si="683"/>
        <v>350</v>
      </c>
      <c r="DV239" s="5">
        <f t="shared" si="684"/>
        <v>2.8571428571428572</v>
      </c>
      <c r="DW239" s="5">
        <f t="shared" si="685"/>
        <v>0.28081514000698554</v>
      </c>
      <c r="DX239" s="5">
        <f t="shared" si="686"/>
        <v>2.5763277171358716</v>
      </c>
      <c r="DY239" s="173">
        <f t="shared" si="687"/>
        <v>9.828529900244494E-2</v>
      </c>
      <c r="EA239" s="5">
        <f t="shared" si="713"/>
        <v>0.40367176376004171</v>
      </c>
      <c r="EB239" s="5">
        <f t="shared" si="714"/>
        <v>0.20183588188002086</v>
      </c>
      <c r="EC239" s="5">
        <f t="shared" si="715"/>
        <v>0.13167897220916677</v>
      </c>
      <c r="ED239" s="5"/>
      <c r="EE239" s="173">
        <f t="shared" si="716"/>
        <v>0.25414067404019902</v>
      </c>
      <c r="EF239" s="173">
        <f t="shared" si="717"/>
        <v>0.76977618496628653</v>
      </c>
      <c r="EG239" s="173">
        <f t="shared" si="718"/>
        <v>0.18904797483730859</v>
      </c>
      <c r="EH239" s="173"/>
      <c r="EI239" s="528">
        <f t="shared" si="719"/>
        <v>1.2917496440321339E-3</v>
      </c>
      <c r="EJ239" s="528">
        <f t="shared" si="720"/>
        <v>0.71615583118131509</v>
      </c>
      <c r="EK239" s="528">
        <f t="shared" si="721"/>
        <v>4.0250000000000001E-2</v>
      </c>
      <c r="EL239" s="528">
        <f t="shared" si="722"/>
        <v>1.0140631637499999</v>
      </c>
      <c r="EM239">
        <f t="shared" si="723"/>
        <v>2.7E-2</v>
      </c>
      <c r="EN239" s="460">
        <f t="shared" si="724"/>
        <v>67.25</v>
      </c>
      <c r="EP239" s="460">
        <f t="shared" si="725"/>
        <v>1798.760744575347</v>
      </c>
      <c r="EQ239" s="173">
        <f t="shared" si="726"/>
        <v>0.161</v>
      </c>
      <c r="ER239" s="173">
        <f t="shared" si="688"/>
        <v>2.5515625E-2</v>
      </c>
      <c r="ES239" s="528"/>
      <c r="EU239" s="460">
        <f t="shared" si="727"/>
        <v>186.51562500000003</v>
      </c>
      <c r="EV239" s="528">
        <f t="shared" si="728"/>
        <v>1.9376244660482007E-3</v>
      </c>
      <c r="EW239" s="528">
        <f t="shared" si="729"/>
        <v>1.7776661248237517E-2</v>
      </c>
      <c r="EX239" s="528">
        <f t="shared" si="730"/>
        <v>1.7869568395043831E-4</v>
      </c>
      <c r="EY239" s="528">
        <f t="shared" si="731"/>
        <v>0.26768030791751679</v>
      </c>
      <c r="EZ239" s="528"/>
      <c r="FA239" s="625">
        <f t="shared" si="732"/>
        <v>3.4500000000000004E-3</v>
      </c>
      <c r="FB239" s="460">
        <f t="shared" si="733"/>
        <v>291.02328931575295</v>
      </c>
      <c r="FC239" s="173">
        <f t="shared" si="734"/>
        <v>2.2762996588911002</v>
      </c>
      <c r="FD239" s="5">
        <f t="shared" si="735"/>
        <v>4.1400000000000006</v>
      </c>
      <c r="FE239" s="173">
        <f t="shared" si="736"/>
        <v>0.64523170987863399</v>
      </c>
      <c r="FF239" s="5">
        <f t="shared" si="737"/>
        <v>64.523170987863395</v>
      </c>
      <c r="FG239">
        <f t="shared" si="738"/>
        <v>23</v>
      </c>
      <c r="FI239" s="562">
        <f t="shared" si="689"/>
        <v>-50</v>
      </c>
    </row>
    <row r="240" spans="5:165">
      <c r="E240" s="170">
        <v>24</v>
      </c>
      <c r="F240" s="217">
        <f t="shared" si="690"/>
        <v>0.24</v>
      </c>
      <c r="G240" s="217">
        <f t="shared" si="617"/>
        <v>0.06</v>
      </c>
      <c r="H240" s="217">
        <f t="shared" si="618"/>
        <v>3.84</v>
      </c>
      <c r="I240" s="217">
        <f t="shared" si="619"/>
        <v>0.48</v>
      </c>
      <c r="J240" s="541">
        <f t="shared" si="620"/>
        <v>59.954241543717515</v>
      </c>
      <c r="K240" s="443">
        <f t="shared" si="621"/>
        <v>16.720283702113484</v>
      </c>
      <c r="L240" s="172">
        <f t="shared" si="622"/>
        <v>76.674525245831006</v>
      </c>
      <c r="M240" s="443"/>
      <c r="N240" s="217">
        <f t="shared" si="623"/>
        <v>0.21806830428366572</v>
      </c>
      <c r="O240" s="172">
        <f t="shared" si="624"/>
        <v>29.053599529003961</v>
      </c>
      <c r="P240" s="172">
        <f t="shared" si="625"/>
        <v>4.0856624337661822</v>
      </c>
      <c r="Q240" s="217">
        <f t="shared" si="626"/>
        <v>1.8158499705627476</v>
      </c>
      <c r="R240" s="217">
        <f t="shared" si="627"/>
        <v>3.6316999411254951</v>
      </c>
      <c r="S240" s="217">
        <f t="shared" si="628"/>
        <v>16</v>
      </c>
      <c r="T240" s="217">
        <f t="shared" si="629"/>
        <v>0.66084754767934362</v>
      </c>
      <c r="U240" s="217">
        <f t="shared" si="630"/>
        <v>0.13227038434586133</v>
      </c>
      <c r="V240" s="217">
        <f t="shared" si="631"/>
        <v>0.47428445075664183</v>
      </c>
      <c r="W240" s="197">
        <f t="shared" si="632"/>
        <v>350</v>
      </c>
      <c r="X240" s="443">
        <f t="shared" si="691"/>
        <v>350</v>
      </c>
      <c r="Z240" s="217">
        <f t="shared" si="633"/>
        <v>3.1128856638218534</v>
      </c>
      <c r="AA240" s="173">
        <f t="shared" si="634"/>
        <v>2.2340905591895268</v>
      </c>
      <c r="AB240" s="173">
        <f t="shared" si="635"/>
        <v>1.0818062069703507</v>
      </c>
      <c r="AC240" s="173"/>
      <c r="AD240" s="173">
        <f t="shared" si="636"/>
        <v>0.71769117162068075</v>
      </c>
      <c r="AE240" s="545">
        <f t="shared" si="637"/>
        <v>668.81134808453942</v>
      </c>
      <c r="AF240" s="528">
        <f t="shared" si="638"/>
        <v>0.12559595503361912</v>
      </c>
      <c r="AH240" s="173">
        <f t="shared" si="639"/>
        <v>1.4342743312012725</v>
      </c>
      <c r="AI240" s="173">
        <f t="shared" si="640"/>
        <v>1.4342743312012725</v>
      </c>
      <c r="AJ240" s="173">
        <f t="shared" si="641"/>
        <v>1.5216846897787204</v>
      </c>
      <c r="AL240" s="545">
        <f t="shared" si="642"/>
        <v>240</v>
      </c>
      <c r="AM240" s="460">
        <f t="shared" si="643"/>
        <v>350</v>
      </c>
      <c r="AO240">
        <f t="shared" si="644"/>
        <v>240</v>
      </c>
      <c r="AP240">
        <f t="shared" si="645"/>
        <v>350</v>
      </c>
      <c r="AR240" s="5">
        <f t="shared" si="616"/>
        <v>2.8571428571428572</v>
      </c>
      <c r="AS240" s="5">
        <f t="shared" si="604"/>
        <v>0.28707380047273412</v>
      </c>
      <c r="AT240" s="5">
        <f t="shared" si="605"/>
        <v>2.570069056670123</v>
      </c>
      <c r="AU240" s="173">
        <f t="shared" si="606"/>
        <v>0.10047583016545694</v>
      </c>
      <c r="BA240" s="173">
        <f t="shared" si="692"/>
        <v>0.26248373685517395</v>
      </c>
      <c r="BB240" s="173">
        <f t="shared" si="693"/>
        <v>0.7853767080839803</v>
      </c>
      <c r="BC240" s="173">
        <f t="shared" si="694"/>
        <v>0.19287927977944808</v>
      </c>
      <c r="BD240" s="173"/>
      <c r="BE240" s="528">
        <f t="shared" si="695"/>
        <v>1.3779542422691241E-3</v>
      </c>
      <c r="BF240" s="528">
        <f t="shared" si="646"/>
        <v>0.70244808807697756</v>
      </c>
      <c r="BG240" s="528">
        <f t="shared" si="647"/>
        <v>0.48263164442692608</v>
      </c>
      <c r="BH240" s="528">
        <f t="shared" si="696"/>
        <v>1.0133896638859827</v>
      </c>
      <c r="BI240">
        <f t="shared" si="697"/>
        <v>2.6979408694672882E-2</v>
      </c>
      <c r="BJ240" s="460">
        <f t="shared" si="698"/>
        <v>509.61105312159896</v>
      </c>
      <c r="BK240">
        <f t="shared" si="648"/>
        <v>1.7181502795647019</v>
      </c>
      <c r="BL240" s="460">
        <f t="shared" si="699"/>
        <v>2226.8267593268283</v>
      </c>
      <c r="BM240" s="173">
        <f t="shared" si="649"/>
        <v>0.14909999999999998</v>
      </c>
      <c r="BN240" s="173">
        <f t="shared" si="650"/>
        <v>2.6624999999999999E-2</v>
      </c>
      <c r="BQ240" s="460">
        <f t="shared" si="700"/>
        <v>175.72499999999999</v>
      </c>
      <c r="BR240" s="528">
        <f t="shared" si="701"/>
        <v>2.0669313634036862E-3</v>
      </c>
      <c r="BS240" s="528">
        <f t="shared" si="702"/>
        <v>1.8504497208024887E-2</v>
      </c>
      <c r="BT240" s="528">
        <f t="shared" si="703"/>
        <v>1.8601208284119305E-4</v>
      </c>
      <c r="BU240" s="528">
        <f t="shared" si="704"/>
        <v>0.28230637167362993</v>
      </c>
      <c r="BV240" s="528"/>
      <c r="BW240" s="625">
        <f t="shared" si="705"/>
        <v>3.6000000000000003E-3</v>
      </c>
      <c r="BX240" s="460">
        <f t="shared" si="706"/>
        <v>306.66381232789968</v>
      </c>
      <c r="BY240" s="173">
        <f t="shared" si="707"/>
        <v>2.7092155716547284</v>
      </c>
      <c r="BZ240" s="5">
        <f t="shared" si="708"/>
        <v>4.32</v>
      </c>
      <c r="CA240" s="173">
        <f t="shared" si="709"/>
        <v>0.61457782251271043</v>
      </c>
      <c r="CB240" s="5">
        <f t="shared" si="710"/>
        <v>61.457782251271041</v>
      </c>
      <c r="CC240">
        <f t="shared" si="711"/>
        <v>24</v>
      </c>
      <c r="CE240" s="562">
        <f t="shared" si="651"/>
        <v>-50</v>
      </c>
      <c r="CG240" s="173">
        <f t="shared" si="652"/>
        <v>0.35496478698597694</v>
      </c>
      <c r="CH240" s="173">
        <f t="shared" si="653"/>
        <v>0.12775347710550256</v>
      </c>
      <c r="CI240" s="170">
        <v>24</v>
      </c>
      <c r="CJ240" s="217">
        <f t="shared" si="712"/>
        <v>0.24</v>
      </c>
      <c r="CK240" s="217">
        <f t="shared" si="654"/>
        <v>0.06</v>
      </c>
      <c r="CL240" s="217">
        <f t="shared" si="655"/>
        <v>3.84</v>
      </c>
      <c r="CM240" s="217">
        <f t="shared" si="656"/>
        <v>0.48</v>
      </c>
      <c r="CN240" s="541">
        <f t="shared" si="657"/>
        <v>60</v>
      </c>
      <c r="CO240" s="443">
        <f t="shared" si="658"/>
        <v>16.7</v>
      </c>
      <c r="CP240" s="443">
        <f t="shared" si="659"/>
        <v>76.7</v>
      </c>
      <c r="CQ240" s="443"/>
      <c r="CR240" s="217">
        <f t="shared" si="660"/>
        <v>0.21465968586387432</v>
      </c>
      <c r="CS240" s="172">
        <f t="shared" si="661"/>
        <v>28.621291448516576</v>
      </c>
      <c r="CT240" s="172">
        <f t="shared" si="662"/>
        <v>4.0248691099476437</v>
      </c>
      <c r="CU240" s="217">
        <f t="shared" si="663"/>
        <v>1.788830715532286</v>
      </c>
      <c r="CV240" s="217">
        <f t="shared" si="664"/>
        <v>3.577661431064572</v>
      </c>
      <c r="CW240" s="217">
        <f t="shared" si="665"/>
        <v>16</v>
      </c>
      <c r="CX240" s="217">
        <f t="shared" si="666"/>
        <v>0.67082926829268308</v>
      </c>
      <c r="CY240" s="217">
        <f t="shared" si="667"/>
        <v>0.13416585365853662</v>
      </c>
      <c r="CZ240" s="217">
        <f t="shared" si="668"/>
        <v>0.482033007156419</v>
      </c>
      <c r="DA240" s="197">
        <f t="shared" si="669"/>
        <v>350</v>
      </c>
      <c r="DB240" s="443">
        <f t="shared" si="670"/>
        <v>350</v>
      </c>
      <c r="DD240" s="217">
        <f t="shared" si="671"/>
        <v>3.1104488731607378</v>
      </c>
      <c r="DE240" s="173">
        <f t="shared" si="672"/>
        <v>2.23505308251071</v>
      </c>
      <c r="DF240" s="173">
        <f t="shared" si="673"/>
        <v>1.0814250754144243</v>
      </c>
      <c r="DG240" s="173"/>
      <c r="DH240" s="173">
        <f t="shared" si="674"/>
        <v>0.71856287425149712</v>
      </c>
      <c r="DI240" s="545">
        <f t="shared" si="675"/>
        <v>667.99999999999989</v>
      </c>
      <c r="DJ240" s="528">
        <f t="shared" si="676"/>
        <v>0.125748502994012</v>
      </c>
      <c r="DL240" s="173">
        <f t="shared" si="677"/>
        <v>1.4342743312012725</v>
      </c>
      <c r="DM240" s="173">
        <f t="shared" si="678"/>
        <v>1.4342743312012725</v>
      </c>
      <c r="DN240" s="173">
        <f t="shared" si="679"/>
        <v>1.5216846897787204</v>
      </c>
      <c r="DP240" s="545">
        <f t="shared" si="680"/>
        <v>240</v>
      </c>
      <c r="DQ240" s="460">
        <f t="shared" si="681"/>
        <v>350</v>
      </c>
      <c r="DS240">
        <f t="shared" si="682"/>
        <v>240</v>
      </c>
      <c r="DT240">
        <f t="shared" si="683"/>
        <v>350</v>
      </c>
      <c r="DV240" s="5">
        <f t="shared" si="684"/>
        <v>2.8571428571428572</v>
      </c>
      <c r="DW240" s="5">
        <f t="shared" si="685"/>
        <v>0.28685486624025447</v>
      </c>
      <c r="DX240" s="5">
        <f t="shared" si="686"/>
        <v>2.5702879909026026</v>
      </c>
      <c r="DY240" s="173">
        <f t="shared" si="687"/>
        <v>0.10039920318408906</v>
      </c>
      <c r="EA240" s="5">
        <f t="shared" si="713"/>
        <v>0.4302822993603817</v>
      </c>
      <c r="EB240" s="5">
        <f t="shared" si="714"/>
        <v>0.21514114968019085</v>
      </c>
      <c r="EC240" s="5">
        <f t="shared" si="715"/>
        <v>0.13708202618147211</v>
      </c>
      <c r="ED240" s="5"/>
      <c r="EE240" s="173">
        <f t="shared" si="716"/>
        <v>0.26238362734298243</v>
      </c>
      <c r="EF240" s="173">
        <f t="shared" si="717"/>
        <v>0.78541015897212885</v>
      </c>
      <c r="EG240" s="173">
        <f t="shared" si="718"/>
        <v>0.19288749492403748</v>
      </c>
      <c r="EH240" s="173"/>
      <c r="EI240" s="528">
        <f t="shared" si="719"/>
        <v>1.3769033579532216E-3</v>
      </c>
      <c r="EJ240" s="528">
        <f t="shared" si="720"/>
        <v>0.73155879400086521</v>
      </c>
      <c r="EK240" s="528">
        <f t="shared" si="721"/>
        <v>4.0250000000000001E-2</v>
      </c>
      <c r="EL240" s="528">
        <f t="shared" si="722"/>
        <v>1.0140631637499999</v>
      </c>
      <c r="EM240">
        <f t="shared" si="723"/>
        <v>2.7E-2</v>
      </c>
      <c r="EN240" s="460">
        <f t="shared" si="724"/>
        <v>67.25</v>
      </c>
      <c r="EP240" s="460">
        <f t="shared" si="725"/>
        <v>1814.2488611088183</v>
      </c>
      <c r="EQ240" s="173">
        <f t="shared" si="726"/>
        <v>0.16799999999999998</v>
      </c>
      <c r="ER240" s="173">
        <f t="shared" si="688"/>
        <v>2.6624999999999999E-2</v>
      </c>
      <c r="ES240" s="528"/>
      <c r="EU240" s="460">
        <f t="shared" si="727"/>
        <v>194.625</v>
      </c>
      <c r="EV240" s="528">
        <f t="shared" si="728"/>
        <v>2.0653550369298325E-3</v>
      </c>
      <c r="EW240" s="528">
        <f t="shared" si="729"/>
        <v>1.8506073534498738E-2</v>
      </c>
      <c r="EX240" s="528">
        <f t="shared" si="730"/>
        <v>1.8602792849035295E-4</v>
      </c>
      <c r="EY240" s="528">
        <f t="shared" si="731"/>
        <v>0.28230637167362993</v>
      </c>
      <c r="EZ240" s="528"/>
      <c r="FA240" s="625">
        <f t="shared" si="732"/>
        <v>3.6000000000000003E-3</v>
      </c>
      <c r="FB240" s="460">
        <f t="shared" si="733"/>
        <v>306.66382817354889</v>
      </c>
      <c r="FC240" s="173">
        <f t="shared" si="734"/>
        <v>2.3155376892823671</v>
      </c>
      <c r="FD240" s="5">
        <f t="shared" si="735"/>
        <v>4.32</v>
      </c>
      <c r="FE240" s="173">
        <f t="shared" si="736"/>
        <v>0.65103993109369374</v>
      </c>
      <c r="FF240" s="5">
        <f t="shared" si="737"/>
        <v>65.10399310936937</v>
      </c>
      <c r="FG240">
        <f t="shared" si="738"/>
        <v>24</v>
      </c>
      <c r="FI240" s="562">
        <f t="shared" si="689"/>
        <v>-50</v>
      </c>
    </row>
    <row r="241" spans="5:165">
      <c r="E241" s="170">
        <v>25</v>
      </c>
      <c r="F241" s="217">
        <f t="shared" si="690"/>
        <v>0.25</v>
      </c>
      <c r="G241" s="217">
        <f t="shared" si="617"/>
        <v>6.25E-2</v>
      </c>
      <c r="H241" s="217">
        <f t="shared" si="618"/>
        <v>4</v>
      </c>
      <c r="I241" s="217">
        <f t="shared" si="619"/>
        <v>0.5</v>
      </c>
      <c r="J241" s="541">
        <f t="shared" si="620"/>
        <v>59.953297971121025</v>
      </c>
      <c r="K241" s="443">
        <f t="shared" si="621"/>
        <v>16.720701966780268</v>
      </c>
      <c r="L241" s="172">
        <f t="shared" si="622"/>
        <v>76.6739999379013</v>
      </c>
      <c r="M241" s="443"/>
      <c r="N241" s="217">
        <f t="shared" si="623"/>
        <v>0.2180752534147489</v>
      </c>
      <c r="O241" s="172">
        <f t="shared" si="624"/>
        <v>29.054068106893713</v>
      </c>
      <c r="P241" s="172">
        <f t="shared" si="625"/>
        <v>4.0857283275319283</v>
      </c>
      <c r="Q241" s="217">
        <f t="shared" si="626"/>
        <v>1.815879256680857</v>
      </c>
      <c r="R241" s="217">
        <f t="shared" si="627"/>
        <v>3.6317585133617141</v>
      </c>
      <c r="S241" s="217">
        <f t="shared" si="628"/>
        <v>16</v>
      </c>
      <c r="T241" s="217">
        <f t="shared" si="629"/>
        <v>0.68837176007220024</v>
      </c>
      <c r="U241" s="217">
        <f t="shared" si="630"/>
        <v>0.13778159668289464</v>
      </c>
      <c r="V241" s="217">
        <f t="shared" si="631"/>
        <v>0.4940259767369703</v>
      </c>
      <c r="W241" s="197">
        <f t="shared" si="632"/>
        <v>350</v>
      </c>
      <c r="X241" s="443">
        <f t="shared" si="691"/>
        <v>350</v>
      </c>
      <c r="Z241" s="217">
        <f t="shared" si="633"/>
        <v>3.1129358685957551</v>
      </c>
      <c r="AA241" s="173">
        <f t="shared" si="634"/>
        <v>2.2340707045292891</v>
      </c>
      <c r="AB241" s="173">
        <f t="shared" si="635"/>
        <v>1.0818140400834997</v>
      </c>
      <c r="AC241" s="173"/>
      <c r="AD241" s="173">
        <f t="shared" si="636"/>
        <v>0.71767321873453116</v>
      </c>
      <c r="AE241" s="545">
        <f t="shared" si="637"/>
        <v>696.69591528251112</v>
      </c>
      <c r="AF241" s="528">
        <f t="shared" si="638"/>
        <v>0.12559281327854296</v>
      </c>
      <c r="AH241" s="173">
        <f t="shared" si="639"/>
        <v>1.4638501094227998</v>
      </c>
      <c r="AI241" s="173">
        <f t="shared" si="640"/>
        <v>1.4638501094227998</v>
      </c>
      <c r="AJ241" s="173">
        <f t="shared" si="641"/>
        <v>1.5435926736465184</v>
      </c>
      <c r="AL241" s="545">
        <f t="shared" si="642"/>
        <v>250</v>
      </c>
      <c r="AM241" s="460">
        <f t="shared" si="643"/>
        <v>350</v>
      </c>
      <c r="AO241">
        <f t="shared" si="644"/>
        <v>250</v>
      </c>
      <c r="AP241">
        <f t="shared" si="645"/>
        <v>350</v>
      </c>
      <c r="AR241" s="5">
        <f t="shared" si="616"/>
        <v>2.8571428571428572</v>
      </c>
      <c r="AS241" s="5">
        <f t="shared" si="604"/>
        <v>0.29299808196598431</v>
      </c>
      <c r="AT241" s="5">
        <f t="shared" si="605"/>
        <v>2.5641447751768727</v>
      </c>
      <c r="AU241" s="173">
        <f t="shared" si="606"/>
        <v>0.10254932868809451</v>
      </c>
      <c r="BA241" s="173">
        <f t="shared" si="692"/>
        <v>0.27064648619831755</v>
      </c>
      <c r="BB241" s="173">
        <f t="shared" si="693"/>
        <v>0.80064735920017771</v>
      </c>
      <c r="BC241" s="173">
        <f t="shared" si="694"/>
        <v>0.19662957203886716</v>
      </c>
      <c r="BD241" s="173"/>
      <c r="BE241" s="528">
        <f t="shared" si="695"/>
        <v>1.464990409829922E-3</v>
      </c>
      <c r="BF241" s="528">
        <f t="shared" si="646"/>
        <v>0.7169281659334884</v>
      </c>
      <c r="BG241" s="528">
        <f t="shared" si="647"/>
        <v>0.48262404866752429</v>
      </c>
      <c r="BH241" s="528">
        <f t="shared" si="696"/>
        <v>1.0133757781840227</v>
      </c>
      <c r="BI241">
        <f t="shared" si="697"/>
        <v>2.697898408700446E-2</v>
      </c>
      <c r="BJ241" s="460">
        <f t="shared" si="698"/>
        <v>509.60303275452878</v>
      </c>
      <c r="BK241">
        <f t="shared" si="648"/>
        <v>1.7327676266762322</v>
      </c>
      <c r="BL241" s="460">
        <f t="shared" si="699"/>
        <v>2241.3719672818697</v>
      </c>
      <c r="BM241" s="173">
        <f t="shared" si="649"/>
        <v>0.15531249999999999</v>
      </c>
      <c r="BN241" s="173">
        <f t="shared" si="650"/>
        <v>2.7734374999999999E-2</v>
      </c>
      <c r="BQ241" s="460">
        <f t="shared" si="700"/>
        <v>183.046875</v>
      </c>
      <c r="BR241" s="528">
        <f t="shared" si="701"/>
        <v>2.1974856147448825E-3</v>
      </c>
      <c r="BS241" s="528">
        <f t="shared" si="702"/>
        <v>1.923108581382655E-2</v>
      </c>
      <c r="BT241" s="528">
        <f t="shared" si="703"/>
        <v>1.9331594300094028E-4</v>
      </c>
      <c r="BU241" s="528">
        <f t="shared" si="704"/>
        <v>0.2970856255393598</v>
      </c>
      <c r="BV241" s="528"/>
      <c r="BW241" s="625">
        <f t="shared" si="705"/>
        <v>3.7500000000000003E-3</v>
      </c>
      <c r="BX241" s="460">
        <f t="shared" si="706"/>
        <v>322.45751291093217</v>
      </c>
      <c r="BY241" s="173">
        <f t="shared" si="707"/>
        <v>2.7468763551928026</v>
      </c>
      <c r="BZ241" s="5">
        <f t="shared" si="708"/>
        <v>4.5</v>
      </c>
      <c r="CA241" s="173">
        <f t="shared" si="709"/>
        <v>0.6209571930636697</v>
      </c>
      <c r="CB241" s="5">
        <f t="shared" si="710"/>
        <v>62.095719306366973</v>
      </c>
      <c r="CC241">
        <f t="shared" si="711"/>
        <v>25</v>
      </c>
      <c r="CE241" s="562">
        <f t="shared" si="651"/>
        <v>-50</v>
      </c>
      <c r="CG241" s="173">
        <f t="shared" si="652"/>
        <v>0.36228441865473598</v>
      </c>
      <c r="CH241" s="173">
        <f t="shared" si="653"/>
        <v>0.13038784657283919</v>
      </c>
      <c r="CI241" s="170">
        <v>25</v>
      </c>
      <c r="CJ241" s="217">
        <f t="shared" si="712"/>
        <v>0.25</v>
      </c>
      <c r="CK241" s="217">
        <f t="shared" si="654"/>
        <v>6.25E-2</v>
      </c>
      <c r="CL241" s="217">
        <f t="shared" si="655"/>
        <v>4</v>
      </c>
      <c r="CM241" s="217">
        <f t="shared" si="656"/>
        <v>0.5</v>
      </c>
      <c r="CN241" s="541">
        <f t="shared" si="657"/>
        <v>60</v>
      </c>
      <c r="CO241" s="443">
        <f t="shared" si="658"/>
        <v>16.7</v>
      </c>
      <c r="CP241" s="443">
        <f t="shared" si="659"/>
        <v>76.7</v>
      </c>
      <c r="CQ241" s="443"/>
      <c r="CR241" s="217">
        <f t="shared" si="660"/>
        <v>0.21465968586387432</v>
      </c>
      <c r="CS241" s="172">
        <f t="shared" si="661"/>
        <v>28.621291448516576</v>
      </c>
      <c r="CT241" s="172">
        <f t="shared" si="662"/>
        <v>4.0248691099476437</v>
      </c>
      <c r="CU241" s="217">
        <f t="shared" si="663"/>
        <v>1.788830715532286</v>
      </c>
      <c r="CV241" s="217">
        <f t="shared" si="664"/>
        <v>3.577661431064572</v>
      </c>
      <c r="CW241" s="217">
        <f t="shared" si="665"/>
        <v>16</v>
      </c>
      <c r="CX241" s="217">
        <f t="shared" si="666"/>
        <v>0.69878048780487811</v>
      </c>
      <c r="CY241" s="217">
        <f t="shared" si="667"/>
        <v>0.13975609756097562</v>
      </c>
      <c r="CZ241" s="217">
        <f t="shared" si="668"/>
        <v>0.5021177157879364</v>
      </c>
      <c r="DA241" s="197">
        <f t="shared" si="669"/>
        <v>350</v>
      </c>
      <c r="DB241" s="443">
        <f t="shared" si="670"/>
        <v>350</v>
      </c>
      <c r="DD241" s="217">
        <f t="shared" si="671"/>
        <v>3.1104488731607378</v>
      </c>
      <c r="DE241" s="173">
        <f t="shared" si="672"/>
        <v>2.23505308251071</v>
      </c>
      <c r="DF241" s="173">
        <f t="shared" si="673"/>
        <v>1.0814250754144243</v>
      </c>
      <c r="DG241" s="173"/>
      <c r="DH241" s="173">
        <f t="shared" si="674"/>
        <v>0.71856287425149712</v>
      </c>
      <c r="DI241" s="545">
        <f t="shared" si="675"/>
        <v>695.83333333333326</v>
      </c>
      <c r="DJ241" s="528">
        <f t="shared" si="676"/>
        <v>0.125748502994012</v>
      </c>
      <c r="DL241" s="173">
        <f t="shared" si="677"/>
        <v>1.4638501094227998</v>
      </c>
      <c r="DM241" s="173">
        <f t="shared" si="678"/>
        <v>1.4638501094227998</v>
      </c>
      <c r="DN241" s="173">
        <f t="shared" si="679"/>
        <v>1.5435926736465184</v>
      </c>
      <c r="DP241" s="545">
        <f t="shared" si="680"/>
        <v>250</v>
      </c>
      <c r="DQ241" s="460">
        <f t="shared" si="681"/>
        <v>350</v>
      </c>
      <c r="DS241">
        <f t="shared" si="682"/>
        <v>250</v>
      </c>
      <c r="DT241">
        <f t="shared" si="683"/>
        <v>350</v>
      </c>
      <c r="DV241" s="5">
        <f t="shared" si="684"/>
        <v>2.8571428571428572</v>
      </c>
      <c r="DW241" s="5">
        <f t="shared" si="685"/>
        <v>0.29277002188455997</v>
      </c>
      <c r="DX241" s="5">
        <f t="shared" si="686"/>
        <v>2.5643728352582973</v>
      </c>
      <c r="DY241" s="173">
        <f t="shared" si="687"/>
        <v>0.10246950765959599</v>
      </c>
      <c r="EA241" s="5">
        <f t="shared" si="713"/>
        <v>0.45745315919462498</v>
      </c>
      <c r="EB241" s="5">
        <f t="shared" si="714"/>
        <v>0.22872657959731249</v>
      </c>
      <c r="EC241" s="5">
        <f t="shared" si="715"/>
        <v>0.14246515751434982</v>
      </c>
      <c r="ED241" s="5"/>
      <c r="EE241" s="173">
        <f t="shared" si="716"/>
        <v>0.27054113452696987</v>
      </c>
      <c r="EF241" s="173">
        <f t="shared" si="717"/>
        <v>0.80068296398423167</v>
      </c>
      <c r="EG241" s="173">
        <f t="shared" si="718"/>
        <v>0.196638316154951</v>
      </c>
      <c r="EH241" s="173"/>
      <c r="EI241" s="528">
        <f t="shared" si="719"/>
        <v>1.4638501094228001E-3</v>
      </c>
      <c r="EJ241" s="528">
        <f t="shared" si="720"/>
        <v>0.74664406756164625</v>
      </c>
      <c r="EK241" s="528">
        <f t="shared" si="721"/>
        <v>4.0250000000000001E-2</v>
      </c>
      <c r="EL241" s="528">
        <f t="shared" si="722"/>
        <v>1.0140631637499999</v>
      </c>
      <c r="EM241">
        <f t="shared" si="723"/>
        <v>2.7E-2</v>
      </c>
      <c r="EN241" s="460">
        <f t="shared" si="724"/>
        <v>67.25</v>
      </c>
      <c r="EP241" s="460">
        <f t="shared" si="725"/>
        <v>1829.4210814210689</v>
      </c>
      <c r="EQ241" s="173">
        <f t="shared" si="726"/>
        <v>0.17499999999999999</v>
      </c>
      <c r="ER241" s="173">
        <f t="shared" si="688"/>
        <v>2.7734374999999999E-2</v>
      </c>
      <c r="ES241" s="528"/>
      <c r="EU241" s="460">
        <f t="shared" si="727"/>
        <v>202.734375</v>
      </c>
      <c r="EV241" s="528">
        <f t="shared" si="728"/>
        <v>2.1957751641342002E-3</v>
      </c>
      <c r="EW241" s="528">
        <f t="shared" si="729"/>
        <v>1.9232796264437232E-2</v>
      </c>
      <c r="EX241" s="528">
        <f t="shared" si="730"/>
        <v>1.9333313690127231E-4</v>
      </c>
      <c r="EY241" s="528">
        <f t="shared" si="731"/>
        <v>0.2970856255393598</v>
      </c>
      <c r="EZ241" s="528"/>
      <c r="FA241" s="625">
        <f t="shared" si="732"/>
        <v>3.7500000000000003E-3</v>
      </c>
      <c r="FB241" s="460">
        <f t="shared" si="733"/>
        <v>322.45753010483247</v>
      </c>
      <c r="FC241" s="173">
        <f t="shared" si="734"/>
        <v>2.3546129865259013</v>
      </c>
      <c r="FD241" s="5">
        <f t="shared" si="735"/>
        <v>4.5</v>
      </c>
      <c r="FE241" s="173">
        <f t="shared" si="736"/>
        <v>0.65649220588319734</v>
      </c>
      <c r="FF241" s="5">
        <f t="shared" si="737"/>
        <v>65.649220588319736</v>
      </c>
      <c r="FG241">
        <f t="shared" si="738"/>
        <v>25</v>
      </c>
      <c r="FI241" s="562">
        <f t="shared" si="689"/>
        <v>-50</v>
      </c>
    </row>
    <row r="242" spans="5:165">
      <c r="E242" s="170">
        <v>26</v>
      </c>
      <c r="F242" s="217">
        <f t="shared" si="690"/>
        <v>0.26</v>
      </c>
      <c r="G242" s="217">
        <f t="shared" si="617"/>
        <v>6.5000000000000002E-2</v>
      </c>
      <c r="H242" s="217">
        <f t="shared" si="618"/>
        <v>4.16</v>
      </c>
      <c r="I242" s="217">
        <f t="shared" si="619"/>
        <v>0.52</v>
      </c>
      <c r="J242" s="541">
        <f t="shared" si="620"/>
        <v>59.952373088684347</v>
      </c>
      <c r="K242" s="443">
        <f t="shared" si="621"/>
        <v>16.721111946516469</v>
      </c>
      <c r="L242" s="172">
        <f t="shared" si="622"/>
        <v>76.673485035200812</v>
      </c>
      <c r="M242" s="443"/>
      <c r="N242" s="217">
        <f t="shared" si="623"/>
        <v>0.21808206499078273</v>
      </c>
      <c r="O242" s="172">
        <f t="shared" si="624"/>
        <v>29.054527387284697</v>
      </c>
      <c r="P242" s="172">
        <f t="shared" si="625"/>
        <v>4.0857929138369107</v>
      </c>
      <c r="Q242" s="217">
        <f t="shared" si="626"/>
        <v>1.8159079617052936</v>
      </c>
      <c r="R242" s="217">
        <f t="shared" si="627"/>
        <v>3.6318159234105871</v>
      </c>
      <c r="S242" s="217">
        <f t="shared" si="628"/>
        <v>16</v>
      </c>
      <c r="T242" s="217">
        <f t="shared" si="629"/>
        <v>0.71589531375763582</v>
      </c>
      <c r="U242" s="217">
        <f t="shared" si="630"/>
        <v>0.14329280598090421</v>
      </c>
      <c r="V242" s="217">
        <f t="shared" si="631"/>
        <v>0.51376629691671627</v>
      </c>
      <c r="W242" s="197">
        <f t="shared" si="632"/>
        <v>350</v>
      </c>
      <c r="X242" s="443">
        <f t="shared" si="691"/>
        <v>350</v>
      </c>
      <c r="Z242" s="217">
        <f t="shared" si="633"/>
        <v>3.1129850772090744</v>
      </c>
      <c r="AA242" s="173">
        <f t="shared" si="634"/>
        <v>2.2340512428834782</v>
      </c>
      <c r="AB242" s="173">
        <f t="shared" si="635"/>
        <v>1.0818217170159237</v>
      </c>
      <c r="AC242" s="173"/>
      <c r="AD242" s="173">
        <f t="shared" si="636"/>
        <v>0.71765562232839275</v>
      </c>
      <c r="AE242" s="545">
        <f t="shared" si="637"/>
        <v>724.58151768238042</v>
      </c>
      <c r="AF242" s="528">
        <f t="shared" si="638"/>
        <v>0.12558973390746875</v>
      </c>
      <c r="AH242" s="173">
        <f t="shared" si="639"/>
        <v>1.4928400545843576</v>
      </c>
      <c r="AI242" s="173">
        <f t="shared" si="640"/>
        <v>1.4928400545843576</v>
      </c>
      <c r="AJ242" s="173">
        <f t="shared" si="641"/>
        <v>1.5650667070995241</v>
      </c>
      <c r="AL242" s="545">
        <f t="shared" si="642"/>
        <v>260</v>
      </c>
      <c r="AM242" s="460">
        <f t="shared" si="643"/>
        <v>350</v>
      </c>
      <c r="AO242">
        <f t="shared" si="644"/>
        <v>260</v>
      </c>
      <c r="AP242">
        <f t="shared" si="645"/>
        <v>350</v>
      </c>
      <c r="AR242" s="5">
        <f t="shared" si="616"/>
        <v>2.8571428571428572</v>
      </c>
      <c r="AS242" s="5">
        <f t="shared" si="604"/>
        <v>0.29880519706055586</v>
      </c>
      <c r="AT242" s="5">
        <f t="shared" si="605"/>
        <v>2.5583376600823016</v>
      </c>
      <c r="AU242" s="173">
        <f t="shared" si="606"/>
        <v>0.10458181897119455</v>
      </c>
      <c r="BA242" s="173">
        <f t="shared" si="692"/>
        <v>0.27872809552634714</v>
      </c>
      <c r="BB242" s="173">
        <f t="shared" si="693"/>
        <v>0.81557819467013593</v>
      </c>
      <c r="BC242" s="173">
        <f t="shared" si="694"/>
        <v>0.200296409573401</v>
      </c>
      <c r="BD242" s="173"/>
      <c r="BE242" s="528">
        <f t="shared" si="695"/>
        <v>1.5537870247148899E-3</v>
      </c>
      <c r="BF242" s="528">
        <f t="shared" si="646"/>
        <v>0.73112123172496746</v>
      </c>
      <c r="BG242" s="528">
        <f t="shared" si="647"/>
        <v>0.48261660336390905</v>
      </c>
      <c r="BH242" s="528">
        <f t="shared" si="696"/>
        <v>1.0133621676205151</v>
      </c>
      <c r="BI242">
        <f t="shared" si="697"/>
        <v>2.6978567889907955E-2</v>
      </c>
      <c r="BJ242" s="460">
        <f t="shared" si="698"/>
        <v>509.59517125381706</v>
      </c>
      <c r="BK242">
        <f t="shared" si="648"/>
        <v>1.7471017035192404</v>
      </c>
      <c r="BL242" s="460">
        <f t="shared" si="699"/>
        <v>2255.6323576240147</v>
      </c>
      <c r="BM242" s="173">
        <f t="shared" si="649"/>
        <v>0.16152499999999997</v>
      </c>
      <c r="BN242" s="173">
        <f t="shared" si="650"/>
        <v>2.8843749999999998E-2</v>
      </c>
      <c r="BQ242" s="460">
        <f t="shared" si="700"/>
        <v>190.36874999999998</v>
      </c>
      <c r="BR242" s="528">
        <f t="shared" si="701"/>
        <v>2.3306805370723349E-3</v>
      </c>
      <c r="BS242" s="528">
        <f t="shared" si="702"/>
        <v>1.9955033748641944E-2</v>
      </c>
      <c r="BT242" s="528">
        <f t="shared" si="703"/>
        <v>2.0059325843997802E-4</v>
      </c>
      <c r="BU242" s="528">
        <f t="shared" si="704"/>
        <v>0.31201344822715982</v>
      </c>
      <c r="BV242" s="528"/>
      <c r="BW242" s="625">
        <f t="shared" si="705"/>
        <v>3.899999999999999E-3</v>
      </c>
      <c r="BX242" s="460">
        <f t="shared" si="706"/>
        <v>338.39975577131412</v>
      </c>
      <c r="BY242" s="173">
        <f t="shared" si="707"/>
        <v>2.7844008633953288</v>
      </c>
      <c r="BZ242" s="5">
        <f t="shared" si="708"/>
        <v>4.68</v>
      </c>
      <c r="CA242" s="173">
        <f t="shared" si="709"/>
        <v>0.62697597377845149</v>
      </c>
      <c r="CB242" s="5">
        <f t="shared" si="710"/>
        <v>62.697597377845149</v>
      </c>
      <c r="CC242">
        <f t="shared" si="711"/>
        <v>26</v>
      </c>
      <c r="CE242" s="562">
        <f t="shared" si="651"/>
        <v>-50</v>
      </c>
      <c r="CG242" s="173">
        <f t="shared" si="652"/>
        <v>0.36945906403822332</v>
      </c>
      <c r="CH242" s="173">
        <f t="shared" si="653"/>
        <v>0.13297003480204986</v>
      </c>
      <c r="CI242" s="170">
        <v>26</v>
      </c>
      <c r="CJ242" s="217">
        <f t="shared" si="712"/>
        <v>0.26</v>
      </c>
      <c r="CK242" s="217">
        <f t="shared" si="654"/>
        <v>6.5000000000000002E-2</v>
      </c>
      <c r="CL242" s="217">
        <f t="shared" si="655"/>
        <v>4.16</v>
      </c>
      <c r="CM242" s="217">
        <f t="shared" si="656"/>
        <v>0.52</v>
      </c>
      <c r="CN242" s="541">
        <f t="shared" si="657"/>
        <v>60</v>
      </c>
      <c r="CO242" s="443">
        <f t="shared" si="658"/>
        <v>16.7</v>
      </c>
      <c r="CP242" s="443">
        <f t="shared" si="659"/>
        <v>76.7</v>
      </c>
      <c r="CQ242" s="443"/>
      <c r="CR242" s="217">
        <f t="shared" si="660"/>
        <v>0.21465968586387432</v>
      </c>
      <c r="CS242" s="172">
        <f t="shared" si="661"/>
        <v>28.621291448516576</v>
      </c>
      <c r="CT242" s="172">
        <f t="shared" si="662"/>
        <v>4.0248691099476437</v>
      </c>
      <c r="CU242" s="217">
        <f t="shared" si="663"/>
        <v>1.788830715532286</v>
      </c>
      <c r="CV242" s="217">
        <f t="shared" si="664"/>
        <v>3.577661431064572</v>
      </c>
      <c r="CW242" s="217">
        <f t="shared" si="665"/>
        <v>16</v>
      </c>
      <c r="CX242" s="217">
        <f t="shared" si="666"/>
        <v>0.72673170731707315</v>
      </c>
      <c r="CY242" s="217">
        <f t="shared" si="667"/>
        <v>0.14534634146341463</v>
      </c>
      <c r="CZ242" s="217">
        <f t="shared" si="668"/>
        <v>0.52220242441945386</v>
      </c>
      <c r="DA242" s="197">
        <f t="shared" si="669"/>
        <v>350</v>
      </c>
      <c r="DB242" s="443">
        <f t="shared" si="670"/>
        <v>350</v>
      </c>
      <c r="DD242" s="217">
        <f t="shared" si="671"/>
        <v>3.1104488731607378</v>
      </c>
      <c r="DE242" s="173">
        <f t="shared" si="672"/>
        <v>2.23505308251071</v>
      </c>
      <c r="DF242" s="173">
        <f t="shared" si="673"/>
        <v>1.0814250754144243</v>
      </c>
      <c r="DG242" s="173"/>
      <c r="DH242" s="173">
        <f t="shared" si="674"/>
        <v>0.71856287425149712</v>
      </c>
      <c r="DI242" s="545">
        <f t="shared" si="675"/>
        <v>723.66666666666663</v>
      </c>
      <c r="DJ242" s="528">
        <f t="shared" si="676"/>
        <v>0.125748502994012</v>
      </c>
      <c r="DL242" s="173">
        <f t="shared" si="677"/>
        <v>1.4928400545843576</v>
      </c>
      <c r="DM242" s="173">
        <f t="shared" si="678"/>
        <v>1.4928400545843576</v>
      </c>
      <c r="DN242" s="173">
        <f t="shared" si="679"/>
        <v>1.5650667070995241</v>
      </c>
      <c r="DP242" s="545">
        <f t="shared" si="680"/>
        <v>260</v>
      </c>
      <c r="DQ242" s="460">
        <f t="shared" si="681"/>
        <v>350</v>
      </c>
      <c r="DS242">
        <f t="shared" si="682"/>
        <v>260</v>
      </c>
      <c r="DT242">
        <f t="shared" si="683"/>
        <v>350</v>
      </c>
      <c r="DV242" s="5">
        <f t="shared" si="684"/>
        <v>2.8571428571428572</v>
      </c>
      <c r="DW242" s="5">
        <f t="shared" si="685"/>
        <v>0.29856801091687152</v>
      </c>
      <c r="DX242" s="5">
        <f t="shared" si="686"/>
        <v>2.5585748462259859</v>
      </c>
      <c r="DY242" s="173">
        <f t="shared" si="687"/>
        <v>0.10449880382090503</v>
      </c>
      <c r="EA242" s="5">
        <f t="shared" si="713"/>
        <v>0.48517301773991622</v>
      </c>
      <c r="EB242" s="5">
        <f t="shared" si="714"/>
        <v>0.24258650886995811</v>
      </c>
      <c r="EC242" s="5">
        <f t="shared" si="715"/>
        <v>0.14782876889305693</v>
      </c>
      <c r="ED242" s="5"/>
      <c r="EE242" s="173">
        <f t="shared" si="716"/>
        <v>0.2786174489122793</v>
      </c>
      <c r="EF242" s="173">
        <f t="shared" si="717"/>
        <v>0.81561600034498838</v>
      </c>
      <c r="EG242" s="173">
        <f t="shared" si="718"/>
        <v>0.20030569420237213</v>
      </c>
      <c r="EH242" s="173"/>
      <c r="EI242" s="528">
        <f t="shared" si="719"/>
        <v>1.5525536567677313E-3</v>
      </c>
      <c r="EJ242" s="528">
        <f t="shared" si="720"/>
        <v>0.76143053404102468</v>
      </c>
      <c r="EK242" s="528">
        <f t="shared" si="721"/>
        <v>4.0250000000000001E-2</v>
      </c>
      <c r="EL242" s="528">
        <f t="shared" si="722"/>
        <v>1.0140631637499999</v>
      </c>
      <c r="EM242">
        <f t="shared" si="723"/>
        <v>2.7E-2</v>
      </c>
      <c r="EN242" s="460">
        <f t="shared" si="724"/>
        <v>67.25</v>
      </c>
      <c r="EP242" s="460">
        <f t="shared" si="725"/>
        <v>1844.2962514477922</v>
      </c>
      <c r="EQ242" s="173">
        <f t="shared" si="726"/>
        <v>0.182</v>
      </c>
      <c r="ER242" s="173">
        <f t="shared" si="688"/>
        <v>2.8843749999999998E-2</v>
      </c>
      <c r="ES242" s="528"/>
      <c r="EU242" s="460">
        <f t="shared" si="727"/>
        <v>210.84375</v>
      </c>
      <c r="EV242" s="528">
        <f t="shared" si="728"/>
        <v>2.3288304851515965E-3</v>
      </c>
      <c r="EW242" s="528">
        <f t="shared" si="729"/>
        <v>1.995688380056268E-2</v>
      </c>
      <c r="EX242" s="528">
        <f t="shared" si="730"/>
        <v>2.006118556494711E-4</v>
      </c>
      <c r="EY242" s="528">
        <f t="shared" si="731"/>
        <v>0.31201344822715982</v>
      </c>
      <c r="EZ242" s="528"/>
      <c r="FA242" s="625">
        <f t="shared" si="732"/>
        <v>3.899999999999999E-3</v>
      </c>
      <c r="FB242" s="460">
        <f t="shared" si="733"/>
        <v>338.39977436852359</v>
      </c>
      <c r="FC242" s="173">
        <f t="shared" si="734"/>
        <v>2.3935397758163157</v>
      </c>
      <c r="FD242" s="5">
        <f t="shared" si="735"/>
        <v>4.68</v>
      </c>
      <c r="FE242" s="173">
        <f t="shared" si="736"/>
        <v>0.66162065222286937</v>
      </c>
      <c r="FF242" s="5">
        <f t="shared" si="737"/>
        <v>66.162065222286941</v>
      </c>
      <c r="FG242">
        <f t="shared" si="738"/>
        <v>26</v>
      </c>
      <c r="FI242" s="562">
        <f t="shared" si="689"/>
        <v>-50</v>
      </c>
    </row>
    <row r="243" spans="5:165">
      <c r="E243" s="170">
        <v>27</v>
      </c>
      <c r="F243" s="217">
        <f t="shared" si="690"/>
        <v>0.27</v>
      </c>
      <c r="G243" s="217">
        <f t="shared" si="617"/>
        <v>6.7500000000000004E-2</v>
      </c>
      <c r="H243" s="217">
        <f t="shared" si="618"/>
        <v>4.32</v>
      </c>
      <c r="I243" s="217">
        <f t="shared" si="619"/>
        <v>0.54</v>
      </c>
      <c r="J243" s="541">
        <f t="shared" si="620"/>
        <v>59.951465827899042</v>
      </c>
      <c r="K243" s="443">
        <f t="shared" si="621"/>
        <v>16.72151411496802</v>
      </c>
      <c r="L243" s="172">
        <f t="shared" si="622"/>
        <v>76.672979942867059</v>
      </c>
      <c r="M243" s="443"/>
      <c r="N243" s="217">
        <f t="shared" si="623"/>
        <v>0.21808874687573213</v>
      </c>
      <c r="O243" s="172">
        <f t="shared" si="624"/>
        <v>29.054977901710615</v>
      </c>
      <c r="P243" s="172">
        <f t="shared" si="625"/>
        <v>4.0858562674280554</v>
      </c>
      <c r="Q243" s="217">
        <f t="shared" si="626"/>
        <v>1.8159361188569134</v>
      </c>
      <c r="R243" s="217">
        <f t="shared" si="627"/>
        <v>3.6318722377138268</v>
      </c>
      <c r="S243" s="217">
        <f t="shared" si="628"/>
        <v>16</v>
      </c>
      <c r="T243" s="217">
        <f t="shared" si="629"/>
        <v>0.74341822158908943</v>
      </c>
      <c r="U243" s="217">
        <f t="shared" si="630"/>
        <v>0.14880401231019746</v>
      </c>
      <c r="V243" s="217">
        <f t="shared" si="631"/>
        <v>0.53350543483879564</v>
      </c>
      <c r="W243" s="197">
        <f t="shared" si="632"/>
        <v>350</v>
      </c>
      <c r="X243" s="443">
        <f t="shared" si="691"/>
        <v>350</v>
      </c>
      <c r="Z243" s="217">
        <f t="shared" si="633"/>
        <v>3.1130333466118518</v>
      </c>
      <c r="AA243" s="173">
        <f t="shared" si="634"/>
        <v>2.2340321517836226</v>
      </c>
      <c r="AB243" s="173">
        <f t="shared" si="635"/>
        <v>1.0818292466964028</v>
      </c>
      <c r="AC243" s="173"/>
      <c r="AD243" s="173">
        <f t="shared" si="636"/>
        <v>0.7176383620223945</v>
      </c>
      <c r="AE243" s="545">
        <f t="shared" si="637"/>
        <v>752.46813517356088</v>
      </c>
      <c r="AF243" s="528">
        <f t="shared" si="638"/>
        <v>0.12558671335391905</v>
      </c>
      <c r="AH243" s="173">
        <f t="shared" si="639"/>
        <v>1.5212776585113299</v>
      </c>
      <c r="AI243" s="173">
        <f t="shared" si="640"/>
        <v>1.5212776585113299</v>
      </c>
      <c r="AJ243" s="173">
        <f t="shared" si="641"/>
        <v>1.5861315988972813</v>
      </c>
      <c r="AL243" s="545">
        <f t="shared" si="642"/>
        <v>270</v>
      </c>
      <c r="AM243" s="460">
        <f t="shared" si="643"/>
        <v>350</v>
      </c>
      <c r="AO243">
        <f t="shared" si="644"/>
        <v>270</v>
      </c>
      <c r="AP243">
        <f t="shared" si="645"/>
        <v>350</v>
      </c>
      <c r="AR243" s="5">
        <f t="shared" si="616"/>
        <v>2.8571428571428572</v>
      </c>
      <c r="AS243" s="5">
        <f t="shared" ref="AS243:AS306" si="739">L*AI243/J243*1000000</f>
        <v>0.30450184411739023</v>
      </c>
      <c r="AT243" s="5">
        <f t="shared" ref="AT243:AT306" si="740">AR243-AS243</f>
        <v>2.5526410130254669</v>
      </c>
      <c r="AU243" s="173">
        <f t="shared" ref="AU243:AU306" si="741">AS243/AR243</f>
        <v>0.10657564544108658</v>
      </c>
      <c r="BA243" s="173">
        <f t="shared" si="692"/>
        <v>0.28673245005003423</v>
      </c>
      <c r="BB243" s="173">
        <f t="shared" si="693"/>
        <v>0.83018857708166294</v>
      </c>
      <c r="BC243" s="173">
        <f t="shared" si="694"/>
        <v>0.20388454760682015</v>
      </c>
      <c r="BD243" s="173"/>
      <c r="BE243" s="528">
        <f t="shared" si="695"/>
        <v>1.6443099582339074E-3</v>
      </c>
      <c r="BF243" s="528">
        <f t="shared" si="646"/>
        <v>0.7450436938083721</v>
      </c>
      <c r="BG243" s="528">
        <f t="shared" si="647"/>
        <v>0.48260929991458729</v>
      </c>
      <c r="BH243" s="528">
        <f t="shared" si="696"/>
        <v>1.0133488164659135</v>
      </c>
      <c r="BI243">
        <f t="shared" si="697"/>
        <v>2.6978159622554568E-2</v>
      </c>
      <c r="BJ243" s="460">
        <f t="shared" si="698"/>
        <v>509.58745953714191</v>
      </c>
      <c r="BK243">
        <f t="shared" si="648"/>
        <v>1.7611688515386608</v>
      </c>
      <c r="BL243" s="460">
        <f t="shared" si="699"/>
        <v>2269.6242797696614</v>
      </c>
      <c r="BM243" s="173">
        <f t="shared" si="649"/>
        <v>0.16773749999999998</v>
      </c>
      <c r="BN243" s="173">
        <f t="shared" si="650"/>
        <v>2.9953125000000001E-2</v>
      </c>
      <c r="BQ243" s="460">
        <f t="shared" si="700"/>
        <v>197.69062499999998</v>
      </c>
      <c r="BR243" s="528">
        <f t="shared" si="701"/>
        <v>2.4664649373508612E-3</v>
      </c>
      <c r="BS243" s="528">
        <f t="shared" si="702"/>
        <v>2.0676392205506287E-2</v>
      </c>
      <c r="BT243" s="528">
        <f t="shared" si="703"/>
        <v>2.0784454376418857E-4</v>
      </c>
      <c r="BU243" s="528">
        <f t="shared" si="704"/>
        <v>0.3270855312500478</v>
      </c>
      <c r="BV243" s="528"/>
      <c r="BW243" s="625">
        <f t="shared" si="705"/>
        <v>4.0499999999999998E-3</v>
      </c>
      <c r="BX243" s="460">
        <f t="shared" si="706"/>
        <v>354.48623293666913</v>
      </c>
      <c r="BY243" s="173">
        <f t="shared" si="707"/>
        <v>2.8218011377063306</v>
      </c>
      <c r="BZ243" s="5">
        <f t="shared" si="708"/>
        <v>4.8600000000000003</v>
      </c>
      <c r="CA243" s="173">
        <f t="shared" si="709"/>
        <v>0.63266412562342411</v>
      </c>
      <c r="CB243" s="5">
        <f t="shared" si="710"/>
        <v>63.26641256234241</v>
      </c>
      <c r="CC243">
        <f t="shared" si="711"/>
        <v>27</v>
      </c>
      <c r="CE243" s="562">
        <f t="shared" si="651"/>
        <v>-50</v>
      </c>
      <c r="CG243" s="173">
        <f t="shared" si="652"/>
        <v>0.37649701194033403</v>
      </c>
      <c r="CH243" s="173">
        <f t="shared" si="653"/>
        <v>0.1355030249721918</v>
      </c>
      <c r="CI243" s="170">
        <v>27</v>
      </c>
      <c r="CJ243" s="217">
        <f t="shared" si="712"/>
        <v>0.27</v>
      </c>
      <c r="CK243" s="217">
        <f t="shared" si="654"/>
        <v>6.7500000000000004E-2</v>
      </c>
      <c r="CL243" s="217">
        <f t="shared" si="655"/>
        <v>4.32</v>
      </c>
      <c r="CM243" s="217">
        <f t="shared" si="656"/>
        <v>0.54</v>
      </c>
      <c r="CN243" s="541">
        <f t="shared" si="657"/>
        <v>60</v>
      </c>
      <c r="CO243" s="443">
        <f t="shared" si="658"/>
        <v>16.7</v>
      </c>
      <c r="CP243" s="443">
        <f t="shared" si="659"/>
        <v>76.7</v>
      </c>
      <c r="CQ243" s="443"/>
      <c r="CR243" s="217">
        <f t="shared" si="660"/>
        <v>0.21465968586387432</v>
      </c>
      <c r="CS243" s="172">
        <f t="shared" si="661"/>
        <v>28.621291448516576</v>
      </c>
      <c r="CT243" s="172">
        <f t="shared" si="662"/>
        <v>4.0248691099476437</v>
      </c>
      <c r="CU243" s="217">
        <f t="shared" si="663"/>
        <v>1.788830715532286</v>
      </c>
      <c r="CV243" s="217">
        <f t="shared" si="664"/>
        <v>3.577661431064572</v>
      </c>
      <c r="CW243" s="217">
        <f t="shared" si="665"/>
        <v>16</v>
      </c>
      <c r="CX243" s="217">
        <f t="shared" si="666"/>
        <v>0.75468292682926841</v>
      </c>
      <c r="CY243" s="217">
        <f t="shared" si="667"/>
        <v>0.15093658536585366</v>
      </c>
      <c r="CZ243" s="217">
        <f t="shared" si="668"/>
        <v>0.54228713305097132</v>
      </c>
      <c r="DA243" s="197">
        <f t="shared" si="669"/>
        <v>350</v>
      </c>
      <c r="DB243" s="443">
        <f t="shared" si="670"/>
        <v>350</v>
      </c>
      <c r="DD243" s="217">
        <f t="shared" si="671"/>
        <v>3.1104488731607378</v>
      </c>
      <c r="DE243" s="173">
        <f t="shared" si="672"/>
        <v>2.23505308251071</v>
      </c>
      <c r="DF243" s="173">
        <f t="shared" si="673"/>
        <v>1.0814250754144243</v>
      </c>
      <c r="DG243" s="173"/>
      <c r="DH243" s="173">
        <f t="shared" si="674"/>
        <v>0.71856287425149712</v>
      </c>
      <c r="DI243" s="545">
        <f t="shared" si="675"/>
        <v>751.5</v>
      </c>
      <c r="DJ243" s="528">
        <f t="shared" si="676"/>
        <v>0.125748502994012</v>
      </c>
      <c r="DL243" s="173">
        <f t="shared" si="677"/>
        <v>1.5212776585113299</v>
      </c>
      <c r="DM243" s="173">
        <f t="shared" si="678"/>
        <v>1.5212776585113299</v>
      </c>
      <c r="DN243" s="173">
        <f t="shared" si="679"/>
        <v>1.5861315988972813</v>
      </c>
      <c r="DP243" s="545">
        <f t="shared" si="680"/>
        <v>270</v>
      </c>
      <c r="DQ243" s="460">
        <f t="shared" si="681"/>
        <v>350</v>
      </c>
      <c r="DS243">
        <f t="shared" si="682"/>
        <v>270</v>
      </c>
      <c r="DT243">
        <f t="shared" si="683"/>
        <v>350</v>
      </c>
      <c r="DV243" s="5">
        <f t="shared" si="684"/>
        <v>2.8571428571428572</v>
      </c>
      <c r="DW243" s="5">
        <f t="shared" si="685"/>
        <v>0.30425553170226599</v>
      </c>
      <c r="DX243" s="5">
        <f t="shared" si="686"/>
        <v>2.552887325440591</v>
      </c>
      <c r="DY243" s="173">
        <f t="shared" si="687"/>
        <v>0.10648943609579309</v>
      </c>
      <c r="EA243" s="5">
        <f t="shared" si="713"/>
        <v>0.51343120974757384</v>
      </c>
      <c r="EB243" s="5">
        <f t="shared" si="714"/>
        <v>0.25671560487378692</v>
      </c>
      <c r="EC243" s="5">
        <f t="shared" si="715"/>
        <v>0.15317323952643547</v>
      </c>
      <c r="ED243" s="5"/>
      <c r="EE243" s="173">
        <f t="shared" si="716"/>
        <v>0.28661645723791196</v>
      </c>
      <c r="EF243" s="173">
        <f t="shared" si="717"/>
        <v>0.8302286298779149</v>
      </c>
      <c r="EG243" s="173">
        <f t="shared" si="718"/>
        <v>0.20389438410237026</v>
      </c>
      <c r="EH243" s="173"/>
      <c r="EI243" s="528">
        <f t="shared" si="719"/>
        <v>1.6429798711922363E-3</v>
      </c>
      <c r="EJ243" s="528">
        <f t="shared" si="720"/>
        <v>0.77593527611199642</v>
      </c>
      <c r="EK243" s="528">
        <f t="shared" si="721"/>
        <v>4.0250000000000001E-2</v>
      </c>
      <c r="EL243" s="528">
        <f t="shared" si="722"/>
        <v>1.0140631637499999</v>
      </c>
      <c r="EM243">
        <f t="shared" si="723"/>
        <v>2.7E-2</v>
      </c>
      <c r="EN243" s="460">
        <f t="shared" si="724"/>
        <v>67.25</v>
      </c>
      <c r="EP243" s="460">
        <f t="shared" si="725"/>
        <v>1858.8914197331885</v>
      </c>
      <c r="EQ243" s="173">
        <f t="shared" si="726"/>
        <v>0.189</v>
      </c>
      <c r="ER243" s="173">
        <f t="shared" si="688"/>
        <v>2.9953125000000001E-2</v>
      </c>
      <c r="ES243" s="528"/>
      <c r="EU243" s="460">
        <f t="shared" si="727"/>
        <v>218.953125</v>
      </c>
      <c r="EV243" s="528">
        <f t="shared" si="728"/>
        <v>2.4644698067883544E-3</v>
      </c>
      <c r="EW243" s="528">
        <f t="shared" si="729"/>
        <v>2.0678387336068794E-2</v>
      </c>
      <c r="EX243" s="528">
        <f t="shared" si="730"/>
        <v>2.0786459934242453E-4</v>
      </c>
      <c r="EY243" s="528">
        <f t="shared" si="731"/>
        <v>0.3270855312500478</v>
      </c>
      <c r="EZ243" s="528"/>
      <c r="FA243" s="625">
        <f t="shared" si="732"/>
        <v>4.0499999999999998E-3</v>
      </c>
      <c r="FB243" s="460">
        <f t="shared" si="733"/>
        <v>354.48625299224739</v>
      </c>
      <c r="FC243" s="173">
        <f t="shared" si="734"/>
        <v>2.4323307977254358</v>
      </c>
      <c r="FD243" s="5">
        <f t="shared" si="735"/>
        <v>4.8600000000000003</v>
      </c>
      <c r="FE243" s="173">
        <f t="shared" si="736"/>
        <v>0.66645358456803572</v>
      </c>
      <c r="FF243" s="5">
        <f t="shared" si="737"/>
        <v>66.645358456803578</v>
      </c>
      <c r="FG243">
        <f t="shared" si="738"/>
        <v>27</v>
      </c>
      <c r="FI243" s="562">
        <f t="shared" si="689"/>
        <v>-50</v>
      </c>
    </row>
    <row r="244" spans="5:165">
      <c r="E244" s="170">
        <v>28</v>
      </c>
      <c r="F244" s="217">
        <f t="shared" si="690"/>
        <v>0.28000000000000003</v>
      </c>
      <c r="G244" s="217">
        <f t="shared" si="617"/>
        <v>7.0000000000000007E-2</v>
      </c>
      <c r="H244" s="217">
        <f t="shared" si="618"/>
        <v>4.4800000000000004</v>
      </c>
      <c r="I244" s="217">
        <f t="shared" si="619"/>
        <v>0.56000000000000005</v>
      </c>
      <c r="J244" s="541">
        <f t="shared" si="620"/>
        <v>59.950575218345634</v>
      </c>
      <c r="K244" s="443">
        <f t="shared" si="621"/>
        <v>16.721908902300207</v>
      </c>
      <c r="L244" s="172">
        <f t="shared" si="622"/>
        <v>76.672484120645834</v>
      </c>
      <c r="M244" s="443"/>
      <c r="N244" s="217">
        <f t="shared" si="623"/>
        <v>0.21809530621165107</v>
      </c>
      <c r="O244" s="172">
        <f t="shared" si="624"/>
        <v>29.05542013291047</v>
      </c>
      <c r="P244" s="172">
        <f t="shared" si="625"/>
        <v>4.0859184561905346</v>
      </c>
      <c r="Q244" s="217">
        <f t="shared" si="626"/>
        <v>1.8159637583069044</v>
      </c>
      <c r="R244" s="217">
        <f t="shared" si="627"/>
        <v>3.6319275166138087</v>
      </c>
      <c r="S244" s="217">
        <f t="shared" si="628"/>
        <v>16</v>
      </c>
      <c r="T244" s="217">
        <f t="shared" si="629"/>
        <v>0.7709404956987006</v>
      </c>
      <c r="U244" s="217">
        <f t="shared" si="630"/>
        <v>0.15431521573713602</v>
      </c>
      <c r="V244" s="217">
        <f t="shared" si="631"/>
        <v>0.55324341272495714</v>
      </c>
      <c r="W244" s="197">
        <f t="shared" si="632"/>
        <v>350</v>
      </c>
      <c r="X244" s="443">
        <f t="shared" si="691"/>
        <v>350</v>
      </c>
      <c r="Z244" s="217">
        <f t="shared" si="633"/>
        <v>3.1130807285261213</v>
      </c>
      <c r="AA244" s="173">
        <f t="shared" si="634"/>
        <v>2.2340134108238541</v>
      </c>
      <c r="AB244" s="173">
        <f t="shared" si="635"/>
        <v>1.0818366372340567</v>
      </c>
      <c r="AC244" s="173"/>
      <c r="AD244" s="173">
        <f t="shared" si="636"/>
        <v>0.71762141930753631</v>
      </c>
      <c r="AE244" s="545">
        <f t="shared" si="637"/>
        <v>780.35574877400973</v>
      </c>
      <c r="AF244" s="528">
        <f t="shared" si="638"/>
        <v>0.12558374837881883</v>
      </c>
      <c r="AH244" s="173">
        <f t="shared" si="639"/>
        <v>1.5491933384829668</v>
      </c>
      <c r="AI244" s="173">
        <f t="shared" si="640"/>
        <v>1.5491933384829668</v>
      </c>
      <c r="AJ244" s="173">
        <f t="shared" si="641"/>
        <v>1.6068098803577531</v>
      </c>
      <c r="AL244" s="545">
        <f t="shared" si="642"/>
        <v>280</v>
      </c>
      <c r="AM244" s="460">
        <f t="shared" si="643"/>
        <v>350</v>
      </c>
      <c r="AO244">
        <f t="shared" si="644"/>
        <v>280</v>
      </c>
      <c r="AP244">
        <f t="shared" si="645"/>
        <v>350</v>
      </c>
      <c r="AR244" s="5">
        <f t="shared" si="616"/>
        <v>2.8571428571428572</v>
      </c>
      <c r="AS244" s="5">
        <f t="shared" si="739"/>
        <v>0.310094106588434</v>
      </c>
      <c r="AT244" s="5">
        <f t="shared" si="740"/>
        <v>2.5470487505544233</v>
      </c>
      <c r="AU244" s="173">
        <f t="shared" si="741"/>
        <v>0.1085329373059519</v>
      </c>
      <c r="BA244" s="173">
        <f t="shared" si="692"/>
        <v>0.29466311246024929</v>
      </c>
      <c r="BB244" s="173">
        <f t="shared" si="693"/>
        <v>0.84449609244521573</v>
      </c>
      <c r="BC244" s="173">
        <f t="shared" si="694"/>
        <v>0.20739830505639859</v>
      </c>
      <c r="BD244" s="173"/>
      <c r="BE244" s="528">
        <f t="shared" si="695"/>
        <v>1.7365269968952304E-3</v>
      </c>
      <c r="BF244" s="528">
        <f t="shared" si="646"/>
        <v>0.75871045425517358</v>
      </c>
      <c r="BG244" s="528">
        <f t="shared" si="647"/>
        <v>0.48260213050768241</v>
      </c>
      <c r="BH244" s="528">
        <f t="shared" si="696"/>
        <v>1.0133357104346397</v>
      </c>
      <c r="BI244">
        <f t="shared" si="697"/>
        <v>2.6977758848255533E-2</v>
      </c>
      <c r="BJ244" s="460">
        <f t="shared" si="698"/>
        <v>509.57988935593789</v>
      </c>
      <c r="BK244">
        <f t="shared" si="648"/>
        <v>1.7749839102329221</v>
      </c>
      <c r="BL244" s="460">
        <f t="shared" si="699"/>
        <v>2283.3625810426465</v>
      </c>
      <c r="BM244" s="173">
        <f t="shared" si="649"/>
        <v>0.17394999999999999</v>
      </c>
      <c r="BN244" s="173">
        <f t="shared" si="650"/>
        <v>3.10625E-2</v>
      </c>
      <c r="BQ244" s="460">
        <f t="shared" si="700"/>
        <v>205.01249999999999</v>
      </c>
      <c r="BR244" s="528">
        <f t="shared" si="701"/>
        <v>2.6047904953428454E-3</v>
      </c>
      <c r="BS244" s="528">
        <f t="shared" si="702"/>
        <v>2.1395209504657151E-2</v>
      </c>
      <c r="BT244" s="528">
        <f t="shared" si="703"/>
        <v>2.1507028470133487E-4</v>
      </c>
      <c r="BU244" s="528">
        <f t="shared" si="704"/>
        <v>0.34229784688115428</v>
      </c>
      <c r="BV244" s="528"/>
      <c r="BW244" s="625">
        <f t="shared" si="705"/>
        <v>4.2000000000000006E-3</v>
      </c>
      <c r="BX244" s="460">
        <f t="shared" si="706"/>
        <v>370.71291716585557</v>
      </c>
      <c r="BY244" s="173">
        <f t="shared" si="707"/>
        <v>2.8590879982085022</v>
      </c>
      <c r="BZ244" s="5">
        <f t="shared" si="708"/>
        <v>5.0400000000000009</v>
      </c>
      <c r="CA244" s="173">
        <f t="shared" si="709"/>
        <v>0.63804834192796211</v>
      </c>
      <c r="CB244" s="5">
        <f t="shared" si="710"/>
        <v>63.804834192796214</v>
      </c>
      <c r="CC244">
        <f t="shared" si="711"/>
        <v>28.000000000000004</v>
      </c>
      <c r="CE244" s="562">
        <f t="shared" si="651"/>
        <v>-50</v>
      </c>
      <c r="CG244" s="173">
        <f t="shared" si="652"/>
        <v>0.38340579025361632</v>
      </c>
      <c r="CH244" s="173">
        <f t="shared" si="653"/>
        <v>0.13798952640679121</v>
      </c>
      <c r="CI244" s="170">
        <v>28</v>
      </c>
      <c r="CJ244" s="217">
        <f t="shared" si="712"/>
        <v>0.28000000000000003</v>
      </c>
      <c r="CK244" s="217">
        <f t="shared" si="654"/>
        <v>7.0000000000000007E-2</v>
      </c>
      <c r="CL244" s="217">
        <f t="shared" si="655"/>
        <v>4.4800000000000004</v>
      </c>
      <c r="CM244" s="217">
        <f t="shared" si="656"/>
        <v>0.56000000000000005</v>
      </c>
      <c r="CN244" s="541">
        <f t="shared" si="657"/>
        <v>60</v>
      </c>
      <c r="CO244" s="443">
        <f t="shared" si="658"/>
        <v>16.7</v>
      </c>
      <c r="CP244" s="443">
        <f t="shared" si="659"/>
        <v>76.7</v>
      </c>
      <c r="CQ244" s="443"/>
      <c r="CR244" s="217">
        <f t="shared" si="660"/>
        <v>0.21465968586387432</v>
      </c>
      <c r="CS244" s="172">
        <f t="shared" si="661"/>
        <v>28.621291448516576</v>
      </c>
      <c r="CT244" s="172">
        <f t="shared" si="662"/>
        <v>4.0248691099476437</v>
      </c>
      <c r="CU244" s="217">
        <f t="shared" si="663"/>
        <v>1.788830715532286</v>
      </c>
      <c r="CV244" s="217">
        <f t="shared" si="664"/>
        <v>3.577661431064572</v>
      </c>
      <c r="CW244" s="217">
        <f t="shared" si="665"/>
        <v>16</v>
      </c>
      <c r="CX244" s="217">
        <f t="shared" si="666"/>
        <v>0.78263414634146367</v>
      </c>
      <c r="CY244" s="217">
        <f t="shared" si="667"/>
        <v>0.15652682926829276</v>
      </c>
      <c r="CZ244" s="217">
        <f t="shared" si="668"/>
        <v>0.56237184168248888</v>
      </c>
      <c r="DA244" s="197">
        <f t="shared" si="669"/>
        <v>350</v>
      </c>
      <c r="DB244" s="443">
        <f t="shared" si="670"/>
        <v>350</v>
      </c>
      <c r="DD244" s="217">
        <f t="shared" si="671"/>
        <v>3.1104488731607378</v>
      </c>
      <c r="DE244" s="173">
        <f t="shared" si="672"/>
        <v>2.23505308251071</v>
      </c>
      <c r="DF244" s="173">
        <f t="shared" si="673"/>
        <v>1.0814250754144243</v>
      </c>
      <c r="DG244" s="173"/>
      <c r="DH244" s="173">
        <f t="shared" si="674"/>
        <v>0.71856287425149712</v>
      </c>
      <c r="DI244" s="545">
        <f t="shared" si="675"/>
        <v>779.33333333333326</v>
      </c>
      <c r="DJ244" s="528">
        <f t="shared" si="676"/>
        <v>0.125748502994012</v>
      </c>
      <c r="DL244" s="173">
        <f t="shared" si="677"/>
        <v>1.5491933384829668</v>
      </c>
      <c r="DM244" s="173">
        <f t="shared" si="678"/>
        <v>1.5491933384829668</v>
      </c>
      <c r="DN244" s="173">
        <f t="shared" si="679"/>
        <v>1.6068098803577531</v>
      </c>
      <c r="DP244" s="545">
        <f t="shared" si="680"/>
        <v>280</v>
      </c>
      <c r="DQ244" s="460">
        <f t="shared" si="681"/>
        <v>350</v>
      </c>
      <c r="DS244">
        <f t="shared" si="682"/>
        <v>280</v>
      </c>
      <c r="DT244">
        <f t="shared" si="683"/>
        <v>350</v>
      </c>
      <c r="DV244" s="5">
        <f t="shared" si="684"/>
        <v>2.8571428571428572</v>
      </c>
      <c r="DW244" s="5">
        <f t="shared" si="685"/>
        <v>0.30983866769659341</v>
      </c>
      <c r="DX244" s="5">
        <f t="shared" si="686"/>
        <v>2.5473041894462636</v>
      </c>
      <c r="DY244" s="173">
        <f t="shared" si="687"/>
        <v>0.10844353369380769</v>
      </c>
      <c r="EA244" s="5">
        <f t="shared" si="713"/>
        <v>0.54221766846903852</v>
      </c>
      <c r="EB244" s="5">
        <f t="shared" si="714"/>
        <v>0.27110883423451926</v>
      </c>
      <c r="EC244" s="5">
        <f t="shared" si="715"/>
        <v>0.15849892734332305</v>
      </c>
      <c r="ED244" s="5"/>
      <c r="EE244" s="173">
        <f t="shared" si="716"/>
        <v>0.29454172362340481</v>
      </c>
      <c r="EF244" s="173">
        <f t="shared" si="717"/>
        <v>0.84453843787299221</v>
      </c>
      <c r="EG244" s="173">
        <f t="shared" si="718"/>
        <v>0.20740870459527896</v>
      </c>
      <c r="EH244" s="173"/>
      <c r="EI244" s="528">
        <f t="shared" si="719"/>
        <v>1.7350965391009236E-3</v>
      </c>
      <c r="EJ244" s="528">
        <f t="shared" si="720"/>
        <v>0.79017380825992978</v>
      </c>
      <c r="EK244" s="528">
        <f t="shared" si="721"/>
        <v>4.0250000000000001E-2</v>
      </c>
      <c r="EL244" s="528">
        <f t="shared" si="722"/>
        <v>1.0140631637499999</v>
      </c>
      <c r="EM244">
        <f t="shared" si="723"/>
        <v>2.7E-2</v>
      </c>
      <c r="EN244" s="460">
        <f t="shared" si="724"/>
        <v>67.25</v>
      </c>
      <c r="EP244" s="460">
        <f t="shared" si="725"/>
        <v>1873.2220685490306</v>
      </c>
      <c r="EQ244" s="173">
        <f t="shared" si="726"/>
        <v>0.19600000000000001</v>
      </c>
      <c r="ER244" s="173">
        <f t="shared" si="688"/>
        <v>3.10625E-2</v>
      </c>
      <c r="ES244" s="528"/>
      <c r="EU244" s="460">
        <f t="shared" si="727"/>
        <v>227.0625</v>
      </c>
      <c r="EV244" s="528">
        <f t="shared" si="728"/>
        <v>2.6026448086513853E-3</v>
      </c>
      <c r="EW244" s="528">
        <f t="shared" si="729"/>
        <v>2.1397355191348617E-2</v>
      </c>
      <c r="EX244" s="528">
        <f t="shared" si="730"/>
        <v>2.1509185370945848E-4</v>
      </c>
      <c r="EY244" s="528">
        <f t="shared" si="731"/>
        <v>0.34229784688115428</v>
      </c>
      <c r="EZ244" s="528"/>
      <c r="FA244" s="625">
        <f t="shared" si="732"/>
        <v>4.2000000000000006E-3</v>
      </c>
      <c r="FB244" s="460">
        <f t="shared" si="733"/>
        <v>370.71293873486371</v>
      </c>
      <c r="FC244" s="173">
        <f t="shared" si="734"/>
        <v>2.4709975072838946</v>
      </c>
      <c r="FD244" s="5">
        <f t="shared" si="735"/>
        <v>5.0400000000000009</v>
      </c>
      <c r="FE244" s="173">
        <f t="shared" si="736"/>
        <v>0.67101606612335973</v>
      </c>
      <c r="FF244" s="5">
        <f t="shared" si="737"/>
        <v>67.101606612335971</v>
      </c>
      <c r="FG244">
        <f t="shared" si="738"/>
        <v>28.000000000000004</v>
      </c>
      <c r="FI244" s="562">
        <f t="shared" si="689"/>
        <v>-50</v>
      </c>
    </row>
    <row r="245" spans="5:165">
      <c r="E245" s="170">
        <v>29</v>
      </c>
      <c r="F245" s="217">
        <f t="shared" si="690"/>
        <v>0.28999999999999998</v>
      </c>
      <c r="G245" s="217">
        <f t="shared" si="617"/>
        <v>7.2499999999999995E-2</v>
      </c>
      <c r="H245" s="217">
        <f t="shared" si="618"/>
        <v>4.6399999999999997</v>
      </c>
      <c r="I245" s="217">
        <f t="shared" si="619"/>
        <v>0.57999999999999996</v>
      </c>
      <c r="J245" s="541">
        <f t="shared" si="620"/>
        <v>59.949700375531833</v>
      </c>
      <c r="K245" s="443">
        <f t="shared" si="621"/>
        <v>16.722296700588714</v>
      </c>
      <c r="L245" s="172">
        <f t="shared" si="622"/>
        <v>76.671997076120547</v>
      </c>
      <c r="M245" s="443"/>
      <c r="N245" s="217">
        <f t="shared" si="623"/>
        <v>0.21810174950818992</v>
      </c>
      <c r="O245" s="172">
        <f t="shared" si="624"/>
        <v>29.055854520878409</v>
      </c>
      <c r="P245" s="172">
        <f t="shared" si="625"/>
        <v>4.0859795419985261</v>
      </c>
      <c r="Q245" s="217">
        <f t="shared" si="626"/>
        <v>1.8159909075549006</v>
      </c>
      <c r="R245" s="217">
        <f t="shared" si="627"/>
        <v>3.6319818151098011</v>
      </c>
      <c r="S245" s="217">
        <f t="shared" si="628"/>
        <v>16</v>
      </c>
      <c r="T245" s="217">
        <f t="shared" si="629"/>
        <v>0.79846214756235723</v>
      </c>
      <c r="U245" s="217">
        <f t="shared" si="630"/>
        <v>0.15982641632449168</v>
      </c>
      <c r="V245" s="217">
        <f t="shared" si="631"/>
        <v>0.57298025159492383</v>
      </c>
      <c r="W245" s="197">
        <f t="shared" si="632"/>
        <v>350</v>
      </c>
      <c r="X245" s="443">
        <f t="shared" si="691"/>
        <v>350</v>
      </c>
      <c r="Z245" s="217">
        <f t="shared" si="633"/>
        <v>3.1131272700941151</v>
      </c>
      <c r="AA245" s="173">
        <f t="shared" si="634"/>
        <v>2.2339950014051717</v>
      </c>
      <c r="AB245" s="173">
        <f t="shared" si="635"/>
        <v>1.0818438960199703</v>
      </c>
      <c r="AC245" s="173"/>
      <c r="AD245" s="173">
        <f t="shared" si="636"/>
        <v>0.71760477731372485</v>
      </c>
      <c r="AE245" s="545">
        <f t="shared" si="637"/>
        <v>808.24434052845436</v>
      </c>
      <c r="AF245" s="528">
        <f t="shared" si="638"/>
        <v>0.12558083602990186</v>
      </c>
      <c r="AH245" s="173">
        <f t="shared" si="639"/>
        <v>1.5766148184367308</v>
      </c>
      <c r="AI245" s="173">
        <f t="shared" si="640"/>
        <v>1.5766148184367308</v>
      </c>
      <c r="AJ245" s="173">
        <f t="shared" si="641"/>
        <v>1.6271220877309116</v>
      </c>
      <c r="AL245" s="545">
        <f t="shared" si="642"/>
        <v>290</v>
      </c>
      <c r="AM245" s="460">
        <f t="shared" si="643"/>
        <v>350</v>
      </c>
      <c r="AO245">
        <f t="shared" si="644"/>
        <v>290</v>
      </c>
      <c r="AP245">
        <f t="shared" si="645"/>
        <v>350</v>
      </c>
      <c r="AR245" s="5">
        <f t="shared" si="616"/>
        <v>2.8571428571428572</v>
      </c>
      <c r="AS245" s="5">
        <f t="shared" si="739"/>
        <v>0.31558752925748768</v>
      </c>
      <c r="AT245" s="5">
        <f t="shared" si="740"/>
        <v>2.5415553278853693</v>
      </c>
      <c r="AU245" s="173">
        <f t="shared" si="741"/>
        <v>0.11045563524012068</v>
      </c>
      <c r="BA245" s="173">
        <f t="shared" si="692"/>
        <v>0.30252336022970427</v>
      </c>
      <c r="BB245" s="173">
        <f t="shared" si="693"/>
        <v>0.85851677041672114</v>
      </c>
      <c r="BC245" s="173">
        <f t="shared" si="694"/>
        <v>0.2108416186170477</v>
      </c>
      <c r="BD245" s="173"/>
      <c r="BE245" s="528">
        <f t="shared" si="695"/>
        <v>1.8304076696934286E-3</v>
      </c>
      <c r="BF245" s="528">
        <f t="shared" si="646"/>
        <v>0.77213509561146898</v>
      </c>
      <c r="BG245" s="528">
        <f t="shared" si="647"/>
        <v>0.48259508802303125</v>
      </c>
      <c r="BH245" s="528">
        <f t="shared" si="696"/>
        <v>1.0133228365060551</v>
      </c>
      <c r="BI245">
        <f t="shared" si="697"/>
        <v>2.6977365168989326E-2</v>
      </c>
      <c r="BJ245" s="460">
        <f t="shared" si="698"/>
        <v>509.57245319202059</v>
      </c>
      <c r="BK245">
        <f t="shared" si="648"/>
        <v>1.7885604034740572</v>
      </c>
      <c r="BL245" s="460">
        <f t="shared" si="699"/>
        <v>2296.8607929792379</v>
      </c>
      <c r="BM245" s="173">
        <f t="shared" si="649"/>
        <v>0.18016249999999998</v>
      </c>
      <c r="BN245" s="173">
        <f t="shared" si="650"/>
        <v>3.2171874999999996E-2</v>
      </c>
      <c r="BQ245" s="460">
        <f t="shared" si="700"/>
        <v>212.33437499999997</v>
      </c>
      <c r="BR245" s="528">
        <f t="shared" si="701"/>
        <v>2.7456115045401425E-3</v>
      </c>
      <c r="BS245" s="528">
        <f t="shared" si="702"/>
        <v>2.2111531352602711E-2</v>
      </c>
      <c r="BT245" s="528">
        <f t="shared" si="703"/>
        <v>2.2227094070528298E-4</v>
      </c>
      <c r="BU245" s="528">
        <f t="shared" si="704"/>
        <v>0.35764662042896911</v>
      </c>
      <c r="BV245" s="528"/>
      <c r="BW245" s="625">
        <f t="shared" si="705"/>
        <v>4.3500000000000006E-3</v>
      </c>
      <c r="BX245" s="460">
        <f t="shared" si="706"/>
        <v>387.07603422681723</v>
      </c>
      <c r="BY245" s="173">
        <f t="shared" si="707"/>
        <v>2.8962712022060551</v>
      </c>
      <c r="BZ245" s="5">
        <f t="shared" si="708"/>
        <v>5.22</v>
      </c>
      <c r="CA245" s="173">
        <f t="shared" si="709"/>
        <v>0.64315248590771223</v>
      </c>
      <c r="CB245" s="5">
        <f t="shared" si="710"/>
        <v>64.315248590771219</v>
      </c>
      <c r="CC245">
        <f t="shared" si="711"/>
        <v>28.999999999999996</v>
      </c>
      <c r="CE245" s="562">
        <f t="shared" si="651"/>
        <v>-50</v>
      </c>
      <c r="CG245" s="173">
        <f t="shared" si="652"/>
        <v>0.3901922603025334</v>
      </c>
      <c r="CH245" s="173">
        <f t="shared" si="653"/>
        <v>0.14043200852842139</v>
      </c>
      <c r="CI245" s="170">
        <v>29</v>
      </c>
      <c r="CJ245" s="217">
        <f t="shared" si="712"/>
        <v>0.28999999999999998</v>
      </c>
      <c r="CK245" s="217">
        <f t="shared" si="654"/>
        <v>7.2499999999999995E-2</v>
      </c>
      <c r="CL245" s="217">
        <f t="shared" si="655"/>
        <v>4.6399999999999997</v>
      </c>
      <c r="CM245" s="217">
        <f t="shared" si="656"/>
        <v>0.57999999999999996</v>
      </c>
      <c r="CN245" s="541">
        <f t="shared" si="657"/>
        <v>60</v>
      </c>
      <c r="CO245" s="443">
        <f t="shared" si="658"/>
        <v>16.7</v>
      </c>
      <c r="CP245" s="443">
        <f t="shared" si="659"/>
        <v>76.7</v>
      </c>
      <c r="CQ245" s="443"/>
      <c r="CR245" s="217">
        <f t="shared" si="660"/>
        <v>0.21465968586387432</v>
      </c>
      <c r="CS245" s="172">
        <f t="shared" si="661"/>
        <v>28.621291448516576</v>
      </c>
      <c r="CT245" s="172">
        <f t="shared" si="662"/>
        <v>4.0248691099476437</v>
      </c>
      <c r="CU245" s="217">
        <f t="shared" si="663"/>
        <v>1.788830715532286</v>
      </c>
      <c r="CV245" s="217">
        <f t="shared" si="664"/>
        <v>3.577661431064572</v>
      </c>
      <c r="CW245" s="217">
        <f t="shared" si="665"/>
        <v>16</v>
      </c>
      <c r="CX245" s="217">
        <f t="shared" si="666"/>
        <v>0.81058536585365859</v>
      </c>
      <c r="CY245" s="217">
        <f t="shared" si="667"/>
        <v>0.16211707317073173</v>
      </c>
      <c r="CZ245" s="217">
        <f t="shared" si="668"/>
        <v>0.58245655031400623</v>
      </c>
      <c r="DA245" s="197">
        <f t="shared" si="669"/>
        <v>350</v>
      </c>
      <c r="DB245" s="443">
        <f t="shared" si="670"/>
        <v>350</v>
      </c>
      <c r="DD245" s="217">
        <f t="shared" si="671"/>
        <v>3.1104488731607378</v>
      </c>
      <c r="DE245" s="173">
        <f t="shared" si="672"/>
        <v>2.23505308251071</v>
      </c>
      <c r="DF245" s="173">
        <f t="shared" si="673"/>
        <v>1.0814250754144243</v>
      </c>
      <c r="DG245" s="173"/>
      <c r="DH245" s="173">
        <f t="shared" si="674"/>
        <v>0.71856287425149712</v>
      </c>
      <c r="DI245" s="545">
        <f t="shared" si="675"/>
        <v>807.16666666666652</v>
      </c>
      <c r="DJ245" s="528">
        <f t="shared" si="676"/>
        <v>0.125748502994012</v>
      </c>
      <c r="DL245" s="173">
        <f t="shared" si="677"/>
        <v>1.5766148184367308</v>
      </c>
      <c r="DM245" s="173">
        <f t="shared" si="678"/>
        <v>1.5766148184367308</v>
      </c>
      <c r="DN245" s="173">
        <f t="shared" si="679"/>
        <v>1.6271220877309116</v>
      </c>
      <c r="DP245" s="545">
        <f t="shared" si="680"/>
        <v>290</v>
      </c>
      <c r="DQ245" s="460">
        <f t="shared" si="681"/>
        <v>350</v>
      </c>
      <c r="DS245">
        <f t="shared" si="682"/>
        <v>290</v>
      </c>
      <c r="DT245">
        <f t="shared" si="683"/>
        <v>350</v>
      </c>
      <c r="DV245" s="5">
        <f t="shared" si="684"/>
        <v>2.8571428571428572</v>
      </c>
      <c r="DW245" s="5">
        <f t="shared" si="685"/>
        <v>0.31532296368734614</v>
      </c>
      <c r="DX245" s="5">
        <f t="shared" si="686"/>
        <v>2.5418198934555112</v>
      </c>
      <c r="DY245" s="173">
        <f t="shared" si="687"/>
        <v>0.11036303729057115</v>
      </c>
      <c r="EA245" s="5">
        <f t="shared" si="713"/>
        <v>0.57152287168331484</v>
      </c>
      <c r="EB245" s="5">
        <f t="shared" si="714"/>
        <v>0.28576143584165742</v>
      </c>
      <c r="EC245" s="5">
        <f t="shared" si="715"/>
        <v>0.16380617091157734</v>
      </c>
      <c r="ED245" s="5"/>
      <c r="EE245" s="173">
        <f t="shared" si="716"/>
        <v>0.30239652688040308</v>
      </c>
      <c r="EF245" s="173">
        <f t="shared" si="717"/>
        <v>0.85856145330552669</v>
      </c>
      <c r="EG245" s="173">
        <f t="shared" si="718"/>
        <v>0.2108525922088573</v>
      </c>
      <c r="EH245" s="173"/>
      <c r="EI245" s="528">
        <f t="shared" si="719"/>
        <v>1.828873189386607E-3</v>
      </c>
      <c r="EJ245" s="528">
        <f t="shared" si="720"/>
        <v>0.8041602712177468</v>
      </c>
      <c r="EK245" s="528">
        <f t="shared" si="721"/>
        <v>4.0250000000000001E-2</v>
      </c>
      <c r="EL245" s="528">
        <f t="shared" si="722"/>
        <v>1.0140631637499999</v>
      </c>
      <c r="EM245">
        <f t="shared" si="723"/>
        <v>2.7E-2</v>
      </c>
      <c r="EN245" s="460">
        <f t="shared" si="724"/>
        <v>67.25</v>
      </c>
      <c r="EP245" s="460">
        <f t="shared" si="725"/>
        <v>1887.3023081571334</v>
      </c>
      <c r="EQ245" s="173">
        <f t="shared" si="726"/>
        <v>0.20299999999999999</v>
      </c>
      <c r="ER245" s="173">
        <f t="shared" si="688"/>
        <v>3.2171874999999996E-2</v>
      </c>
      <c r="ES245" s="528"/>
      <c r="EU245" s="460">
        <f t="shared" si="727"/>
        <v>235.17187499999997</v>
      </c>
      <c r="EV245" s="528">
        <f t="shared" si="728"/>
        <v>2.7433097840799106E-3</v>
      </c>
      <c r="EW245" s="528">
        <f t="shared" si="729"/>
        <v>2.2113833073062941E-2</v>
      </c>
      <c r="EX245" s="528">
        <f t="shared" si="730"/>
        <v>2.2229407820597338E-4</v>
      </c>
      <c r="EY245" s="528">
        <f t="shared" si="731"/>
        <v>0.35764662042896911</v>
      </c>
      <c r="EZ245" s="528"/>
      <c r="FA245" s="625">
        <f t="shared" si="732"/>
        <v>4.3500000000000006E-3</v>
      </c>
      <c r="FB245" s="460">
        <f t="shared" si="733"/>
        <v>387.07605736431793</v>
      </c>
      <c r="FC245" s="173">
        <f t="shared" si="734"/>
        <v>2.5095502405214516</v>
      </c>
      <c r="FD245" s="5">
        <f t="shared" si="735"/>
        <v>5.22</v>
      </c>
      <c r="FE245" s="173">
        <f t="shared" si="736"/>
        <v>0.67533036691250592</v>
      </c>
      <c r="FF245" s="5">
        <f t="shared" si="737"/>
        <v>67.533036691250587</v>
      </c>
      <c r="FG245">
        <f t="shared" si="738"/>
        <v>28.999999999999996</v>
      </c>
      <c r="FI245" s="562">
        <f t="shared" si="689"/>
        <v>-50</v>
      </c>
    </row>
    <row r="246" spans="5:165">
      <c r="E246" s="170">
        <v>30</v>
      </c>
      <c r="F246" s="217">
        <f t="shared" si="690"/>
        <v>0.3</v>
      </c>
      <c r="G246" s="217">
        <f t="shared" si="617"/>
        <v>7.4999999999999997E-2</v>
      </c>
      <c r="H246" s="217">
        <f t="shared" si="618"/>
        <v>4.8</v>
      </c>
      <c r="I246" s="217">
        <f t="shared" si="619"/>
        <v>0.6</v>
      </c>
      <c r="J246" s="541">
        <f t="shared" si="620"/>
        <v>59.948840490603459</v>
      </c>
      <c r="K246" s="443">
        <f t="shared" si="621"/>
        <v>16.722677868380554</v>
      </c>
      <c r="L246" s="172">
        <f t="shared" si="622"/>
        <v>76.671518358984017</v>
      </c>
      <c r="M246" s="443"/>
      <c r="N246" s="217">
        <f t="shared" si="623"/>
        <v>0.21810808271832102</v>
      </c>
      <c r="O246" s="172">
        <f t="shared" si="624"/>
        <v>29.05628146798216</v>
      </c>
      <c r="P246" s="172">
        <f t="shared" si="625"/>
        <v>4.0860395814349912</v>
      </c>
      <c r="Q246" s="217">
        <f t="shared" si="626"/>
        <v>1.816017591748885</v>
      </c>
      <c r="R246" s="217">
        <f t="shared" si="627"/>
        <v>3.63203518349777</v>
      </c>
      <c r="S246" s="217">
        <f t="shared" si="628"/>
        <v>16</v>
      </c>
      <c r="T246" s="217">
        <f t="shared" si="629"/>
        <v>0.82598318805681292</v>
      </c>
      <c r="U246" s="217">
        <f t="shared" si="630"/>
        <v>0.16533761413175885</v>
      </c>
      <c r="V246" s="217">
        <f t="shared" si="631"/>
        <v>0.59271597137101506</v>
      </c>
      <c r="W246" s="197">
        <f t="shared" si="632"/>
        <v>350</v>
      </c>
      <c r="X246" s="443">
        <f t="shared" si="691"/>
        <v>350</v>
      </c>
      <c r="Z246" s="217">
        <f t="shared" si="633"/>
        <v>3.1131730144266596</v>
      </c>
      <c r="AA246" s="173">
        <f t="shared" si="634"/>
        <v>2.2339769065190831</v>
      </c>
      <c r="AB246" s="173">
        <f t="shared" si="635"/>
        <v>1.0818510298131756</v>
      </c>
      <c r="AC246" s="173"/>
      <c r="AD246" s="173">
        <f t="shared" si="636"/>
        <v>0.7175884206135279</v>
      </c>
      <c r="AE246" s="545">
        <f t="shared" si="637"/>
        <v>836.13389341902769</v>
      </c>
      <c r="AF246" s="528">
        <f t="shared" si="638"/>
        <v>0.12557797360736739</v>
      </c>
      <c r="AH246" s="173">
        <f t="shared" si="639"/>
        <v>1.6035674514745462</v>
      </c>
      <c r="AI246" s="173">
        <f t="shared" si="640"/>
        <v>1.6035674514745462</v>
      </c>
      <c r="AJ246" s="173">
        <f t="shared" si="641"/>
        <v>1.6470870010922565</v>
      </c>
      <c r="AL246" s="545">
        <f t="shared" si="642"/>
        <v>300</v>
      </c>
      <c r="AM246" s="460">
        <f t="shared" si="643"/>
        <v>350</v>
      </c>
      <c r="AO246">
        <f t="shared" si="644"/>
        <v>300</v>
      </c>
      <c r="AP246">
        <f t="shared" si="645"/>
        <v>350</v>
      </c>
      <c r="AR246" s="5">
        <f t="shared" si="616"/>
        <v>2.8571428571428572</v>
      </c>
      <c r="AS246" s="5">
        <f t="shared" si="739"/>
        <v>0.32098718274143645</v>
      </c>
      <c r="AT246" s="5">
        <f t="shared" si="740"/>
        <v>2.5361556744014209</v>
      </c>
      <c r="AU246" s="173">
        <f t="shared" si="741"/>
        <v>0.11234551395950275</v>
      </c>
      <c r="BA246" s="173">
        <f t="shared" si="692"/>
        <v>0.31031621746604049</v>
      </c>
      <c r="BB246" s="173">
        <f t="shared" si="693"/>
        <v>0.8722652706146371</v>
      </c>
      <c r="BC246" s="173">
        <f t="shared" si="694"/>
        <v>0.2142180885185947</v>
      </c>
      <c r="BD246" s="173"/>
      <c r="BE246" s="528">
        <f t="shared" si="695"/>
        <v>1.9259230964486188E-3</v>
      </c>
      <c r="BF246" s="528">
        <f t="shared" si="646"/>
        <v>0.78533003890064423</v>
      </c>
      <c r="BG246" s="528">
        <f t="shared" si="647"/>
        <v>0.48258816594935788</v>
      </c>
      <c r="BH246" s="528">
        <f t="shared" si="696"/>
        <v>1.01331018277299</v>
      </c>
      <c r="BI246">
        <f t="shared" si="697"/>
        <v>2.6976978220771556E-2</v>
      </c>
      <c r="BJ246" s="460">
        <f t="shared" si="698"/>
        <v>509.56514417012943</v>
      </c>
      <c r="BK246">
        <f t="shared" si="648"/>
        <v>1.8019106971297352</v>
      </c>
      <c r="BL246" s="460">
        <f t="shared" si="699"/>
        <v>2310.1312889402125</v>
      </c>
      <c r="BM246" s="173">
        <f t="shared" si="649"/>
        <v>0.18637499999999999</v>
      </c>
      <c r="BN246" s="173">
        <f t="shared" si="650"/>
        <v>3.3281249999999998E-2</v>
      </c>
      <c r="BQ246" s="460">
        <f t="shared" si="700"/>
        <v>219.65625</v>
      </c>
      <c r="BR246" s="528">
        <f t="shared" si="701"/>
        <v>2.8888846446729279E-3</v>
      </c>
      <c r="BS246" s="528">
        <f t="shared" si="702"/>
        <v>2.2825401069612779E-2</v>
      </c>
      <c r="BT246" s="528">
        <f t="shared" si="703"/>
        <v>2.2944694724280238E-4</v>
      </c>
      <c r="BU246" s="528">
        <f t="shared" si="704"/>
        <v>0.37312830611733427</v>
      </c>
      <c r="BV246" s="528"/>
      <c r="BW246" s="625">
        <f t="shared" si="705"/>
        <v>4.4999999999999997E-3</v>
      </c>
      <c r="BX246" s="460">
        <f t="shared" si="706"/>
        <v>403.57203877886275</v>
      </c>
      <c r="BY246" s="173">
        <f t="shared" si="707"/>
        <v>2.9333595777190755</v>
      </c>
      <c r="BZ246" s="5">
        <f t="shared" si="708"/>
        <v>5.3999999999999995</v>
      </c>
      <c r="CA246" s="173">
        <f t="shared" si="709"/>
        <v>0.64799795924299164</v>
      </c>
      <c r="CB246" s="5">
        <f t="shared" si="710"/>
        <v>64.799795924299161</v>
      </c>
      <c r="CC246">
        <f t="shared" si="711"/>
        <v>30</v>
      </c>
      <c r="CE246" s="562">
        <f t="shared" si="651"/>
        <v>-50</v>
      </c>
      <c r="CG246" s="173">
        <f t="shared" si="652"/>
        <v>0.3968626966596886</v>
      </c>
      <c r="CH246" s="173">
        <f t="shared" si="653"/>
        <v>0.1428327295849334</v>
      </c>
      <c r="CI246" s="170">
        <v>30</v>
      </c>
      <c r="CJ246" s="217">
        <f t="shared" si="712"/>
        <v>0.3</v>
      </c>
      <c r="CK246" s="217">
        <f t="shared" si="654"/>
        <v>7.4999999999999997E-2</v>
      </c>
      <c r="CL246" s="217">
        <f t="shared" si="655"/>
        <v>4.8</v>
      </c>
      <c r="CM246" s="217">
        <f t="shared" si="656"/>
        <v>0.6</v>
      </c>
      <c r="CN246" s="541">
        <f t="shared" si="657"/>
        <v>60</v>
      </c>
      <c r="CO246" s="443">
        <f t="shared" si="658"/>
        <v>16.7</v>
      </c>
      <c r="CP246" s="443">
        <f t="shared" si="659"/>
        <v>76.7</v>
      </c>
      <c r="CQ246" s="443"/>
      <c r="CR246" s="217">
        <f t="shared" si="660"/>
        <v>0.21465968586387432</v>
      </c>
      <c r="CS246" s="172">
        <f t="shared" si="661"/>
        <v>28.621291448516576</v>
      </c>
      <c r="CT246" s="172">
        <f t="shared" si="662"/>
        <v>4.0248691099476437</v>
      </c>
      <c r="CU246" s="217">
        <f t="shared" si="663"/>
        <v>1.788830715532286</v>
      </c>
      <c r="CV246" s="217">
        <f t="shared" si="664"/>
        <v>3.577661431064572</v>
      </c>
      <c r="CW246" s="217">
        <f t="shared" si="665"/>
        <v>16</v>
      </c>
      <c r="CX246" s="217">
        <f t="shared" si="666"/>
        <v>0.83853658536585363</v>
      </c>
      <c r="CY246" s="217">
        <f t="shared" si="667"/>
        <v>0.16770731707317071</v>
      </c>
      <c r="CZ246" s="217">
        <f t="shared" si="668"/>
        <v>0.60254125894552346</v>
      </c>
      <c r="DA246" s="197">
        <f t="shared" si="669"/>
        <v>350</v>
      </c>
      <c r="DB246" s="443">
        <f t="shared" si="670"/>
        <v>350</v>
      </c>
      <c r="DD246" s="217">
        <f t="shared" si="671"/>
        <v>3.1104488731607378</v>
      </c>
      <c r="DE246" s="173">
        <f t="shared" si="672"/>
        <v>2.23505308251071</v>
      </c>
      <c r="DF246" s="173">
        <f t="shared" si="673"/>
        <v>1.0814250754144243</v>
      </c>
      <c r="DG246" s="173"/>
      <c r="DH246" s="173">
        <f t="shared" si="674"/>
        <v>0.71856287425149712</v>
      </c>
      <c r="DI246" s="545">
        <f t="shared" si="675"/>
        <v>834.99999999999989</v>
      </c>
      <c r="DJ246" s="528">
        <f t="shared" si="676"/>
        <v>0.125748502994012</v>
      </c>
      <c r="DL246" s="173">
        <f t="shared" si="677"/>
        <v>1.6035674514745462</v>
      </c>
      <c r="DM246" s="173">
        <f t="shared" si="678"/>
        <v>1.6035674514745462</v>
      </c>
      <c r="DN246" s="173">
        <f t="shared" si="679"/>
        <v>1.6470870010922565</v>
      </c>
      <c r="DP246" s="545">
        <f t="shared" si="680"/>
        <v>300</v>
      </c>
      <c r="DQ246" s="460">
        <f t="shared" si="681"/>
        <v>350</v>
      </c>
      <c r="DS246">
        <f t="shared" si="682"/>
        <v>300</v>
      </c>
      <c r="DT246">
        <f t="shared" si="683"/>
        <v>350</v>
      </c>
      <c r="DV246" s="5">
        <f t="shared" si="684"/>
        <v>2.8571428571428572</v>
      </c>
      <c r="DW246" s="5">
        <f t="shared" si="685"/>
        <v>0.32071349029490925</v>
      </c>
      <c r="DX246" s="5">
        <f t="shared" si="686"/>
        <v>2.5364293668479481</v>
      </c>
      <c r="DY246" s="173">
        <f t="shared" si="687"/>
        <v>0.11224972160321824</v>
      </c>
      <c r="EA246" s="5">
        <f t="shared" si="713"/>
        <v>0.60133779430295475</v>
      </c>
      <c r="EB246" s="5">
        <f t="shared" si="714"/>
        <v>0.30066889715147738</v>
      </c>
      <c r="EC246" s="5">
        <f t="shared" si="715"/>
        <v>0.16909529112319652</v>
      </c>
      <c r="ED246" s="5"/>
      <c r="EE246" s="173">
        <f t="shared" si="716"/>
        <v>0.31018389237430227</v>
      </c>
      <c r="EF246" s="173">
        <f t="shared" si="717"/>
        <v>0.87231233514973527</v>
      </c>
      <c r="EG246" s="173">
        <f t="shared" si="718"/>
        <v>0.21422964701471439</v>
      </c>
      <c r="EH246" s="173"/>
      <c r="EI246" s="528">
        <f t="shared" si="719"/>
        <v>1.9242809417694547E-3</v>
      </c>
      <c r="EJ246" s="528">
        <f t="shared" si="720"/>
        <v>0.81790759646184985</v>
      </c>
      <c r="EK246" s="528">
        <f t="shared" si="721"/>
        <v>4.0250000000000001E-2</v>
      </c>
      <c r="EL246" s="528">
        <f t="shared" si="722"/>
        <v>1.0140631637499999</v>
      </c>
      <c r="EM246">
        <f t="shared" si="723"/>
        <v>2.7E-2</v>
      </c>
      <c r="EN246" s="460">
        <f t="shared" si="724"/>
        <v>67.25</v>
      </c>
      <c r="EP246" s="460">
        <f t="shared" si="725"/>
        <v>1901.1450411536191</v>
      </c>
      <c r="EQ246" s="173">
        <f t="shared" si="726"/>
        <v>0.21</v>
      </c>
      <c r="ER246" s="173">
        <f t="shared" si="688"/>
        <v>3.3281249999999998E-2</v>
      </c>
      <c r="ES246" s="528"/>
      <c r="EU246" s="460">
        <f t="shared" si="727"/>
        <v>243.28125</v>
      </c>
      <c r="EV246" s="528">
        <f t="shared" si="728"/>
        <v>2.8864214126541822E-3</v>
      </c>
      <c r="EW246" s="528">
        <f t="shared" si="729"/>
        <v>2.2827864301631522E-2</v>
      </c>
      <c r="EX246" s="528">
        <f t="shared" si="730"/>
        <v>2.2947170830024563E-4</v>
      </c>
      <c r="EY246" s="528">
        <f t="shared" si="731"/>
        <v>0.37312830611733427</v>
      </c>
      <c r="EZ246" s="528"/>
      <c r="FA246" s="625">
        <f t="shared" si="732"/>
        <v>4.4999999999999997E-3</v>
      </c>
      <c r="FB246" s="460">
        <f t="shared" si="733"/>
        <v>403.57206353992018</v>
      </c>
      <c r="FC246" s="173">
        <f t="shared" si="734"/>
        <v>2.5479983546935401</v>
      </c>
      <c r="FD246" s="5">
        <f t="shared" si="735"/>
        <v>5.3999999999999995</v>
      </c>
      <c r="FE246" s="173">
        <f t="shared" si="736"/>
        <v>0.6794163459798821</v>
      </c>
      <c r="FF246" s="5">
        <f t="shared" si="737"/>
        <v>67.941634597988212</v>
      </c>
      <c r="FG246">
        <f t="shared" si="738"/>
        <v>30</v>
      </c>
      <c r="FI246" s="562">
        <f t="shared" si="689"/>
        <v>-50</v>
      </c>
    </row>
    <row r="247" spans="5:165">
      <c r="E247" s="170">
        <v>31</v>
      </c>
      <c r="F247" s="217">
        <f t="shared" si="690"/>
        <v>0.31</v>
      </c>
      <c r="G247" s="217">
        <f t="shared" si="617"/>
        <v>7.7499999999999999E-2</v>
      </c>
      <c r="H247" s="217">
        <f t="shared" si="618"/>
        <v>4.96</v>
      </c>
      <c r="I247" s="217">
        <f t="shared" si="619"/>
        <v>0.62</v>
      </c>
      <c r="J247" s="541">
        <f t="shared" si="620"/>
        <v>59.947994821587159</v>
      </c>
      <c r="K247" s="443">
        <f t="shared" si="621"/>
        <v>16.723052734575937</v>
      </c>
      <c r="L247" s="172">
        <f t="shared" si="622"/>
        <v>76.671047556163103</v>
      </c>
      <c r="M247" s="443"/>
      <c r="N247" s="217">
        <f t="shared" si="623"/>
        <v>0.21811431130278949</v>
      </c>
      <c r="O247" s="172">
        <f t="shared" si="624"/>
        <v>29.056701343319276</v>
      </c>
      <c r="P247" s="172">
        <f t="shared" si="625"/>
        <v>4.0860986264042731</v>
      </c>
      <c r="Q247" s="217">
        <f t="shared" si="626"/>
        <v>1.8160438339574547</v>
      </c>
      <c r="R247" s="217">
        <f t="shared" si="627"/>
        <v>3.6320876679149094</v>
      </c>
      <c r="S247" s="217">
        <f t="shared" si="628"/>
        <v>16</v>
      </c>
      <c r="T247" s="217">
        <f t="shared" si="629"/>
        <v>0.85350362751007947</v>
      </c>
      <c r="U247" s="217">
        <f t="shared" si="630"/>
        <v>0.17084880921543041</v>
      </c>
      <c r="V247" s="217">
        <f t="shared" si="631"/>
        <v>0.6124505909704453</v>
      </c>
      <c r="W247" s="197">
        <f t="shared" si="632"/>
        <v>350</v>
      </c>
      <c r="X247" s="443">
        <f t="shared" si="691"/>
        <v>350</v>
      </c>
      <c r="Z247" s="217">
        <f t="shared" si="633"/>
        <v>3.1132180010699222</v>
      </c>
      <c r="AA247" s="173">
        <f t="shared" si="634"/>
        <v>2.2339591105634584</v>
      </c>
      <c r="AB247" s="173">
        <f t="shared" si="635"/>
        <v>1.0818580448138264</v>
      </c>
      <c r="AC247" s="173"/>
      <c r="AD247" s="173">
        <f t="shared" si="636"/>
        <v>0.71757233505514606</v>
      </c>
      <c r="AE247" s="545">
        <f t="shared" si="637"/>
        <v>864.02439128642345</v>
      </c>
      <c r="AF247" s="528">
        <f t="shared" si="638"/>
        <v>0.12557515863465055</v>
      </c>
      <c r="AH247" s="173">
        <f t="shared" si="639"/>
        <v>1.6300744943538186</v>
      </c>
      <c r="AI247" s="173">
        <f t="shared" si="640"/>
        <v>1.6300744943538186</v>
      </c>
      <c r="AJ247" s="173">
        <f t="shared" si="641"/>
        <v>1.6667218476694952</v>
      </c>
      <c r="AL247" s="545">
        <f t="shared" si="642"/>
        <v>310</v>
      </c>
      <c r="AM247" s="460">
        <f t="shared" si="643"/>
        <v>350</v>
      </c>
      <c r="AO247">
        <f t="shared" si="644"/>
        <v>310</v>
      </c>
      <c r="AP247">
        <f t="shared" si="645"/>
        <v>350</v>
      </c>
      <c r="AR247" s="5">
        <f t="shared" si="616"/>
        <v>2.8571428571428572</v>
      </c>
      <c r="AS247" s="5">
        <f t="shared" si="739"/>
        <v>0.32629771838843857</v>
      </c>
      <c r="AT247" s="5">
        <f t="shared" si="740"/>
        <v>2.5308451387544189</v>
      </c>
      <c r="AU247" s="173">
        <f t="shared" si="741"/>
        <v>0.1142042014359535</v>
      </c>
      <c r="BA247" s="173">
        <f t="shared" si="692"/>
        <v>0.31804448226689291</v>
      </c>
      <c r="BB247" s="173">
        <f t="shared" si="693"/>
        <v>0.88575504120149939</v>
      </c>
      <c r="BC247" s="173">
        <f t="shared" si="694"/>
        <v>0.21753101747154471</v>
      </c>
      <c r="BD247" s="173"/>
      <c r="BE247" s="528">
        <f t="shared" si="695"/>
        <v>2.0230458540083191E-3</v>
      </c>
      <c r="BF247" s="528">
        <f t="shared" si="646"/>
        <v>0.79830667810235845</v>
      </c>
      <c r="BG247" s="528">
        <f t="shared" si="647"/>
        <v>0.48258135831377663</v>
      </c>
      <c r="BH247" s="528">
        <f t="shared" si="696"/>
        <v>1.0132977383128308</v>
      </c>
      <c r="BI247">
        <f t="shared" si="697"/>
        <v>2.697659766971422E-2</v>
      </c>
      <c r="BJ247" s="460">
        <f t="shared" si="698"/>
        <v>509.55795598349084</v>
      </c>
      <c r="BK247">
        <f t="shared" si="648"/>
        <v>1.8150461332111592</v>
      </c>
      <c r="BL247" s="460">
        <f t="shared" si="699"/>
        <v>2323.1854182526881</v>
      </c>
      <c r="BM247" s="173">
        <f t="shared" si="649"/>
        <v>0.19258749999999999</v>
      </c>
      <c r="BN247" s="173">
        <f t="shared" si="650"/>
        <v>3.4390625000000001E-2</v>
      </c>
      <c r="BQ247" s="460">
        <f t="shared" si="700"/>
        <v>226.97812500000001</v>
      </c>
      <c r="BR247" s="528">
        <f t="shared" si="701"/>
        <v>3.0345687810124787E-3</v>
      </c>
      <c r="BS247" s="528">
        <f t="shared" si="702"/>
        <v>2.3536859790416094E-2</v>
      </c>
      <c r="BT247" s="528">
        <f t="shared" si="703"/>
        <v>2.3659871781102744E-4</v>
      </c>
      <c r="BU247" s="528">
        <f t="shared" si="704"/>
        <v>0.38873956599629</v>
      </c>
      <c r="BV247" s="528"/>
      <c r="BW247" s="625">
        <f t="shared" si="705"/>
        <v>4.6500000000000005E-3</v>
      </c>
      <c r="BX247" s="460">
        <f t="shared" si="706"/>
        <v>420.19759328552959</v>
      </c>
      <c r="BY247" s="173">
        <f t="shared" si="707"/>
        <v>2.9703611365382177</v>
      </c>
      <c r="BZ247" s="5">
        <f t="shared" si="708"/>
        <v>5.58</v>
      </c>
      <c r="CA247" s="173">
        <f t="shared" si="709"/>
        <v>0.65260401413397762</v>
      </c>
      <c r="CB247" s="5">
        <f t="shared" si="710"/>
        <v>65.260401413397759</v>
      </c>
      <c r="CC247">
        <f t="shared" si="711"/>
        <v>31</v>
      </c>
      <c r="CE247" s="562">
        <f t="shared" si="651"/>
        <v>-50</v>
      </c>
      <c r="CG247" s="173">
        <f t="shared" si="652"/>
        <v>0.4034228550788862</v>
      </c>
      <c r="CH247" s="173">
        <f t="shared" si="653"/>
        <v>0.14519376109888055</v>
      </c>
      <c r="CI247" s="170">
        <v>31</v>
      </c>
      <c r="CJ247" s="217">
        <f t="shared" si="712"/>
        <v>0.31</v>
      </c>
      <c r="CK247" s="217">
        <f t="shared" si="654"/>
        <v>7.7499999999999999E-2</v>
      </c>
      <c r="CL247" s="217">
        <f t="shared" si="655"/>
        <v>4.96</v>
      </c>
      <c r="CM247" s="217">
        <f t="shared" si="656"/>
        <v>0.62</v>
      </c>
      <c r="CN247" s="541">
        <f t="shared" si="657"/>
        <v>60</v>
      </c>
      <c r="CO247" s="443">
        <f t="shared" si="658"/>
        <v>16.7</v>
      </c>
      <c r="CP247" s="443">
        <f t="shared" si="659"/>
        <v>76.7</v>
      </c>
      <c r="CQ247" s="443"/>
      <c r="CR247" s="217">
        <f t="shared" si="660"/>
        <v>0.21465968586387432</v>
      </c>
      <c r="CS247" s="172">
        <f t="shared" si="661"/>
        <v>28.621291448516576</v>
      </c>
      <c r="CT247" s="172">
        <f t="shared" si="662"/>
        <v>4.0248691099476437</v>
      </c>
      <c r="CU247" s="217">
        <f t="shared" si="663"/>
        <v>1.788830715532286</v>
      </c>
      <c r="CV247" s="217">
        <f t="shared" si="664"/>
        <v>3.577661431064572</v>
      </c>
      <c r="CW247" s="217">
        <f t="shared" si="665"/>
        <v>16</v>
      </c>
      <c r="CX247" s="217">
        <f t="shared" si="666"/>
        <v>0.86648780487804888</v>
      </c>
      <c r="CY247" s="217">
        <f t="shared" si="667"/>
        <v>0.17329756097560978</v>
      </c>
      <c r="CZ247" s="217">
        <f t="shared" si="668"/>
        <v>0.62262596757704114</v>
      </c>
      <c r="DA247" s="197">
        <f t="shared" si="669"/>
        <v>350</v>
      </c>
      <c r="DB247" s="443">
        <f t="shared" si="670"/>
        <v>350</v>
      </c>
      <c r="DD247" s="217">
        <f t="shared" si="671"/>
        <v>3.1104488731607378</v>
      </c>
      <c r="DE247" s="173">
        <f t="shared" si="672"/>
        <v>2.23505308251071</v>
      </c>
      <c r="DF247" s="173">
        <f t="shared" si="673"/>
        <v>1.0814250754144243</v>
      </c>
      <c r="DG247" s="173"/>
      <c r="DH247" s="173">
        <f t="shared" si="674"/>
        <v>0.71856287425149712</v>
      </c>
      <c r="DI247" s="545">
        <f t="shared" si="675"/>
        <v>862.83333333333326</v>
      </c>
      <c r="DJ247" s="528">
        <f t="shared" si="676"/>
        <v>0.125748502994012</v>
      </c>
      <c r="DL247" s="173">
        <f t="shared" si="677"/>
        <v>1.6300744943538186</v>
      </c>
      <c r="DM247" s="173">
        <f t="shared" si="678"/>
        <v>1.6300744943538186</v>
      </c>
      <c r="DN247" s="173">
        <f t="shared" si="679"/>
        <v>1.6667218476694952</v>
      </c>
      <c r="DP247" s="545">
        <f t="shared" si="680"/>
        <v>310</v>
      </c>
      <c r="DQ247" s="460">
        <f t="shared" si="681"/>
        <v>350</v>
      </c>
      <c r="DS247">
        <f t="shared" si="682"/>
        <v>310</v>
      </c>
      <c r="DT247">
        <f t="shared" si="683"/>
        <v>350</v>
      </c>
      <c r="DV247" s="5">
        <f t="shared" si="684"/>
        <v>2.8571428571428572</v>
      </c>
      <c r="DW247" s="5">
        <f t="shared" si="685"/>
        <v>0.32601489887076374</v>
      </c>
      <c r="DX247" s="5">
        <f t="shared" si="686"/>
        <v>2.5311279582720934</v>
      </c>
      <c r="DY247" s="173">
        <f t="shared" si="687"/>
        <v>0.1141052146047673</v>
      </c>
      <c r="EA247" s="5">
        <f t="shared" si="713"/>
        <v>0.63165386656210465</v>
      </c>
      <c r="EB247" s="5">
        <f t="shared" si="714"/>
        <v>0.31582693328105232</v>
      </c>
      <c r="EC247" s="5">
        <f t="shared" si="715"/>
        <v>0.17436659268096641</v>
      </c>
      <c r="ED247" s="5"/>
      <c r="EE247" s="173">
        <f t="shared" si="716"/>
        <v>0.31790661938678905</v>
      </c>
      <c r="EF247" s="173">
        <f t="shared" si="717"/>
        <v>0.88580453095722478</v>
      </c>
      <c r="EG247" s="173">
        <f t="shared" si="718"/>
        <v>0.21754317157331843</v>
      </c>
      <c r="EH247" s="173"/>
      <c r="EI247" s="528">
        <f t="shared" si="719"/>
        <v>2.0212923729987353E-3</v>
      </c>
      <c r="EJ247" s="528">
        <f t="shared" si="720"/>
        <v>0.8314276462176371</v>
      </c>
      <c r="EK247" s="528">
        <f t="shared" si="721"/>
        <v>4.0250000000000001E-2</v>
      </c>
      <c r="EL247" s="528">
        <f t="shared" si="722"/>
        <v>1.0140631637499999</v>
      </c>
      <c r="EM247">
        <f t="shared" si="723"/>
        <v>2.7E-2</v>
      </c>
      <c r="EN247" s="460">
        <f t="shared" si="724"/>
        <v>67.25</v>
      </c>
      <c r="EP247" s="460">
        <f t="shared" si="725"/>
        <v>1914.7621023406359</v>
      </c>
      <c r="EQ247" s="173">
        <f t="shared" si="726"/>
        <v>0.217</v>
      </c>
      <c r="ER247" s="173">
        <f t="shared" si="688"/>
        <v>3.4390625000000001E-2</v>
      </c>
      <c r="ES247" s="528"/>
      <c r="EU247" s="460">
        <f t="shared" si="727"/>
        <v>251.39062499999997</v>
      </c>
      <c r="EV247" s="528">
        <f t="shared" si="728"/>
        <v>3.0319385594981024E-3</v>
      </c>
      <c r="EW247" s="528">
        <f t="shared" si="729"/>
        <v>2.353949001193047E-2</v>
      </c>
      <c r="EX247" s="528">
        <f t="shared" si="730"/>
        <v>2.3662515749089131E-4</v>
      </c>
      <c r="EY247" s="528">
        <f t="shared" si="731"/>
        <v>0.38873956599629</v>
      </c>
      <c r="EZ247" s="528"/>
      <c r="FA247" s="625">
        <f t="shared" si="732"/>
        <v>4.6500000000000005E-3</v>
      </c>
      <c r="FB247" s="460">
        <f t="shared" si="733"/>
        <v>420.19761972520945</v>
      </c>
      <c r="FC247" s="173">
        <f t="shared" si="734"/>
        <v>2.5863503470658449</v>
      </c>
      <c r="FD247" s="5">
        <f t="shared" si="735"/>
        <v>5.58</v>
      </c>
      <c r="FE247" s="173">
        <f t="shared" si="736"/>
        <v>0.68329177207109226</v>
      </c>
      <c r="FF247" s="5">
        <f t="shared" si="737"/>
        <v>68.329177207109225</v>
      </c>
      <c r="FG247">
        <f t="shared" si="738"/>
        <v>31</v>
      </c>
      <c r="FI247" s="562">
        <f t="shared" si="689"/>
        <v>-50</v>
      </c>
    </row>
    <row r="248" spans="5:165">
      <c r="E248" s="170">
        <v>32</v>
      </c>
      <c r="F248" s="217">
        <f t="shared" si="690"/>
        <v>0.32</v>
      </c>
      <c r="G248" s="217">
        <f t="shared" ref="G248:G279" si="742">IF(PLOT_TYPE=1, E248/100*Iout2, min_I*EXP(Q248*rr/100))</f>
        <v>0.08</v>
      </c>
      <c r="H248" s="217">
        <f t="shared" ref="H248:H279" si="743">F248*Vout</f>
        <v>5.12</v>
      </c>
      <c r="I248" s="217">
        <f t="shared" ref="I248:I279" si="744">Vout2*G248</f>
        <v>0.64</v>
      </c>
      <c r="J248" s="541">
        <f t="shared" ref="J248:J279" si="745">VIN_max-(F248/CG248/Nps+G248/CH248/(Nps/Nsec1sec2))*(Rdcr_pri+RON/1000)</f>
        <v>59.947162685895215</v>
      </c>
      <c r="K248" s="443">
        <f t="shared" ref="K248:K279" si="746">MAX((S248+Vfwd2+Rdcr_sec*F248/CG248)*Nps,(Vout2+Vfwd22+Rdcr_sec2*G248/CH248)*Nps/Nsec1sec2)</f>
        <v>16.723421601750765</v>
      </c>
      <c r="L248" s="172">
        <f t="shared" ref="L248:L279" si="747">MAX((Vout+Vfwd2+F248/CG248*Rdcr_sec)*Nps+J248, (Vout2+Vfwd22+G248/CH248*Rdcr_sec2)*Nps/Nsec1sec2+J248)</f>
        <v>76.67058428764598</v>
      </c>
      <c r="M248" s="443"/>
      <c r="N248" s="217">
        <f t="shared" ref="N248:N279" si="748">MAX((Vout+Vfwd2+F248/CG248*Rdcr_sec)*Nps/((Vout+Vfwd2+F248/CG248*Rdcr_sec)*Nps+J248), (Vout2+Vfwd22+G248/CH248*Rdcr_sec2)*Nps/Nsec1sec2/((Vout2+Vfwd22+G248/CH248*Rdcr_sec2)*Nps/Nsec1sec2+J248))</f>
        <v>0.21812044028527677</v>
      </c>
      <c r="O248" s="172">
        <f t="shared" ref="O248:O279" si="749">N248*J248*Isw_max*0.5*Efficiency*Pout/(Pout+Pout2)</f>
        <v>29.057114486445737</v>
      </c>
      <c r="P248" s="172">
        <f t="shared" ref="P248:P279" si="750">N248*J248*Isw_max*0.5*Efficiency*(Pout2/Pout_total)</f>
        <v>4.0861567246564316</v>
      </c>
      <c r="Q248" s="217">
        <f t="shared" si="626"/>
        <v>1.8160696554028586</v>
      </c>
      <c r="R248" s="217">
        <f t="shared" ref="R248:R279" si="751">O248/Vout2</f>
        <v>3.6321393108057172</v>
      </c>
      <c r="S248" s="217">
        <f t="shared" ref="S248:S279" si="752">MIN(Vout,O248/F248)</f>
        <v>16</v>
      </c>
      <c r="T248" s="217">
        <f t="shared" ref="T248:T279" si="753">MIN(2*(Vout*F248+Vout2*G248)/(Efficiency*J248*N248), Isw_max)</f>
        <v>0.88102347574607331</v>
      </c>
      <c r="U248" s="217">
        <f t="shared" si="630"/>
        <v>0.17636000162924143</v>
      </c>
      <c r="V248" s="217">
        <f t="shared" si="631"/>
        <v>0.63218412838710436</v>
      </c>
      <c r="W248" s="197">
        <f t="shared" si="632"/>
        <v>350</v>
      </c>
      <c r="X248" s="443">
        <f t="shared" si="691"/>
        <v>350</v>
      </c>
      <c r="Z248" s="217">
        <f t="shared" si="633"/>
        <v>3.1132622664049001</v>
      </c>
      <c r="AA248" s="173">
        <f t="shared" si="634"/>
        <v>2.2339415991849236</v>
      </c>
      <c r="AB248" s="173">
        <f t="shared" ref="AB248:AB279" si="754">0.5*AA248*Z248*Nps*W248/1000*(Pout/(Pout+Pout2))</f>
        <v>1.0818649467258332</v>
      </c>
      <c r="AC248" s="173"/>
      <c r="AD248" s="173">
        <f t="shared" si="636"/>
        <v>0.71755650761945322</v>
      </c>
      <c r="AE248" s="545">
        <f t="shared" ref="AE248:AE279" si="755">MAX(10, F248/(0.5*AD248/1000000*Isw_min*Nps)/1000*Pout_total/Pout)</f>
        <v>891.91581876004068</v>
      </c>
      <c r="AF248" s="528">
        <f t="shared" ref="AF248:AF279" si="756">0.5*AD248/1000000*Isw_min*Nps*W248*1000*(Pout/Pout_total)</f>
        <v>0.12557238883340432</v>
      </c>
      <c r="AH248" s="173">
        <f t="shared" ref="AH248:AH279" si="757">SQRT((H248+I248)/(0.5*L*Fsw_DCM))</f>
        <v>1.65615734242165</v>
      </c>
      <c r="AI248" s="173">
        <f t="shared" ref="AI248:AI279" si="758">MAX(IF(F248&gt;AB248,T248,AH248),Isw_min)</f>
        <v>1.65615734242165</v>
      </c>
      <c r="AJ248" s="173">
        <f t="shared" ref="AJ248:AJ279" si="759">IF(F248&gt;AF248, (AI248-Isw_min)/1.08*0.8+1.2, AE248*0.2/350+1)</f>
        <v>1.6860424758678889</v>
      </c>
      <c r="AL248" s="545">
        <f t="shared" ref="AL248:AL279" si="760">F248*1000</f>
        <v>320</v>
      </c>
      <c r="AM248" s="460">
        <f t="shared" ref="AM248:AM279" si="761">IF(F248&gt;AF248, X248, AE248)</f>
        <v>350</v>
      </c>
      <c r="AO248">
        <f t="shared" si="644"/>
        <v>320</v>
      </c>
      <c r="AP248">
        <f t="shared" si="645"/>
        <v>350</v>
      </c>
      <c r="AR248" s="5">
        <f t="shared" si="616"/>
        <v>2.8571428571428572</v>
      </c>
      <c r="AS248" s="5">
        <f t="shared" si="739"/>
        <v>0.33152341526475398</v>
      </c>
      <c r="AT248" s="5">
        <f t="shared" si="740"/>
        <v>2.5256194418781033</v>
      </c>
      <c r="AU248" s="173">
        <f t="shared" si="741"/>
        <v>0.11603319534266389</v>
      </c>
      <c r="BA248" s="173">
        <f t="shared" si="692"/>
        <v>0.32571075033643154</v>
      </c>
      <c r="BB248" s="173">
        <f t="shared" si="693"/>
        <v>0.89899845461546424</v>
      </c>
      <c r="BC248" s="173">
        <f t="shared" si="694"/>
        <v>0.22078344400115077</v>
      </c>
      <c r="BD248" s="173"/>
      <c r="BE248" s="528">
        <f t="shared" si="695"/>
        <v>2.1217498576944251E-3</v>
      </c>
      <c r="BF248" s="528">
        <f t="shared" ref="BF248:BF279" si="762">0.5*L248*AI248*AM248*1000*Tfall</f>
        <v>0.81107549525180767</v>
      </c>
      <c r="BG248" s="528">
        <f t="shared" ref="BG248:BG279" si="763">Qg*Vdd*AM248*1000*0+Qg*J248*AM248*1000</f>
        <v>0.48257465962145651</v>
      </c>
      <c r="BH248" s="528">
        <f t="shared" si="696"/>
        <v>1.0132854930771811</v>
      </c>
      <c r="BI248">
        <f t="shared" si="697"/>
        <v>2.6976223208652846E-2</v>
      </c>
      <c r="BJ248" s="460">
        <f t="shared" si="698"/>
        <v>509.5508828301094</v>
      </c>
      <c r="BK248">
        <f t="shared" ref="BK248:BK279" si="764">(BF248+BG248*0+BH248+BI248*0+BE248*(1+RdsonTC*(Ta-25)))/(1-BE248*RdsonTC*ThetaJA)</f>
        <v>1.8279771446828528</v>
      </c>
      <c r="BL248" s="460">
        <f t="shared" si="699"/>
        <v>2336.033621016792</v>
      </c>
      <c r="BM248" s="173">
        <f t="shared" ref="BM248:BM279" si="765">Vfwd2*F248*(1+Diode_TC/1000*(Ta-25))</f>
        <v>0.19879999999999998</v>
      </c>
      <c r="BN248" s="173">
        <f t="shared" ref="BN248:BN279" si="766">Vfwd22*G248*(1+Diode_TC/1000*(Ta-25))</f>
        <v>3.5499999999999997E-2</v>
      </c>
      <c r="BQ248" s="460">
        <f t="shared" si="700"/>
        <v>234.29999999999998</v>
      </c>
      <c r="BR248" s="528">
        <f t="shared" si="701"/>
        <v>3.1826247865416372E-3</v>
      </c>
      <c r="BS248" s="528">
        <f t="shared" si="702"/>
        <v>2.4245946642029788E-2</v>
      </c>
      <c r="BT248" s="528">
        <f t="shared" si="703"/>
        <v>2.4372664572504639E-4</v>
      </c>
      <c r="BU248" s="528">
        <f t="shared" si="704"/>
        <v>0.40447725141691182</v>
      </c>
      <c r="BV248" s="528"/>
      <c r="BW248" s="625">
        <f t="shared" si="705"/>
        <v>4.7999999999999996E-3</v>
      </c>
      <c r="BX248" s="460">
        <f t="shared" si="706"/>
        <v>436.94954949120836</v>
      </c>
      <c r="BY248" s="173">
        <f t="shared" si="707"/>
        <v>3.0072831705080003</v>
      </c>
      <c r="BZ248" s="5">
        <f t="shared" si="708"/>
        <v>5.76</v>
      </c>
      <c r="CA248" s="173">
        <f t="shared" si="709"/>
        <v>0.65698801874860058</v>
      </c>
      <c r="CB248" s="5">
        <f t="shared" si="710"/>
        <v>65.698801874860052</v>
      </c>
      <c r="CC248">
        <f t="shared" si="711"/>
        <v>32</v>
      </c>
      <c r="CE248" s="562">
        <f t="shared" ref="CE248:CE279" si="767">IF(ABS(F248-Ioutmax_Vinmax)&lt;Iout/200, AM248, -50)</f>
        <v>-50</v>
      </c>
      <c r="CG248" s="173">
        <f t="shared" ref="CG248:CG279" si="768">MIN(SQRT(2*DT248*1000*Ls1_*CL248)/CW248, 1-DY248)</f>
        <v>0.40987803063838396</v>
      </c>
      <c r="CH248" s="173">
        <f t="shared" ref="CH248:CH279" si="769">MIN(SQRT(2*DT248*1000*Ls2_*CM248)/Vout2, 1-DY248)</f>
        <v>0.14751700879354518</v>
      </c>
      <c r="CI248" s="170">
        <v>32</v>
      </c>
      <c r="CJ248" s="217">
        <f t="shared" si="712"/>
        <v>0.32</v>
      </c>
      <c r="CK248" s="217">
        <f t="shared" si="654"/>
        <v>0.08</v>
      </c>
      <c r="CL248" s="217">
        <f t="shared" si="655"/>
        <v>5.12</v>
      </c>
      <c r="CM248" s="217">
        <f t="shared" si="656"/>
        <v>0.64</v>
      </c>
      <c r="CN248" s="541">
        <f t="shared" si="657"/>
        <v>60</v>
      </c>
      <c r="CO248" s="443">
        <f t="shared" ref="CO248:CO279" si="770">(CW248+Vfwd2)*Nps</f>
        <v>16.7</v>
      </c>
      <c r="CP248" s="443">
        <f t="shared" ref="CP248:CP279" si="771">(Vout+Vfwd2)*Nps+CN248</f>
        <v>76.7</v>
      </c>
      <c r="CQ248" s="443"/>
      <c r="CR248" s="217">
        <f t="shared" si="660"/>
        <v>0.21465968586387432</v>
      </c>
      <c r="CS248" s="172">
        <f t="shared" si="661"/>
        <v>28.621291448516576</v>
      </c>
      <c r="CT248" s="172">
        <f t="shared" si="662"/>
        <v>4.0248691099476437</v>
      </c>
      <c r="CU248" s="217">
        <f t="shared" si="663"/>
        <v>1.788830715532286</v>
      </c>
      <c r="CV248" s="217">
        <f t="shared" si="664"/>
        <v>3.577661431064572</v>
      </c>
      <c r="CW248" s="217">
        <f t="shared" si="665"/>
        <v>16</v>
      </c>
      <c r="CX248" s="217">
        <f t="shared" si="666"/>
        <v>0.89443902439024392</v>
      </c>
      <c r="CY248" s="217">
        <f t="shared" si="667"/>
        <v>0.17888780487804878</v>
      </c>
      <c r="CZ248" s="217">
        <f t="shared" si="668"/>
        <v>0.6427106762085586</v>
      </c>
      <c r="DA248" s="197">
        <f t="shared" si="669"/>
        <v>350</v>
      </c>
      <c r="DB248" s="443">
        <f t="shared" si="670"/>
        <v>350</v>
      </c>
      <c r="DD248" s="217">
        <f t="shared" si="671"/>
        <v>3.1104488731607378</v>
      </c>
      <c r="DE248" s="173">
        <f t="shared" si="672"/>
        <v>2.23505308251071</v>
      </c>
      <c r="DF248" s="173">
        <f t="shared" si="673"/>
        <v>1.0814250754144243</v>
      </c>
      <c r="DG248" s="173"/>
      <c r="DH248" s="173">
        <f t="shared" si="674"/>
        <v>0.71856287425149712</v>
      </c>
      <c r="DI248" s="545">
        <f t="shared" si="675"/>
        <v>890.66666666666663</v>
      </c>
      <c r="DJ248" s="528">
        <f t="shared" si="676"/>
        <v>0.125748502994012</v>
      </c>
      <c r="DL248" s="173">
        <f t="shared" si="677"/>
        <v>1.65615734242165</v>
      </c>
      <c r="DM248" s="173">
        <f t="shared" si="678"/>
        <v>1.65615734242165</v>
      </c>
      <c r="DN248" s="173">
        <f t="shared" si="679"/>
        <v>1.6860424758678889</v>
      </c>
      <c r="DP248" s="545">
        <f t="shared" si="680"/>
        <v>320</v>
      </c>
      <c r="DQ248" s="460">
        <f t="shared" si="681"/>
        <v>350</v>
      </c>
      <c r="DS248">
        <f t="shared" si="682"/>
        <v>320</v>
      </c>
      <c r="DT248">
        <f t="shared" si="683"/>
        <v>350</v>
      </c>
      <c r="DV248" s="5">
        <f t="shared" si="684"/>
        <v>2.8571428571428572</v>
      </c>
      <c r="DW248" s="5">
        <f t="shared" si="685"/>
        <v>0.33123146848432999</v>
      </c>
      <c r="DX248" s="5">
        <f t="shared" si="686"/>
        <v>2.5259113886585274</v>
      </c>
      <c r="DY248" s="173">
        <f t="shared" si="687"/>
        <v>0.1159310139695155</v>
      </c>
      <c r="EA248" s="5">
        <f t="shared" si="713"/>
        <v>0.66246293696865999</v>
      </c>
      <c r="EB248" s="5">
        <f t="shared" si="714"/>
        <v>0.33123146848432999</v>
      </c>
      <c r="EC248" s="5">
        <f t="shared" si="715"/>
        <v>0.17962036541571746</v>
      </c>
      <c r="ED248" s="5"/>
      <c r="EE248" s="173">
        <f t="shared" si="716"/>
        <v>0.32556730473895196</v>
      </c>
      <c r="EF248" s="173">
        <f t="shared" si="717"/>
        <v>0.89905041258581742</v>
      </c>
      <c r="EG248" s="173">
        <f t="shared" si="718"/>
        <v>0.22079620426739924</v>
      </c>
      <c r="EH248" s="173"/>
      <c r="EI248" s="528">
        <f t="shared" si="719"/>
        <v>2.1198813982997123E-3</v>
      </c>
      <c r="EJ248" s="528">
        <f t="shared" si="720"/>
        <v>0.84473133328887473</v>
      </c>
      <c r="EK248" s="528">
        <f t="shared" si="721"/>
        <v>4.0250000000000001E-2</v>
      </c>
      <c r="EL248" s="528">
        <f t="shared" si="722"/>
        <v>1.0140631637499999</v>
      </c>
      <c r="EM248">
        <f t="shared" si="723"/>
        <v>2.7E-2</v>
      </c>
      <c r="EN248" s="460">
        <f t="shared" si="724"/>
        <v>67.25</v>
      </c>
      <c r="EP248" s="460">
        <f t="shared" si="725"/>
        <v>1928.1643784371743</v>
      </c>
      <c r="EQ248" s="173">
        <f t="shared" si="726"/>
        <v>0.22399999999999998</v>
      </c>
      <c r="ER248" s="173">
        <f t="shared" ref="ER248:ER279" si="772">Vfwd22*CK248*(1+Diode_TC/1000*(Ta-25))</f>
        <v>3.5499999999999997E-2</v>
      </c>
      <c r="ES248" s="528"/>
      <c r="EU248" s="460">
        <f t="shared" si="727"/>
        <v>259.49999999999994</v>
      </c>
      <c r="EV248" s="528">
        <f t="shared" si="728"/>
        <v>3.1798220974495681E-3</v>
      </c>
      <c r="EW248" s="528">
        <f t="shared" si="729"/>
        <v>2.4248749331121856E-2</v>
      </c>
      <c r="EX248" s="528">
        <f t="shared" si="730"/>
        <v>2.4375481909445545E-4</v>
      </c>
      <c r="EY248" s="528">
        <f t="shared" si="731"/>
        <v>0.40447725141691182</v>
      </c>
      <c r="EZ248" s="528"/>
      <c r="FA248" s="625">
        <f t="shared" si="732"/>
        <v>4.7999999999999996E-3</v>
      </c>
      <c r="FB248" s="460">
        <f t="shared" si="733"/>
        <v>436.9495776645777</v>
      </c>
      <c r="FC248" s="173">
        <f t="shared" si="734"/>
        <v>2.6246139561017512</v>
      </c>
      <c r="FD248" s="5">
        <f t="shared" si="735"/>
        <v>5.76</v>
      </c>
      <c r="FE248" s="173">
        <f t="shared" si="736"/>
        <v>0.68697259410592948</v>
      </c>
      <c r="FF248" s="5">
        <f t="shared" si="737"/>
        <v>68.697259410592949</v>
      </c>
      <c r="FG248">
        <f t="shared" si="738"/>
        <v>32</v>
      </c>
      <c r="FI248" s="562">
        <f t="shared" si="689"/>
        <v>-50</v>
      </c>
    </row>
    <row r="249" spans="5:165">
      <c r="E249" s="170">
        <v>33</v>
      </c>
      <c r="F249" s="217">
        <f t="shared" ref="F249:F280" si="773">IF(PLOT_TYPE=1, E249/100*Iout_max, min_I*EXP(O249*rr/100))</f>
        <v>0.33</v>
      </c>
      <c r="G249" s="217">
        <f t="shared" si="742"/>
        <v>8.2500000000000004E-2</v>
      </c>
      <c r="H249" s="217">
        <f t="shared" si="743"/>
        <v>5.28</v>
      </c>
      <c r="I249" s="217">
        <f t="shared" si="744"/>
        <v>0.66</v>
      </c>
      <c r="J249" s="541">
        <f t="shared" si="745"/>
        <v>59.946343453876864</v>
      </c>
      <c r="K249" s="443">
        <f t="shared" si="746"/>
        <v>16.723784749015163</v>
      </c>
      <c r="L249" s="172">
        <f t="shared" si="747"/>
        <v>76.67012820289203</v>
      </c>
      <c r="M249" s="443"/>
      <c r="N249" s="217">
        <f t="shared" si="748"/>
        <v>0.21812647429986082</v>
      </c>
      <c r="O249" s="172">
        <f t="shared" si="749"/>
        <v>29.057521210583779</v>
      </c>
      <c r="P249" s="172">
        <f t="shared" si="750"/>
        <v>4.0862139202383441</v>
      </c>
      <c r="Q249" s="217">
        <f t="shared" si="626"/>
        <v>1.8160950756614862</v>
      </c>
      <c r="R249" s="217">
        <f t="shared" si="751"/>
        <v>3.6321901513229724</v>
      </c>
      <c r="S249" s="217">
        <f t="shared" si="752"/>
        <v>16</v>
      </c>
      <c r="T249" s="217">
        <f t="shared" si="753"/>
        <v>0.9085427421243415</v>
      </c>
      <c r="U249" s="217">
        <f t="shared" si="630"/>
        <v>0.18187119142438718</v>
      </c>
      <c r="V249" s="217">
        <f t="shared" si="631"/>
        <v>0.65191660076431746</v>
      </c>
      <c r="W249" s="197">
        <f t="shared" si="632"/>
        <v>350</v>
      </c>
      <c r="X249" s="443">
        <f t="shared" si="691"/>
        <v>350</v>
      </c>
      <c r="Z249" s="217">
        <f t="shared" si="633"/>
        <v>3.1133058439911196</v>
      </c>
      <c r="AA249" s="173">
        <f t="shared" si="634"/>
        <v>2.2339243591432547</v>
      </c>
      <c r="AB249" s="173">
        <f t="shared" si="754"/>
        <v>1.0818717408107486</v>
      </c>
      <c r="AC249" s="173"/>
      <c r="AD249" s="173">
        <f t="shared" si="636"/>
        <v>0.71754092629700117</v>
      </c>
      <c r="AE249" s="545">
        <f t="shared" si="755"/>
        <v>919.80816119583392</v>
      </c>
      <c r="AF249" s="528">
        <f t="shared" si="756"/>
        <v>0.1255696621019752</v>
      </c>
      <c r="AH249" s="173">
        <f t="shared" si="757"/>
        <v>1.6818357317441643</v>
      </c>
      <c r="AI249" s="173">
        <f t="shared" si="758"/>
        <v>1.6818357317441643</v>
      </c>
      <c r="AJ249" s="173">
        <f t="shared" si="759"/>
        <v>1.7050635049956773</v>
      </c>
      <c r="AL249" s="545">
        <f t="shared" si="760"/>
        <v>330</v>
      </c>
      <c r="AM249" s="460">
        <f t="shared" si="761"/>
        <v>350</v>
      </c>
      <c r="AO249">
        <f t="shared" si="644"/>
        <v>330</v>
      </c>
      <c r="AP249">
        <f t="shared" si="645"/>
        <v>350</v>
      </c>
      <c r="AR249" s="5">
        <f t="shared" si="616"/>
        <v>2.8571428571428572</v>
      </c>
      <c r="AS249" s="5">
        <f t="shared" si="739"/>
        <v>0.33666822058059581</v>
      </c>
      <c r="AT249" s="5">
        <f t="shared" si="740"/>
        <v>2.5204746365622612</v>
      </c>
      <c r="AU249" s="173">
        <f t="shared" si="741"/>
        <v>0.11783387720320854</v>
      </c>
      <c r="BA249" s="173">
        <f t="shared" si="692"/>
        <v>0.33331743547494874</v>
      </c>
      <c r="BB249" s="173">
        <f t="shared" si="693"/>
        <v>0.91200692435175423</v>
      </c>
      <c r="BC249" s="173">
        <f t="shared" si="694"/>
        <v>0.22397817112756313</v>
      </c>
      <c r="BD249" s="173"/>
      <c r="BE249" s="528">
        <f t="shared" si="695"/>
        <v>2.2220102558319324E-3</v>
      </c>
      <c r="BF249" s="528">
        <f t="shared" si="762"/>
        <v>0.82364615946717801</v>
      </c>
      <c r="BG249" s="528">
        <f t="shared" si="763"/>
        <v>0.48256806480370873</v>
      </c>
      <c r="BH249" s="528">
        <f t="shared" si="696"/>
        <v>1.0132734377969319</v>
      </c>
      <c r="BI249">
        <f t="shared" si="697"/>
        <v>2.6975854554244588E-2</v>
      </c>
      <c r="BJ249" s="460">
        <f t="shared" si="698"/>
        <v>509.54391935795331</v>
      </c>
      <c r="BK249">
        <f t="shared" si="764"/>
        <v>1.8407133542358118</v>
      </c>
      <c r="BL249" s="460">
        <f t="shared" si="699"/>
        <v>2348.685526877895</v>
      </c>
      <c r="BM249" s="173">
        <f t="shared" si="765"/>
        <v>0.20501249999999999</v>
      </c>
      <c r="BN249" s="173">
        <f t="shared" si="766"/>
        <v>3.6609375E-2</v>
      </c>
      <c r="BQ249" s="460">
        <f t="shared" si="700"/>
        <v>241.62187499999999</v>
      </c>
      <c r="BR249" s="528">
        <f t="shared" si="701"/>
        <v>3.3330153837478984E-3</v>
      </c>
      <c r="BS249" s="528">
        <f t="shared" si="702"/>
        <v>2.4952698901966389E-2</v>
      </c>
      <c r="BT249" s="528">
        <f t="shared" si="703"/>
        <v>2.5083110570823977E-4</v>
      </c>
      <c r="BU249" s="528">
        <f t="shared" si="704"/>
        <v>0.42033838668761875</v>
      </c>
      <c r="BV249" s="528"/>
      <c r="BW249" s="625">
        <f t="shared" si="705"/>
        <v>4.9500000000000013E-3</v>
      </c>
      <c r="BX249" s="460">
        <f t="shared" si="706"/>
        <v>453.82493207904128</v>
      </c>
      <c r="BY249" s="173">
        <f t="shared" si="707"/>
        <v>3.0441323339569362</v>
      </c>
      <c r="BZ249" s="5">
        <f t="shared" si="708"/>
        <v>5.94</v>
      </c>
      <c r="CA249" s="173">
        <f t="shared" si="709"/>
        <v>0.66116568403036979</v>
      </c>
      <c r="CB249" s="5">
        <f t="shared" si="710"/>
        <v>66.116568403036979</v>
      </c>
      <c r="CC249">
        <f t="shared" si="711"/>
        <v>33</v>
      </c>
      <c r="CE249" s="562">
        <f t="shared" si="767"/>
        <v>-50</v>
      </c>
      <c r="CG249" s="173">
        <f t="shared" si="768"/>
        <v>0.41623310776534828</v>
      </c>
      <c r="CH249" s="173">
        <f t="shared" si="769"/>
        <v>0.14980423059697273</v>
      </c>
      <c r="CI249" s="170">
        <v>33</v>
      </c>
      <c r="CJ249" s="217">
        <f t="shared" si="712"/>
        <v>0.33</v>
      </c>
      <c r="CK249" s="217">
        <f t="shared" si="654"/>
        <v>8.2500000000000004E-2</v>
      </c>
      <c r="CL249" s="217">
        <f t="shared" si="655"/>
        <v>5.28</v>
      </c>
      <c r="CM249" s="217">
        <f t="shared" si="656"/>
        <v>0.66</v>
      </c>
      <c r="CN249" s="541">
        <f t="shared" si="657"/>
        <v>60</v>
      </c>
      <c r="CO249" s="443">
        <f t="shared" si="770"/>
        <v>16.7</v>
      </c>
      <c r="CP249" s="443">
        <f t="shared" si="771"/>
        <v>76.7</v>
      </c>
      <c r="CQ249" s="443"/>
      <c r="CR249" s="217">
        <f t="shared" si="660"/>
        <v>0.21465968586387432</v>
      </c>
      <c r="CS249" s="172">
        <f t="shared" si="661"/>
        <v>28.621291448516576</v>
      </c>
      <c r="CT249" s="172">
        <f t="shared" si="662"/>
        <v>4.0248691099476437</v>
      </c>
      <c r="CU249" s="217">
        <f t="shared" si="663"/>
        <v>1.788830715532286</v>
      </c>
      <c r="CV249" s="217">
        <f t="shared" si="664"/>
        <v>3.577661431064572</v>
      </c>
      <c r="CW249" s="217">
        <f t="shared" si="665"/>
        <v>16</v>
      </c>
      <c r="CX249" s="217">
        <f t="shared" si="666"/>
        <v>0.92239024390243918</v>
      </c>
      <c r="CY249" s="217">
        <f t="shared" si="667"/>
        <v>0.18447804878048785</v>
      </c>
      <c r="CZ249" s="217">
        <f t="shared" si="668"/>
        <v>0.66279538484007605</v>
      </c>
      <c r="DA249" s="197">
        <f t="shared" si="669"/>
        <v>350</v>
      </c>
      <c r="DB249" s="443">
        <f t="shared" si="670"/>
        <v>350</v>
      </c>
      <c r="DD249" s="217">
        <f t="shared" si="671"/>
        <v>3.1104488731607378</v>
      </c>
      <c r="DE249" s="173">
        <f t="shared" si="672"/>
        <v>2.23505308251071</v>
      </c>
      <c r="DF249" s="173">
        <f t="shared" si="673"/>
        <v>1.0814250754144243</v>
      </c>
      <c r="DG249" s="173"/>
      <c r="DH249" s="173">
        <f t="shared" si="674"/>
        <v>0.71856287425149712</v>
      </c>
      <c r="DI249" s="545">
        <f t="shared" si="675"/>
        <v>918.49999999999989</v>
      </c>
      <c r="DJ249" s="528">
        <f t="shared" si="676"/>
        <v>0.125748502994012</v>
      </c>
      <c r="DL249" s="173">
        <f t="shared" si="677"/>
        <v>1.6818357317441643</v>
      </c>
      <c r="DM249" s="173">
        <f t="shared" si="678"/>
        <v>1.6818357317441643</v>
      </c>
      <c r="DN249" s="173">
        <f t="shared" si="679"/>
        <v>1.7050635049956773</v>
      </c>
      <c r="DP249" s="545">
        <f t="shared" si="680"/>
        <v>330</v>
      </c>
      <c r="DQ249" s="460">
        <f t="shared" si="681"/>
        <v>350</v>
      </c>
      <c r="DS249">
        <f t="shared" si="682"/>
        <v>330</v>
      </c>
      <c r="DT249">
        <f t="shared" si="683"/>
        <v>350</v>
      </c>
      <c r="DV249" s="5">
        <f t="shared" si="684"/>
        <v>2.8571428571428572</v>
      </c>
      <c r="DW249" s="5">
        <f t="shared" si="685"/>
        <v>0.33636714634883286</v>
      </c>
      <c r="DX249" s="5">
        <f t="shared" si="686"/>
        <v>2.5207757107940245</v>
      </c>
      <c r="DY249" s="173">
        <f t="shared" si="687"/>
        <v>0.1177285012220915</v>
      </c>
      <c r="EA249" s="5">
        <f t="shared" si="713"/>
        <v>0.69375723934446776</v>
      </c>
      <c r="EB249" s="5">
        <f t="shared" si="714"/>
        <v>0.34687861967223388</v>
      </c>
      <c r="EC249" s="5">
        <f t="shared" si="715"/>
        <v>0.18485688545822845</v>
      </c>
      <c r="ED249" s="5"/>
      <c r="EE249" s="173">
        <f t="shared" si="716"/>
        <v>0.33316836328666449</v>
      </c>
      <c r="EF249" s="173">
        <f t="shared" si="717"/>
        <v>0.91206139297858013</v>
      </c>
      <c r="EG249" s="173">
        <f t="shared" si="718"/>
        <v>0.22399154798150422</v>
      </c>
      <c r="EH249" s="173"/>
      <c r="EI249" s="528">
        <f t="shared" si="719"/>
        <v>2.2200231659022969E-3</v>
      </c>
      <c r="EJ249" s="528">
        <f t="shared" si="720"/>
        <v>0.85782872415476985</v>
      </c>
      <c r="EK249" s="528">
        <f t="shared" si="721"/>
        <v>4.0250000000000001E-2</v>
      </c>
      <c r="EL249" s="528">
        <f t="shared" si="722"/>
        <v>1.0140631637499999</v>
      </c>
      <c r="EM249">
        <f t="shared" si="723"/>
        <v>2.7E-2</v>
      </c>
      <c r="EN249" s="460">
        <f t="shared" si="724"/>
        <v>67.25</v>
      </c>
      <c r="EP249" s="460">
        <f t="shared" si="725"/>
        <v>1941.361911070672</v>
      </c>
      <c r="EQ249" s="173">
        <f t="shared" si="726"/>
        <v>0.23099999999999998</v>
      </c>
      <c r="ER249" s="173">
        <f t="shared" si="772"/>
        <v>3.6609375E-2</v>
      </c>
      <c r="ES249" s="528"/>
      <c r="EU249" s="460">
        <f t="shared" si="727"/>
        <v>267.609375</v>
      </c>
      <c r="EV249" s="528">
        <f t="shared" si="728"/>
        <v>3.3300347488534453E-3</v>
      </c>
      <c r="EW249" s="528">
        <f t="shared" si="729"/>
        <v>2.4955679536860838E-2</v>
      </c>
      <c r="EX249" s="528">
        <f t="shared" si="730"/>
        <v>2.5086106783575254E-4</v>
      </c>
      <c r="EY249" s="528">
        <f t="shared" si="731"/>
        <v>0.42033838668761875</v>
      </c>
      <c r="EZ249" s="528"/>
      <c r="FA249" s="625">
        <f t="shared" si="732"/>
        <v>4.9500000000000013E-3</v>
      </c>
      <c r="FB249" s="460">
        <f t="shared" si="733"/>
        <v>453.82496204116882</v>
      </c>
      <c r="FC249" s="173">
        <f t="shared" si="734"/>
        <v>2.662796248111841</v>
      </c>
      <c r="FD249" s="5">
        <f t="shared" si="735"/>
        <v>5.94</v>
      </c>
      <c r="FE249" s="173">
        <f t="shared" si="736"/>
        <v>0.69047317043033807</v>
      </c>
      <c r="FF249" s="5">
        <f t="shared" si="737"/>
        <v>69.0473170430338</v>
      </c>
      <c r="FG249">
        <f t="shared" si="738"/>
        <v>33</v>
      </c>
      <c r="FI249" s="562">
        <f t="shared" si="689"/>
        <v>-50</v>
      </c>
    </row>
    <row r="250" spans="5:165">
      <c r="E250" s="170">
        <v>34</v>
      </c>
      <c r="F250" s="217">
        <f t="shared" si="773"/>
        <v>0.34</v>
      </c>
      <c r="G250" s="217">
        <f t="shared" si="742"/>
        <v>8.5000000000000006E-2</v>
      </c>
      <c r="H250" s="217">
        <f t="shared" si="743"/>
        <v>5.44</v>
      </c>
      <c r="I250" s="217">
        <f t="shared" si="744"/>
        <v>0.68</v>
      </c>
      <c r="J250" s="541">
        <f t="shared" si="745"/>
        <v>59.945536543243001</v>
      </c>
      <c r="K250" s="443">
        <f t="shared" si="746"/>
        <v>16.724142434484889</v>
      </c>
      <c r="L250" s="172">
        <f t="shared" si="747"/>
        <v>76.669678977727898</v>
      </c>
      <c r="M250" s="443"/>
      <c r="N250" s="217">
        <f t="shared" si="748"/>
        <v>0.21813241763204927</v>
      </c>
      <c r="O250" s="172">
        <f t="shared" si="749"/>
        <v>29.057921805395452</v>
      </c>
      <c r="P250" s="172">
        <f t="shared" si="750"/>
        <v>4.0862702538837352</v>
      </c>
      <c r="Q250" s="217">
        <f t="shared" si="626"/>
        <v>1.8161201128372157</v>
      </c>
      <c r="R250" s="217">
        <f t="shared" si="751"/>
        <v>3.6322402256744315</v>
      </c>
      <c r="S250" s="217">
        <f t="shared" si="752"/>
        <v>16</v>
      </c>
      <c r="T250" s="217">
        <f t="shared" si="753"/>
        <v>0.93606143557553134</v>
      </c>
      <c r="U250" s="217">
        <f t="shared" si="630"/>
        <v>0.18738237864971649</v>
      </c>
      <c r="V250" s="217">
        <f t="shared" si="631"/>
        <v>0.67164802445981742</v>
      </c>
      <c r="W250" s="197">
        <f t="shared" si="632"/>
        <v>350</v>
      </c>
      <c r="X250" s="443">
        <f t="shared" si="691"/>
        <v>350</v>
      </c>
      <c r="Z250" s="217">
        <f t="shared" si="633"/>
        <v>3.1133487648637987</v>
      </c>
      <c r="AA250" s="173">
        <f t="shared" si="634"/>
        <v>2.2339073781941448</v>
      </c>
      <c r="AB250" s="173">
        <f t="shared" si="754"/>
        <v>1.0818784319343571</v>
      </c>
      <c r="AC250" s="173"/>
      <c r="AD250" s="173">
        <f t="shared" si="636"/>
        <v>0.71752557998168021</v>
      </c>
      <c r="AE250" s="545">
        <f t="shared" si="755"/>
        <v>947.70140462081054</v>
      </c>
      <c r="AF250" s="528">
        <f t="shared" si="756"/>
        <v>0.12556697649679405</v>
      </c>
      <c r="AH250" s="173">
        <f t="shared" si="757"/>
        <v>1.7071279138616748</v>
      </c>
      <c r="AI250" s="173">
        <f t="shared" si="758"/>
        <v>1.7071279138616748</v>
      </c>
      <c r="AJ250" s="173">
        <f t="shared" si="759"/>
        <v>1.7237984547123517</v>
      </c>
      <c r="AL250" s="545">
        <f t="shared" si="760"/>
        <v>340</v>
      </c>
      <c r="AM250" s="460">
        <f t="shared" si="761"/>
        <v>350</v>
      </c>
      <c r="AO250">
        <f t="shared" si="644"/>
        <v>340</v>
      </c>
      <c r="AP250">
        <f t="shared" si="645"/>
        <v>350</v>
      </c>
      <c r="AR250" s="5">
        <f t="shared" si="616"/>
        <v>2.8571428571428572</v>
      </c>
      <c r="AS250" s="5">
        <f t="shared" si="739"/>
        <v>0.34173578464115367</v>
      </c>
      <c r="AT250" s="5">
        <f t="shared" si="740"/>
        <v>2.5154070725017035</v>
      </c>
      <c r="AU250" s="173">
        <f t="shared" si="741"/>
        <v>0.11960752462440379</v>
      </c>
      <c r="BA250" s="173">
        <f t="shared" si="692"/>
        <v>0.34086678743754462</v>
      </c>
      <c r="BB250" s="173">
        <f t="shared" si="693"/>
        <v>0.92479100593084229</v>
      </c>
      <c r="BC250" s="173">
        <f t="shared" si="694"/>
        <v>0.22711779116242745</v>
      </c>
      <c r="BD250" s="173"/>
      <c r="BE250" s="528">
        <f t="shared" si="695"/>
        <v>2.3238033355598444E-3</v>
      </c>
      <c r="BF250" s="528">
        <f t="shared" si="762"/>
        <v>0.83602761256591362</v>
      </c>
      <c r="BG250" s="528">
        <f t="shared" si="763"/>
        <v>0.48256156917310622</v>
      </c>
      <c r="BH250" s="528">
        <f t="shared" si="696"/>
        <v>1.0132615639001858</v>
      </c>
      <c r="BI250">
        <f t="shared" si="697"/>
        <v>2.6975491444459349E-2</v>
      </c>
      <c r="BJ250" s="460">
        <f t="shared" si="698"/>
        <v>509.53706061756554</v>
      </c>
      <c r="BK250">
        <f t="shared" si="764"/>
        <v>1.853263659679371</v>
      </c>
      <c r="BL250" s="460">
        <f t="shared" si="699"/>
        <v>2361.1500404192248</v>
      </c>
      <c r="BM250" s="173">
        <f t="shared" si="765"/>
        <v>0.21122499999999997</v>
      </c>
      <c r="BN250" s="173">
        <f t="shared" si="766"/>
        <v>3.7718750000000002E-2</v>
      </c>
      <c r="BQ250" s="460">
        <f t="shared" si="700"/>
        <v>248.94374999999997</v>
      </c>
      <c r="BR250" s="528">
        <f t="shared" si="701"/>
        <v>3.4857050033397668E-3</v>
      </c>
      <c r="BS250" s="528">
        <f t="shared" si="702"/>
        <v>2.5657152139517376E-2</v>
      </c>
      <c r="BT250" s="528">
        <f t="shared" si="703"/>
        <v>2.5791245531250006E-4</v>
      </c>
      <c r="BU250" s="528">
        <f t="shared" si="704"/>
        <v>0.43632015459641132</v>
      </c>
      <c r="BV250" s="528"/>
      <c r="BW250" s="625">
        <f t="shared" si="705"/>
        <v>5.0999999999999995E-3</v>
      </c>
      <c r="BX250" s="460">
        <f t="shared" si="706"/>
        <v>470.82092419458093</v>
      </c>
      <c r="BY250" s="173">
        <f t="shared" si="707"/>
        <v>3.0809147146138054</v>
      </c>
      <c r="BZ250" s="5">
        <f t="shared" si="708"/>
        <v>6.12</v>
      </c>
      <c r="CA250" s="173">
        <f t="shared" si="709"/>
        <v>0.6651512583069169</v>
      </c>
      <c r="CB250" s="5">
        <f t="shared" si="710"/>
        <v>66.515125830691687</v>
      </c>
      <c r="CC250">
        <f t="shared" si="711"/>
        <v>34</v>
      </c>
      <c r="CE250" s="562">
        <f t="shared" si="767"/>
        <v>-50</v>
      </c>
      <c r="CG250" s="173">
        <f t="shared" si="768"/>
        <v>0.42249260348555218</v>
      </c>
      <c r="CH250" s="173">
        <f t="shared" si="769"/>
        <v>0.15205705220773902</v>
      </c>
      <c r="CI250" s="170">
        <v>34</v>
      </c>
      <c r="CJ250" s="217">
        <f t="shared" si="712"/>
        <v>0.34</v>
      </c>
      <c r="CK250" s="217">
        <f t="shared" si="654"/>
        <v>8.5000000000000006E-2</v>
      </c>
      <c r="CL250" s="217">
        <f t="shared" si="655"/>
        <v>5.44</v>
      </c>
      <c r="CM250" s="217">
        <f t="shared" si="656"/>
        <v>0.68</v>
      </c>
      <c r="CN250" s="541">
        <f t="shared" si="657"/>
        <v>60</v>
      </c>
      <c r="CO250" s="443">
        <f t="shared" si="770"/>
        <v>16.7</v>
      </c>
      <c r="CP250" s="443">
        <f t="shared" si="771"/>
        <v>76.7</v>
      </c>
      <c r="CQ250" s="443"/>
      <c r="CR250" s="217">
        <f t="shared" si="660"/>
        <v>0.21465968586387432</v>
      </c>
      <c r="CS250" s="172">
        <f t="shared" si="661"/>
        <v>28.621291448516576</v>
      </c>
      <c r="CT250" s="172">
        <f t="shared" si="662"/>
        <v>4.0248691099476437</v>
      </c>
      <c r="CU250" s="217">
        <f t="shared" si="663"/>
        <v>1.788830715532286</v>
      </c>
      <c r="CV250" s="217">
        <f t="shared" si="664"/>
        <v>3.577661431064572</v>
      </c>
      <c r="CW250" s="217">
        <f t="shared" si="665"/>
        <v>16</v>
      </c>
      <c r="CX250" s="217">
        <f t="shared" si="666"/>
        <v>0.95034146341463421</v>
      </c>
      <c r="CY250" s="217">
        <f t="shared" si="667"/>
        <v>0.19006829268292685</v>
      </c>
      <c r="CZ250" s="217">
        <f t="shared" si="668"/>
        <v>0.68288009347159351</v>
      </c>
      <c r="DA250" s="197">
        <f t="shared" si="669"/>
        <v>350</v>
      </c>
      <c r="DB250" s="443">
        <f t="shared" si="670"/>
        <v>350</v>
      </c>
      <c r="DD250" s="217">
        <f t="shared" si="671"/>
        <v>3.1104488731607378</v>
      </c>
      <c r="DE250" s="173">
        <f t="shared" si="672"/>
        <v>2.23505308251071</v>
      </c>
      <c r="DF250" s="173">
        <f t="shared" si="673"/>
        <v>1.0814250754144243</v>
      </c>
      <c r="DG250" s="173"/>
      <c r="DH250" s="173">
        <f t="shared" si="674"/>
        <v>0.71856287425149712</v>
      </c>
      <c r="DI250" s="545">
        <f t="shared" si="675"/>
        <v>946.33333333333326</v>
      </c>
      <c r="DJ250" s="528">
        <f t="shared" si="676"/>
        <v>0.125748502994012</v>
      </c>
      <c r="DL250" s="173">
        <f t="shared" si="677"/>
        <v>1.7071279138616748</v>
      </c>
      <c r="DM250" s="173">
        <f t="shared" si="678"/>
        <v>1.7071279138616748</v>
      </c>
      <c r="DN250" s="173">
        <f t="shared" si="679"/>
        <v>1.7237984547123517</v>
      </c>
      <c r="DP250" s="545">
        <f t="shared" si="680"/>
        <v>340</v>
      </c>
      <c r="DQ250" s="460">
        <f t="shared" si="681"/>
        <v>350</v>
      </c>
      <c r="DS250">
        <f t="shared" si="682"/>
        <v>340</v>
      </c>
      <c r="DT250">
        <f t="shared" si="683"/>
        <v>350</v>
      </c>
      <c r="DV250" s="5">
        <f t="shared" si="684"/>
        <v>2.8571428571428572</v>
      </c>
      <c r="DW250" s="5">
        <f t="shared" si="685"/>
        <v>0.34142558277233498</v>
      </c>
      <c r="DX250" s="5">
        <f t="shared" si="686"/>
        <v>2.5157172743705223</v>
      </c>
      <c r="DY250" s="173">
        <f t="shared" si="687"/>
        <v>0.11949895397031723</v>
      </c>
      <c r="EA250" s="5">
        <f t="shared" si="713"/>
        <v>0.72552936339121177</v>
      </c>
      <c r="EB250" s="5">
        <f t="shared" si="714"/>
        <v>0.36276468169560588</v>
      </c>
      <c r="EC250" s="5">
        <f t="shared" si="715"/>
        <v>0.19007641628577279</v>
      </c>
      <c r="ED250" s="5"/>
      <c r="EE250" s="173">
        <f t="shared" si="716"/>
        <v>0.34071204578440406</v>
      </c>
      <c r="EF250" s="173">
        <f t="shared" si="717"/>
        <v>0.92484802712985081</v>
      </c>
      <c r="EG250" s="173">
        <f t="shared" si="718"/>
        <v>0.22713179489806631</v>
      </c>
      <c r="EH250" s="173"/>
      <c r="EI250" s="528">
        <f t="shared" si="719"/>
        <v>2.3216939628518773E-3</v>
      </c>
      <c r="EJ250" s="528">
        <f t="shared" si="720"/>
        <v>0.8707291281047167</v>
      </c>
      <c r="EK250" s="528">
        <f t="shared" si="721"/>
        <v>4.0250000000000001E-2</v>
      </c>
      <c r="EL250" s="528">
        <f t="shared" si="722"/>
        <v>1.0140631637499999</v>
      </c>
      <c r="EM250">
        <f t="shared" si="723"/>
        <v>2.7E-2</v>
      </c>
      <c r="EN250" s="460">
        <f t="shared" si="724"/>
        <v>67.25</v>
      </c>
      <c r="EP250" s="460">
        <f t="shared" si="725"/>
        <v>1954.3639858175686</v>
      </c>
      <c r="EQ250" s="173">
        <f t="shared" si="726"/>
        <v>0.23799999999999999</v>
      </c>
      <c r="ER250" s="173">
        <f t="shared" si="772"/>
        <v>3.7718750000000002E-2</v>
      </c>
      <c r="ES250" s="528"/>
      <c r="EU250" s="460">
        <f t="shared" si="727"/>
        <v>275.71875</v>
      </c>
      <c r="EV250" s="528">
        <f t="shared" si="728"/>
        <v>3.4825409442778153E-3</v>
      </c>
      <c r="EW250" s="528">
        <f t="shared" si="729"/>
        <v>2.5660316198579319E-2</v>
      </c>
      <c r="EX250" s="528">
        <f t="shared" si="730"/>
        <v>2.5794426126808634E-4</v>
      </c>
      <c r="EY250" s="528">
        <f t="shared" si="731"/>
        <v>0.43632015459641132</v>
      </c>
      <c r="EZ250" s="528"/>
      <c r="FA250" s="625">
        <f t="shared" si="732"/>
        <v>5.0999999999999995E-3</v>
      </c>
      <c r="FB250" s="460">
        <f t="shared" si="733"/>
        <v>470.82095600053651</v>
      </c>
      <c r="FC250" s="173">
        <f t="shared" si="734"/>
        <v>2.7009036918181049</v>
      </c>
      <c r="FD250" s="5">
        <f t="shared" si="735"/>
        <v>6.12</v>
      </c>
      <c r="FE250" s="173">
        <f t="shared" si="736"/>
        <v>0.69380646403345858</v>
      </c>
      <c r="FF250" s="5">
        <f t="shared" si="737"/>
        <v>69.380646403345864</v>
      </c>
      <c r="FG250">
        <f t="shared" si="738"/>
        <v>34</v>
      </c>
      <c r="FI250" s="562">
        <f t="shared" si="689"/>
        <v>-50</v>
      </c>
    </row>
    <row r="251" spans="5:165">
      <c r="E251" s="170">
        <v>35</v>
      </c>
      <c r="F251" s="217">
        <f t="shared" si="773"/>
        <v>0.35</v>
      </c>
      <c r="G251" s="217">
        <f t="shared" si="742"/>
        <v>8.7499999999999994E-2</v>
      </c>
      <c r="H251" s="217">
        <f t="shared" si="743"/>
        <v>5.6</v>
      </c>
      <c r="I251" s="217">
        <f t="shared" si="744"/>
        <v>0.7</v>
      </c>
      <c r="J251" s="541">
        <f t="shared" si="745"/>
        <v>59.94474141422387</v>
      </c>
      <c r="K251" s="443">
        <f t="shared" si="746"/>
        <v>16.724494897427832</v>
      </c>
      <c r="L251" s="172">
        <f t="shared" si="747"/>
        <v>76.669236311651701</v>
      </c>
      <c r="M251" s="443"/>
      <c r="N251" s="217">
        <f t="shared" si="748"/>
        <v>0.21813827425441759</v>
      </c>
      <c r="O251" s="172">
        <f t="shared" si="749"/>
        <v>29.058316539391356</v>
      </c>
      <c r="P251" s="172">
        <f t="shared" si="750"/>
        <v>4.0863257633519092</v>
      </c>
      <c r="Q251" s="217">
        <f t="shared" si="626"/>
        <v>1.8161447837119598</v>
      </c>
      <c r="R251" s="217">
        <f t="shared" si="751"/>
        <v>3.6322895674239195</v>
      </c>
      <c r="S251" s="217">
        <f t="shared" si="752"/>
        <v>16</v>
      </c>
      <c r="T251" s="217">
        <f t="shared" si="753"/>
        <v>0.96357956463318484</v>
      </c>
      <c r="U251" s="217">
        <f t="shared" si="630"/>
        <v>0.19289356335190608</v>
      </c>
      <c r="V251" s="217">
        <f t="shared" si="631"/>
        <v>0.69137841510397791</v>
      </c>
      <c r="W251" s="197">
        <f t="shared" si="632"/>
        <v>350</v>
      </c>
      <c r="X251" s="443">
        <f t="shared" si="691"/>
        <v>350</v>
      </c>
      <c r="Z251" s="217">
        <f t="shared" si="633"/>
        <v>3.1133910577919313</v>
      </c>
      <c r="AA251" s="173">
        <f t="shared" si="634"/>
        <v>2.2338906449873783</v>
      </c>
      <c r="AB251" s="173">
        <f t="shared" si="754"/>
        <v>1.0818850246071396</v>
      </c>
      <c r="AC251" s="173"/>
      <c r="AD251" s="173">
        <f t="shared" si="636"/>
        <v>0.71751045837836092</v>
      </c>
      <c r="AE251" s="545">
        <f t="shared" si="755"/>
        <v>975.59553568329</v>
      </c>
      <c r="AF251" s="528">
        <f t="shared" si="756"/>
        <v>0.12556433021621313</v>
      </c>
      <c r="AH251" s="173">
        <f t="shared" si="757"/>
        <v>1.7320508075688772</v>
      </c>
      <c r="AI251" s="173">
        <f t="shared" si="758"/>
        <v>1.7320508075688772</v>
      </c>
      <c r="AJ251" s="173">
        <f t="shared" si="759"/>
        <v>1.7422598574584276</v>
      </c>
      <c r="AL251" s="545">
        <f t="shared" si="760"/>
        <v>350</v>
      </c>
      <c r="AM251" s="460">
        <f t="shared" si="761"/>
        <v>350</v>
      </c>
      <c r="AO251">
        <f t="shared" si="644"/>
        <v>350</v>
      </c>
      <c r="AP251">
        <f t="shared" si="645"/>
        <v>350</v>
      </c>
      <c r="AR251" s="5">
        <f t="shared" si="616"/>
        <v>2.8571428571428572</v>
      </c>
      <c r="AS251" s="5">
        <f t="shared" si="739"/>
        <v>0.34672949120262103</v>
      </c>
      <c r="AT251" s="5">
        <f t="shared" si="740"/>
        <v>2.5104133659402361</v>
      </c>
      <c r="AU251" s="173">
        <f t="shared" si="741"/>
        <v>0.12135532192091736</v>
      </c>
      <c r="BA251" s="173">
        <f t="shared" si="692"/>
        <v>0.34836090756701926</v>
      </c>
      <c r="BB251" s="173">
        <f t="shared" si="693"/>
        <v>0.93736048459441823</v>
      </c>
      <c r="BC251" s="173">
        <f t="shared" si="694"/>
        <v>0.2302047072459821</v>
      </c>
      <c r="BD251" s="173"/>
      <c r="BE251" s="528">
        <f t="shared" si="695"/>
        <v>2.4271064384183468E-3</v>
      </c>
      <c r="BF251" s="528">
        <f t="shared" si="762"/>
        <v>0.8482281434250607</v>
      </c>
      <c r="BG251" s="528">
        <f t="shared" si="763"/>
        <v>0.48255516838450219</v>
      </c>
      <c r="BH251" s="528">
        <f t="shared" si="696"/>
        <v>1.0132498634409748</v>
      </c>
      <c r="BI251">
        <f t="shared" si="697"/>
        <v>2.6975133636400739E-2</v>
      </c>
      <c r="BJ251" s="460">
        <f t="shared" si="698"/>
        <v>509.53030202090287</v>
      </c>
      <c r="BK251">
        <f t="shared" si="764"/>
        <v>1.865636308102713</v>
      </c>
      <c r="BL251" s="460">
        <f t="shared" si="699"/>
        <v>2373.4354153253571</v>
      </c>
      <c r="BM251" s="173">
        <f t="shared" si="765"/>
        <v>0.21743749999999995</v>
      </c>
      <c r="BN251" s="173">
        <f t="shared" si="766"/>
        <v>3.8828124999999998E-2</v>
      </c>
      <c r="BQ251" s="460">
        <f t="shared" si="700"/>
        <v>256.26562499999994</v>
      </c>
      <c r="BR251" s="528">
        <f t="shared" si="701"/>
        <v>3.6406596576275202E-3</v>
      </c>
      <c r="BS251" s="528">
        <f t="shared" si="702"/>
        <v>2.6359340342372476E-2</v>
      </c>
      <c r="BT251" s="528">
        <f t="shared" si="703"/>
        <v>2.6497103619104161E-4</v>
      </c>
      <c r="BU251" s="528">
        <f t="shared" si="704"/>
        <v>0.45241988353713841</v>
      </c>
      <c r="BV251" s="528"/>
      <c r="BW251" s="625">
        <f t="shared" si="705"/>
        <v>5.2499999999999995E-3</v>
      </c>
      <c r="BX251" s="460">
        <f t="shared" si="706"/>
        <v>487.9348545733294</v>
      </c>
      <c r="BY251" s="173">
        <f t="shared" si="707"/>
        <v>3.1176358948986866</v>
      </c>
      <c r="BZ251" s="5">
        <f t="shared" si="708"/>
        <v>6.3</v>
      </c>
      <c r="CA251" s="173">
        <f t="shared" si="709"/>
        <v>0.66895769493621671</v>
      </c>
      <c r="CB251" s="5">
        <f t="shared" si="710"/>
        <v>66.895769493621671</v>
      </c>
      <c r="CC251">
        <f t="shared" si="711"/>
        <v>35</v>
      </c>
      <c r="CE251" s="562">
        <f t="shared" si="767"/>
        <v>-50</v>
      </c>
      <c r="CG251" s="173">
        <f t="shared" si="768"/>
        <v>0.42866070498705616</v>
      </c>
      <c r="CH251" s="173">
        <f t="shared" si="769"/>
        <v>0.15427698061429371</v>
      </c>
      <c r="CI251" s="170">
        <v>35</v>
      </c>
      <c r="CJ251" s="217">
        <f t="shared" si="712"/>
        <v>0.35</v>
      </c>
      <c r="CK251" s="217">
        <f t="shared" si="654"/>
        <v>8.7499999999999994E-2</v>
      </c>
      <c r="CL251" s="217">
        <f t="shared" si="655"/>
        <v>5.6</v>
      </c>
      <c r="CM251" s="217">
        <f t="shared" si="656"/>
        <v>0.7</v>
      </c>
      <c r="CN251" s="541">
        <f t="shared" si="657"/>
        <v>60</v>
      </c>
      <c r="CO251" s="443">
        <f t="shared" si="770"/>
        <v>16.7</v>
      </c>
      <c r="CP251" s="443">
        <f t="shared" si="771"/>
        <v>76.7</v>
      </c>
      <c r="CQ251" s="443"/>
      <c r="CR251" s="217">
        <f t="shared" si="660"/>
        <v>0.21465968586387432</v>
      </c>
      <c r="CS251" s="172">
        <f t="shared" si="661"/>
        <v>28.621291448516576</v>
      </c>
      <c r="CT251" s="172">
        <f t="shared" si="662"/>
        <v>4.0248691099476437</v>
      </c>
      <c r="CU251" s="217">
        <f t="shared" si="663"/>
        <v>1.788830715532286</v>
      </c>
      <c r="CV251" s="217">
        <f t="shared" si="664"/>
        <v>3.577661431064572</v>
      </c>
      <c r="CW251" s="217">
        <f t="shared" si="665"/>
        <v>16</v>
      </c>
      <c r="CX251" s="217">
        <f t="shared" si="666"/>
        <v>0.97829268292682936</v>
      </c>
      <c r="CY251" s="217">
        <f t="shared" si="667"/>
        <v>0.19565853658536586</v>
      </c>
      <c r="CZ251" s="217">
        <f t="shared" si="668"/>
        <v>0.70296480210311085</v>
      </c>
      <c r="DA251" s="197">
        <f t="shared" si="669"/>
        <v>350</v>
      </c>
      <c r="DB251" s="443">
        <f t="shared" si="670"/>
        <v>350</v>
      </c>
      <c r="DD251" s="217">
        <f t="shared" si="671"/>
        <v>3.1104488731607378</v>
      </c>
      <c r="DE251" s="173">
        <f t="shared" si="672"/>
        <v>2.23505308251071</v>
      </c>
      <c r="DF251" s="173">
        <f t="shared" si="673"/>
        <v>1.0814250754144243</v>
      </c>
      <c r="DG251" s="173"/>
      <c r="DH251" s="173">
        <f t="shared" si="674"/>
        <v>0.71856287425149712</v>
      </c>
      <c r="DI251" s="545">
        <f t="shared" si="675"/>
        <v>974.16666666666652</v>
      </c>
      <c r="DJ251" s="528">
        <f t="shared" si="676"/>
        <v>0.125748502994012</v>
      </c>
      <c r="DL251" s="173">
        <f t="shared" si="677"/>
        <v>1.7320508075688772</v>
      </c>
      <c r="DM251" s="173">
        <f t="shared" si="678"/>
        <v>1.7320508075688772</v>
      </c>
      <c r="DN251" s="173">
        <f t="shared" si="679"/>
        <v>1.7422598574584276</v>
      </c>
      <c r="DP251" s="545">
        <f t="shared" si="680"/>
        <v>350</v>
      </c>
      <c r="DQ251" s="460">
        <f t="shared" si="681"/>
        <v>350</v>
      </c>
      <c r="DS251">
        <f t="shared" si="682"/>
        <v>350</v>
      </c>
      <c r="DT251">
        <f t="shared" si="683"/>
        <v>350</v>
      </c>
      <c r="DV251" s="5">
        <f t="shared" si="684"/>
        <v>2.8571428571428572</v>
      </c>
      <c r="DW251" s="5">
        <f t="shared" si="685"/>
        <v>0.34641016151377546</v>
      </c>
      <c r="DX251" s="5">
        <f t="shared" si="686"/>
        <v>2.5107326956290819</v>
      </c>
      <c r="DY251" s="173">
        <f t="shared" si="687"/>
        <v>0.12124355652982141</v>
      </c>
      <c r="EA251" s="5">
        <f t="shared" si="713"/>
        <v>0.7577722283113838</v>
      </c>
      <c r="EB251" s="5">
        <f t="shared" si="714"/>
        <v>0.3788861141556919</v>
      </c>
      <c r="EC251" s="5">
        <f t="shared" si="715"/>
        <v>0.19527920966003964</v>
      </c>
      <c r="ED251" s="5"/>
      <c r="EE251" s="173">
        <f t="shared" si="716"/>
        <v>0.34820045452270937</v>
      </c>
      <c r="EF251" s="173">
        <f t="shared" si="717"/>
        <v>0.9374200997792711</v>
      </c>
      <c r="EG251" s="173">
        <f t="shared" si="718"/>
        <v>0.23021934803402685</v>
      </c>
      <c r="EH251" s="173"/>
      <c r="EI251" s="528">
        <f t="shared" si="719"/>
        <v>2.4248711305964281E-3</v>
      </c>
      <c r="EJ251" s="528">
        <f t="shared" si="720"/>
        <v>0.88344117465454386</v>
      </c>
      <c r="EK251" s="528">
        <f t="shared" si="721"/>
        <v>4.0250000000000001E-2</v>
      </c>
      <c r="EL251" s="528">
        <f t="shared" si="722"/>
        <v>1.0140631637499999</v>
      </c>
      <c r="EM251">
        <f t="shared" si="723"/>
        <v>2.7E-2</v>
      </c>
      <c r="EN251" s="460">
        <f t="shared" si="724"/>
        <v>67.25</v>
      </c>
      <c r="EP251" s="460">
        <f t="shared" si="725"/>
        <v>1967.1792095351402</v>
      </c>
      <c r="EQ251" s="173">
        <f t="shared" si="726"/>
        <v>0.24499999999999997</v>
      </c>
      <c r="ER251" s="173">
        <f t="shared" si="772"/>
        <v>3.8828124999999998E-2</v>
      </c>
      <c r="ES251" s="528"/>
      <c r="EU251" s="460">
        <f t="shared" si="727"/>
        <v>283.828125</v>
      </c>
      <c r="EV251" s="528">
        <f t="shared" si="728"/>
        <v>3.6373066958946417E-3</v>
      </c>
      <c r="EW251" s="528">
        <f t="shared" si="729"/>
        <v>2.6362693304105355E-2</v>
      </c>
      <c r="EX251" s="528">
        <f t="shared" si="730"/>
        <v>2.6500474104606192E-4</v>
      </c>
      <c r="EY251" s="528">
        <f t="shared" si="731"/>
        <v>0.45241988353713841</v>
      </c>
      <c r="EZ251" s="528"/>
      <c r="FA251" s="625">
        <f t="shared" si="732"/>
        <v>5.2499999999999995E-3</v>
      </c>
      <c r="FB251" s="460">
        <f t="shared" si="733"/>
        <v>487.93488827818442</v>
      </c>
      <c r="FC251" s="173">
        <f t="shared" si="734"/>
        <v>2.7389422228133253</v>
      </c>
      <c r="FD251" s="5">
        <f t="shared" si="735"/>
        <v>6.3</v>
      </c>
      <c r="FE251" s="173">
        <f t="shared" si="736"/>
        <v>0.69698420951286444</v>
      </c>
      <c r="FF251" s="5">
        <f t="shared" si="737"/>
        <v>69.698420951286437</v>
      </c>
      <c r="FG251">
        <f t="shared" si="738"/>
        <v>35</v>
      </c>
      <c r="FI251" s="562">
        <f t="shared" si="689"/>
        <v>-50</v>
      </c>
    </row>
    <row r="252" spans="5:165">
      <c r="E252" s="170">
        <v>36</v>
      </c>
      <c r="F252" s="217">
        <f t="shared" si="773"/>
        <v>0.36</v>
      </c>
      <c r="G252" s="217">
        <f t="shared" si="742"/>
        <v>0.09</v>
      </c>
      <c r="H252" s="217">
        <f t="shared" si="743"/>
        <v>5.76</v>
      </c>
      <c r="I252" s="217">
        <f t="shared" si="744"/>
        <v>0.72</v>
      </c>
      <c r="J252" s="541">
        <f t="shared" si="745"/>
        <v>59.943957565345229</v>
      </c>
      <c r="K252" s="443">
        <f t="shared" si="746"/>
        <v>16.724842360136325</v>
      </c>
      <c r="L252" s="172">
        <f t="shared" si="747"/>
        <v>76.668799925481551</v>
      </c>
      <c r="M252" s="443"/>
      <c r="N252" s="217">
        <f t="shared" si="748"/>
        <v>0.21814404785769545</v>
      </c>
      <c r="O252" s="172">
        <f t="shared" si="749"/>
        <v>29.058705662031855</v>
      </c>
      <c r="P252" s="172">
        <f t="shared" si="750"/>
        <v>4.0863804837232296</v>
      </c>
      <c r="Q252" s="217">
        <f t="shared" si="626"/>
        <v>1.8161691038769909</v>
      </c>
      <c r="R252" s="217">
        <f t="shared" si="751"/>
        <v>3.6323382077539819</v>
      </c>
      <c r="S252" s="217">
        <f t="shared" si="752"/>
        <v>16</v>
      </c>
      <c r="T252" s="217">
        <f t="shared" si="753"/>
        <v>0.99109713746232397</v>
      </c>
      <c r="U252" s="217">
        <f t="shared" si="630"/>
        <v>0.19840474557561677</v>
      </c>
      <c r="V252" s="217">
        <f t="shared" si="631"/>
        <v>0.71110778765217286</v>
      </c>
      <c r="W252" s="197">
        <f t="shared" si="632"/>
        <v>350</v>
      </c>
      <c r="X252" s="443">
        <f t="shared" si="691"/>
        <v>350</v>
      </c>
      <c r="Z252" s="217">
        <f t="shared" si="633"/>
        <v>3.1134327495034131</v>
      </c>
      <c r="AA252" s="173">
        <f t="shared" si="634"/>
        <v>2.2338741489780132</v>
      </c>
      <c r="AB252" s="173">
        <f t="shared" si="754"/>
        <v>1.0818915230195663</v>
      </c>
      <c r="AC252" s="173"/>
      <c r="AD252" s="173">
        <f t="shared" si="636"/>
        <v>0.71749555192233139</v>
      </c>
      <c r="AE252" s="545">
        <f t="shared" si="755"/>
        <v>1003.4905416081795</v>
      </c>
      <c r="AF252" s="528">
        <f t="shared" si="756"/>
        <v>0.12556172158640799</v>
      </c>
      <c r="AH252" s="173">
        <f t="shared" si="757"/>
        <v>1.7566201313073597</v>
      </c>
      <c r="AI252" s="173">
        <f t="shared" si="758"/>
        <v>1.7566201313073597</v>
      </c>
      <c r="AJ252" s="173">
        <f t="shared" si="759"/>
        <v>1.7604593565239701</v>
      </c>
      <c r="AL252" s="545">
        <f t="shared" si="760"/>
        <v>360</v>
      </c>
      <c r="AM252" s="460">
        <f t="shared" si="761"/>
        <v>350</v>
      </c>
      <c r="AO252">
        <f t="shared" si="644"/>
        <v>360</v>
      </c>
      <c r="AP252">
        <f t="shared" si="645"/>
        <v>350</v>
      </c>
      <c r="AR252" s="5">
        <f t="shared" si="616"/>
        <v>2.8571428571428572</v>
      </c>
      <c r="AS252" s="5">
        <f t="shared" si="739"/>
        <v>0.35165248395068849</v>
      </c>
      <c r="AT252" s="5">
        <f t="shared" si="740"/>
        <v>2.5054903731921687</v>
      </c>
      <c r="AU252" s="173">
        <f t="shared" si="741"/>
        <v>0.12307836938274097</v>
      </c>
      <c r="BA252" s="173">
        <f t="shared" si="692"/>
        <v>0.35580176253392543</v>
      </c>
      <c r="BB252" s="173">
        <f t="shared" si="693"/>
        <v>0.94972445180124787</v>
      </c>
      <c r="BC252" s="173">
        <f t="shared" si="694"/>
        <v>0.23324115213354174</v>
      </c>
      <c r="BD252" s="173"/>
      <c r="BE252" s="528">
        <f t="shared" si="695"/>
        <v>2.5318978844449569E-3</v>
      </c>
      <c r="BF252" s="528">
        <f t="shared" si="762"/>
        <v>0.86025545284316995</v>
      </c>
      <c r="BG252" s="528">
        <f t="shared" si="763"/>
        <v>0.48254885840102907</v>
      </c>
      <c r="BH252" s="528">
        <f t="shared" si="696"/>
        <v>1.0132383290370806</v>
      </c>
      <c r="BI252">
        <f t="shared" si="697"/>
        <v>2.6974780904405353E-2</v>
      </c>
      <c r="BJ252" s="460">
        <f t="shared" si="698"/>
        <v>509.52363930543441</v>
      </c>
      <c r="BK252">
        <f t="shared" si="764"/>
        <v>1.8778389605598929</v>
      </c>
      <c r="BL252" s="460">
        <f t="shared" si="699"/>
        <v>2385.5493190701295</v>
      </c>
      <c r="BM252" s="173">
        <f t="shared" si="765"/>
        <v>0.22364999999999999</v>
      </c>
      <c r="BN252" s="173">
        <f t="shared" si="766"/>
        <v>3.9937499999999994E-2</v>
      </c>
      <c r="BQ252" s="460">
        <f t="shared" si="700"/>
        <v>263.58749999999998</v>
      </c>
      <c r="BR252" s="528">
        <f t="shared" si="701"/>
        <v>3.7978468266674351E-3</v>
      </c>
      <c r="BS252" s="528">
        <f t="shared" si="702"/>
        <v>2.7059296030475424E-2</v>
      </c>
      <c r="BT252" s="528">
        <f t="shared" si="703"/>
        <v>2.7200717524290981E-4</v>
      </c>
      <c r="BU252" s="528">
        <f t="shared" si="704"/>
        <v>0.46863503602110768</v>
      </c>
      <c r="BV252" s="528"/>
      <c r="BW252" s="625">
        <f t="shared" si="705"/>
        <v>5.4000000000000003E-3</v>
      </c>
      <c r="BX252" s="460">
        <f t="shared" si="706"/>
        <v>505.16418605349344</v>
      </c>
      <c r="BY252" s="173">
        <f t="shared" si="707"/>
        <v>3.1543010051236235</v>
      </c>
      <c r="BZ252" s="5">
        <f t="shared" si="708"/>
        <v>6.4799999999999995</v>
      </c>
      <c r="CA252" s="173">
        <f t="shared" si="709"/>
        <v>0.67259679727194188</v>
      </c>
      <c r="CB252" s="5">
        <f t="shared" si="710"/>
        <v>67.259679727194182</v>
      </c>
      <c r="CC252">
        <f t="shared" si="711"/>
        <v>36</v>
      </c>
      <c r="CE252" s="562">
        <f t="shared" si="767"/>
        <v>-50</v>
      </c>
      <c r="CG252" s="173">
        <f t="shared" si="768"/>
        <v>0.43474130238568315</v>
      </c>
      <c r="CH252" s="173">
        <f t="shared" si="769"/>
        <v>0.15646541588740703</v>
      </c>
      <c r="CI252" s="170">
        <v>36</v>
      </c>
      <c r="CJ252" s="217">
        <f t="shared" si="712"/>
        <v>0.36</v>
      </c>
      <c r="CK252" s="217">
        <f t="shared" si="654"/>
        <v>0.09</v>
      </c>
      <c r="CL252" s="217">
        <f t="shared" si="655"/>
        <v>5.76</v>
      </c>
      <c r="CM252" s="217">
        <f t="shared" si="656"/>
        <v>0.72</v>
      </c>
      <c r="CN252" s="541">
        <f t="shared" si="657"/>
        <v>60</v>
      </c>
      <c r="CO252" s="443">
        <f t="shared" si="770"/>
        <v>16.7</v>
      </c>
      <c r="CP252" s="443">
        <f t="shared" si="771"/>
        <v>76.7</v>
      </c>
      <c r="CQ252" s="443"/>
      <c r="CR252" s="217">
        <f t="shared" si="660"/>
        <v>0.21465968586387432</v>
      </c>
      <c r="CS252" s="172">
        <f t="shared" si="661"/>
        <v>28.621291448516576</v>
      </c>
      <c r="CT252" s="172">
        <f t="shared" si="662"/>
        <v>4.0248691099476437</v>
      </c>
      <c r="CU252" s="217">
        <f t="shared" si="663"/>
        <v>1.788830715532286</v>
      </c>
      <c r="CV252" s="217">
        <f t="shared" si="664"/>
        <v>3.577661431064572</v>
      </c>
      <c r="CW252" s="217">
        <f t="shared" si="665"/>
        <v>16</v>
      </c>
      <c r="CX252" s="217">
        <f t="shared" si="666"/>
        <v>1.0062439024390244</v>
      </c>
      <c r="CY252" s="217">
        <f t="shared" si="667"/>
        <v>0.20124878048780487</v>
      </c>
      <c r="CZ252" s="217">
        <f t="shared" si="668"/>
        <v>0.72304951073462831</v>
      </c>
      <c r="DA252" s="197">
        <f t="shared" si="669"/>
        <v>350</v>
      </c>
      <c r="DB252" s="443">
        <f t="shared" si="670"/>
        <v>350</v>
      </c>
      <c r="DD252" s="217">
        <f t="shared" si="671"/>
        <v>3.1104488731607378</v>
      </c>
      <c r="DE252" s="173">
        <f t="shared" si="672"/>
        <v>2.23505308251071</v>
      </c>
      <c r="DF252" s="173">
        <f t="shared" si="673"/>
        <v>1.0814250754144243</v>
      </c>
      <c r="DG252" s="173"/>
      <c r="DH252" s="173">
        <f t="shared" si="674"/>
        <v>0.71856287425149712</v>
      </c>
      <c r="DI252" s="545">
        <f t="shared" si="675"/>
        <v>1001.9999999999999</v>
      </c>
      <c r="DJ252" s="528">
        <f t="shared" si="676"/>
        <v>0.125748502994012</v>
      </c>
      <c r="DL252" s="173">
        <f t="shared" si="677"/>
        <v>1.7566201313073597</v>
      </c>
      <c r="DM252" s="173">
        <f t="shared" si="678"/>
        <v>1.7566201313073597</v>
      </c>
      <c r="DN252" s="173">
        <f t="shared" si="679"/>
        <v>1.7604593565239701</v>
      </c>
      <c r="DP252" s="545">
        <f t="shared" si="680"/>
        <v>360</v>
      </c>
      <c r="DQ252" s="460">
        <f t="shared" si="681"/>
        <v>350</v>
      </c>
      <c r="DS252">
        <f t="shared" si="682"/>
        <v>360</v>
      </c>
      <c r="DT252">
        <f t="shared" si="683"/>
        <v>350</v>
      </c>
      <c r="DV252" s="5">
        <f t="shared" si="684"/>
        <v>2.8571428571428572</v>
      </c>
      <c r="DW252" s="5">
        <f t="shared" si="685"/>
        <v>0.35132402626147197</v>
      </c>
      <c r="DX252" s="5">
        <f t="shared" si="686"/>
        <v>2.5058188308813851</v>
      </c>
      <c r="DY252" s="173">
        <f t="shared" si="687"/>
        <v>0.12296340919151519</v>
      </c>
      <c r="EA252" s="5">
        <f t="shared" si="713"/>
        <v>0.79047905908831195</v>
      </c>
      <c r="EB252" s="5">
        <f t="shared" si="714"/>
        <v>0.39523952954415598</v>
      </c>
      <c r="EC252" s="5">
        <f t="shared" si="715"/>
        <v>0.20046550647051078</v>
      </c>
      <c r="ED252" s="5"/>
      <c r="EE252" s="173">
        <f t="shared" si="716"/>
        <v>0.35563555707230665</v>
      </c>
      <c r="EF252" s="173">
        <f t="shared" si="717"/>
        <v>0.94978670190590619</v>
      </c>
      <c r="EG252" s="173">
        <f t="shared" si="718"/>
        <v>0.23325644002689166</v>
      </c>
      <c r="EH252" s="173"/>
      <c r="EI252" s="528">
        <f t="shared" si="719"/>
        <v>2.5295329890825976E-3</v>
      </c>
      <c r="EJ252" s="528">
        <f t="shared" si="720"/>
        <v>0.89597288107397544</v>
      </c>
      <c r="EK252" s="528">
        <f t="shared" si="721"/>
        <v>4.0250000000000001E-2</v>
      </c>
      <c r="EL252" s="528">
        <f t="shared" si="722"/>
        <v>1.0140631637499999</v>
      </c>
      <c r="EM252">
        <f t="shared" si="723"/>
        <v>2.7E-2</v>
      </c>
      <c r="EN252" s="460">
        <f t="shared" si="724"/>
        <v>67.25</v>
      </c>
      <c r="EP252" s="460">
        <f t="shared" si="725"/>
        <v>1979.8155778130579</v>
      </c>
      <c r="EQ252" s="173">
        <f t="shared" si="726"/>
        <v>0.252</v>
      </c>
      <c r="ER252" s="173">
        <f t="shared" si="772"/>
        <v>3.9937499999999994E-2</v>
      </c>
      <c r="ES252" s="528"/>
      <c r="EU252" s="460">
        <f t="shared" si="727"/>
        <v>291.9375</v>
      </c>
      <c r="EV252" s="528">
        <f t="shared" si="728"/>
        <v>3.7942994836238958E-3</v>
      </c>
      <c r="EW252" s="528">
        <f t="shared" si="729"/>
        <v>2.7062843373518962E-2</v>
      </c>
      <c r="EX252" s="528">
        <f t="shared" si="730"/>
        <v>2.7204283407009452E-4</v>
      </c>
      <c r="EY252" s="528">
        <f t="shared" si="731"/>
        <v>0.46863503602110768</v>
      </c>
      <c r="EZ252" s="528"/>
      <c r="FA252" s="625">
        <f t="shared" si="732"/>
        <v>5.4000000000000003E-3</v>
      </c>
      <c r="FB252" s="460">
        <f t="shared" si="733"/>
        <v>505.16422171232057</v>
      </c>
      <c r="FC252" s="173">
        <f t="shared" si="734"/>
        <v>2.7769172995253784</v>
      </c>
      <c r="FD252" s="5">
        <f t="shared" si="735"/>
        <v>6.4799999999999995</v>
      </c>
      <c r="FE252" s="173">
        <f t="shared" si="736"/>
        <v>0.70001705647000245</v>
      </c>
      <c r="FF252" s="5">
        <f t="shared" si="737"/>
        <v>70.00170564700025</v>
      </c>
      <c r="FG252">
        <f t="shared" si="738"/>
        <v>36</v>
      </c>
      <c r="FI252" s="562">
        <f t="shared" si="689"/>
        <v>-50</v>
      </c>
    </row>
    <row r="253" spans="5:165">
      <c r="E253" s="170">
        <v>37</v>
      </c>
      <c r="F253" s="217">
        <f t="shared" si="773"/>
        <v>0.37</v>
      </c>
      <c r="G253" s="217">
        <f t="shared" si="742"/>
        <v>9.2499999999999999E-2</v>
      </c>
      <c r="H253" s="217">
        <f t="shared" si="743"/>
        <v>5.92</v>
      </c>
      <c r="I253" s="217">
        <f t="shared" si="744"/>
        <v>0.74</v>
      </c>
      <c r="J253" s="541">
        <f t="shared" si="745"/>
        <v>59.943184529729216</v>
      </c>
      <c r="K253" s="443">
        <f t="shared" si="746"/>
        <v>16.725185029566902</v>
      </c>
      <c r="L253" s="172">
        <f t="shared" si="747"/>
        <v>76.66836955929611</v>
      </c>
      <c r="M253" s="443"/>
      <c r="N253" s="217">
        <f t="shared" si="748"/>
        <v>0.21814974187799144</v>
      </c>
      <c r="O253" s="172">
        <f t="shared" si="749"/>
        <v>29.059089405567192</v>
      </c>
      <c r="P253" s="172">
        <f t="shared" si="750"/>
        <v>4.0864344476578864</v>
      </c>
      <c r="Q253" s="217">
        <f t="shared" si="626"/>
        <v>1.8161930878479495</v>
      </c>
      <c r="R253" s="217">
        <f t="shared" si="751"/>
        <v>3.6323861756958991</v>
      </c>
      <c r="S253" s="217">
        <f t="shared" si="752"/>
        <v>16</v>
      </c>
      <c r="T253" s="217">
        <f t="shared" si="753"/>
        <v>1.0186141618852371</v>
      </c>
      <c r="U253" s="217">
        <f t="shared" si="630"/>
        <v>0.2039159253636347</v>
      </c>
      <c r="V253" s="217">
        <f t="shared" si="631"/>
        <v>0.73083615643200861</v>
      </c>
      <c r="W253" s="197">
        <f t="shared" si="632"/>
        <v>350</v>
      </c>
      <c r="X253" s="443">
        <f t="shared" si="691"/>
        <v>350</v>
      </c>
      <c r="Z253" s="217">
        <f t="shared" si="633"/>
        <v>3.1134738648821987</v>
      </c>
      <c r="AA253" s="173">
        <f t="shared" si="634"/>
        <v>2.2338578803485958</v>
      </c>
      <c r="AB253" s="173">
        <f t="shared" si="754"/>
        <v>1.0818979310730108</v>
      </c>
      <c r="AC253" s="173"/>
      <c r="AD253" s="173">
        <f t="shared" si="636"/>
        <v>0.71748085170874432</v>
      </c>
      <c r="AE253" s="545">
        <f t="shared" si="755"/>
        <v>1031.3864101566255</v>
      </c>
      <c r="AF253" s="528">
        <f t="shared" si="756"/>
        <v>0.12555914904903026</v>
      </c>
      <c r="AH253" s="173">
        <f t="shared" si="757"/>
        <v>1.7808505191139909</v>
      </c>
      <c r="AI253" s="173">
        <f t="shared" si="758"/>
        <v>1.7808505191139909</v>
      </c>
      <c r="AJ253" s="173">
        <f t="shared" si="759"/>
        <v>1.7784077919362895</v>
      </c>
      <c r="AL253" s="545">
        <f t="shared" si="760"/>
        <v>370</v>
      </c>
      <c r="AM253" s="460">
        <f t="shared" si="761"/>
        <v>350</v>
      </c>
      <c r="AO253">
        <f t="shared" si="644"/>
        <v>370</v>
      </c>
      <c r="AP253">
        <f t="shared" si="645"/>
        <v>350</v>
      </c>
      <c r="AR253" s="5">
        <f t="shared" si="616"/>
        <v>2.8571428571428572</v>
      </c>
      <c r="AS253" s="5">
        <f t="shared" si="739"/>
        <v>0.35650768969021318</v>
      </c>
      <c r="AT253" s="5">
        <f t="shared" si="740"/>
        <v>2.5006351674526441</v>
      </c>
      <c r="AU253" s="173">
        <f t="shared" si="741"/>
        <v>0.12477769139157462</v>
      </c>
      <c r="BA253" s="173">
        <f t="shared" si="692"/>
        <v>0.36319119645908116</v>
      </c>
      <c r="BB253" s="173">
        <f t="shared" si="693"/>
        <v>0.96189137222322463</v>
      </c>
      <c r="BC253" s="173">
        <f t="shared" si="694"/>
        <v>0.23622920464893898</v>
      </c>
      <c r="BD253" s="173"/>
      <c r="BE253" s="528">
        <f t="shared" si="695"/>
        <v>2.6381569037075775E-3</v>
      </c>
      <c r="BF253" s="528">
        <f t="shared" si="762"/>
        <v>0.8721167103458769</v>
      </c>
      <c r="BG253" s="528">
        <f t="shared" si="763"/>
        <v>0.48254263546432019</v>
      </c>
      <c r="BH253" s="528">
        <f t="shared" si="696"/>
        <v>1.0132269538155785</v>
      </c>
      <c r="BI253">
        <f t="shared" si="697"/>
        <v>2.6974433038378147E-2</v>
      </c>
      <c r="BJ253" s="460">
        <f t="shared" si="698"/>
        <v>509.51706850269829</v>
      </c>
      <c r="BK253">
        <f t="shared" si="764"/>
        <v>1.8898787487175046</v>
      </c>
      <c r="BL253" s="460">
        <f t="shared" si="699"/>
        <v>2397.4988895678612</v>
      </c>
      <c r="BM253" s="173">
        <f t="shared" si="765"/>
        <v>0.2298625</v>
      </c>
      <c r="BN253" s="173">
        <f t="shared" si="766"/>
        <v>4.1046874999999997E-2</v>
      </c>
      <c r="BQ253" s="460">
        <f t="shared" si="700"/>
        <v>270.90937500000001</v>
      </c>
      <c r="BR253" s="528">
        <f t="shared" si="701"/>
        <v>3.9572353555613659E-3</v>
      </c>
      <c r="BS253" s="528">
        <f t="shared" si="702"/>
        <v>2.775705035872434E-2</v>
      </c>
      <c r="BT253" s="528">
        <f t="shared" si="703"/>
        <v>2.7902118564535148E-4</v>
      </c>
      <c r="BU253" s="528">
        <f t="shared" si="704"/>
        <v>0.48496319839045421</v>
      </c>
      <c r="BV253" s="528"/>
      <c r="BW253" s="625">
        <f t="shared" si="705"/>
        <v>5.5499999999999994E-3</v>
      </c>
      <c r="BX253" s="460">
        <f t="shared" si="706"/>
        <v>522.50650529038523</v>
      </c>
      <c r="BY253" s="173">
        <f t="shared" si="707"/>
        <v>3.1909147698582467</v>
      </c>
      <c r="BZ253" s="5">
        <f t="shared" si="708"/>
        <v>6.66</v>
      </c>
      <c r="CA253" s="173">
        <f t="shared" si="709"/>
        <v>0.67607934446638573</v>
      </c>
      <c r="CB253" s="5">
        <f t="shared" si="710"/>
        <v>67.607934446638581</v>
      </c>
      <c r="CC253">
        <f t="shared" si="711"/>
        <v>37</v>
      </c>
      <c r="CE253" s="562">
        <f t="shared" si="767"/>
        <v>-50</v>
      </c>
      <c r="CG253" s="173">
        <f t="shared" si="768"/>
        <v>0.44073801742078028</v>
      </c>
      <c r="CH253" s="173">
        <f t="shared" si="769"/>
        <v>0.15862366150790788</v>
      </c>
      <c r="CI253" s="170">
        <v>37</v>
      </c>
      <c r="CJ253" s="217">
        <f t="shared" si="712"/>
        <v>0.37</v>
      </c>
      <c r="CK253" s="217">
        <f t="shared" si="654"/>
        <v>9.2499999999999999E-2</v>
      </c>
      <c r="CL253" s="217">
        <f t="shared" si="655"/>
        <v>5.92</v>
      </c>
      <c r="CM253" s="217">
        <f t="shared" si="656"/>
        <v>0.74</v>
      </c>
      <c r="CN253" s="541">
        <f t="shared" si="657"/>
        <v>60</v>
      </c>
      <c r="CO253" s="443">
        <f t="shared" si="770"/>
        <v>16.7</v>
      </c>
      <c r="CP253" s="443">
        <f t="shared" si="771"/>
        <v>76.7</v>
      </c>
      <c r="CQ253" s="443"/>
      <c r="CR253" s="217">
        <f t="shared" si="660"/>
        <v>0.21465968586387432</v>
      </c>
      <c r="CS253" s="172">
        <f t="shared" si="661"/>
        <v>28.621291448516576</v>
      </c>
      <c r="CT253" s="172">
        <f t="shared" si="662"/>
        <v>4.0248691099476437</v>
      </c>
      <c r="CU253" s="217">
        <f t="shared" si="663"/>
        <v>1.788830715532286</v>
      </c>
      <c r="CV253" s="217">
        <f t="shared" si="664"/>
        <v>3.577661431064572</v>
      </c>
      <c r="CW253" s="217">
        <f t="shared" si="665"/>
        <v>16</v>
      </c>
      <c r="CX253" s="217">
        <f t="shared" si="666"/>
        <v>1.0341951219512195</v>
      </c>
      <c r="CY253" s="217">
        <f t="shared" si="667"/>
        <v>0.2068390243902439</v>
      </c>
      <c r="CZ253" s="217">
        <f t="shared" si="668"/>
        <v>0.74313421936614588</v>
      </c>
      <c r="DA253" s="197">
        <f t="shared" si="669"/>
        <v>350</v>
      </c>
      <c r="DB253" s="443">
        <f t="shared" si="670"/>
        <v>350</v>
      </c>
      <c r="DD253" s="217">
        <f t="shared" si="671"/>
        <v>3.1104488731607378</v>
      </c>
      <c r="DE253" s="173">
        <f t="shared" si="672"/>
        <v>2.23505308251071</v>
      </c>
      <c r="DF253" s="173">
        <f t="shared" si="673"/>
        <v>1.0814250754144243</v>
      </c>
      <c r="DG253" s="173"/>
      <c r="DH253" s="173">
        <f t="shared" si="674"/>
        <v>0.71856287425149712</v>
      </c>
      <c r="DI253" s="545">
        <f t="shared" si="675"/>
        <v>1029.833333333333</v>
      </c>
      <c r="DJ253" s="528">
        <f t="shared" si="676"/>
        <v>0.125748502994012</v>
      </c>
      <c r="DL253" s="173">
        <f t="shared" si="677"/>
        <v>1.7808505191139909</v>
      </c>
      <c r="DM253" s="173">
        <f t="shared" si="678"/>
        <v>1.7808505191139909</v>
      </c>
      <c r="DN253" s="173">
        <f t="shared" si="679"/>
        <v>1.7784077919362895</v>
      </c>
      <c r="DP253" s="545">
        <f t="shared" si="680"/>
        <v>370</v>
      </c>
      <c r="DQ253" s="460">
        <f t="shared" si="681"/>
        <v>350</v>
      </c>
      <c r="DS253">
        <f t="shared" si="682"/>
        <v>370</v>
      </c>
      <c r="DT253">
        <f t="shared" si="683"/>
        <v>350</v>
      </c>
      <c r="DV253" s="5">
        <f t="shared" si="684"/>
        <v>2.8571428571428572</v>
      </c>
      <c r="DW253" s="5">
        <f t="shared" si="685"/>
        <v>0.35617010382279823</v>
      </c>
      <c r="DX253" s="5">
        <f t="shared" si="686"/>
        <v>2.5009727533200588</v>
      </c>
      <c r="DY253" s="173">
        <f t="shared" si="687"/>
        <v>0.12465953633797938</v>
      </c>
      <c r="EA253" s="5">
        <f t="shared" si="713"/>
        <v>0.82364336509022085</v>
      </c>
      <c r="EB253" s="5">
        <f t="shared" si="714"/>
        <v>0.41182168254511042</v>
      </c>
      <c r="EC253" s="5">
        <f t="shared" si="715"/>
        <v>0.2056355374952048</v>
      </c>
      <c r="ED253" s="5"/>
      <c r="EE253" s="173">
        <f t="shared" si="716"/>
        <v>0.36301919841027047</v>
      </c>
      <c r="EF253" s="173">
        <f t="shared" si="717"/>
        <v>0.96195629772272995</v>
      </c>
      <c r="EG253" s="173">
        <f t="shared" si="718"/>
        <v>0.23624514958778808</v>
      </c>
      <c r="EH253" s="173"/>
      <c r="EI253" s="528">
        <f t="shared" si="719"/>
        <v>2.635658768288706E-3</v>
      </c>
      <c r="EJ253" s="528">
        <f t="shared" si="720"/>
        <v>0.90833171152668679</v>
      </c>
      <c r="EK253" s="528">
        <f t="shared" si="721"/>
        <v>4.0250000000000001E-2</v>
      </c>
      <c r="EL253" s="528">
        <f t="shared" si="722"/>
        <v>1.0140631637499999</v>
      </c>
      <c r="EM253">
        <f t="shared" si="723"/>
        <v>2.7E-2</v>
      </c>
      <c r="EN253" s="460">
        <f t="shared" si="724"/>
        <v>67.25</v>
      </c>
      <c r="EP253" s="460">
        <f t="shared" si="725"/>
        <v>1992.2805340449754</v>
      </c>
      <c r="EQ253" s="173">
        <f t="shared" si="726"/>
        <v>0.25900000000000001</v>
      </c>
      <c r="ER253" s="173">
        <f t="shared" si="772"/>
        <v>4.1046874999999997E-2</v>
      </c>
      <c r="ES253" s="528"/>
      <c r="EU253" s="460">
        <f t="shared" si="727"/>
        <v>300.046875</v>
      </c>
      <c r="EV253" s="528">
        <f t="shared" si="728"/>
        <v>3.953488152433059E-3</v>
      </c>
      <c r="EW253" s="528">
        <f t="shared" si="729"/>
        <v>2.7760797561852645E-2</v>
      </c>
      <c r="EX253" s="528">
        <f t="shared" si="730"/>
        <v>2.7905885351878185E-4</v>
      </c>
      <c r="EY253" s="528">
        <f t="shared" si="731"/>
        <v>0.48496319839045421</v>
      </c>
      <c r="EZ253" s="528"/>
      <c r="FA253" s="625">
        <f t="shared" si="732"/>
        <v>5.5499999999999994E-3</v>
      </c>
      <c r="FB253" s="460">
        <f t="shared" si="733"/>
        <v>522.50654295825871</v>
      </c>
      <c r="FC253" s="173">
        <f t="shared" si="734"/>
        <v>2.8148339520032346</v>
      </c>
      <c r="FD253" s="5">
        <f t="shared" si="735"/>
        <v>6.66</v>
      </c>
      <c r="FE253" s="173">
        <f t="shared" si="736"/>
        <v>0.70291469314793609</v>
      </c>
      <c r="FF253" s="5">
        <f t="shared" si="737"/>
        <v>70.291469314793602</v>
      </c>
      <c r="FG253">
        <f t="shared" si="738"/>
        <v>37</v>
      </c>
      <c r="FI253" s="562">
        <f t="shared" si="689"/>
        <v>-50</v>
      </c>
    </row>
    <row r="254" spans="5:165">
      <c r="E254" s="170">
        <v>38</v>
      </c>
      <c r="F254" s="217">
        <f t="shared" si="773"/>
        <v>0.38</v>
      </c>
      <c r="G254" s="217">
        <f t="shared" si="742"/>
        <v>9.5000000000000001E-2</v>
      </c>
      <c r="H254" s="217">
        <f t="shared" si="743"/>
        <v>6.08</v>
      </c>
      <c r="I254" s="217">
        <f t="shared" si="744"/>
        <v>0.76</v>
      </c>
      <c r="J254" s="541">
        <f t="shared" si="745"/>
        <v>59.942421871842278</v>
      </c>
      <c r="K254" s="443">
        <f t="shared" si="746"/>
        <v>16.72552309878186</v>
      </c>
      <c r="L254" s="172">
        <f t="shared" si="747"/>
        <v>76.667944970624134</v>
      </c>
      <c r="M254" s="443"/>
      <c r="N254" s="217">
        <f t="shared" si="748"/>
        <v>0.21815535952072751</v>
      </c>
      <c r="O254" s="172">
        <f t="shared" si="749"/>
        <v>29.059467986655275</v>
      </c>
      <c r="P254" s="172">
        <f t="shared" si="750"/>
        <v>4.086487685623398</v>
      </c>
      <c r="Q254" s="217">
        <f t="shared" si="626"/>
        <v>1.8162167491659547</v>
      </c>
      <c r="R254" s="217">
        <f t="shared" si="751"/>
        <v>3.6324334983319093</v>
      </c>
      <c r="S254" s="217">
        <f t="shared" si="752"/>
        <v>16</v>
      </c>
      <c r="T254" s="217">
        <f t="shared" si="753"/>
        <v>1.0461306454048067</v>
      </c>
      <c r="U254" s="217">
        <f t="shared" si="630"/>
        <v>0.20942710275699872</v>
      </c>
      <c r="V254" s="217">
        <f t="shared" si="631"/>
        <v>0.7505635351860519</v>
      </c>
      <c r="W254" s="197">
        <f t="shared" si="632"/>
        <v>350</v>
      </c>
      <c r="X254" s="443">
        <f t="shared" si="691"/>
        <v>350</v>
      </c>
      <c r="Z254" s="217">
        <f t="shared" si="633"/>
        <v>3.1135144271416362</v>
      </c>
      <c r="AA254" s="173">
        <f t="shared" si="634"/>
        <v>2.2338418299407787</v>
      </c>
      <c r="AB254" s="173">
        <f t="shared" si="754"/>
        <v>1.0819042524069247</v>
      </c>
      <c r="AC254" s="173"/>
      <c r="AD254" s="173">
        <f t="shared" si="636"/>
        <v>0.71746634943058818</v>
      </c>
      <c r="AE254" s="545">
        <f t="shared" si="755"/>
        <v>1059.2831295895178</v>
      </c>
      <c r="AF254" s="528">
        <f t="shared" si="756"/>
        <v>0.12555661115035294</v>
      </c>
      <c r="AH254" s="173">
        <f t="shared" si="757"/>
        <v>1.804755622554715</v>
      </c>
      <c r="AI254" s="173">
        <f t="shared" si="758"/>
        <v>1.804755622554715</v>
      </c>
      <c r="AJ254" s="173">
        <f t="shared" si="759"/>
        <v>1.7961152759664554</v>
      </c>
      <c r="AL254" s="545">
        <f t="shared" si="760"/>
        <v>380</v>
      </c>
      <c r="AM254" s="460">
        <f t="shared" si="761"/>
        <v>350</v>
      </c>
      <c r="AO254">
        <f t="shared" si="644"/>
        <v>380</v>
      </c>
      <c r="AP254">
        <f t="shared" si="645"/>
        <v>350</v>
      </c>
      <c r="AR254" s="5">
        <f t="shared" si="616"/>
        <v>2.8571428571428572</v>
      </c>
      <c r="AS254" s="5">
        <f t="shared" si="739"/>
        <v>0.36129783873196997</v>
      </c>
      <c r="AT254" s="5">
        <f t="shared" si="740"/>
        <v>2.4958450184108871</v>
      </c>
      <c r="AU254" s="173">
        <f t="shared" si="741"/>
        <v>0.12645424355618948</v>
      </c>
      <c r="BA254" s="173">
        <f t="shared" si="692"/>
        <v>0.37053094164745348</v>
      </c>
      <c r="BB254" s="173">
        <f t="shared" si="693"/>
        <v>0.97386914264501523</v>
      </c>
      <c r="BC254" s="173">
        <f t="shared" si="694"/>
        <v>0.23917080414958461</v>
      </c>
      <c r="BD254" s="173"/>
      <c r="BE254" s="528">
        <f t="shared" si="695"/>
        <v>2.7458635743629715E-3</v>
      </c>
      <c r="BF254" s="528">
        <f t="shared" si="762"/>
        <v>0.883818604125433</v>
      </c>
      <c r="BG254" s="528">
        <f t="shared" si="763"/>
        <v>0.48253649606833032</v>
      </c>
      <c r="BH254" s="528">
        <f t="shared" si="696"/>
        <v>1.013215731364965</v>
      </c>
      <c r="BI254">
        <f t="shared" si="697"/>
        <v>2.6974089842329026E-2</v>
      </c>
      <c r="BJ254" s="460">
        <f t="shared" si="698"/>
        <v>509.51058591065936</v>
      </c>
      <c r="BK254">
        <f t="shared" si="764"/>
        <v>1.9017623246527389</v>
      </c>
      <c r="BL254" s="460">
        <f t="shared" si="699"/>
        <v>2409.2907849754206</v>
      </c>
      <c r="BM254" s="173">
        <f t="shared" si="765"/>
        <v>0.23607499999999995</v>
      </c>
      <c r="BN254" s="173">
        <f t="shared" si="766"/>
        <v>4.2156249999999999E-2</v>
      </c>
      <c r="BQ254" s="460">
        <f t="shared" si="700"/>
        <v>278.23124999999993</v>
      </c>
      <c r="BR254" s="528">
        <f t="shared" si="701"/>
        <v>4.1187953615444573E-3</v>
      </c>
      <c r="BS254" s="528">
        <f t="shared" si="702"/>
        <v>2.8452633209884108E-2</v>
      </c>
      <c r="BT254" s="528">
        <f t="shared" si="703"/>
        <v>2.8601336778779479E-4</v>
      </c>
      <c r="BU254" s="528">
        <f t="shared" si="704"/>
        <v>0.50140207157832994</v>
      </c>
      <c r="BV254" s="528"/>
      <c r="BW254" s="625">
        <f t="shared" si="705"/>
        <v>5.7000000000000002E-3</v>
      </c>
      <c r="BX254" s="460">
        <f t="shared" si="706"/>
        <v>539.95951351754638</v>
      </c>
      <c r="BY254" s="173">
        <f t="shared" si="707"/>
        <v>3.2274815484929671</v>
      </c>
      <c r="BZ254" s="5">
        <f t="shared" si="708"/>
        <v>6.84</v>
      </c>
      <c r="CA254" s="173">
        <f t="shared" si="709"/>
        <v>0.67941520101657404</v>
      </c>
      <c r="CB254" s="5">
        <f t="shared" si="710"/>
        <v>67.941520101657403</v>
      </c>
      <c r="CC254">
        <f t="shared" si="711"/>
        <v>38</v>
      </c>
      <c r="CE254" s="562">
        <f t="shared" si="767"/>
        <v>-50</v>
      </c>
      <c r="CG254" s="173">
        <f t="shared" si="768"/>
        <v>0.4466542286825459</v>
      </c>
      <c r="CH254" s="173">
        <f t="shared" si="769"/>
        <v>0.1607529334461161</v>
      </c>
      <c r="CI254" s="170">
        <v>38</v>
      </c>
      <c r="CJ254" s="217">
        <f t="shared" si="712"/>
        <v>0.38</v>
      </c>
      <c r="CK254" s="217">
        <f t="shared" si="654"/>
        <v>9.5000000000000001E-2</v>
      </c>
      <c r="CL254" s="217">
        <f t="shared" si="655"/>
        <v>6.08</v>
      </c>
      <c r="CM254" s="217">
        <f t="shared" si="656"/>
        <v>0.76</v>
      </c>
      <c r="CN254" s="541">
        <f t="shared" si="657"/>
        <v>60</v>
      </c>
      <c r="CO254" s="443">
        <f t="shared" si="770"/>
        <v>16.7</v>
      </c>
      <c r="CP254" s="443">
        <f t="shared" si="771"/>
        <v>76.7</v>
      </c>
      <c r="CQ254" s="443"/>
      <c r="CR254" s="217">
        <f t="shared" si="660"/>
        <v>0.21465968586387432</v>
      </c>
      <c r="CS254" s="172">
        <f t="shared" si="661"/>
        <v>28.621291448516576</v>
      </c>
      <c r="CT254" s="172">
        <f t="shared" si="662"/>
        <v>4.0248691099476437</v>
      </c>
      <c r="CU254" s="217">
        <f t="shared" si="663"/>
        <v>1.788830715532286</v>
      </c>
      <c r="CV254" s="217">
        <f t="shared" si="664"/>
        <v>3.577661431064572</v>
      </c>
      <c r="CW254" s="217">
        <f t="shared" si="665"/>
        <v>16</v>
      </c>
      <c r="CX254" s="217">
        <f t="shared" si="666"/>
        <v>1.0621463414634147</v>
      </c>
      <c r="CY254" s="217">
        <f t="shared" si="667"/>
        <v>0.21242926829268294</v>
      </c>
      <c r="CZ254" s="217">
        <f t="shared" si="668"/>
        <v>0.76321892799766322</v>
      </c>
      <c r="DA254" s="197">
        <f t="shared" si="669"/>
        <v>350</v>
      </c>
      <c r="DB254" s="443">
        <f t="shared" si="670"/>
        <v>350</v>
      </c>
      <c r="DD254" s="217">
        <f t="shared" si="671"/>
        <v>3.1104488731607378</v>
      </c>
      <c r="DE254" s="173">
        <f t="shared" si="672"/>
        <v>2.23505308251071</v>
      </c>
      <c r="DF254" s="173">
        <f t="shared" si="673"/>
        <v>1.0814250754144243</v>
      </c>
      <c r="DG254" s="173"/>
      <c r="DH254" s="173">
        <f t="shared" si="674"/>
        <v>0.71856287425149712</v>
      </c>
      <c r="DI254" s="545">
        <f t="shared" si="675"/>
        <v>1057.6666666666665</v>
      </c>
      <c r="DJ254" s="528">
        <f t="shared" si="676"/>
        <v>0.125748502994012</v>
      </c>
      <c r="DL254" s="173">
        <f t="shared" si="677"/>
        <v>1.804755622554715</v>
      </c>
      <c r="DM254" s="173">
        <f t="shared" si="678"/>
        <v>1.804755622554715</v>
      </c>
      <c r="DN254" s="173">
        <f t="shared" si="679"/>
        <v>1.7961152759664554</v>
      </c>
      <c r="DP254" s="545">
        <f t="shared" si="680"/>
        <v>380</v>
      </c>
      <c r="DQ254" s="460">
        <f t="shared" si="681"/>
        <v>350</v>
      </c>
      <c r="DS254">
        <f t="shared" si="682"/>
        <v>380</v>
      </c>
      <c r="DT254">
        <f t="shared" si="683"/>
        <v>350</v>
      </c>
      <c r="DV254" s="5">
        <f t="shared" si="684"/>
        <v>2.8571428571428572</v>
      </c>
      <c r="DW254" s="5">
        <f t="shared" si="685"/>
        <v>0.36095112451094297</v>
      </c>
      <c r="DX254" s="5">
        <f t="shared" si="686"/>
        <v>2.4961917326319143</v>
      </c>
      <c r="DY254" s="173">
        <f t="shared" si="687"/>
        <v>0.12633289357883004</v>
      </c>
      <c r="EA254" s="5">
        <f t="shared" si="713"/>
        <v>0.85725892071348964</v>
      </c>
      <c r="EB254" s="5">
        <f t="shared" si="714"/>
        <v>0.42862946035674482</v>
      </c>
      <c r="EC254" s="5">
        <f t="shared" si="715"/>
        <v>0.21078952408891716</v>
      </c>
      <c r="ED254" s="5"/>
      <c r="EE254" s="173">
        <f t="shared" si="716"/>
        <v>0.37035311165718365</v>
      </c>
      <c r="EF254" s="173">
        <f t="shared" si="717"/>
        <v>0.97393678357485158</v>
      </c>
      <c r="EG254" s="173">
        <f t="shared" si="718"/>
        <v>0.23918741596617676</v>
      </c>
      <c r="EH254" s="173"/>
      <c r="EI254" s="528">
        <f t="shared" si="719"/>
        <v>2.743228546283167E-3</v>
      </c>
      <c r="EJ254" s="528">
        <f t="shared" si="720"/>
        <v>0.92052462906214527</v>
      </c>
      <c r="EK254" s="528">
        <f t="shared" si="721"/>
        <v>4.0250000000000001E-2</v>
      </c>
      <c r="EL254" s="528">
        <f t="shared" si="722"/>
        <v>1.0140631637499999</v>
      </c>
      <c r="EM254">
        <f t="shared" si="723"/>
        <v>2.7E-2</v>
      </c>
      <c r="EN254" s="460">
        <f t="shared" si="724"/>
        <v>67.25</v>
      </c>
      <c r="EP254" s="460">
        <f t="shared" si="725"/>
        <v>2004.5810213584284</v>
      </c>
      <c r="EQ254" s="173">
        <f t="shared" si="726"/>
        <v>0.26599999999999996</v>
      </c>
      <c r="ER254" s="173">
        <f t="shared" si="772"/>
        <v>4.2156249999999999E-2</v>
      </c>
      <c r="ES254" s="528"/>
      <c r="EU254" s="460">
        <f t="shared" si="727"/>
        <v>308.15624999999994</v>
      </c>
      <c r="EV254" s="528">
        <f t="shared" si="728"/>
        <v>4.1148428194247499E-3</v>
      </c>
      <c r="EW254" s="528">
        <f t="shared" si="729"/>
        <v>2.8456585752003816E-2</v>
      </c>
      <c r="EX254" s="528">
        <f t="shared" si="730"/>
        <v>2.8605309978288435E-4</v>
      </c>
      <c r="EY254" s="528">
        <f t="shared" si="731"/>
        <v>0.50140207157832994</v>
      </c>
      <c r="EZ254" s="528"/>
      <c r="FA254" s="625">
        <f t="shared" si="732"/>
        <v>5.7000000000000002E-3</v>
      </c>
      <c r="FB254" s="460">
        <f t="shared" si="733"/>
        <v>539.9595532495415</v>
      </c>
      <c r="FC254" s="173">
        <f t="shared" si="734"/>
        <v>2.8526968246079698</v>
      </c>
      <c r="FD254" s="5">
        <f t="shared" si="735"/>
        <v>6.84</v>
      </c>
      <c r="FE254" s="173">
        <f t="shared" si="736"/>
        <v>0.70568595343191809</v>
      </c>
      <c r="FF254" s="5">
        <f t="shared" si="737"/>
        <v>70.568595343191802</v>
      </c>
      <c r="FG254">
        <f t="shared" si="738"/>
        <v>38</v>
      </c>
      <c r="FI254" s="562">
        <f t="shared" si="689"/>
        <v>-50</v>
      </c>
    </row>
    <row r="255" spans="5:165">
      <c r="E255" s="170">
        <v>39</v>
      </c>
      <c r="F255" s="217">
        <f t="shared" si="773"/>
        <v>0.39</v>
      </c>
      <c r="G255" s="217">
        <f t="shared" si="742"/>
        <v>9.7500000000000003E-2</v>
      </c>
      <c r="H255" s="217">
        <f t="shared" si="743"/>
        <v>6.24</v>
      </c>
      <c r="I255" s="217">
        <f t="shared" si="744"/>
        <v>0.78</v>
      </c>
      <c r="J255" s="541">
        <f t="shared" si="745"/>
        <v>59.94166918462593</v>
      </c>
      <c r="K255" s="443">
        <f t="shared" si="746"/>
        <v>16.72585674822114</v>
      </c>
      <c r="L255" s="172">
        <f t="shared" si="747"/>
        <v>76.66752593284707</v>
      </c>
      <c r="M255" s="443"/>
      <c r="N255" s="217">
        <f t="shared" si="748"/>
        <v>0.21816090378175609</v>
      </c>
      <c r="O255" s="172">
        <f t="shared" si="749"/>
        <v>29.059841607788957</v>
      </c>
      <c r="P255" s="172">
        <f t="shared" si="750"/>
        <v>4.0865402260953223</v>
      </c>
      <c r="Q255" s="217">
        <f t="shared" si="626"/>
        <v>1.8162401004868098</v>
      </c>
      <c r="R255" s="217">
        <f t="shared" si="751"/>
        <v>3.6324802009736197</v>
      </c>
      <c r="S255" s="217">
        <f t="shared" si="752"/>
        <v>16</v>
      </c>
      <c r="T255" s="217">
        <f t="shared" si="753"/>
        <v>1.0736465952256742</v>
      </c>
      <c r="U255" s="217">
        <f t="shared" si="630"/>
        <v>0.21493827779511629</v>
      </c>
      <c r="V255" s="217">
        <f t="shared" si="631"/>
        <v>0.77028993711059535</v>
      </c>
      <c r="W255" s="197">
        <f t="shared" si="632"/>
        <v>350</v>
      </c>
      <c r="X255" s="443">
        <f t="shared" si="691"/>
        <v>350</v>
      </c>
      <c r="Z255" s="217">
        <f t="shared" si="633"/>
        <v>3.1135544579773886</v>
      </c>
      <c r="AA255" s="173">
        <f t="shared" si="634"/>
        <v>2.2338259891949828</v>
      </c>
      <c r="AB255" s="173">
        <f t="shared" si="754"/>
        <v>1.0819104904228114</v>
      </c>
      <c r="AC255" s="173"/>
      <c r="AD255" s="173">
        <f t="shared" si="636"/>
        <v>0.71745203732396234</v>
      </c>
      <c r="AE255" s="545">
        <f t="shared" si="755"/>
        <v>1087.1806886343738</v>
      </c>
      <c r="AF255" s="528">
        <f t="shared" si="756"/>
        <v>0.12555410653169341</v>
      </c>
      <c r="AH255" s="173">
        <f t="shared" si="757"/>
        <v>1.8283482006601322</v>
      </c>
      <c r="AI255" s="173">
        <f t="shared" si="758"/>
        <v>1.8283482006601322</v>
      </c>
      <c r="AJ255" s="173">
        <f t="shared" si="759"/>
        <v>1.813591259748246</v>
      </c>
      <c r="AL255" s="545">
        <f t="shared" si="760"/>
        <v>390</v>
      </c>
      <c r="AM255" s="460">
        <f t="shared" si="761"/>
        <v>350</v>
      </c>
      <c r="AO255">
        <f t="shared" si="644"/>
        <v>390</v>
      </c>
      <c r="AP255">
        <f t="shared" si="645"/>
        <v>350</v>
      </c>
      <c r="AR255" s="5">
        <f t="shared" si="616"/>
        <v>2.8571428571428572</v>
      </c>
      <c r="AS255" s="5">
        <f t="shared" si="739"/>
        <v>0.36602548287976083</v>
      </c>
      <c r="AT255" s="5">
        <f t="shared" si="740"/>
        <v>2.4911173742630965</v>
      </c>
      <c r="AU255" s="173">
        <f t="shared" si="741"/>
        <v>0.12810891900791629</v>
      </c>
      <c r="BA255" s="173">
        <f t="shared" si="692"/>
        <v>0.37782262812476797</v>
      </c>
      <c r="BB255" s="173">
        <f t="shared" si="693"/>
        <v>0.98566514393205962</v>
      </c>
      <c r="BC255" s="173">
        <f t="shared" si="694"/>
        <v>0.24206776328919696</v>
      </c>
      <c r="BD255" s="173"/>
      <c r="BE255" s="528">
        <f t="shared" si="695"/>
        <v>2.8549987664621339E-3</v>
      </c>
      <c r="BF255" s="528">
        <f t="shared" si="762"/>
        <v>0.89536738510205904</v>
      </c>
      <c r="BG255" s="528">
        <f t="shared" si="763"/>
        <v>0.4825304369362387</v>
      </c>
      <c r="BH255" s="528">
        <f t="shared" si="696"/>
        <v>1.0132046556929188</v>
      </c>
      <c r="BI255">
        <f t="shared" si="697"/>
        <v>2.6973751133081668E-2</v>
      </c>
      <c r="BJ255" s="460">
        <f t="shared" si="698"/>
        <v>509.50418806932043</v>
      </c>
      <c r="BK255">
        <f t="shared" si="764"/>
        <v>1.9134959047875819</v>
      </c>
      <c r="BL255" s="460">
        <f t="shared" si="699"/>
        <v>2420.931227630761</v>
      </c>
      <c r="BM255" s="173">
        <f t="shared" si="765"/>
        <v>0.24228749999999996</v>
      </c>
      <c r="BN255" s="173">
        <f t="shared" si="766"/>
        <v>4.3265625000000002E-2</v>
      </c>
      <c r="BQ255" s="460">
        <f t="shared" si="700"/>
        <v>285.55312499999997</v>
      </c>
      <c r="BR255" s="528">
        <f t="shared" si="701"/>
        <v>4.2824981496932006E-3</v>
      </c>
      <c r="BS255" s="528">
        <f t="shared" si="702"/>
        <v>2.9146073278878231E-2</v>
      </c>
      <c r="BT255" s="528">
        <f t="shared" si="703"/>
        <v>2.929840101191735E-4</v>
      </c>
      <c r="BU255" s="528">
        <f t="shared" si="704"/>
        <v>0.51794946278452536</v>
      </c>
      <c r="BV255" s="528"/>
      <c r="BW255" s="625">
        <f t="shared" si="705"/>
        <v>5.8500000000000002E-3</v>
      </c>
      <c r="BX255" s="460">
        <f t="shared" si="706"/>
        <v>557.52101822321595</v>
      </c>
      <c r="BY255" s="173">
        <f t="shared" si="707"/>
        <v>3.2640053708539774</v>
      </c>
      <c r="BZ255" s="5">
        <f t="shared" si="708"/>
        <v>7.0200000000000005</v>
      </c>
      <c r="CA255" s="173">
        <f t="shared" si="709"/>
        <v>0.68261341246431728</v>
      </c>
      <c r="CB255" s="5">
        <f t="shared" si="710"/>
        <v>68.261341246431726</v>
      </c>
      <c r="CC255">
        <f t="shared" si="711"/>
        <v>39</v>
      </c>
      <c r="CE255" s="562">
        <f t="shared" si="767"/>
        <v>-50</v>
      </c>
      <c r="CG255" s="173">
        <f t="shared" si="768"/>
        <v>0.45249309386995068</v>
      </c>
      <c r="CH255" s="173">
        <f t="shared" si="769"/>
        <v>0.16285436817257165</v>
      </c>
      <c r="CI255" s="170">
        <v>39</v>
      </c>
      <c r="CJ255" s="217">
        <f t="shared" si="712"/>
        <v>0.39</v>
      </c>
      <c r="CK255" s="217">
        <f t="shared" si="654"/>
        <v>9.7500000000000003E-2</v>
      </c>
      <c r="CL255" s="217">
        <f t="shared" si="655"/>
        <v>6.24</v>
      </c>
      <c r="CM255" s="217">
        <f t="shared" si="656"/>
        <v>0.78</v>
      </c>
      <c r="CN255" s="541">
        <f t="shared" si="657"/>
        <v>60</v>
      </c>
      <c r="CO255" s="443">
        <f t="shared" si="770"/>
        <v>16.7</v>
      </c>
      <c r="CP255" s="443">
        <f t="shared" si="771"/>
        <v>76.7</v>
      </c>
      <c r="CQ255" s="443"/>
      <c r="CR255" s="217">
        <f t="shared" si="660"/>
        <v>0.21465968586387432</v>
      </c>
      <c r="CS255" s="172">
        <f t="shared" si="661"/>
        <v>28.621291448516576</v>
      </c>
      <c r="CT255" s="172">
        <f t="shared" si="662"/>
        <v>4.0248691099476437</v>
      </c>
      <c r="CU255" s="217">
        <f t="shared" si="663"/>
        <v>1.788830715532286</v>
      </c>
      <c r="CV255" s="217">
        <f t="shared" si="664"/>
        <v>3.577661431064572</v>
      </c>
      <c r="CW255" s="217">
        <f t="shared" si="665"/>
        <v>16</v>
      </c>
      <c r="CX255" s="217">
        <f t="shared" si="666"/>
        <v>1.0900975609756098</v>
      </c>
      <c r="CY255" s="217">
        <f t="shared" si="667"/>
        <v>0.21801951219512197</v>
      </c>
      <c r="CZ255" s="217">
        <f t="shared" si="668"/>
        <v>0.78330363662918079</v>
      </c>
      <c r="DA255" s="197">
        <f t="shared" si="669"/>
        <v>350</v>
      </c>
      <c r="DB255" s="443">
        <f t="shared" si="670"/>
        <v>350</v>
      </c>
      <c r="DD255" s="217">
        <f t="shared" si="671"/>
        <v>3.1104488731607378</v>
      </c>
      <c r="DE255" s="173">
        <f t="shared" si="672"/>
        <v>2.23505308251071</v>
      </c>
      <c r="DF255" s="173">
        <f t="shared" si="673"/>
        <v>1.0814250754144243</v>
      </c>
      <c r="DG255" s="173"/>
      <c r="DH255" s="173">
        <f t="shared" si="674"/>
        <v>0.71856287425149712</v>
      </c>
      <c r="DI255" s="545">
        <f t="shared" si="675"/>
        <v>1085.5</v>
      </c>
      <c r="DJ255" s="528">
        <f t="shared" si="676"/>
        <v>0.125748502994012</v>
      </c>
      <c r="DL255" s="173">
        <f t="shared" si="677"/>
        <v>1.8283482006601322</v>
      </c>
      <c r="DM255" s="173">
        <f t="shared" si="678"/>
        <v>1.8283482006601322</v>
      </c>
      <c r="DN255" s="173">
        <f t="shared" si="679"/>
        <v>1.813591259748246</v>
      </c>
      <c r="DP255" s="545">
        <f t="shared" si="680"/>
        <v>390</v>
      </c>
      <c r="DQ255" s="460">
        <f t="shared" si="681"/>
        <v>350</v>
      </c>
      <c r="DS255">
        <f t="shared" si="682"/>
        <v>390</v>
      </c>
      <c r="DT255">
        <f t="shared" si="683"/>
        <v>350</v>
      </c>
      <c r="DV255" s="5">
        <f t="shared" si="684"/>
        <v>2.8571428571428572</v>
      </c>
      <c r="DW255" s="5">
        <f t="shared" si="685"/>
        <v>0.36566964013202646</v>
      </c>
      <c r="DX255" s="5">
        <f t="shared" si="686"/>
        <v>2.4914732170108307</v>
      </c>
      <c r="DY255" s="173">
        <f t="shared" si="687"/>
        <v>0.12798437404620927</v>
      </c>
      <c r="EA255" s="5">
        <f t="shared" si="713"/>
        <v>0.89131974782181445</v>
      </c>
      <c r="EB255" s="5">
        <f t="shared" si="714"/>
        <v>0.44565987391090722</v>
      </c>
      <c r="EC255" s="5">
        <f t="shared" si="715"/>
        <v>0.2159276788076053</v>
      </c>
      <c r="ED255" s="5"/>
      <c r="EE255" s="173">
        <f t="shared" si="716"/>
        <v>0.37763892761669887</v>
      </c>
      <c r="EF255" s="173">
        <f t="shared" si="717"/>
        <v>0.98573553990622864</v>
      </c>
      <c r="EG255" s="173">
        <f t="shared" si="718"/>
        <v>0.24208505171226496</v>
      </c>
      <c r="EH255" s="173"/>
      <c r="EI255" s="528">
        <f t="shared" si="719"/>
        <v>2.8522231930298066E-3</v>
      </c>
      <c r="EJ255" s="528">
        <f t="shared" si="720"/>
        <v>0.93255814148770388</v>
      </c>
      <c r="EK255" s="528">
        <f t="shared" si="721"/>
        <v>4.0250000000000001E-2</v>
      </c>
      <c r="EL255" s="528">
        <f t="shared" si="722"/>
        <v>1.0140631637499999</v>
      </c>
      <c r="EM255">
        <f t="shared" si="723"/>
        <v>2.7E-2</v>
      </c>
      <c r="EN255" s="460">
        <f t="shared" si="724"/>
        <v>67.25</v>
      </c>
      <c r="EP255" s="460">
        <f t="shared" si="725"/>
        <v>2016.7235284307337</v>
      </c>
      <c r="EQ255" s="173">
        <f t="shared" si="726"/>
        <v>0.27299999999999996</v>
      </c>
      <c r="ER255" s="173">
        <f t="shared" si="772"/>
        <v>4.3265625000000002E-2</v>
      </c>
      <c r="ES255" s="528"/>
      <c r="EU255" s="460">
        <f t="shared" si="727"/>
        <v>316.265625</v>
      </c>
      <c r="EV255" s="528">
        <f t="shared" si="728"/>
        <v>4.2783347895447091E-3</v>
      </c>
      <c r="EW255" s="528">
        <f t="shared" si="729"/>
        <v>2.915023663902672E-2</v>
      </c>
      <c r="EX255" s="528">
        <f t="shared" si="730"/>
        <v>2.9302586131265003E-4</v>
      </c>
      <c r="EY255" s="528">
        <f t="shared" si="731"/>
        <v>0.51794946278452536</v>
      </c>
      <c r="EZ255" s="528"/>
      <c r="FA255" s="625">
        <f t="shared" si="732"/>
        <v>5.8500000000000002E-3</v>
      </c>
      <c r="FB255" s="460">
        <f t="shared" si="733"/>
        <v>557.52106007440955</v>
      </c>
      <c r="FC255" s="173">
        <f t="shared" si="734"/>
        <v>2.8905102135051437</v>
      </c>
      <c r="FD255" s="5">
        <f t="shared" si="735"/>
        <v>7.0200000000000005</v>
      </c>
      <c r="FE255" s="173">
        <f t="shared" si="736"/>
        <v>0.70833890978022318</v>
      </c>
      <c r="FF255" s="5">
        <f t="shared" si="737"/>
        <v>70.833890978022325</v>
      </c>
      <c r="FG255">
        <f t="shared" si="738"/>
        <v>39</v>
      </c>
      <c r="FI255" s="562">
        <f t="shared" si="689"/>
        <v>-50</v>
      </c>
    </row>
    <row r="256" spans="5:165">
      <c r="E256" s="170">
        <v>40</v>
      </c>
      <c r="F256" s="217">
        <f t="shared" si="773"/>
        <v>0.4</v>
      </c>
      <c r="G256" s="217">
        <f t="shared" si="742"/>
        <v>0.1</v>
      </c>
      <c r="H256" s="217">
        <f t="shared" si="743"/>
        <v>6.4</v>
      </c>
      <c r="I256" s="217">
        <f t="shared" si="744"/>
        <v>0.8</v>
      </c>
      <c r="J256" s="541">
        <f t="shared" si="745"/>
        <v>59.940926086956594</v>
      </c>
      <c r="K256" s="443">
        <f t="shared" si="746"/>
        <v>16.726186146828319</v>
      </c>
      <c r="L256" s="172">
        <f t="shared" si="747"/>
        <v>76.667112233784906</v>
      </c>
      <c r="M256" s="443"/>
      <c r="N256" s="217">
        <f t="shared" si="748"/>
        <v>0.21816637746605497</v>
      </c>
      <c r="O256" s="172">
        <f t="shared" si="749"/>
        <v>29.060210458559723</v>
      </c>
      <c r="P256" s="172">
        <f t="shared" si="750"/>
        <v>4.0865920957349608</v>
      </c>
      <c r="Q256" s="217">
        <f t="shared" si="626"/>
        <v>1.8162631536599827</v>
      </c>
      <c r="R256" s="217">
        <f t="shared" si="751"/>
        <v>3.6325263073199654</v>
      </c>
      <c r="S256" s="217">
        <f t="shared" si="752"/>
        <v>16</v>
      </c>
      <c r="T256" s="217">
        <f t="shared" si="753"/>
        <v>1.10116201827349</v>
      </c>
      <c r="U256" s="217">
        <f t="shared" si="630"/>
        <v>0.2204494505158687</v>
      </c>
      <c r="V256" s="217">
        <f t="shared" si="631"/>
        <v>0.79001537489091966</v>
      </c>
      <c r="W256" s="197">
        <f t="shared" si="632"/>
        <v>350</v>
      </c>
      <c r="X256" s="443">
        <f t="shared" si="691"/>
        <v>350</v>
      </c>
      <c r="Z256" s="217">
        <f t="shared" si="633"/>
        <v>3.1135939777028265</v>
      </c>
      <c r="AA256" s="173">
        <f t="shared" si="634"/>
        <v>2.2338103500969857</v>
      </c>
      <c r="AB256" s="173">
        <f t="shared" si="754"/>
        <v>1.0819166483054559</v>
      </c>
      <c r="AC256" s="173"/>
      <c r="AD256" s="173">
        <f t="shared" si="636"/>
        <v>0.71743790811962738</v>
      </c>
      <c r="AE256" s="545">
        <f t="shared" si="755"/>
        <v>1115.0790764552212</v>
      </c>
      <c r="AF256" s="528">
        <f t="shared" si="756"/>
        <v>0.1255516339209348</v>
      </c>
      <c r="AH256" s="173">
        <f t="shared" si="757"/>
        <v>1.8516401995451028</v>
      </c>
      <c r="AI256" s="173">
        <f t="shared" si="758"/>
        <v>1.8516401995451028</v>
      </c>
      <c r="AJ256" s="173">
        <f t="shared" si="759"/>
        <v>1.8308445922556316</v>
      </c>
      <c r="AL256" s="545">
        <f t="shared" si="760"/>
        <v>400</v>
      </c>
      <c r="AM256" s="460">
        <f t="shared" si="761"/>
        <v>350</v>
      </c>
      <c r="AO256">
        <f t="shared" si="644"/>
        <v>400</v>
      </c>
      <c r="AP256">
        <f t="shared" si="645"/>
        <v>350</v>
      </c>
      <c r="AR256" s="5">
        <f t="shared" si="616"/>
        <v>2.8571428571428572</v>
      </c>
      <c r="AS256" s="5">
        <f t="shared" si="739"/>
        <v>0.37069301135432969</v>
      </c>
      <c r="AT256" s="5">
        <f t="shared" si="740"/>
        <v>2.4864498457885276</v>
      </c>
      <c r="AU256" s="173">
        <f t="shared" si="741"/>
        <v>0.12974255397401538</v>
      </c>
      <c r="BA256" s="173">
        <f t="shared" si="692"/>
        <v>0.38506779213760772</v>
      </c>
      <c r="BB256" s="173">
        <f t="shared" si="693"/>
        <v>0.99728628703868716</v>
      </c>
      <c r="BC256" s="173">
        <f t="shared" si="694"/>
        <v>0.24492177931685405</v>
      </c>
      <c r="BD256" s="173"/>
      <c r="BE256" s="528">
        <f t="shared" si="695"/>
        <v>2.9655440908346376E-3</v>
      </c>
      <c r="BF256" s="528">
        <f t="shared" si="762"/>
        <v>0.90676890593127979</v>
      </c>
      <c r="BG256" s="528">
        <f t="shared" si="763"/>
        <v>0.48252445500000057</v>
      </c>
      <c r="BH256" s="528">
        <f t="shared" si="696"/>
        <v>1.0131937211889068</v>
      </c>
      <c r="BI256">
        <f t="shared" si="697"/>
        <v>2.6973416739130465E-2</v>
      </c>
      <c r="BJ256" s="460">
        <f t="shared" si="698"/>
        <v>509.49787173913109</v>
      </c>
      <c r="BK256">
        <f t="shared" si="764"/>
        <v>1.9250853087815125</v>
      </c>
      <c r="BL256" s="460">
        <f t="shared" si="699"/>
        <v>2432.4260429501528</v>
      </c>
      <c r="BM256" s="173">
        <f t="shared" si="765"/>
        <v>0.24849999999999997</v>
      </c>
      <c r="BN256" s="173">
        <f t="shared" si="766"/>
        <v>4.4374999999999998E-2</v>
      </c>
      <c r="BQ256" s="460">
        <f t="shared" si="700"/>
        <v>292.875</v>
      </c>
      <c r="BR256" s="528">
        <f t="shared" si="701"/>
        <v>4.4483161362519558E-3</v>
      </c>
      <c r="BS256" s="528">
        <f t="shared" si="702"/>
        <v>2.9837398149462319E-2</v>
      </c>
      <c r="BT256" s="528">
        <f t="shared" si="703"/>
        <v>2.9993338991866881E-4</v>
      </c>
      <c r="BU256" s="528">
        <f t="shared" si="704"/>
        <v>0.53460327795458351</v>
      </c>
      <c r="BV256" s="528"/>
      <c r="BW256" s="625">
        <f t="shared" si="705"/>
        <v>6.0000000000000001E-3</v>
      </c>
      <c r="BX256" s="460">
        <f t="shared" si="706"/>
        <v>575.18892563021654</v>
      </c>
      <c r="BY256" s="173">
        <f t="shared" si="707"/>
        <v>3.300489968580369</v>
      </c>
      <c r="BZ256" s="5">
        <f t="shared" si="708"/>
        <v>7.2</v>
      </c>
      <c r="CA256" s="173">
        <f t="shared" si="709"/>
        <v>0.68568228925925212</v>
      </c>
      <c r="CB256" s="5">
        <f t="shared" si="710"/>
        <v>68.568228925925212</v>
      </c>
      <c r="CC256">
        <f t="shared" si="711"/>
        <v>40</v>
      </c>
      <c r="CE256" s="562">
        <f t="shared" si="767"/>
        <v>-50</v>
      </c>
      <c r="CG256" s="173">
        <f t="shared" si="768"/>
        <v>0.45825756949558405</v>
      </c>
      <c r="CH256" s="173">
        <f t="shared" si="769"/>
        <v>0.16492902974990065</v>
      </c>
      <c r="CI256" s="170">
        <v>40</v>
      </c>
      <c r="CJ256" s="217">
        <f t="shared" si="712"/>
        <v>0.4</v>
      </c>
      <c r="CK256" s="217">
        <f t="shared" si="654"/>
        <v>0.1</v>
      </c>
      <c r="CL256" s="217">
        <f t="shared" si="655"/>
        <v>6.4</v>
      </c>
      <c r="CM256" s="217">
        <f t="shared" si="656"/>
        <v>0.8</v>
      </c>
      <c r="CN256" s="541">
        <f t="shared" si="657"/>
        <v>60</v>
      </c>
      <c r="CO256" s="443">
        <f t="shared" si="770"/>
        <v>16.7</v>
      </c>
      <c r="CP256" s="443">
        <f t="shared" si="771"/>
        <v>76.7</v>
      </c>
      <c r="CQ256" s="443"/>
      <c r="CR256" s="217">
        <f t="shared" si="660"/>
        <v>0.21465968586387432</v>
      </c>
      <c r="CS256" s="172">
        <f t="shared" si="661"/>
        <v>28.621291448516576</v>
      </c>
      <c r="CT256" s="172">
        <f t="shared" si="662"/>
        <v>4.0248691099476437</v>
      </c>
      <c r="CU256" s="217">
        <f t="shared" si="663"/>
        <v>1.788830715532286</v>
      </c>
      <c r="CV256" s="217">
        <f t="shared" si="664"/>
        <v>3.577661431064572</v>
      </c>
      <c r="CW256" s="217">
        <f t="shared" si="665"/>
        <v>16</v>
      </c>
      <c r="CX256" s="217">
        <f t="shared" si="666"/>
        <v>1.118048780487805</v>
      </c>
      <c r="CY256" s="217">
        <f t="shared" si="667"/>
        <v>0.22360975609756101</v>
      </c>
      <c r="CZ256" s="217">
        <f t="shared" si="668"/>
        <v>0.80338834526069824</v>
      </c>
      <c r="DA256" s="197">
        <f t="shared" si="669"/>
        <v>350</v>
      </c>
      <c r="DB256" s="443">
        <f t="shared" si="670"/>
        <v>350</v>
      </c>
      <c r="DD256" s="217">
        <f t="shared" si="671"/>
        <v>3.1104488731607378</v>
      </c>
      <c r="DE256" s="173">
        <f t="shared" si="672"/>
        <v>2.23505308251071</v>
      </c>
      <c r="DF256" s="173">
        <f t="shared" si="673"/>
        <v>1.0814250754144243</v>
      </c>
      <c r="DG256" s="173"/>
      <c r="DH256" s="173">
        <f t="shared" si="674"/>
        <v>0.71856287425149712</v>
      </c>
      <c r="DI256" s="545">
        <f t="shared" si="675"/>
        <v>1113.3333333333333</v>
      </c>
      <c r="DJ256" s="528">
        <f t="shared" si="676"/>
        <v>0.125748502994012</v>
      </c>
      <c r="DL256" s="173">
        <f t="shared" si="677"/>
        <v>1.8516401995451028</v>
      </c>
      <c r="DM256" s="173">
        <f t="shared" si="678"/>
        <v>1.8516401995451028</v>
      </c>
      <c r="DN256" s="173">
        <f t="shared" si="679"/>
        <v>1.8308445922556316</v>
      </c>
      <c r="DP256" s="545">
        <f t="shared" si="680"/>
        <v>400</v>
      </c>
      <c r="DQ256" s="460">
        <f t="shared" si="681"/>
        <v>350</v>
      </c>
      <c r="DS256">
        <f t="shared" si="682"/>
        <v>400</v>
      </c>
      <c r="DT256">
        <f t="shared" si="683"/>
        <v>350</v>
      </c>
      <c r="DV256" s="5">
        <f t="shared" si="684"/>
        <v>2.8571428571428572</v>
      </c>
      <c r="DW256" s="5">
        <f t="shared" si="685"/>
        <v>0.37032803990902063</v>
      </c>
      <c r="DX256" s="5">
        <f t="shared" si="686"/>
        <v>2.4868148172338365</v>
      </c>
      <c r="DY256" s="173">
        <f t="shared" si="687"/>
        <v>0.12961481396815722</v>
      </c>
      <c r="EA256" s="5">
        <f t="shared" si="713"/>
        <v>0.92582009977255164</v>
      </c>
      <c r="EB256" s="5">
        <f t="shared" si="714"/>
        <v>0.46291004988627582</v>
      </c>
      <c r="EC256" s="5">
        <f t="shared" si="715"/>
        <v>0.22105020597634098</v>
      </c>
      <c r="ED256" s="5"/>
      <c r="EE256" s="173">
        <f t="shared" si="716"/>
        <v>0.38487818327830464</v>
      </c>
      <c r="EF256" s="173">
        <f t="shared" si="717"/>
        <v>0.99735947726661456</v>
      </c>
      <c r="EG256" s="173">
        <f t="shared" si="718"/>
        <v>0.2449397539757715</v>
      </c>
      <c r="EH256" s="173"/>
      <c r="EI256" s="528">
        <f t="shared" si="719"/>
        <v>2.9626243192721652E-3</v>
      </c>
      <c r="EJ256" s="528">
        <f t="shared" si="720"/>
        <v>0.94443834197897747</v>
      </c>
      <c r="EK256" s="528">
        <f t="shared" si="721"/>
        <v>4.0250000000000001E-2</v>
      </c>
      <c r="EL256" s="528">
        <f t="shared" si="722"/>
        <v>1.0140631637499999</v>
      </c>
      <c r="EM256">
        <f t="shared" si="723"/>
        <v>2.7E-2</v>
      </c>
      <c r="EN256" s="460">
        <f t="shared" si="724"/>
        <v>67.25</v>
      </c>
      <c r="EP256" s="460">
        <f t="shared" si="725"/>
        <v>2028.7141300482499</v>
      </c>
      <c r="EQ256" s="173">
        <f t="shared" si="726"/>
        <v>0.27999999999999997</v>
      </c>
      <c r="ER256" s="173">
        <f t="shared" si="772"/>
        <v>4.4374999999999998E-2</v>
      </c>
      <c r="ES256" s="528"/>
      <c r="EU256" s="460">
        <f t="shared" si="727"/>
        <v>324.37499999999994</v>
      </c>
      <c r="EV256" s="528">
        <f t="shared" si="728"/>
        <v>4.443936478908248E-3</v>
      </c>
      <c r="EW256" s="528">
        <f t="shared" si="729"/>
        <v>2.9841777806806039E-2</v>
      </c>
      <c r="EX256" s="528">
        <f t="shared" si="730"/>
        <v>2.9997741538855736E-4</v>
      </c>
      <c r="EY256" s="528">
        <f t="shared" si="731"/>
        <v>0.53460327795458351</v>
      </c>
      <c r="EZ256" s="528"/>
      <c r="FA256" s="625">
        <f t="shared" si="732"/>
        <v>6.0000000000000001E-3</v>
      </c>
      <c r="FB256" s="460">
        <f t="shared" si="733"/>
        <v>575.18896965568638</v>
      </c>
      <c r="FC256" s="173">
        <f t="shared" si="734"/>
        <v>2.9282780997039359</v>
      </c>
      <c r="FD256" s="5">
        <f t="shared" si="735"/>
        <v>7.2</v>
      </c>
      <c r="FE256" s="173">
        <f t="shared" si="736"/>
        <v>0.71088095420784969</v>
      </c>
      <c r="FF256" s="5">
        <f t="shared" si="737"/>
        <v>71.088095420784967</v>
      </c>
      <c r="FG256">
        <f t="shared" si="738"/>
        <v>40</v>
      </c>
      <c r="FI256" s="562">
        <f t="shared" si="689"/>
        <v>-50</v>
      </c>
    </row>
    <row r="257" spans="5:165">
      <c r="E257" s="170">
        <v>41</v>
      </c>
      <c r="F257" s="217">
        <f t="shared" si="773"/>
        <v>0.41</v>
      </c>
      <c r="G257" s="217">
        <f t="shared" si="742"/>
        <v>0.10249999999999999</v>
      </c>
      <c r="H257" s="217">
        <f t="shared" si="743"/>
        <v>6.56</v>
      </c>
      <c r="I257" s="217">
        <f t="shared" si="744"/>
        <v>0.82</v>
      </c>
      <c r="J257" s="541">
        <f t="shared" si="745"/>
        <v>59.940192221389552</v>
      </c>
      <c r="K257" s="443">
        <f t="shared" si="746"/>
        <v>16.726511453050655</v>
      </c>
      <c r="L257" s="172">
        <f t="shared" si="747"/>
        <v>76.666703674440214</v>
      </c>
      <c r="M257" s="443"/>
      <c r="N257" s="217">
        <f t="shared" si="748"/>
        <v>0.21817178320433098</v>
      </c>
      <c r="O257" s="172">
        <f t="shared" si="749"/>
        <v>29.060574716779836</v>
      </c>
      <c r="P257" s="172">
        <f t="shared" si="750"/>
        <v>4.0866433195471643</v>
      </c>
      <c r="Q257" s="217">
        <f t="shared" si="626"/>
        <v>1.8162859197987398</v>
      </c>
      <c r="R257" s="217">
        <f t="shared" si="751"/>
        <v>3.6325718395974795</v>
      </c>
      <c r="S257" s="217">
        <f t="shared" si="752"/>
        <v>16</v>
      </c>
      <c r="T257" s="217">
        <f t="shared" si="753"/>
        <v>1.1286769212124694</v>
      </c>
      <c r="U257" s="217">
        <f t="shared" si="630"/>
        <v>0.22596062095570721</v>
      </c>
      <c r="V257" s="217">
        <f t="shared" si="631"/>
        <v>0.8097398607334465</v>
      </c>
      <c r="W257" s="197">
        <f t="shared" si="632"/>
        <v>350</v>
      </c>
      <c r="X257" s="443">
        <f t="shared" si="691"/>
        <v>350</v>
      </c>
      <c r="Z257" s="217">
        <f t="shared" si="633"/>
        <v>3.1136330053692678</v>
      </c>
      <c r="AA257" s="173">
        <f t="shared" si="634"/>
        <v>2.2337949051304822</v>
      </c>
      <c r="AB257" s="173">
        <f t="shared" si="754"/>
        <v>1.0819227290417748</v>
      </c>
      <c r="AC257" s="173"/>
      <c r="AD257" s="173">
        <f t="shared" si="636"/>
        <v>0.71742395499997624</v>
      </c>
      <c r="AE257" s="545">
        <f t="shared" si="755"/>
        <v>1142.978282625128</v>
      </c>
      <c r="AF257" s="528">
        <f t="shared" si="756"/>
        <v>0.12554919212499585</v>
      </c>
      <c r="AH257" s="173">
        <f t="shared" si="757"/>
        <v>1.8746428231227714</v>
      </c>
      <c r="AI257" s="173">
        <f t="shared" si="758"/>
        <v>1.8746428231227714</v>
      </c>
      <c r="AJ257" s="173">
        <f t="shared" si="759"/>
        <v>1.8478835726835343</v>
      </c>
      <c r="AL257" s="545">
        <f t="shared" si="760"/>
        <v>410</v>
      </c>
      <c r="AM257" s="460">
        <f t="shared" si="761"/>
        <v>350</v>
      </c>
      <c r="AO257">
        <f t="shared" si="644"/>
        <v>410</v>
      </c>
      <c r="AP257">
        <f t="shared" si="645"/>
        <v>350</v>
      </c>
      <c r="AR257" s="5">
        <f t="shared" si="616"/>
        <v>2.8571428571428572</v>
      </c>
      <c r="AS257" s="5">
        <f t="shared" si="739"/>
        <v>0.37530266493616121</v>
      </c>
      <c r="AT257" s="5">
        <f t="shared" si="740"/>
        <v>2.4818401922066959</v>
      </c>
      <c r="AU257" s="173">
        <f t="shared" si="741"/>
        <v>0.13135593272765642</v>
      </c>
      <c r="BA257" s="173">
        <f t="shared" si="692"/>
        <v>0.39226788375270549</v>
      </c>
      <c r="BB257" s="173">
        <f t="shared" si="693"/>
        <v>1.0087390538710919</v>
      </c>
      <c r="BC257" s="173">
        <f t="shared" si="694"/>
        <v>0.24773444411245932</v>
      </c>
      <c r="BD257" s="173"/>
      <c r="BE257" s="528">
        <f t="shared" si="695"/>
        <v>3.0774818524765212E-3</v>
      </c>
      <c r="BF257" s="528">
        <f t="shared" si="762"/>
        <v>0.91802865564822811</v>
      </c>
      <c r="BG257" s="528">
        <f t="shared" si="763"/>
        <v>0.48251854738218591</v>
      </c>
      <c r="BH257" s="528">
        <f t="shared" si="696"/>
        <v>1.0131829225909752</v>
      </c>
      <c r="BI257">
        <f t="shared" si="697"/>
        <v>2.6973086499625296E-2</v>
      </c>
      <c r="BJ257" s="460">
        <f t="shared" si="698"/>
        <v>509.4916338818112</v>
      </c>
      <c r="BK257">
        <f t="shared" si="764"/>
        <v>1.9365359940721623</v>
      </c>
      <c r="BL257" s="460">
        <f t="shared" si="699"/>
        <v>2443.780693973491</v>
      </c>
      <c r="BM257" s="173">
        <f t="shared" si="765"/>
        <v>0.25471249999999995</v>
      </c>
      <c r="BN257" s="173">
        <f t="shared" si="766"/>
        <v>4.5484374999999994E-2</v>
      </c>
      <c r="BQ257" s="460">
        <f t="shared" si="700"/>
        <v>300.19687499999992</v>
      </c>
      <c r="BR257" s="528">
        <f t="shared" si="701"/>
        <v>4.6162227787147816E-3</v>
      </c>
      <c r="BS257" s="528">
        <f t="shared" si="702"/>
        <v>3.0526634364142363E-2</v>
      </c>
      <c r="BT257" s="528">
        <f t="shared" si="703"/>
        <v>3.0686177399854615E-4</v>
      </c>
      <c r="BU257" s="528">
        <f t="shared" si="704"/>
        <v>0.551361514966625</v>
      </c>
      <c r="BV257" s="528"/>
      <c r="BW257" s="625">
        <f t="shared" si="705"/>
        <v>6.1500000000000001E-3</v>
      </c>
      <c r="BX257" s="460">
        <f t="shared" si="706"/>
        <v>592.96123388348065</v>
      </c>
      <c r="BY257" s="173">
        <f t="shared" si="707"/>
        <v>3.3369388028569715</v>
      </c>
      <c r="BZ257" s="5">
        <f t="shared" si="708"/>
        <v>7.38</v>
      </c>
      <c r="CA257" s="173">
        <f t="shared" si="709"/>
        <v>0.68862948046625083</v>
      </c>
      <c r="CB257" s="5">
        <f t="shared" si="710"/>
        <v>68.862948046625078</v>
      </c>
      <c r="CC257">
        <f t="shared" si="711"/>
        <v>41</v>
      </c>
      <c r="CE257" s="562">
        <f t="shared" si="767"/>
        <v>-50</v>
      </c>
      <c r="CG257" s="173">
        <f t="shared" si="768"/>
        <v>0.46395042838648182</v>
      </c>
      <c r="CH257" s="173">
        <f t="shared" si="769"/>
        <v>0.16697791613144447</v>
      </c>
      <c r="CI257" s="170">
        <v>41</v>
      </c>
      <c r="CJ257" s="217">
        <f t="shared" si="712"/>
        <v>0.41</v>
      </c>
      <c r="CK257" s="217">
        <f t="shared" si="654"/>
        <v>0.10249999999999999</v>
      </c>
      <c r="CL257" s="217">
        <f t="shared" si="655"/>
        <v>6.56</v>
      </c>
      <c r="CM257" s="217">
        <f t="shared" si="656"/>
        <v>0.82</v>
      </c>
      <c r="CN257" s="541">
        <f t="shared" si="657"/>
        <v>60</v>
      </c>
      <c r="CO257" s="443">
        <f t="shared" si="770"/>
        <v>16.7</v>
      </c>
      <c r="CP257" s="443">
        <f t="shared" si="771"/>
        <v>76.7</v>
      </c>
      <c r="CQ257" s="443"/>
      <c r="CR257" s="217">
        <f t="shared" si="660"/>
        <v>0.21465968586387432</v>
      </c>
      <c r="CS257" s="172">
        <f t="shared" si="661"/>
        <v>28.621291448516576</v>
      </c>
      <c r="CT257" s="172">
        <f t="shared" si="662"/>
        <v>4.0248691099476437</v>
      </c>
      <c r="CU257" s="217">
        <f t="shared" si="663"/>
        <v>1.788830715532286</v>
      </c>
      <c r="CV257" s="217">
        <f t="shared" si="664"/>
        <v>3.577661431064572</v>
      </c>
      <c r="CW257" s="217">
        <f t="shared" si="665"/>
        <v>16</v>
      </c>
      <c r="CX257" s="217">
        <f t="shared" si="666"/>
        <v>1.1460000000000001</v>
      </c>
      <c r="CY257" s="217">
        <f t="shared" si="667"/>
        <v>0.22920000000000001</v>
      </c>
      <c r="CZ257" s="217">
        <f t="shared" si="668"/>
        <v>0.8234730538922157</v>
      </c>
      <c r="DA257" s="197">
        <f t="shared" si="669"/>
        <v>350</v>
      </c>
      <c r="DB257" s="443">
        <f t="shared" si="670"/>
        <v>350</v>
      </c>
      <c r="DD257" s="217">
        <f t="shared" si="671"/>
        <v>3.1104488731607378</v>
      </c>
      <c r="DE257" s="173">
        <f t="shared" si="672"/>
        <v>2.23505308251071</v>
      </c>
      <c r="DF257" s="173">
        <f t="shared" si="673"/>
        <v>1.0814250754144243</v>
      </c>
      <c r="DG257" s="173"/>
      <c r="DH257" s="173">
        <f t="shared" si="674"/>
        <v>0.71856287425149712</v>
      </c>
      <c r="DI257" s="545">
        <f t="shared" si="675"/>
        <v>1141.1666666666665</v>
      </c>
      <c r="DJ257" s="528">
        <f t="shared" si="676"/>
        <v>0.125748502994012</v>
      </c>
      <c r="DL257" s="173">
        <f t="shared" si="677"/>
        <v>1.8746428231227714</v>
      </c>
      <c r="DM257" s="173">
        <f t="shared" si="678"/>
        <v>1.8746428231227714</v>
      </c>
      <c r="DN257" s="173">
        <f t="shared" si="679"/>
        <v>1.8478835726835343</v>
      </c>
      <c r="DP257" s="545">
        <f t="shared" si="680"/>
        <v>410</v>
      </c>
      <c r="DQ257" s="460">
        <f t="shared" si="681"/>
        <v>350</v>
      </c>
      <c r="DS257">
        <f t="shared" si="682"/>
        <v>410</v>
      </c>
      <c r="DT257">
        <f t="shared" si="683"/>
        <v>350</v>
      </c>
      <c r="DV257" s="5">
        <f t="shared" si="684"/>
        <v>2.8571428571428572</v>
      </c>
      <c r="DW257" s="5">
        <f t="shared" si="685"/>
        <v>0.37492856462455432</v>
      </c>
      <c r="DX257" s="5">
        <f t="shared" si="686"/>
        <v>2.4822142925183028</v>
      </c>
      <c r="DY257" s="173">
        <f t="shared" si="687"/>
        <v>0.13122499761859402</v>
      </c>
      <c r="EA257" s="5">
        <f t="shared" si="713"/>
        <v>0.96075444685042033</v>
      </c>
      <c r="EB257" s="5">
        <f t="shared" si="714"/>
        <v>0.48037722342521016</v>
      </c>
      <c r="EC257" s="5">
        <f t="shared" si="715"/>
        <v>0.22615730220722308</v>
      </c>
      <c r="ED257" s="5"/>
      <c r="EE257" s="173">
        <f t="shared" si="716"/>
        <v>0.39207232941903369</v>
      </c>
      <c r="EF257" s="173">
        <f t="shared" si="717"/>
        <v>1.008815077173465</v>
      </c>
      <c r="EG257" s="173">
        <f t="shared" si="718"/>
        <v>0.24775311454113039</v>
      </c>
      <c r="EH257" s="173"/>
      <c r="EI257" s="528">
        <f t="shared" si="719"/>
        <v>3.0744142299213456E-3</v>
      </c>
      <c r="EJ257" s="528">
        <f t="shared" si="720"/>
        <v>0.95617094514788525</v>
      </c>
      <c r="EK257" s="528">
        <f t="shared" si="721"/>
        <v>4.0250000000000001E-2</v>
      </c>
      <c r="EL257" s="528">
        <f t="shared" si="722"/>
        <v>1.0140631637499999</v>
      </c>
      <c r="EM257">
        <f t="shared" si="723"/>
        <v>2.7E-2</v>
      </c>
      <c r="EN257" s="460">
        <f t="shared" si="724"/>
        <v>67.25</v>
      </c>
      <c r="EP257" s="460">
        <f t="shared" si="725"/>
        <v>2040.5585231278067</v>
      </c>
      <c r="EQ257" s="173">
        <f t="shared" si="726"/>
        <v>0.28699999999999998</v>
      </c>
      <c r="ER257" s="173">
        <f t="shared" si="772"/>
        <v>4.5484374999999994E-2</v>
      </c>
      <c r="ES257" s="528"/>
      <c r="EU257" s="460">
        <f t="shared" si="727"/>
        <v>332.48437499999994</v>
      </c>
      <c r="EV257" s="528">
        <f t="shared" si="728"/>
        <v>4.6116213448820186E-3</v>
      </c>
      <c r="EW257" s="528">
        <f t="shared" si="729"/>
        <v>3.053123579797512E-2</v>
      </c>
      <c r="EX257" s="528">
        <f t="shared" si="730"/>
        <v>3.0690802882415237E-4</v>
      </c>
      <c r="EY257" s="528">
        <f t="shared" si="731"/>
        <v>0.551361514966625</v>
      </c>
      <c r="EZ257" s="528"/>
      <c r="FA257" s="625">
        <f t="shared" si="732"/>
        <v>6.1500000000000001E-3</v>
      </c>
      <c r="FB257" s="460">
        <f t="shared" si="733"/>
        <v>592.96128013830628</v>
      </c>
      <c r="FC257" s="173">
        <f t="shared" si="734"/>
        <v>2.9660041782661128</v>
      </c>
      <c r="FD257" s="5">
        <f t="shared" si="735"/>
        <v>7.38</v>
      </c>
      <c r="FE257" s="173">
        <f t="shared" si="736"/>
        <v>0.71331886908601783</v>
      </c>
      <c r="FF257" s="5">
        <f t="shared" si="737"/>
        <v>71.331886908601788</v>
      </c>
      <c r="FG257">
        <f t="shared" si="738"/>
        <v>41</v>
      </c>
      <c r="FI257" s="562">
        <f t="shared" si="689"/>
        <v>-50</v>
      </c>
    </row>
    <row r="258" spans="5:165">
      <c r="E258" s="170">
        <v>42</v>
      </c>
      <c r="F258" s="217">
        <f t="shared" si="773"/>
        <v>0.42</v>
      </c>
      <c r="G258" s="217">
        <f t="shared" si="742"/>
        <v>0.105</v>
      </c>
      <c r="H258" s="217">
        <f t="shared" si="743"/>
        <v>6.72</v>
      </c>
      <c r="I258" s="217">
        <f t="shared" si="744"/>
        <v>0.84</v>
      </c>
      <c r="J258" s="541">
        <f t="shared" si="745"/>
        <v>59.939467252149164</v>
      </c>
      <c r="K258" s="443">
        <f t="shared" si="746"/>
        <v>16.726832815729995</v>
      </c>
      <c r="L258" s="172">
        <f t="shared" si="747"/>
        <v>76.666300067879163</v>
      </c>
      <c r="M258" s="443"/>
      <c r="N258" s="217">
        <f t="shared" si="748"/>
        <v>0.21817712346781198</v>
      </c>
      <c r="O258" s="172">
        <f t="shared" si="749"/>
        <v>29.060934549482269</v>
      </c>
      <c r="P258" s="172">
        <f t="shared" si="750"/>
        <v>4.0866939210209443</v>
      </c>
      <c r="Q258" s="217">
        <f t="shared" si="626"/>
        <v>1.8163084093426418</v>
      </c>
      <c r="R258" s="217">
        <f t="shared" si="751"/>
        <v>3.6326168186852836</v>
      </c>
      <c r="S258" s="217">
        <f t="shared" si="752"/>
        <v>16</v>
      </c>
      <c r="T258" s="217">
        <f t="shared" si="753"/>
        <v>1.1561913104614385</v>
      </c>
      <c r="U258" s="217">
        <f t="shared" si="630"/>
        <v>0.23147178914974076</v>
      </c>
      <c r="V258" s="217">
        <f t="shared" si="631"/>
        <v>0.82946340639513105</v>
      </c>
      <c r="W258" s="197">
        <f t="shared" si="632"/>
        <v>350</v>
      </c>
      <c r="X258" s="443">
        <f t="shared" si="691"/>
        <v>350</v>
      </c>
      <c r="Z258" s="217">
        <f t="shared" si="633"/>
        <v>3.1136715588731012</v>
      </c>
      <c r="AA258" s="173">
        <f t="shared" si="634"/>
        <v>2.2337796472348233</v>
      </c>
      <c r="AB258" s="173">
        <f t="shared" si="754"/>
        <v>1.0819287354376135</v>
      </c>
      <c r="AC258" s="173"/>
      <c r="AD258" s="173">
        <f t="shared" si="636"/>
        <v>0.71741017156069986</v>
      </c>
      <c r="AE258" s="545">
        <f t="shared" si="755"/>
        <v>1170.8782971010994</v>
      </c>
      <c r="AF258" s="528">
        <f t="shared" si="756"/>
        <v>0.1255467800231225</v>
      </c>
      <c r="AH258" s="173">
        <f t="shared" si="757"/>
        <v>1.8973665961010275</v>
      </c>
      <c r="AI258" s="173">
        <f t="shared" si="758"/>
        <v>1.8973665961010275</v>
      </c>
      <c r="AJ258" s="173">
        <f t="shared" si="759"/>
        <v>1.8647159971118721</v>
      </c>
      <c r="AL258" s="545">
        <f t="shared" si="760"/>
        <v>420</v>
      </c>
      <c r="AM258" s="460">
        <f t="shared" si="761"/>
        <v>350</v>
      </c>
      <c r="AO258">
        <f t="shared" si="644"/>
        <v>420</v>
      </c>
      <c r="AP258">
        <f t="shared" si="645"/>
        <v>350</v>
      </c>
      <c r="AR258" s="5">
        <f t="shared" si="616"/>
        <v>2.8571428571428572</v>
      </c>
      <c r="AS258" s="5">
        <f t="shared" si="739"/>
        <v>0.37985654856476814</v>
      </c>
      <c r="AT258" s="5">
        <f t="shared" si="740"/>
        <v>2.4772863085780892</v>
      </c>
      <c r="AU258" s="173">
        <f t="shared" si="741"/>
        <v>0.13294979199766885</v>
      </c>
      <c r="BA258" s="173">
        <f t="shared" si="692"/>
        <v>0.39942427367049516</v>
      </c>
      <c r="BB258" s="173">
        <f t="shared" si="693"/>
        <v>1.0200295336914502</v>
      </c>
      <c r="BC258" s="173">
        <f t="shared" si="694"/>
        <v>0.25050725312716493</v>
      </c>
      <c r="BD258" s="173"/>
      <c r="BE258" s="528">
        <f t="shared" si="695"/>
        <v>3.1907950079440523E-3</v>
      </c>
      <c r="BF258" s="528">
        <f t="shared" si="762"/>
        <v>0.92915179053094876</v>
      </c>
      <c r="BG258" s="528">
        <f t="shared" si="763"/>
        <v>0.48251271137980084</v>
      </c>
      <c r="BH258" s="528">
        <f t="shared" si="696"/>
        <v>1.0131722549561581</v>
      </c>
      <c r="BI258">
        <f t="shared" si="697"/>
        <v>2.6972760263467122E-2</v>
      </c>
      <c r="BJ258" s="460">
        <f t="shared" si="698"/>
        <v>509.48547164326794</v>
      </c>
      <c r="BK258">
        <f t="shared" si="764"/>
        <v>1.9478530866446413</v>
      </c>
      <c r="BL258" s="460">
        <f t="shared" si="699"/>
        <v>2455.0003121383188</v>
      </c>
      <c r="BM258" s="173">
        <f t="shared" si="765"/>
        <v>0.26092499999999996</v>
      </c>
      <c r="BN258" s="173">
        <f t="shared" si="766"/>
        <v>4.6593749999999996E-2</v>
      </c>
      <c r="BQ258" s="460">
        <f t="shared" si="700"/>
        <v>307.51874999999995</v>
      </c>
      <c r="BR258" s="528">
        <f t="shared" si="701"/>
        <v>4.786192511916078E-3</v>
      </c>
      <c r="BS258" s="528">
        <f t="shared" si="702"/>
        <v>3.1213807488083924E-2</v>
      </c>
      <c r="BT258" s="528">
        <f t="shared" si="703"/>
        <v>3.1376941934658744E-4</v>
      </c>
      <c r="BU258" s="528">
        <f t="shared" si="704"/>
        <v>0.56822225744358368</v>
      </c>
      <c r="BV258" s="528"/>
      <c r="BW258" s="625">
        <f t="shared" si="705"/>
        <v>6.3E-3</v>
      </c>
      <c r="BX258" s="460">
        <f t="shared" si="706"/>
        <v>610.83602686293023</v>
      </c>
      <c r="BY258" s="173">
        <f t="shared" si="707"/>
        <v>3.3733550890012491</v>
      </c>
      <c r="BZ258" s="5">
        <f t="shared" si="708"/>
        <v>7.56</v>
      </c>
      <c r="CA258" s="173">
        <f t="shared" si="709"/>
        <v>0.69146203873001599</v>
      </c>
      <c r="CB258" s="5">
        <f t="shared" si="710"/>
        <v>69.146203873001596</v>
      </c>
      <c r="CC258">
        <f t="shared" si="711"/>
        <v>42</v>
      </c>
      <c r="CE258" s="562">
        <f t="shared" si="767"/>
        <v>-50</v>
      </c>
      <c r="CG258" s="173">
        <f t="shared" si="768"/>
        <v>0.46957427527495582</v>
      </c>
      <c r="CH258" s="173">
        <f t="shared" si="769"/>
        <v>0.16900196477247179</v>
      </c>
      <c r="CI258" s="170">
        <v>42</v>
      </c>
      <c r="CJ258" s="217">
        <f t="shared" si="712"/>
        <v>0.42</v>
      </c>
      <c r="CK258" s="217">
        <f t="shared" si="654"/>
        <v>0.105</v>
      </c>
      <c r="CL258" s="217">
        <f t="shared" si="655"/>
        <v>6.72</v>
      </c>
      <c r="CM258" s="217">
        <f t="shared" si="656"/>
        <v>0.84</v>
      </c>
      <c r="CN258" s="541">
        <f t="shared" si="657"/>
        <v>60</v>
      </c>
      <c r="CO258" s="443">
        <f t="shared" si="770"/>
        <v>16.7</v>
      </c>
      <c r="CP258" s="443">
        <f t="shared" si="771"/>
        <v>76.7</v>
      </c>
      <c r="CQ258" s="443"/>
      <c r="CR258" s="217">
        <f t="shared" si="660"/>
        <v>0.21465968586387432</v>
      </c>
      <c r="CS258" s="172">
        <f t="shared" si="661"/>
        <v>28.621291448516576</v>
      </c>
      <c r="CT258" s="172">
        <f t="shared" si="662"/>
        <v>4.0248691099476437</v>
      </c>
      <c r="CU258" s="217">
        <f t="shared" si="663"/>
        <v>1.788830715532286</v>
      </c>
      <c r="CV258" s="217">
        <f t="shared" si="664"/>
        <v>3.577661431064572</v>
      </c>
      <c r="CW258" s="217">
        <f t="shared" si="665"/>
        <v>16</v>
      </c>
      <c r="CX258" s="217">
        <f t="shared" si="666"/>
        <v>1.1739512195121953</v>
      </c>
      <c r="CY258" s="217">
        <f t="shared" si="667"/>
        <v>0.23479024390243908</v>
      </c>
      <c r="CZ258" s="217">
        <f t="shared" si="668"/>
        <v>0.84355776252373327</v>
      </c>
      <c r="DA258" s="197">
        <f t="shared" si="669"/>
        <v>350</v>
      </c>
      <c r="DB258" s="443">
        <f t="shared" si="670"/>
        <v>350</v>
      </c>
      <c r="DD258" s="217">
        <f t="shared" si="671"/>
        <v>3.1104488731607378</v>
      </c>
      <c r="DE258" s="173">
        <f t="shared" si="672"/>
        <v>2.23505308251071</v>
      </c>
      <c r="DF258" s="173">
        <f t="shared" si="673"/>
        <v>1.0814250754144243</v>
      </c>
      <c r="DG258" s="173"/>
      <c r="DH258" s="173">
        <f t="shared" si="674"/>
        <v>0.71856287425149712</v>
      </c>
      <c r="DI258" s="545">
        <f t="shared" si="675"/>
        <v>1168.9999999999998</v>
      </c>
      <c r="DJ258" s="528">
        <f t="shared" si="676"/>
        <v>0.125748502994012</v>
      </c>
      <c r="DL258" s="173">
        <f t="shared" si="677"/>
        <v>1.8973665961010275</v>
      </c>
      <c r="DM258" s="173">
        <f t="shared" si="678"/>
        <v>1.8973665961010275</v>
      </c>
      <c r="DN258" s="173">
        <f t="shared" si="679"/>
        <v>1.8647159971118721</v>
      </c>
      <c r="DP258" s="545">
        <f t="shared" si="680"/>
        <v>420</v>
      </c>
      <c r="DQ258" s="460">
        <f t="shared" si="681"/>
        <v>350</v>
      </c>
      <c r="DS258">
        <f t="shared" si="682"/>
        <v>420</v>
      </c>
      <c r="DT258">
        <f t="shared" si="683"/>
        <v>350</v>
      </c>
      <c r="DV258" s="5">
        <f t="shared" si="684"/>
        <v>2.8571428571428572</v>
      </c>
      <c r="DW258" s="5">
        <f t="shared" si="685"/>
        <v>0.3794733192202055</v>
      </c>
      <c r="DX258" s="5">
        <f t="shared" si="686"/>
        <v>2.4776695379226519</v>
      </c>
      <c r="DY258" s="173">
        <f t="shared" si="687"/>
        <v>0.13281566172707193</v>
      </c>
      <c r="EA258" s="5">
        <f t="shared" si="713"/>
        <v>0.99611746295303949</v>
      </c>
      <c r="EB258" s="5">
        <f t="shared" si="714"/>
        <v>0.49805873147651974</v>
      </c>
      <c r="EC258" s="5">
        <f t="shared" si="715"/>
        <v>0.23124915687278083</v>
      </c>
      <c r="ED258" s="5"/>
      <c r="EE258" s="173">
        <f t="shared" si="716"/>
        <v>0.3992227374192085</v>
      </c>
      <c r="EF258" s="173">
        <f t="shared" si="717"/>
        <v>1.0201084285150837</v>
      </c>
      <c r="EG258" s="173">
        <f t="shared" si="718"/>
        <v>0.25052662876767495</v>
      </c>
      <c r="EH258" s="173"/>
      <c r="EI258" s="528">
        <f t="shared" si="719"/>
        <v>3.1875758814497259E-3</v>
      </c>
      <c r="EJ258" s="528">
        <f t="shared" si="720"/>
        <v>0.96776131917430974</v>
      </c>
      <c r="EK258" s="528">
        <f t="shared" si="721"/>
        <v>4.0250000000000001E-2</v>
      </c>
      <c r="EL258" s="528">
        <f t="shared" si="722"/>
        <v>1.0140631637499999</v>
      </c>
      <c r="EM258">
        <f t="shared" si="723"/>
        <v>2.7E-2</v>
      </c>
      <c r="EN258" s="460">
        <f t="shared" si="724"/>
        <v>67.25</v>
      </c>
      <c r="EP258" s="460">
        <f t="shared" si="725"/>
        <v>2052.2620588057594</v>
      </c>
      <c r="EQ258" s="173">
        <f t="shared" si="726"/>
        <v>0.29399999999999998</v>
      </c>
      <c r="ER258" s="173">
        <f t="shared" si="772"/>
        <v>4.6593749999999996E-2</v>
      </c>
      <c r="ES258" s="528"/>
      <c r="EU258" s="460">
        <f t="shared" si="727"/>
        <v>340.59375</v>
      </c>
      <c r="EV258" s="528">
        <f t="shared" si="728"/>
        <v>4.7813638221745882E-3</v>
      </c>
      <c r="EW258" s="528">
        <f t="shared" si="729"/>
        <v>3.1218636177825405E-2</v>
      </c>
      <c r="EX258" s="528">
        <f t="shared" si="730"/>
        <v>3.1381795860848212E-4</v>
      </c>
      <c r="EY258" s="528">
        <f t="shared" si="731"/>
        <v>0.56822225744358368</v>
      </c>
      <c r="EZ258" s="528"/>
      <c r="FA258" s="625">
        <f t="shared" si="732"/>
        <v>6.3E-3</v>
      </c>
      <c r="FB258" s="460">
        <f t="shared" si="733"/>
        <v>610.83607540219214</v>
      </c>
      <c r="FC258" s="173">
        <f t="shared" si="734"/>
        <v>3.0036918842079516</v>
      </c>
      <c r="FD258" s="5">
        <f t="shared" si="735"/>
        <v>7.56</v>
      </c>
      <c r="FE258" s="173">
        <f t="shared" si="736"/>
        <v>0.71565888922808507</v>
      </c>
      <c r="FF258" s="5">
        <f t="shared" si="737"/>
        <v>71.565888922808512</v>
      </c>
      <c r="FG258">
        <f t="shared" si="738"/>
        <v>42</v>
      </c>
      <c r="FI258" s="562">
        <f t="shared" si="689"/>
        <v>-50</v>
      </c>
    </row>
    <row r="259" spans="5:165">
      <c r="E259" s="170">
        <v>43</v>
      </c>
      <c r="F259" s="217">
        <f t="shared" si="773"/>
        <v>0.43</v>
      </c>
      <c r="G259" s="217">
        <f t="shared" si="742"/>
        <v>0.1075</v>
      </c>
      <c r="H259" s="217">
        <f t="shared" si="743"/>
        <v>6.88</v>
      </c>
      <c r="I259" s="217">
        <f t="shared" si="744"/>
        <v>0.86</v>
      </c>
      <c r="J259" s="541">
        <f t="shared" si="745"/>
        <v>59.93875086333319</v>
      </c>
      <c r="K259" s="443">
        <f t="shared" si="746"/>
        <v>16.727150374898752</v>
      </c>
      <c r="L259" s="172">
        <f t="shared" si="747"/>
        <v>76.665901238231939</v>
      </c>
      <c r="M259" s="443"/>
      <c r="N259" s="217">
        <f t="shared" si="748"/>
        <v>0.21818240058146235</v>
      </c>
      <c r="O259" s="172">
        <f t="shared" si="749"/>
        <v>29.061290113813854</v>
      </c>
      <c r="P259" s="172">
        <f t="shared" si="750"/>
        <v>4.0867439222550734</v>
      </c>
      <c r="Q259" s="217">
        <f t="shared" si="626"/>
        <v>1.8163306321133659</v>
      </c>
      <c r="R259" s="217">
        <f t="shared" si="751"/>
        <v>3.6326612642267317</v>
      </c>
      <c r="S259" s="217">
        <f t="shared" si="752"/>
        <v>16</v>
      </c>
      <c r="T259" s="217">
        <f t="shared" si="753"/>
        <v>1.1837051922085342</v>
      </c>
      <c r="U259" s="217">
        <f t="shared" si="630"/>
        <v>0.23698295513181639</v>
      </c>
      <c r="V259" s="217">
        <f t="shared" si="631"/>
        <v>0.84918602321038739</v>
      </c>
      <c r="W259" s="197">
        <f t="shared" si="632"/>
        <v>350</v>
      </c>
      <c r="X259" s="443">
        <f t="shared" si="691"/>
        <v>350</v>
      </c>
      <c r="Z259" s="217">
        <f t="shared" si="633"/>
        <v>3.1137096550514842</v>
      </c>
      <c r="AA259" s="173">
        <f t="shared" si="634"/>
        <v>2.2337645697672501</v>
      </c>
      <c r="AB259" s="173">
        <f t="shared" si="754"/>
        <v>1.0819346701327439</v>
      </c>
      <c r="AC259" s="173"/>
      <c r="AD259" s="173">
        <f t="shared" si="636"/>
        <v>0.7173965517765386</v>
      </c>
      <c r="AE259" s="545">
        <f t="shared" si="755"/>
        <v>1198.7791102010774</v>
      </c>
      <c r="AF259" s="528">
        <f t="shared" si="756"/>
        <v>0.12554439656089425</v>
      </c>
      <c r="AH259" s="173">
        <f t="shared" si="757"/>
        <v>1.9198214202665531</v>
      </c>
      <c r="AI259" s="173">
        <f t="shared" si="758"/>
        <v>1.9198214202665531</v>
      </c>
      <c r="AJ259" s="173">
        <f t="shared" si="759"/>
        <v>1.8813492001974468</v>
      </c>
      <c r="AL259" s="545">
        <f t="shared" si="760"/>
        <v>430</v>
      </c>
      <c r="AM259" s="460">
        <f t="shared" si="761"/>
        <v>350</v>
      </c>
      <c r="AO259">
        <f t="shared" si="644"/>
        <v>430</v>
      </c>
      <c r="AP259">
        <f t="shared" si="645"/>
        <v>350</v>
      </c>
      <c r="AR259" s="5">
        <f t="shared" si="616"/>
        <v>2.8571428571428572</v>
      </c>
      <c r="AS259" s="5">
        <f t="shared" si="739"/>
        <v>0.38435664259549607</v>
      </c>
      <c r="AT259" s="5">
        <f t="shared" si="740"/>
        <v>2.4727862145473614</v>
      </c>
      <c r="AU259" s="173">
        <f t="shared" si="741"/>
        <v>0.13452482490842363</v>
      </c>
      <c r="BA259" s="173">
        <f t="shared" si="692"/>
        <v>0.40653825935090449</v>
      </c>
      <c r="BB259" s="173">
        <f t="shared" si="693"/>
        <v>1.0311634556438494</v>
      </c>
      <c r="BC259" s="173">
        <f t="shared" si="694"/>
        <v>0.25324161337135709</v>
      </c>
      <c r="BD259" s="173"/>
      <c r="BE259" s="528">
        <f t="shared" si="695"/>
        <v>3.3054671263212654E-3</v>
      </c>
      <c r="BF259" s="528">
        <f t="shared" si="762"/>
        <v>0.94014316167515055</v>
      </c>
      <c r="BG259" s="528">
        <f t="shared" si="763"/>
        <v>0.48250694444983222</v>
      </c>
      <c r="BH259" s="528">
        <f t="shared" si="696"/>
        <v>1.0131617136340487</v>
      </c>
      <c r="BI259">
        <f t="shared" si="697"/>
        <v>2.6972437888499935E-2</v>
      </c>
      <c r="BJ259" s="460">
        <f t="shared" si="698"/>
        <v>509.47938233833213</v>
      </c>
      <c r="BK259">
        <f t="shared" si="764"/>
        <v>1.9590414085208796</v>
      </c>
      <c r="BL259" s="460">
        <f t="shared" si="699"/>
        <v>2466.0897247738526</v>
      </c>
      <c r="BM259" s="173">
        <f t="shared" si="765"/>
        <v>0.26713749999999997</v>
      </c>
      <c r="BN259" s="173">
        <f t="shared" si="766"/>
        <v>4.7703124999999999E-2</v>
      </c>
      <c r="BQ259" s="460">
        <f t="shared" si="700"/>
        <v>314.84062499999999</v>
      </c>
      <c r="BR259" s="528">
        <f t="shared" si="701"/>
        <v>4.9582006894818981E-3</v>
      </c>
      <c r="BS259" s="528">
        <f t="shared" si="702"/>
        <v>3.1898942167660947E-2</v>
      </c>
      <c r="BT259" s="528">
        <f t="shared" si="703"/>
        <v>3.2065657371463954E-4</v>
      </c>
      <c r="BU259" s="528">
        <f t="shared" si="704"/>
        <v>0.58518366911986663</v>
      </c>
      <c r="BV259" s="528"/>
      <c r="BW259" s="625">
        <f t="shared" si="705"/>
        <v>6.4499999999999991E-3</v>
      </c>
      <c r="BX259" s="460">
        <f t="shared" si="706"/>
        <v>628.81146855072416</v>
      </c>
      <c r="BY259" s="173">
        <f t="shared" si="707"/>
        <v>3.4097418183245765</v>
      </c>
      <c r="BZ259" s="5">
        <f t="shared" si="708"/>
        <v>7.74</v>
      </c>
      <c r="CA259" s="173">
        <f t="shared" si="709"/>
        <v>0.69418647768859787</v>
      </c>
      <c r="CB259" s="5">
        <f t="shared" si="710"/>
        <v>69.418647768859785</v>
      </c>
      <c r="CC259">
        <f t="shared" si="711"/>
        <v>43</v>
      </c>
      <c r="CE259" s="562">
        <f t="shared" si="767"/>
        <v>-50</v>
      </c>
      <c r="CG259" s="173">
        <f t="shared" si="768"/>
        <v>0.47513156072818402</v>
      </c>
      <c r="CH259" s="173">
        <f t="shared" si="769"/>
        <v>0.17100205764350287</v>
      </c>
      <c r="CI259" s="170">
        <v>43</v>
      </c>
      <c r="CJ259" s="217">
        <f t="shared" si="712"/>
        <v>0.43</v>
      </c>
      <c r="CK259" s="217">
        <f t="shared" si="654"/>
        <v>0.1075</v>
      </c>
      <c r="CL259" s="217">
        <f t="shared" si="655"/>
        <v>6.88</v>
      </c>
      <c r="CM259" s="217">
        <f t="shared" si="656"/>
        <v>0.86</v>
      </c>
      <c r="CN259" s="541">
        <f t="shared" si="657"/>
        <v>60</v>
      </c>
      <c r="CO259" s="443">
        <f t="shared" si="770"/>
        <v>16.7</v>
      </c>
      <c r="CP259" s="443">
        <f t="shared" si="771"/>
        <v>76.7</v>
      </c>
      <c r="CQ259" s="443"/>
      <c r="CR259" s="217">
        <f t="shared" si="660"/>
        <v>0.21465968586387432</v>
      </c>
      <c r="CS259" s="172">
        <f t="shared" si="661"/>
        <v>28.621291448516576</v>
      </c>
      <c r="CT259" s="172">
        <f t="shared" si="662"/>
        <v>4.0248691099476437</v>
      </c>
      <c r="CU259" s="217">
        <f t="shared" si="663"/>
        <v>1.788830715532286</v>
      </c>
      <c r="CV259" s="217">
        <f t="shared" si="664"/>
        <v>3.577661431064572</v>
      </c>
      <c r="CW259" s="217">
        <f t="shared" si="665"/>
        <v>16</v>
      </c>
      <c r="CX259" s="217">
        <f t="shared" si="666"/>
        <v>1.2019024390243904</v>
      </c>
      <c r="CY259" s="217">
        <f t="shared" si="667"/>
        <v>0.24038048780487808</v>
      </c>
      <c r="CZ259" s="217">
        <f t="shared" si="668"/>
        <v>0.86364247115525061</v>
      </c>
      <c r="DA259" s="197">
        <f t="shared" si="669"/>
        <v>350</v>
      </c>
      <c r="DB259" s="443">
        <f t="shared" si="670"/>
        <v>350</v>
      </c>
      <c r="DD259" s="217">
        <f t="shared" si="671"/>
        <v>3.1104488731607378</v>
      </c>
      <c r="DE259" s="173">
        <f t="shared" si="672"/>
        <v>2.23505308251071</v>
      </c>
      <c r="DF259" s="173">
        <f t="shared" si="673"/>
        <v>1.0814250754144243</v>
      </c>
      <c r="DG259" s="173"/>
      <c r="DH259" s="173">
        <f t="shared" si="674"/>
        <v>0.71856287425149712</v>
      </c>
      <c r="DI259" s="545">
        <f t="shared" si="675"/>
        <v>1196.8333333333333</v>
      </c>
      <c r="DJ259" s="528">
        <f t="shared" si="676"/>
        <v>0.125748502994012</v>
      </c>
      <c r="DL259" s="173">
        <f t="shared" si="677"/>
        <v>1.9198214202665531</v>
      </c>
      <c r="DM259" s="173">
        <f t="shared" si="678"/>
        <v>1.9198214202665531</v>
      </c>
      <c r="DN259" s="173">
        <f t="shared" si="679"/>
        <v>1.8813492001974468</v>
      </c>
      <c r="DP259" s="545">
        <f t="shared" si="680"/>
        <v>430</v>
      </c>
      <c r="DQ259" s="460">
        <f t="shared" si="681"/>
        <v>350</v>
      </c>
      <c r="DS259">
        <f t="shared" si="682"/>
        <v>430</v>
      </c>
      <c r="DT259">
        <f t="shared" si="683"/>
        <v>350</v>
      </c>
      <c r="DV259" s="5">
        <f t="shared" si="684"/>
        <v>2.8571428571428572</v>
      </c>
      <c r="DW259" s="5">
        <f t="shared" si="685"/>
        <v>0.38396428405331057</v>
      </c>
      <c r="DX259" s="5">
        <f t="shared" si="686"/>
        <v>2.4731785730895468</v>
      </c>
      <c r="DY259" s="173">
        <f t="shared" si="687"/>
        <v>0.13438749941865868</v>
      </c>
      <c r="EA259" s="5">
        <f t="shared" si="713"/>
        <v>1.0319040133932722</v>
      </c>
      <c r="EB259" s="5">
        <f t="shared" si="714"/>
        <v>0.5159520066966361</v>
      </c>
      <c r="EC259" s="5">
        <f t="shared" si="715"/>
        <v>0.23632595253966776</v>
      </c>
      <c r="ED259" s="5"/>
      <c r="EE259" s="173">
        <f t="shared" si="716"/>
        <v>0.40633070539023197</v>
      </c>
      <c r="EF259" s="173">
        <f t="shared" si="717"/>
        <v>1.0312452600756548</v>
      </c>
      <c r="EG259" s="173">
        <f t="shared" si="718"/>
        <v>0.25326170357740346</v>
      </c>
      <c r="EH259" s="173"/>
      <c r="EI259" s="528">
        <f t="shared" si="719"/>
        <v>3.30209284285847E-3</v>
      </c>
      <c r="EJ259" s="528">
        <f t="shared" si="720"/>
        <v>0.97921451451405683</v>
      </c>
      <c r="EK259" s="528">
        <f t="shared" si="721"/>
        <v>4.0250000000000001E-2</v>
      </c>
      <c r="EL259" s="528">
        <f t="shared" si="722"/>
        <v>1.0140631637499999</v>
      </c>
      <c r="EM259">
        <f t="shared" si="723"/>
        <v>2.7E-2</v>
      </c>
      <c r="EN259" s="460">
        <f t="shared" si="724"/>
        <v>67.25</v>
      </c>
      <c r="EP259" s="460">
        <f t="shared" si="725"/>
        <v>2063.8297711069154</v>
      </c>
      <c r="EQ259" s="173">
        <f t="shared" si="726"/>
        <v>0.30099999999999999</v>
      </c>
      <c r="ER259" s="173">
        <f t="shared" si="772"/>
        <v>4.7703124999999999E-2</v>
      </c>
      <c r="ES259" s="528"/>
      <c r="EU259" s="460">
        <f t="shared" si="727"/>
        <v>348.703125</v>
      </c>
      <c r="EV259" s="528">
        <f t="shared" si="728"/>
        <v>4.9531392642877051E-3</v>
      </c>
      <c r="EW259" s="528">
        <f t="shared" si="729"/>
        <v>3.190400359285514E-2</v>
      </c>
      <c r="EX259" s="528">
        <f t="shared" si="730"/>
        <v>3.2070745249464287E-4</v>
      </c>
      <c r="EY259" s="528">
        <f t="shared" si="731"/>
        <v>0.58518366911986663</v>
      </c>
      <c r="EZ259" s="528"/>
      <c r="FA259" s="625">
        <f t="shared" si="732"/>
        <v>6.4499999999999991E-3</v>
      </c>
      <c r="FB259" s="460">
        <f t="shared" si="733"/>
        <v>628.81151942950407</v>
      </c>
      <c r="FC259" s="173">
        <f t="shared" si="734"/>
        <v>3.04134441553642</v>
      </c>
      <c r="FD259" s="5">
        <f t="shared" si="735"/>
        <v>7.74</v>
      </c>
      <c r="FE259" s="173">
        <f t="shared" si="736"/>
        <v>0.71790675649377267</v>
      </c>
      <c r="FF259" s="5">
        <f t="shared" si="737"/>
        <v>71.790675649377263</v>
      </c>
      <c r="FG259">
        <f t="shared" si="738"/>
        <v>43</v>
      </c>
      <c r="FI259" s="562">
        <f t="shared" si="689"/>
        <v>-50</v>
      </c>
    </row>
    <row r="260" spans="5:165">
      <c r="E260" s="170">
        <v>44</v>
      </c>
      <c r="F260" s="217">
        <f t="shared" si="773"/>
        <v>0.44</v>
      </c>
      <c r="G260" s="217">
        <f t="shared" si="742"/>
        <v>0.11</v>
      </c>
      <c r="H260" s="217">
        <f t="shared" si="743"/>
        <v>7.04</v>
      </c>
      <c r="I260" s="217">
        <f t="shared" si="744"/>
        <v>0.88</v>
      </c>
      <c r="J260" s="541">
        <f t="shared" si="745"/>
        <v>59.938042757304039</v>
      </c>
      <c r="K260" s="443">
        <f t="shared" si="746"/>
        <v>16.727464262493022</v>
      </c>
      <c r="L260" s="172">
        <f t="shared" si="747"/>
        <v>76.665507019797062</v>
      </c>
      <c r="M260" s="443"/>
      <c r="N260" s="217">
        <f t="shared" si="748"/>
        <v>0.2181876167358229</v>
      </c>
      <c r="O260" s="172">
        <f t="shared" si="749"/>
        <v>29.061641557835596</v>
      </c>
      <c r="P260" s="172">
        <f t="shared" si="750"/>
        <v>4.0867933440706308</v>
      </c>
      <c r="Q260" s="217">
        <f t="shared" si="626"/>
        <v>1.8163525973647248</v>
      </c>
      <c r="R260" s="217">
        <f t="shared" si="751"/>
        <v>3.6327051947294495</v>
      </c>
      <c r="S260" s="217">
        <f t="shared" si="752"/>
        <v>16</v>
      </c>
      <c r="T260" s="217">
        <f t="shared" si="753"/>
        <v>1.2112185724247011</v>
      </c>
      <c r="U260" s="217">
        <f t="shared" si="630"/>
        <v>0.24249411893459313</v>
      </c>
      <c r="V260" s="217">
        <f t="shared" si="631"/>
        <v>0.86890772211580913</v>
      </c>
      <c r="W260" s="197">
        <f t="shared" si="632"/>
        <v>350</v>
      </c>
      <c r="X260" s="443">
        <f t="shared" si="691"/>
        <v>350</v>
      </c>
      <c r="Z260" s="217">
        <f t="shared" si="633"/>
        <v>3.1137473097681001</v>
      </c>
      <c r="AA260" s="173">
        <f t="shared" si="634"/>
        <v>2.2337496664690772</v>
      </c>
      <c r="AB260" s="173">
        <f t="shared" si="754"/>
        <v>1.081940535614319</v>
      </c>
      <c r="AC260" s="173"/>
      <c r="AD260" s="173">
        <f t="shared" si="636"/>
        <v>0.71738308997059841</v>
      </c>
      <c r="AE260" s="545">
        <f t="shared" si="755"/>
        <v>1226.6807125828216</v>
      </c>
      <c r="AF260" s="528">
        <f t="shared" si="756"/>
        <v>0.12554204074485473</v>
      </c>
      <c r="AH260" s="173">
        <f t="shared" si="757"/>
        <v>1.9420166249104489</v>
      </c>
      <c r="AI260" s="173">
        <f t="shared" si="758"/>
        <v>1.9420166249104489</v>
      </c>
      <c r="AJ260" s="173">
        <f t="shared" si="759"/>
        <v>1.8977900925262583</v>
      </c>
      <c r="AL260" s="545">
        <f t="shared" si="760"/>
        <v>440</v>
      </c>
      <c r="AM260" s="460">
        <f t="shared" si="761"/>
        <v>350</v>
      </c>
      <c r="AO260">
        <f t="shared" si="644"/>
        <v>440</v>
      </c>
      <c r="AP260">
        <f t="shared" si="645"/>
        <v>350</v>
      </c>
      <c r="AR260" s="5">
        <f t="shared" si="616"/>
        <v>2.8571428571428572</v>
      </c>
      <c r="AS260" s="5">
        <f t="shared" si="739"/>
        <v>0.38880481288464397</v>
      </c>
      <c r="AT260" s="5">
        <f t="shared" si="740"/>
        <v>2.4683380442582132</v>
      </c>
      <c r="AU260" s="173">
        <f t="shared" si="741"/>
        <v>0.13608168450962538</v>
      </c>
      <c r="BA260" s="173">
        <f t="shared" si="692"/>
        <v>0.41361107053516272</v>
      </c>
      <c r="BB260" s="173">
        <f t="shared" si="693"/>
        <v>1.0421462178953649</v>
      </c>
      <c r="BC260" s="173">
        <f t="shared" si="694"/>
        <v>0.25593885057136168</v>
      </c>
      <c r="BD260" s="173"/>
      <c r="BE260" s="528">
        <f t="shared" si="695"/>
        <v>3.4214823533848669E-3</v>
      </c>
      <c r="BF260" s="528">
        <f t="shared" si="762"/>
        <v>0.95100733969879103</v>
      </c>
      <c r="BG260" s="528">
        <f t="shared" si="763"/>
        <v>0.48250124419629753</v>
      </c>
      <c r="BH260" s="528">
        <f t="shared" si="696"/>
        <v>1.0131512942431151</v>
      </c>
      <c r="BI260">
        <f t="shared" si="697"/>
        <v>2.6972119240786817E-2</v>
      </c>
      <c r="BJ260" s="460">
        <f t="shared" si="698"/>
        <v>509.4733634370844</v>
      </c>
      <c r="BK260">
        <f t="shared" si="764"/>
        <v>1.9701055023863725</v>
      </c>
      <c r="BL260" s="460">
        <f t="shared" si="699"/>
        <v>2477.0534797323753</v>
      </c>
      <c r="BM260" s="173">
        <f t="shared" si="765"/>
        <v>0.27334999999999998</v>
      </c>
      <c r="BN260" s="173">
        <f t="shared" si="766"/>
        <v>4.8812499999999995E-2</v>
      </c>
      <c r="BQ260" s="460">
        <f t="shared" si="700"/>
        <v>322.16249999999997</v>
      </c>
      <c r="BR260" s="528">
        <f t="shared" si="701"/>
        <v>5.1322235300773006E-3</v>
      </c>
      <c r="BS260" s="528">
        <f t="shared" si="702"/>
        <v>3.2582062184208394E-2</v>
      </c>
      <c r="BT260" s="528">
        <f t="shared" si="703"/>
        <v>3.27523476158949E-4</v>
      </c>
      <c r="BU260" s="528">
        <f t="shared" si="704"/>
        <v>0.60224398870097606</v>
      </c>
      <c r="BV260" s="528"/>
      <c r="BW260" s="625">
        <f t="shared" si="705"/>
        <v>6.6E-3</v>
      </c>
      <c r="BX260" s="460">
        <f t="shared" si="706"/>
        <v>646.88579789142079</v>
      </c>
      <c r="BY260" s="173">
        <f t="shared" si="707"/>
        <v>3.4461017776237957</v>
      </c>
      <c r="BZ260" s="5">
        <f t="shared" si="708"/>
        <v>7.92</v>
      </c>
      <c r="CA260" s="173">
        <f t="shared" si="709"/>
        <v>0.69680882284478018</v>
      </c>
      <c r="CB260" s="5">
        <f t="shared" si="710"/>
        <v>69.680882284478017</v>
      </c>
      <c r="CC260">
        <f t="shared" si="711"/>
        <v>44</v>
      </c>
      <c r="CE260" s="562">
        <f t="shared" si="767"/>
        <v>-50</v>
      </c>
      <c r="CG260" s="173">
        <f t="shared" si="768"/>
        <v>0.48062459362791665</v>
      </c>
      <c r="CH260" s="173">
        <f t="shared" si="769"/>
        <v>0.17297902572181395</v>
      </c>
      <c r="CI260" s="170">
        <v>44</v>
      </c>
      <c r="CJ260" s="217">
        <f t="shared" si="712"/>
        <v>0.44</v>
      </c>
      <c r="CK260" s="217">
        <f t="shared" si="654"/>
        <v>0.11</v>
      </c>
      <c r="CL260" s="217">
        <f t="shared" si="655"/>
        <v>7.04</v>
      </c>
      <c r="CM260" s="217">
        <f t="shared" si="656"/>
        <v>0.88</v>
      </c>
      <c r="CN260" s="541">
        <f t="shared" si="657"/>
        <v>60</v>
      </c>
      <c r="CO260" s="443">
        <f t="shared" si="770"/>
        <v>16.7</v>
      </c>
      <c r="CP260" s="443">
        <f t="shared" si="771"/>
        <v>76.7</v>
      </c>
      <c r="CQ260" s="443"/>
      <c r="CR260" s="217">
        <f t="shared" si="660"/>
        <v>0.21465968586387432</v>
      </c>
      <c r="CS260" s="172">
        <f t="shared" si="661"/>
        <v>28.621291448516576</v>
      </c>
      <c r="CT260" s="172">
        <f t="shared" si="662"/>
        <v>4.0248691099476437</v>
      </c>
      <c r="CU260" s="217">
        <f t="shared" si="663"/>
        <v>1.788830715532286</v>
      </c>
      <c r="CV260" s="217">
        <f t="shared" si="664"/>
        <v>3.577661431064572</v>
      </c>
      <c r="CW260" s="217">
        <f t="shared" si="665"/>
        <v>16</v>
      </c>
      <c r="CX260" s="217">
        <f t="shared" si="666"/>
        <v>1.2298536585365856</v>
      </c>
      <c r="CY260" s="217">
        <f t="shared" si="667"/>
        <v>0.24597073170731712</v>
      </c>
      <c r="CZ260" s="217">
        <f t="shared" si="668"/>
        <v>0.88372717978676818</v>
      </c>
      <c r="DA260" s="197">
        <f t="shared" si="669"/>
        <v>350</v>
      </c>
      <c r="DB260" s="443">
        <f t="shared" si="670"/>
        <v>350</v>
      </c>
      <c r="DD260" s="217">
        <f t="shared" si="671"/>
        <v>3.1104488731607378</v>
      </c>
      <c r="DE260" s="173">
        <f t="shared" si="672"/>
        <v>2.23505308251071</v>
      </c>
      <c r="DF260" s="173">
        <f t="shared" si="673"/>
        <v>1.0814250754144243</v>
      </c>
      <c r="DG260" s="173"/>
      <c r="DH260" s="173">
        <f t="shared" si="674"/>
        <v>0.71856287425149712</v>
      </c>
      <c r="DI260" s="545">
        <f t="shared" si="675"/>
        <v>1224.6666666666665</v>
      </c>
      <c r="DJ260" s="528">
        <f t="shared" si="676"/>
        <v>0.125748502994012</v>
      </c>
      <c r="DL260" s="173">
        <f t="shared" si="677"/>
        <v>1.9420166249104489</v>
      </c>
      <c r="DM260" s="173">
        <f t="shared" si="678"/>
        <v>1.9420166249104489</v>
      </c>
      <c r="DN260" s="173">
        <f t="shared" si="679"/>
        <v>1.8977900925262583</v>
      </c>
      <c r="DP260" s="545">
        <f t="shared" si="680"/>
        <v>440</v>
      </c>
      <c r="DQ260" s="460">
        <f t="shared" si="681"/>
        <v>350</v>
      </c>
      <c r="DS260">
        <f t="shared" si="682"/>
        <v>440</v>
      </c>
      <c r="DT260">
        <f t="shared" si="683"/>
        <v>350</v>
      </c>
      <c r="DV260" s="5">
        <f t="shared" si="684"/>
        <v>2.8571428571428572</v>
      </c>
      <c r="DW260" s="5">
        <f t="shared" si="685"/>
        <v>0.38840332498208979</v>
      </c>
      <c r="DX260" s="5">
        <f t="shared" si="686"/>
        <v>2.4687395321607672</v>
      </c>
      <c r="DY260" s="173">
        <f t="shared" si="687"/>
        <v>0.13594116374373141</v>
      </c>
      <c r="EA260" s="5">
        <f t="shared" si="713"/>
        <v>1.0681091437007468</v>
      </c>
      <c r="EB260" s="5">
        <f t="shared" si="714"/>
        <v>0.53405457185037342</v>
      </c>
      <c r="EC260" s="5">
        <f t="shared" si="715"/>
        <v>0.24138786536683055</v>
      </c>
      <c r="ED260" s="5"/>
      <c r="EE260" s="173">
        <f t="shared" si="716"/>
        <v>0.413397463698218</v>
      </c>
      <c r="EF260" s="173">
        <f t="shared" si="717"/>
        <v>1.0422309696755021</v>
      </c>
      <c r="EG260" s="173">
        <f t="shared" si="718"/>
        <v>0.25595966461148362</v>
      </c>
      <c r="EH260" s="173"/>
      <c r="EI260" s="528">
        <f t="shared" si="719"/>
        <v>3.4179492598423893E-3</v>
      </c>
      <c r="EJ260" s="528">
        <f t="shared" si="720"/>
        <v>0.99053528961869908</v>
      </c>
      <c r="EK260" s="528">
        <f t="shared" si="721"/>
        <v>4.0250000000000001E-2</v>
      </c>
      <c r="EL260" s="528">
        <f t="shared" si="722"/>
        <v>1.0140631637499999</v>
      </c>
      <c r="EM260">
        <f t="shared" si="723"/>
        <v>2.7E-2</v>
      </c>
      <c r="EN260" s="460">
        <f t="shared" si="724"/>
        <v>67.25</v>
      </c>
      <c r="EP260" s="460">
        <f t="shared" si="725"/>
        <v>2075.2664026285411</v>
      </c>
      <c r="EQ260" s="173">
        <f t="shared" si="726"/>
        <v>0.308</v>
      </c>
      <c r="ER260" s="173">
        <f t="shared" si="772"/>
        <v>4.8812499999999995E-2</v>
      </c>
      <c r="ES260" s="528"/>
      <c r="EU260" s="460">
        <f t="shared" si="727"/>
        <v>356.8125</v>
      </c>
      <c r="EV260" s="528">
        <f t="shared" si="728"/>
        <v>5.1269238897635842E-3</v>
      </c>
      <c r="EW260" s="528">
        <f t="shared" si="729"/>
        <v>3.2587361824522119E-2</v>
      </c>
      <c r="EX260" s="528">
        <f t="shared" si="730"/>
        <v>3.2757674954011595E-4</v>
      </c>
      <c r="EY260" s="528">
        <f t="shared" si="731"/>
        <v>0.60224398870097606</v>
      </c>
      <c r="EZ260" s="528"/>
      <c r="FA260" s="625">
        <f t="shared" si="732"/>
        <v>6.6E-3</v>
      </c>
      <c r="FB260" s="460">
        <f t="shared" si="733"/>
        <v>646.88585116480192</v>
      </c>
      <c r="FC260" s="173">
        <f t="shared" si="734"/>
        <v>3.0789647537933429</v>
      </c>
      <c r="FD260" s="5">
        <f t="shared" si="735"/>
        <v>7.92</v>
      </c>
      <c r="FE260" s="173">
        <f t="shared" si="736"/>
        <v>0.72006776794775484</v>
      </c>
      <c r="FF260" s="5">
        <f t="shared" si="737"/>
        <v>72.00677679477549</v>
      </c>
      <c r="FG260">
        <f t="shared" si="738"/>
        <v>44</v>
      </c>
      <c r="FI260" s="562">
        <f t="shared" si="689"/>
        <v>-50</v>
      </c>
    </row>
    <row r="261" spans="5:165">
      <c r="E261" s="170">
        <v>45</v>
      </c>
      <c r="F261" s="217">
        <f t="shared" si="773"/>
        <v>0.45</v>
      </c>
      <c r="G261" s="217">
        <f t="shared" si="742"/>
        <v>0.1125</v>
      </c>
      <c r="H261" s="217">
        <f t="shared" si="743"/>
        <v>7.2</v>
      </c>
      <c r="I261" s="217">
        <f t="shared" si="744"/>
        <v>0.9</v>
      </c>
      <c r="J261" s="541">
        <f t="shared" si="745"/>
        <v>59.937342653243675</v>
      </c>
      <c r="K261" s="443">
        <f t="shared" si="746"/>
        <v>16.727774602993176</v>
      </c>
      <c r="L261" s="172">
        <f t="shared" si="747"/>
        <v>76.665117256236854</v>
      </c>
      <c r="M261" s="443"/>
      <c r="N261" s="217">
        <f t="shared" si="748"/>
        <v>0.21819277399764675</v>
      </c>
      <c r="O261" s="172">
        <f t="shared" si="749"/>
        <v>29.06198902124158</v>
      </c>
      <c r="P261" s="172">
        <f t="shared" si="750"/>
        <v>4.086842206112097</v>
      </c>
      <c r="Q261" s="217">
        <f t="shared" si="626"/>
        <v>1.8163743138275987</v>
      </c>
      <c r="R261" s="217">
        <f t="shared" si="751"/>
        <v>3.6327486276551975</v>
      </c>
      <c r="S261" s="217">
        <f t="shared" si="752"/>
        <v>16</v>
      </c>
      <c r="T261" s="217">
        <f t="shared" si="753"/>
        <v>1.2387314568761068</v>
      </c>
      <c r="U261" s="217">
        <f t="shared" si="630"/>
        <v>0.24800528058960972</v>
      </c>
      <c r="V261" s="217">
        <f t="shared" si="631"/>
        <v>0.88862851367291018</v>
      </c>
      <c r="W261" s="197">
        <f t="shared" si="632"/>
        <v>350</v>
      </c>
      <c r="X261" s="443">
        <f t="shared" si="691"/>
        <v>350</v>
      </c>
      <c r="Z261" s="217">
        <f t="shared" si="633"/>
        <v>3.1137845379901692</v>
      </c>
      <c r="AA261" s="173">
        <f t="shared" si="634"/>
        <v>2.2337349314352952</v>
      </c>
      <c r="AB261" s="173">
        <f t="shared" si="754"/>
        <v>1.081946334228939</v>
      </c>
      <c r="AC261" s="173"/>
      <c r="AD261" s="173">
        <f t="shared" si="636"/>
        <v>0.71736978078678715</v>
      </c>
      <c r="AE261" s="545">
        <f t="shared" si="755"/>
        <v>1254.5830952244883</v>
      </c>
      <c r="AF261" s="528">
        <f t="shared" si="756"/>
        <v>0.12553971163768776</v>
      </c>
      <c r="AH261" s="173">
        <f t="shared" si="757"/>
        <v>1.9639610121239313</v>
      </c>
      <c r="AI261" s="173">
        <f t="shared" si="758"/>
        <v>1.9639610121239313</v>
      </c>
      <c r="AJ261" s="173">
        <f t="shared" si="759"/>
        <v>1.9140451941658749</v>
      </c>
      <c r="AL261" s="545">
        <f t="shared" si="760"/>
        <v>450</v>
      </c>
      <c r="AM261" s="460">
        <f t="shared" si="761"/>
        <v>350</v>
      </c>
      <c r="AO261">
        <f t="shared" si="644"/>
        <v>450</v>
      </c>
      <c r="AP261">
        <f t="shared" si="645"/>
        <v>350</v>
      </c>
      <c r="AR261" s="5">
        <f t="shared" si="616"/>
        <v>2.8571428571428572</v>
      </c>
      <c r="AS261" s="5">
        <f t="shared" si="739"/>
        <v>0.39320281984859989</v>
      </c>
      <c r="AT261" s="5">
        <f t="shared" si="740"/>
        <v>2.4639400372942575</v>
      </c>
      <c r="AU261" s="173">
        <f t="shared" si="741"/>
        <v>0.13762098694700997</v>
      </c>
      <c r="BA261" s="173">
        <f t="shared" si="692"/>
        <v>0.42064387423552235</v>
      </c>
      <c r="BB261" s="173">
        <f t="shared" si="693"/>
        <v>1.0529829138131424</v>
      </c>
      <c r="BC261" s="173">
        <f t="shared" si="694"/>
        <v>0.2586002155982276</v>
      </c>
      <c r="BD261" s="173"/>
      <c r="BE261" s="528">
        <f t="shared" si="695"/>
        <v>3.538825378637399E-3</v>
      </c>
      <c r="BF261" s="528">
        <f t="shared" si="762"/>
        <v>0.96174863693340185</v>
      </c>
      <c r="BG261" s="528">
        <f t="shared" si="763"/>
        <v>0.48249560835861166</v>
      </c>
      <c r="BH261" s="528">
        <f t="shared" si="696"/>
        <v>1.0131409926494253</v>
      </c>
      <c r="BI261">
        <f t="shared" si="697"/>
        <v>2.6971804193959652E-2</v>
      </c>
      <c r="BJ261" s="460">
        <f t="shared" si="698"/>
        <v>509.46741255257132</v>
      </c>
      <c r="BK261">
        <f t="shared" si="764"/>
        <v>1.9810496537104125</v>
      </c>
      <c r="BL261" s="460">
        <f t="shared" si="699"/>
        <v>2487.8958675140357</v>
      </c>
      <c r="BM261" s="173">
        <f t="shared" si="765"/>
        <v>0.27956249999999999</v>
      </c>
      <c r="BN261" s="173">
        <f t="shared" si="766"/>
        <v>4.9921874999999998E-2</v>
      </c>
      <c r="BQ261" s="460">
        <f t="shared" si="700"/>
        <v>329.484375</v>
      </c>
      <c r="BR261" s="528">
        <f t="shared" si="701"/>
        <v>5.3082380679560981E-3</v>
      </c>
      <c r="BS261" s="528">
        <f t="shared" si="702"/>
        <v>3.3263190503472463E-2</v>
      </c>
      <c r="BT261" s="528">
        <f t="shared" si="703"/>
        <v>3.3437035753724901E-4</v>
      </c>
      <c r="BU261" s="528">
        <f t="shared" si="704"/>
        <v>0.61940152516269109</v>
      </c>
      <c r="BV261" s="528"/>
      <c r="BW261" s="625">
        <f t="shared" si="705"/>
        <v>6.7499999999999982E-3</v>
      </c>
      <c r="BX261" s="460">
        <f t="shared" si="706"/>
        <v>665.05732409165694</v>
      </c>
      <c r="BY261" s="173">
        <f t="shared" si="707"/>
        <v>3.4824375666056917</v>
      </c>
      <c r="BZ261" s="5">
        <f t="shared" si="708"/>
        <v>8.1</v>
      </c>
      <c r="CA261" s="173">
        <f t="shared" si="709"/>
        <v>0.69933465675254725</v>
      </c>
      <c r="CB261" s="5">
        <f t="shared" si="710"/>
        <v>69.933465675254723</v>
      </c>
      <c r="CC261">
        <f t="shared" si="711"/>
        <v>45</v>
      </c>
      <c r="CE261" s="562">
        <f t="shared" si="767"/>
        <v>-50</v>
      </c>
      <c r="CG261" s="173">
        <f t="shared" si="768"/>
        <v>0.48605555238058951</v>
      </c>
      <c r="CH261" s="173">
        <f t="shared" si="769"/>
        <v>0.17493365302600888</v>
      </c>
      <c r="CI261" s="170">
        <v>45</v>
      </c>
      <c r="CJ261" s="217">
        <f t="shared" si="712"/>
        <v>0.45</v>
      </c>
      <c r="CK261" s="217">
        <f t="shared" si="654"/>
        <v>0.1125</v>
      </c>
      <c r="CL261" s="217">
        <f t="shared" si="655"/>
        <v>7.2</v>
      </c>
      <c r="CM261" s="217">
        <f t="shared" si="656"/>
        <v>0.9</v>
      </c>
      <c r="CN261" s="541">
        <f t="shared" si="657"/>
        <v>60</v>
      </c>
      <c r="CO261" s="443">
        <f t="shared" si="770"/>
        <v>16.7</v>
      </c>
      <c r="CP261" s="443">
        <f t="shared" si="771"/>
        <v>76.7</v>
      </c>
      <c r="CQ261" s="443"/>
      <c r="CR261" s="217">
        <f t="shared" si="660"/>
        <v>0.21465968586387432</v>
      </c>
      <c r="CS261" s="172">
        <f t="shared" si="661"/>
        <v>28.621291448516576</v>
      </c>
      <c r="CT261" s="172">
        <f t="shared" si="662"/>
        <v>4.0248691099476437</v>
      </c>
      <c r="CU261" s="217">
        <f t="shared" si="663"/>
        <v>1.788830715532286</v>
      </c>
      <c r="CV261" s="217">
        <f t="shared" si="664"/>
        <v>3.577661431064572</v>
      </c>
      <c r="CW261" s="217">
        <f t="shared" si="665"/>
        <v>16</v>
      </c>
      <c r="CX261" s="217">
        <f t="shared" si="666"/>
        <v>1.2578048780487805</v>
      </c>
      <c r="CY261" s="217">
        <f t="shared" si="667"/>
        <v>0.2515609756097561</v>
      </c>
      <c r="CZ261" s="217">
        <f t="shared" si="668"/>
        <v>0.90381188841828553</v>
      </c>
      <c r="DA261" s="197">
        <f t="shared" si="669"/>
        <v>350</v>
      </c>
      <c r="DB261" s="443">
        <f t="shared" si="670"/>
        <v>350</v>
      </c>
      <c r="DD261" s="217">
        <f t="shared" si="671"/>
        <v>3.1104488731607378</v>
      </c>
      <c r="DE261" s="173">
        <f t="shared" si="672"/>
        <v>2.23505308251071</v>
      </c>
      <c r="DF261" s="173">
        <f t="shared" si="673"/>
        <v>1.0814250754144243</v>
      </c>
      <c r="DG261" s="173"/>
      <c r="DH261" s="173">
        <f t="shared" si="674"/>
        <v>0.71856287425149712</v>
      </c>
      <c r="DI261" s="545">
        <f t="shared" si="675"/>
        <v>1252.4999999999998</v>
      </c>
      <c r="DJ261" s="528">
        <f t="shared" si="676"/>
        <v>0.125748502994012</v>
      </c>
      <c r="DL261" s="173">
        <f t="shared" si="677"/>
        <v>1.9639610121239313</v>
      </c>
      <c r="DM261" s="173">
        <f t="shared" si="678"/>
        <v>1.9639610121239313</v>
      </c>
      <c r="DN261" s="173">
        <f t="shared" si="679"/>
        <v>1.9140451941658749</v>
      </c>
      <c r="DP261" s="545">
        <f t="shared" si="680"/>
        <v>450</v>
      </c>
      <c r="DQ261" s="460">
        <f t="shared" si="681"/>
        <v>350</v>
      </c>
      <c r="DS261">
        <f t="shared" si="682"/>
        <v>450</v>
      </c>
      <c r="DT261">
        <f t="shared" si="683"/>
        <v>350</v>
      </c>
      <c r="DV261" s="5">
        <f t="shared" si="684"/>
        <v>2.8571428571428572</v>
      </c>
      <c r="DW261" s="5">
        <f t="shared" si="685"/>
        <v>0.3927922024247863</v>
      </c>
      <c r="DX261" s="5">
        <f t="shared" si="686"/>
        <v>2.4643506547180709</v>
      </c>
      <c r="DY261" s="173">
        <f t="shared" si="687"/>
        <v>0.1374772708486752</v>
      </c>
      <c r="EA261" s="5">
        <f t="shared" si="713"/>
        <v>1.1047280693197115</v>
      </c>
      <c r="EB261" s="5">
        <f t="shared" si="714"/>
        <v>0.55236403465985573</v>
      </c>
      <c r="EC261" s="5">
        <f t="shared" si="715"/>
        <v>0.2464350654718071</v>
      </c>
      <c r="ED261" s="5"/>
      <c r="EE261" s="173">
        <f t="shared" si="716"/>
        <v>0.42042417995538006</v>
      </c>
      <c r="EF261" s="173">
        <f t="shared" si="717"/>
        <v>1.053070650347417</v>
      </c>
      <c r="EG261" s="173">
        <f t="shared" si="718"/>
        <v>0.2586217626588509</v>
      </c>
      <c r="EH261" s="173"/>
      <c r="EI261" s="528">
        <f t="shared" si="719"/>
        <v>3.5351298218230759E-3</v>
      </c>
      <c r="EJ261" s="528">
        <f t="shared" si="720"/>
        <v>1.001728134038872</v>
      </c>
      <c r="EK261" s="528">
        <f t="shared" si="721"/>
        <v>4.0250000000000001E-2</v>
      </c>
      <c r="EL261" s="528">
        <f t="shared" si="722"/>
        <v>1.0140631637499999</v>
      </c>
      <c r="EM261">
        <f t="shared" si="723"/>
        <v>2.7E-2</v>
      </c>
      <c r="EN261" s="460">
        <f t="shared" si="724"/>
        <v>67.25</v>
      </c>
      <c r="EP261" s="460">
        <f t="shared" si="725"/>
        <v>2086.5764276106952</v>
      </c>
      <c r="EQ261" s="173">
        <f t="shared" si="726"/>
        <v>0.315</v>
      </c>
      <c r="ER261" s="173">
        <f t="shared" si="772"/>
        <v>4.9921874999999998E-2</v>
      </c>
      <c r="ES261" s="528"/>
      <c r="EU261" s="460">
        <f t="shared" si="727"/>
        <v>364.921875</v>
      </c>
      <c r="EV261" s="528">
        <f t="shared" si="728"/>
        <v>5.3026947327346136E-3</v>
      </c>
      <c r="EW261" s="528">
        <f t="shared" si="729"/>
        <v>3.3268733838693949E-2</v>
      </c>
      <c r="EX261" s="528">
        <f t="shared" si="730"/>
        <v>3.34426080603855E-4</v>
      </c>
      <c r="EY261" s="528">
        <f t="shared" si="731"/>
        <v>0.61940152516269109</v>
      </c>
      <c r="EZ261" s="528"/>
      <c r="FA261" s="625">
        <f t="shared" si="732"/>
        <v>6.7499999999999982E-3</v>
      </c>
      <c r="FB261" s="460">
        <f t="shared" si="733"/>
        <v>665.05737981472362</v>
      </c>
      <c r="FC261" s="173">
        <f t="shared" si="734"/>
        <v>3.1165556824254184</v>
      </c>
      <c r="FD261" s="5">
        <f t="shared" si="735"/>
        <v>8.1</v>
      </c>
      <c r="FE261" s="173">
        <f t="shared" si="736"/>
        <v>0.72214681844725537</v>
      </c>
      <c r="FF261" s="5">
        <f t="shared" si="737"/>
        <v>72.214681844725533</v>
      </c>
      <c r="FG261">
        <f t="shared" si="738"/>
        <v>45</v>
      </c>
      <c r="FI261" s="562">
        <f t="shared" si="689"/>
        <v>-50</v>
      </c>
    </row>
    <row r="262" spans="5:165">
      <c r="E262" s="170">
        <v>46</v>
      </c>
      <c r="F262" s="217">
        <f t="shared" si="773"/>
        <v>0.46</v>
      </c>
      <c r="G262" s="217">
        <f t="shared" si="742"/>
        <v>0.115</v>
      </c>
      <c r="H262" s="217">
        <f t="shared" si="743"/>
        <v>7.36</v>
      </c>
      <c r="I262" s="217">
        <f t="shared" si="744"/>
        <v>0.92</v>
      </c>
      <c r="J262" s="541">
        <f t="shared" si="745"/>
        <v>59.936650285852267</v>
      </c>
      <c r="K262" s="443">
        <f t="shared" si="746"/>
        <v>16.728081514000699</v>
      </c>
      <c r="L262" s="172">
        <f t="shared" si="747"/>
        <v>76.664731799852973</v>
      </c>
      <c r="M262" s="443"/>
      <c r="N262" s="217">
        <f t="shared" si="748"/>
        <v>0.2181978743194766</v>
      </c>
      <c r="O262" s="172">
        <f t="shared" si="749"/>
        <v>29.062332636006253</v>
      </c>
      <c r="P262" s="172">
        <f t="shared" si="750"/>
        <v>4.0868905269383795</v>
      </c>
      <c r="Q262" s="217">
        <f t="shared" si="626"/>
        <v>1.8163957897503908</v>
      </c>
      <c r="R262" s="217">
        <f t="shared" si="751"/>
        <v>3.6327915795007817</v>
      </c>
      <c r="S262" s="217">
        <f t="shared" si="752"/>
        <v>16</v>
      </c>
      <c r="T262" s="217">
        <f t="shared" si="753"/>
        <v>1.2662438511355867</v>
      </c>
      <c r="U262" s="217">
        <f t="shared" si="630"/>
        <v>0.25351644012734764</v>
      </c>
      <c r="V262" s="217">
        <f t="shared" si="631"/>
        <v>0.90834840808908823</v>
      </c>
      <c r="W262" s="197">
        <f t="shared" si="632"/>
        <v>350</v>
      </c>
      <c r="X262" s="443">
        <f t="shared" si="691"/>
        <v>350</v>
      </c>
      <c r="Z262" s="217">
        <f t="shared" si="633"/>
        <v>3.113821353857813</v>
      </c>
      <c r="AA262" s="173">
        <f t="shared" si="634"/>
        <v>2.2337203590872097</v>
      </c>
      <c r="AB262" s="173">
        <f t="shared" si="754"/>
        <v>1.0819520681935304</v>
      </c>
      <c r="AC262" s="173"/>
      <c r="AD262" s="173">
        <f t="shared" si="636"/>
        <v>0.71735661916499538</v>
      </c>
      <c r="AE262" s="545">
        <f t="shared" si="755"/>
        <v>1282.4862494067204</v>
      </c>
      <c r="AF262" s="528">
        <f t="shared" si="756"/>
        <v>0.1255374083538742</v>
      </c>
      <c r="AH262" s="173">
        <f t="shared" si="757"/>
        <v>1.9856628975878921</v>
      </c>
      <c r="AI262" s="173">
        <f t="shared" si="758"/>
        <v>1.9856628975878921</v>
      </c>
      <c r="AJ262" s="173">
        <f t="shared" si="759"/>
        <v>1.9301206648799201</v>
      </c>
      <c r="AL262" s="545">
        <f t="shared" si="760"/>
        <v>460</v>
      </c>
      <c r="AM262" s="460">
        <f t="shared" si="761"/>
        <v>350</v>
      </c>
      <c r="AO262">
        <f t="shared" si="644"/>
        <v>460</v>
      </c>
      <c r="AP262">
        <f t="shared" si="645"/>
        <v>350</v>
      </c>
      <c r="AR262" s="5">
        <f t="shared" si="616"/>
        <v>2.8571428571428572</v>
      </c>
      <c r="AS262" s="5">
        <f t="shared" si="739"/>
        <v>0.39755232662174933</v>
      </c>
      <c r="AT262" s="5">
        <f t="shared" si="740"/>
        <v>2.4595905305211079</v>
      </c>
      <c r="AU262" s="173">
        <f t="shared" si="741"/>
        <v>0.13914331431761226</v>
      </c>
      <c r="BA262" s="173">
        <f t="shared" si="692"/>
        <v>0.42763777925483237</v>
      </c>
      <c r="BB262" s="173">
        <f t="shared" si="693"/>
        <v>1.0636783555378524</v>
      </c>
      <c r="BC262" s="173">
        <f t="shared" si="694"/>
        <v>0.26122689025709017</v>
      </c>
      <c r="BD262" s="173"/>
      <c r="BE262" s="528">
        <f t="shared" si="695"/>
        <v>3.657481404920095E-3</v>
      </c>
      <c r="BF262" s="528">
        <f t="shared" si="762"/>
        <v>0.97237112740775977</v>
      </c>
      <c r="BG262" s="528">
        <f t="shared" si="763"/>
        <v>0.48249003480111075</v>
      </c>
      <c r="BH262" s="528">
        <f t="shared" si="696"/>
        <v>1.0131308049474914</v>
      </c>
      <c r="BI262">
        <f t="shared" si="697"/>
        <v>2.697149262863352E-2</v>
      </c>
      <c r="BJ262" s="460">
        <f t="shared" si="698"/>
        <v>509.46152742974425</v>
      </c>
      <c r="BK262">
        <f t="shared" si="764"/>
        <v>1.9918779106646842</v>
      </c>
      <c r="BL262" s="460">
        <f t="shared" si="699"/>
        <v>2498.6209411899154</v>
      </c>
      <c r="BM262" s="173">
        <f t="shared" si="765"/>
        <v>0.285775</v>
      </c>
      <c r="BN262" s="173">
        <f t="shared" si="766"/>
        <v>5.103125E-2</v>
      </c>
      <c r="BQ262" s="460">
        <f t="shared" si="700"/>
        <v>336.80624999999998</v>
      </c>
      <c r="BR262" s="528">
        <f t="shared" si="701"/>
        <v>5.4862221073801419E-3</v>
      </c>
      <c r="BS262" s="528">
        <f t="shared" si="702"/>
        <v>3.3942349321191299E-2</v>
      </c>
      <c r="BT262" s="528">
        <f t="shared" si="703"/>
        <v>3.4119744096694916E-4</v>
      </c>
      <c r="BU262" s="528">
        <f t="shared" si="704"/>
        <v>0.63665465344326022</v>
      </c>
      <c r="BV262" s="528"/>
      <c r="BW262" s="625">
        <f t="shared" si="705"/>
        <v>6.9000000000000008E-3</v>
      </c>
      <c r="BX262" s="460">
        <f t="shared" si="706"/>
        <v>683.32442231279867</v>
      </c>
      <c r="BY262" s="173">
        <f t="shared" si="707"/>
        <v>3.5187516135027135</v>
      </c>
      <c r="BZ262" s="5">
        <f t="shared" si="708"/>
        <v>8.2800000000000011</v>
      </c>
      <c r="CA262" s="173">
        <f t="shared" si="709"/>
        <v>0.70176915924937455</v>
      </c>
      <c r="CB262" s="5">
        <f t="shared" si="710"/>
        <v>70.176915924937461</v>
      </c>
      <c r="CC262">
        <f t="shared" si="711"/>
        <v>46</v>
      </c>
      <c r="CE262" s="562">
        <f t="shared" si="767"/>
        <v>-50</v>
      </c>
      <c r="CG262" s="173">
        <f t="shared" si="768"/>
        <v>0.49142649501222463</v>
      </c>
      <c r="CH262" s="173">
        <f t="shared" si="769"/>
        <v>0.17686668024922092</v>
      </c>
      <c r="CI262" s="170">
        <v>46</v>
      </c>
      <c r="CJ262" s="217">
        <f t="shared" si="712"/>
        <v>0.46</v>
      </c>
      <c r="CK262" s="217">
        <f t="shared" si="654"/>
        <v>0.115</v>
      </c>
      <c r="CL262" s="217">
        <f t="shared" si="655"/>
        <v>7.36</v>
      </c>
      <c r="CM262" s="217">
        <f t="shared" si="656"/>
        <v>0.92</v>
      </c>
      <c r="CN262" s="541">
        <f t="shared" si="657"/>
        <v>60</v>
      </c>
      <c r="CO262" s="443">
        <f t="shared" si="770"/>
        <v>16.7</v>
      </c>
      <c r="CP262" s="443">
        <f t="shared" si="771"/>
        <v>76.7</v>
      </c>
      <c r="CQ262" s="443"/>
      <c r="CR262" s="217">
        <f t="shared" si="660"/>
        <v>0.21465968586387432</v>
      </c>
      <c r="CS262" s="172">
        <f t="shared" si="661"/>
        <v>28.621291448516576</v>
      </c>
      <c r="CT262" s="172">
        <f t="shared" si="662"/>
        <v>4.0248691099476437</v>
      </c>
      <c r="CU262" s="217">
        <f t="shared" si="663"/>
        <v>1.788830715532286</v>
      </c>
      <c r="CV262" s="217">
        <f t="shared" si="664"/>
        <v>3.577661431064572</v>
      </c>
      <c r="CW262" s="217">
        <f t="shared" si="665"/>
        <v>16</v>
      </c>
      <c r="CX262" s="217">
        <f t="shared" si="666"/>
        <v>1.2857560975609759</v>
      </c>
      <c r="CY262" s="217">
        <f t="shared" si="667"/>
        <v>0.25715121951219516</v>
      </c>
      <c r="CZ262" s="217">
        <f t="shared" si="668"/>
        <v>0.9238965970498032</v>
      </c>
      <c r="DA262" s="197">
        <f t="shared" si="669"/>
        <v>350</v>
      </c>
      <c r="DB262" s="443">
        <f t="shared" si="670"/>
        <v>350</v>
      </c>
      <c r="DD262" s="217">
        <f t="shared" si="671"/>
        <v>3.1104488731607378</v>
      </c>
      <c r="DE262" s="173">
        <f t="shared" si="672"/>
        <v>2.23505308251071</v>
      </c>
      <c r="DF262" s="173">
        <f t="shared" si="673"/>
        <v>1.0814250754144243</v>
      </c>
      <c r="DG262" s="173"/>
      <c r="DH262" s="173">
        <f t="shared" si="674"/>
        <v>0.71856287425149712</v>
      </c>
      <c r="DI262" s="545">
        <f t="shared" si="675"/>
        <v>1280.3333333333333</v>
      </c>
      <c r="DJ262" s="528">
        <f t="shared" si="676"/>
        <v>0.125748502994012</v>
      </c>
      <c r="DL262" s="173">
        <f t="shared" si="677"/>
        <v>1.9856628975878921</v>
      </c>
      <c r="DM262" s="173">
        <f t="shared" si="678"/>
        <v>1.9856628975878921</v>
      </c>
      <c r="DN262" s="173">
        <f t="shared" si="679"/>
        <v>1.9301206648799201</v>
      </c>
      <c r="DP262" s="545">
        <f t="shared" si="680"/>
        <v>460</v>
      </c>
      <c r="DQ262" s="460">
        <f t="shared" si="681"/>
        <v>350</v>
      </c>
      <c r="DS262">
        <f t="shared" si="682"/>
        <v>460</v>
      </c>
      <c r="DT262">
        <f t="shared" si="683"/>
        <v>350</v>
      </c>
      <c r="DV262" s="5">
        <f t="shared" si="684"/>
        <v>2.8571428571428572</v>
      </c>
      <c r="DW262" s="5">
        <f t="shared" si="685"/>
        <v>0.39713257951757841</v>
      </c>
      <c r="DX262" s="5">
        <f t="shared" si="686"/>
        <v>2.4600102776252788</v>
      </c>
      <c r="DY262" s="173">
        <f t="shared" si="687"/>
        <v>0.13899640283115244</v>
      </c>
      <c r="EA262" s="5">
        <f t="shared" si="713"/>
        <v>1.141756166113038</v>
      </c>
      <c r="EB262" s="5">
        <f t="shared" si="714"/>
        <v>0.57087808305651899</v>
      </c>
      <c r="EC262" s="5">
        <f t="shared" si="715"/>
        <v>0.25146771726836181</v>
      </c>
      <c r="ED262" s="5"/>
      <c r="EE262" s="173">
        <f t="shared" si="716"/>
        <v>0.4274119635411322</v>
      </c>
      <c r="EF262" s="173">
        <f t="shared" si="717"/>
        <v>1.0637691139094181</v>
      </c>
      <c r="EG262" s="173">
        <f t="shared" si="718"/>
        <v>0.26124917944540116</v>
      </c>
      <c r="EH262" s="173"/>
      <c r="EI262" s="528">
        <f t="shared" si="719"/>
        <v>3.6536197315617225E-3</v>
      </c>
      <c r="EJ262" s="528">
        <f t="shared" si="720"/>
        <v>1.0127972892291923</v>
      </c>
      <c r="EK262" s="528">
        <f t="shared" si="721"/>
        <v>4.0250000000000001E-2</v>
      </c>
      <c r="EL262" s="528">
        <f t="shared" si="722"/>
        <v>1.0140631637499999</v>
      </c>
      <c r="EM262">
        <f t="shared" si="723"/>
        <v>2.7E-2</v>
      </c>
      <c r="EN262" s="460">
        <f t="shared" si="724"/>
        <v>67.25</v>
      </c>
      <c r="EP262" s="460">
        <f t="shared" si="725"/>
        <v>2097.7640727107541</v>
      </c>
      <c r="EQ262" s="173">
        <f t="shared" si="726"/>
        <v>0.32200000000000001</v>
      </c>
      <c r="ER262" s="173">
        <f t="shared" si="772"/>
        <v>5.103125E-2</v>
      </c>
      <c r="ES262" s="528"/>
      <c r="EU262" s="460">
        <f t="shared" si="727"/>
        <v>373.03125000000006</v>
      </c>
      <c r="EV262" s="528">
        <f t="shared" si="728"/>
        <v>5.4804295973425836E-3</v>
      </c>
      <c r="EW262" s="528">
        <f t="shared" si="729"/>
        <v>3.3948141831228851E-2</v>
      </c>
      <c r="EX262" s="528">
        <f t="shared" si="730"/>
        <v>3.4125566880447713E-4</v>
      </c>
      <c r="EY262" s="528">
        <f t="shared" si="731"/>
        <v>0.63665465344326022</v>
      </c>
      <c r="EZ262" s="528"/>
      <c r="FA262" s="625">
        <f t="shared" si="732"/>
        <v>6.9000000000000008E-3</v>
      </c>
      <c r="FB262" s="460">
        <f t="shared" si="733"/>
        <v>683.32448054063616</v>
      </c>
      <c r="FC262" s="173">
        <f t="shared" si="734"/>
        <v>3.1541198032513895</v>
      </c>
      <c r="FD262" s="5">
        <f t="shared" si="735"/>
        <v>8.2800000000000011</v>
      </c>
      <c r="FE262" s="173">
        <f t="shared" si="736"/>
        <v>0.72414843839973686</v>
      </c>
      <c r="FF262" s="5">
        <f t="shared" si="737"/>
        <v>72.414843839973685</v>
      </c>
      <c r="FG262">
        <f t="shared" si="738"/>
        <v>46</v>
      </c>
      <c r="FI262" s="562">
        <f t="shared" si="689"/>
        <v>-50</v>
      </c>
    </row>
    <row r="263" spans="5:165">
      <c r="E263" s="170">
        <v>47</v>
      </c>
      <c r="F263" s="217">
        <f t="shared" si="773"/>
        <v>0.47</v>
      </c>
      <c r="G263" s="217">
        <f t="shared" si="742"/>
        <v>0.11749999999999999</v>
      </c>
      <c r="H263" s="217">
        <f t="shared" si="743"/>
        <v>7.52</v>
      </c>
      <c r="I263" s="217">
        <f t="shared" si="744"/>
        <v>0.94</v>
      </c>
      <c r="J263" s="541">
        <f t="shared" si="745"/>
        <v>59.935965404173558</v>
      </c>
      <c r="K263" s="443">
        <f t="shared" si="746"/>
        <v>16.728385106758903</v>
      </c>
      <c r="L263" s="172">
        <f t="shared" si="747"/>
        <v>76.664350510932465</v>
      </c>
      <c r="M263" s="443"/>
      <c r="N263" s="217">
        <f t="shared" si="748"/>
        <v>0.21820291954829002</v>
      </c>
      <c r="O263" s="172">
        <f t="shared" si="749"/>
        <v>29.062672526968836</v>
      </c>
      <c r="P263" s="172">
        <f t="shared" si="750"/>
        <v>4.0869383241049926</v>
      </c>
      <c r="Q263" s="217">
        <f t="shared" si="626"/>
        <v>1.8164170329355522</v>
      </c>
      <c r="R263" s="217">
        <f t="shared" si="751"/>
        <v>3.6328340658711045</v>
      </c>
      <c r="S263" s="217">
        <f t="shared" si="752"/>
        <v>16</v>
      </c>
      <c r="T263" s="217">
        <f t="shared" si="753"/>
        <v>1.2937557605932113</v>
      </c>
      <c r="U263" s="217">
        <f t="shared" si="630"/>
        <v>0.25902759757728822</v>
      </c>
      <c r="V263" s="217">
        <f t="shared" si="631"/>
        <v>0.92806741523698055</v>
      </c>
      <c r="W263" s="197">
        <f t="shared" si="632"/>
        <v>350</v>
      </c>
      <c r="X263" s="443">
        <f t="shared" si="691"/>
        <v>350</v>
      </c>
      <c r="Z263" s="217">
        <f t="shared" si="633"/>
        <v>3.1138577707466615</v>
      </c>
      <c r="AA263" s="173">
        <f t="shared" si="634"/>
        <v>2.2337059441477431</v>
      </c>
      <c r="AB263" s="173">
        <f t="shared" si="754"/>
        <v>1.0819577396051603</v>
      </c>
      <c r="AC263" s="173"/>
      <c r="AD263" s="173">
        <f t="shared" si="636"/>
        <v>0.71734360031869093</v>
      </c>
      <c r="AE263" s="545">
        <f t="shared" si="755"/>
        <v>1310.390166696114</v>
      </c>
      <c r="AF263" s="528">
        <f t="shared" si="756"/>
        <v>0.12553513005577091</v>
      </c>
      <c r="AH263" s="173">
        <f t="shared" si="757"/>
        <v>2.0071301473923975</v>
      </c>
      <c r="AI263" s="173">
        <f t="shared" si="758"/>
        <v>2.0071301473923975</v>
      </c>
      <c r="AJ263" s="173">
        <f t="shared" si="759"/>
        <v>1.9460223314017759</v>
      </c>
      <c r="AL263" s="545">
        <f t="shared" si="760"/>
        <v>470</v>
      </c>
      <c r="AM263" s="460">
        <f t="shared" si="761"/>
        <v>350</v>
      </c>
      <c r="AO263">
        <f t="shared" si="644"/>
        <v>470</v>
      </c>
      <c r="AP263">
        <f t="shared" si="645"/>
        <v>350</v>
      </c>
      <c r="AR263" s="5">
        <f t="shared" ref="AR263:AR316" si="774">1/AM263*1000</f>
        <v>2.8571428571428572</v>
      </c>
      <c r="AS263" s="5">
        <f t="shared" si="739"/>
        <v>0.40185490642037119</v>
      </c>
      <c r="AT263" s="5">
        <f t="shared" si="740"/>
        <v>2.4552879507224858</v>
      </c>
      <c r="AU263" s="173">
        <f t="shared" si="741"/>
        <v>0.14064921724712992</v>
      </c>
      <c r="BA263" s="173">
        <f t="shared" si="692"/>
        <v>0.43459384028949882</v>
      </c>
      <c r="BB263" s="173">
        <f t="shared" si="693"/>
        <v>1.0742370952632236</v>
      </c>
      <c r="BC263" s="173">
        <f t="shared" si="694"/>
        <v>0.26381999251317401</v>
      </c>
      <c r="BD263" s="173"/>
      <c r="BE263" s="528">
        <f t="shared" si="695"/>
        <v>3.7774361203514882E-3</v>
      </c>
      <c r="BF263" s="528">
        <f t="shared" si="762"/>
        <v>0.98287866488654263</v>
      </c>
      <c r="BG263" s="528">
        <f t="shared" si="763"/>
        <v>0.48248452150359716</v>
      </c>
      <c r="BH263" s="528">
        <f t="shared" si="696"/>
        <v>1.0131207274429785</v>
      </c>
      <c r="BI263">
        <f t="shared" si="697"/>
        <v>2.6971184431878101E-2</v>
      </c>
      <c r="BJ263" s="460">
        <f t="shared" si="698"/>
        <v>509.45570593547529</v>
      </c>
      <c r="BK263">
        <f t="shared" si="764"/>
        <v>2.002594102102222</v>
      </c>
      <c r="BL263" s="460">
        <f t="shared" si="699"/>
        <v>2509.2325343853481</v>
      </c>
      <c r="BM263" s="173">
        <f t="shared" si="765"/>
        <v>0.29198749999999996</v>
      </c>
      <c r="BN263" s="173">
        <f t="shared" si="766"/>
        <v>5.2140624999999996E-2</v>
      </c>
      <c r="BQ263" s="460">
        <f t="shared" si="700"/>
        <v>344.12812499999995</v>
      </c>
      <c r="BR263" s="528">
        <f t="shared" si="701"/>
        <v>5.6661541805272326E-3</v>
      </c>
      <c r="BS263" s="528">
        <f t="shared" si="702"/>
        <v>3.4619560105187047E-2</v>
      </c>
      <c r="BT263" s="528">
        <f t="shared" si="703"/>
        <v>3.4800494224825599E-4</v>
      </c>
      <c r="BU263" s="528">
        <f t="shared" si="704"/>
        <v>0.65400181048788197</v>
      </c>
      <c r="BV263" s="528"/>
      <c r="BW263" s="625">
        <f t="shared" si="705"/>
        <v>7.0499999999999981E-3</v>
      </c>
      <c r="BX263" s="460">
        <f t="shared" si="706"/>
        <v>701.6855297158445</v>
      </c>
      <c r="BY263" s="173">
        <f t="shared" si="707"/>
        <v>3.555046189101192</v>
      </c>
      <c r="BZ263" s="5">
        <f t="shared" si="708"/>
        <v>8.4599999999999991</v>
      </c>
      <c r="CA263" s="173">
        <f t="shared" si="709"/>
        <v>0.70411714335930198</v>
      </c>
      <c r="CB263" s="5">
        <f t="shared" si="710"/>
        <v>70.411714335930199</v>
      </c>
      <c r="CC263">
        <f t="shared" si="711"/>
        <v>47</v>
      </c>
      <c r="CE263" s="562">
        <f t="shared" si="767"/>
        <v>-50</v>
      </c>
      <c r="CG263" s="173">
        <f t="shared" si="768"/>
        <v>0.49673936828079168</v>
      </c>
      <c r="CH263" s="173">
        <f t="shared" si="769"/>
        <v>0.17877880803869411</v>
      </c>
      <c r="CI263" s="170">
        <v>47</v>
      </c>
      <c r="CJ263" s="217">
        <f t="shared" si="712"/>
        <v>0.47</v>
      </c>
      <c r="CK263" s="217">
        <f t="shared" si="654"/>
        <v>0.11749999999999999</v>
      </c>
      <c r="CL263" s="217">
        <f t="shared" si="655"/>
        <v>7.52</v>
      </c>
      <c r="CM263" s="217">
        <f t="shared" si="656"/>
        <v>0.94</v>
      </c>
      <c r="CN263" s="541">
        <f t="shared" si="657"/>
        <v>60</v>
      </c>
      <c r="CO263" s="443">
        <f t="shared" si="770"/>
        <v>16.7</v>
      </c>
      <c r="CP263" s="443">
        <f t="shared" si="771"/>
        <v>76.7</v>
      </c>
      <c r="CQ263" s="443"/>
      <c r="CR263" s="217">
        <f t="shared" si="660"/>
        <v>0.21465968586387432</v>
      </c>
      <c r="CS263" s="172">
        <f t="shared" si="661"/>
        <v>28.621291448516576</v>
      </c>
      <c r="CT263" s="172">
        <f t="shared" si="662"/>
        <v>4.0248691099476437</v>
      </c>
      <c r="CU263" s="217">
        <f t="shared" si="663"/>
        <v>1.788830715532286</v>
      </c>
      <c r="CV263" s="217">
        <f t="shared" si="664"/>
        <v>3.577661431064572</v>
      </c>
      <c r="CW263" s="217">
        <f t="shared" si="665"/>
        <v>16</v>
      </c>
      <c r="CX263" s="217">
        <f t="shared" si="666"/>
        <v>1.3137073170731708</v>
      </c>
      <c r="CY263" s="217">
        <f t="shared" si="667"/>
        <v>0.26274146341463417</v>
      </c>
      <c r="CZ263" s="217">
        <f t="shared" si="668"/>
        <v>0.94398130568132055</v>
      </c>
      <c r="DA263" s="197">
        <f t="shared" si="669"/>
        <v>350</v>
      </c>
      <c r="DB263" s="443">
        <f t="shared" si="670"/>
        <v>350</v>
      </c>
      <c r="DD263" s="217">
        <f t="shared" si="671"/>
        <v>3.1104488731607378</v>
      </c>
      <c r="DE263" s="173">
        <f t="shared" si="672"/>
        <v>2.23505308251071</v>
      </c>
      <c r="DF263" s="173">
        <f t="shared" si="673"/>
        <v>1.0814250754144243</v>
      </c>
      <c r="DG263" s="173"/>
      <c r="DH263" s="173">
        <f t="shared" si="674"/>
        <v>0.71856287425149712</v>
      </c>
      <c r="DI263" s="545">
        <f t="shared" si="675"/>
        <v>1308.1666666666665</v>
      </c>
      <c r="DJ263" s="528">
        <f t="shared" si="676"/>
        <v>0.125748502994012</v>
      </c>
      <c r="DL263" s="173">
        <f t="shared" si="677"/>
        <v>2.0071301473923975</v>
      </c>
      <c r="DM263" s="173">
        <f t="shared" si="678"/>
        <v>2.0071301473923975</v>
      </c>
      <c r="DN263" s="173">
        <f t="shared" si="679"/>
        <v>1.9460223314017759</v>
      </c>
      <c r="DP263" s="545">
        <f t="shared" si="680"/>
        <v>470</v>
      </c>
      <c r="DQ263" s="460">
        <f t="shared" si="681"/>
        <v>350</v>
      </c>
      <c r="DS263">
        <f t="shared" si="682"/>
        <v>470</v>
      </c>
      <c r="DT263">
        <f t="shared" si="683"/>
        <v>350</v>
      </c>
      <c r="DV263" s="5">
        <f t="shared" si="684"/>
        <v>2.8571428571428572</v>
      </c>
      <c r="DW263" s="5">
        <f t="shared" si="685"/>
        <v>0.4014260294784795</v>
      </c>
      <c r="DX263" s="5">
        <f t="shared" si="686"/>
        <v>2.4557168276643777</v>
      </c>
      <c r="DY263" s="173">
        <f t="shared" si="687"/>
        <v>0.14049911031746781</v>
      </c>
      <c r="EA263" s="5">
        <f t="shared" si="713"/>
        <v>1.1791889615930333</v>
      </c>
      <c r="EB263" s="5">
        <f t="shared" si="714"/>
        <v>0.58959448079651666</v>
      </c>
      <c r="EC263" s="5">
        <f t="shared" si="715"/>
        <v>0.25648597977827942</v>
      </c>
      <c r="ED263" s="5"/>
      <c r="EE263" s="173">
        <f t="shared" si="716"/>
        <v>0.43436186970645257</v>
      </c>
      <c r="EF263" s="173">
        <f t="shared" si="717"/>
        <v>1.0743309122436426</v>
      </c>
      <c r="EG263" s="173">
        <f t="shared" si="718"/>
        <v>0.26384303285983579</v>
      </c>
      <c r="EH263" s="173"/>
      <c r="EI263" s="528">
        <f t="shared" si="719"/>
        <v>3.7734046770977058E-3</v>
      </c>
      <c r="EJ263" s="528">
        <f t="shared" si="720"/>
        <v>1.0237467673282294</v>
      </c>
      <c r="EK263" s="528">
        <f t="shared" si="721"/>
        <v>4.0250000000000001E-2</v>
      </c>
      <c r="EL263" s="528">
        <f t="shared" si="722"/>
        <v>1.0140631637499999</v>
      </c>
      <c r="EM263">
        <f t="shared" si="723"/>
        <v>2.7E-2</v>
      </c>
      <c r="EN263" s="460">
        <f t="shared" si="724"/>
        <v>67.25</v>
      </c>
      <c r="EP263" s="460">
        <f t="shared" si="725"/>
        <v>2108.8333357553274</v>
      </c>
      <c r="EQ263" s="173">
        <f t="shared" si="726"/>
        <v>0.32899999999999996</v>
      </c>
      <c r="ER263" s="173">
        <f t="shared" si="772"/>
        <v>5.2140624999999996E-2</v>
      </c>
      <c r="ES263" s="528"/>
      <c r="EU263" s="460">
        <f t="shared" si="727"/>
        <v>381.14062499999994</v>
      </c>
      <c r="EV263" s="528">
        <f t="shared" si="728"/>
        <v>5.6601070156465589E-3</v>
      </c>
      <c r="EW263" s="528">
        <f t="shared" si="729"/>
        <v>3.4625607270067721E-2</v>
      </c>
      <c r="EX263" s="528">
        <f t="shared" si="730"/>
        <v>3.4806572994338199E-4</v>
      </c>
      <c r="EY263" s="528">
        <f t="shared" si="731"/>
        <v>0.65400181048788197</v>
      </c>
      <c r="EZ263" s="528"/>
      <c r="FA263" s="625">
        <f t="shared" si="732"/>
        <v>7.0499999999999981E-3</v>
      </c>
      <c r="FB263" s="460">
        <f t="shared" si="733"/>
        <v>701.68559050353963</v>
      </c>
      <c r="FC263" s="173">
        <f t="shared" si="734"/>
        <v>3.1916595512588661</v>
      </c>
      <c r="FD263" s="5">
        <f t="shared" si="735"/>
        <v>8.4599999999999991</v>
      </c>
      <c r="FE263" s="173">
        <f t="shared" si="736"/>
        <v>0.72607682732078849</v>
      </c>
      <c r="FF263" s="5">
        <f t="shared" si="737"/>
        <v>72.607682732078842</v>
      </c>
      <c r="FG263">
        <f t="shared" si="738"/>
        <v>47</v>
      </c>
      <c r="FI263" s="562">
        <f t="shared" si="689"/>
        <v>-50</v>
      </c>
    </row>
    <row r="264" spans="5:165">
      <c r="E264" s="170">
        <v>48</v>
      </c>
      <c r="F264" s="217">
        <f t="shared" si="773"/>
        <v>0.48</v>
      </c>
      <c r="G264" s="217">
        <f t="shared" si="742"/>
        <v>0.12</v>
      </c>
      <c r="H264" s="217">
        <f t="shared" si="743"/>
        <v>7.68</v>
      </c>
      <c r="I264" s="217">
        <f t="shared" si="744"/>
        <v>0.96</v>
      </c>
      <c r="J264" s="541">
        <f t="shared" si="745"/>
        <v>59.935287770532057</v>
      </c>
      <c r="K264" s="443">
        <f t="shared" si="746"/>
        <v>16.728685486624023</v>
      </c>
      <c r="L264" s="172">
        <f t="shared" si="747"/>
        <v>76.663973257156073</v>
      </c>
      <c r="M264" s="443"/>
      <c r="N264" s="217">
        <f t="shared" si="748"/>
        <v>0.21820791143332127</v>
      </c>
      <c r="O264" s="172">
        <f t="shared" si="749"/>
        <v>29.063008812361961</v>
      </c>
      <c r="P264" s="172">
        <f t="shared" si="750"/>
        <v>4.0869856142384009</v>
      </c>
      <c r="Q264" s="217">
        <f t="shared" si="626"/>
        <v>1.8164380507726225</v>
      </c>
      <c r="R264" s="217">
        <f t="shared" si="751"/>
        <v>3.6328761015452451</v>
      </c>
      <c r="S264" s="217">
        <f t="shared" si="752"/>
        <v>16</v>
      </c>
      <c r="T264" s="217">
        <f t="shared" si="753"/>
        <v>1.3212671904660658</v>
      </c>
      <c r="U264" s="217">
        <f t="shared" si="630"/>
        <v>0.26453875296796697</v>
      </c>
      <c r="V264" s="217">
        <f t="shared" si="631"/>
        <v>0.94778554467237419</v>
      </c>
      <c r="W264" s="197">
        <f t="shared" si="632"/>
        <v>350</v>
      </c>
      <c r="X264" s="443">
        <f t="shared" si="691"/>
        <v>350</v>
      </c>
      <c r="Z264" s="217">
        <f t="shared" si="633"/>
        <v>3.1138938013244957</v>
      </c>
      <c r="AA264" s="173">
        <f t="shared" si="634"/>
        <v>2.2336916816190819</v>
      </c>
      <c r="AB264" s="173">
        <f t="shared" si="754"/>
        <v>1.0819633504499164</v>
      </c>
      <c r="AC264" s="173"/>
      <c r="AD264" s="173">
        <f t="shared" si="636"/>
        <v>0.71733071971464824</v>
      </c>
      <c r="AE264" s="545">
        <f t="shared" si="755"/>
        <v>1338.2948389299218</v>
      </c>
      <c r="AF264" s="528">
        <f t="shared" si="756"/>
        <v>0.12553287595006343</v>
      </c>
      <c r="AH264" s="173">
        <f t="shared" si="757"/>
        <v>2.0283702113484399</v>
      </c>
      <c r="AI264" s="173">
        <f t="shared" si="758"/>
        <v>2.0283702113484399</v>
      </c>
      <c r="AJ264" s="173">
        <f t="shared" si="759"/>
        <v>1.9617557121099554</v>
      </c>
      <c r="AL264" s="545">
        <f t="shared" si="760"/>
        <v>480</v>
      </c>
      <c r="AM264" s="460">
        <f t="shared" si="761"/>
        <v>350</v>
      </c>
      <c r="AO264">
        <f t="shared" si="644"/>
        <v>480</v>
      </c>
      <c r="AP264">
        <f t="shared" si="645"/>
        <v>350</v>
      </c>
      <c r="AR264" s="5">
        <f t="shared" si="774"/>
        <v>2.8571428571428572</v>
      </c>
      <c r="AS264" s="5">
        <f t="shared" si="739"/>
        <v>0.40611204920498545</v>
      </c>
      <c r="AT264" s="5">
        <f t="shared" si="740"/>
        <v>2.4510308079378715</v>
      </c>
      <c r="AU264" s="173">
        <f t="shared" si="741"/>
        <v>0.14213921722174491</v>
      </c>
      <c r="BA264" s="173">
        <f t="shared" si="692"/>
        <v>0.44151306166227183</v>
      </c>
      <c r="BB264" s="173">
        <f t="shared" si="693"/>
        <v>1.0846634444887402</v>
      </c>
      <c r="BC264" s="173">
        <f t="shared" si="694"/>
        <v>0.26638058122002883</v>
      </c>
      <c r="BD264" s="173"/>
      <c r="BE264" s="528">
        <f t="shared" si="695"/>
        <v>3.8986756723678614E-3</v>
      </c>
      <c r="BF264" s="528">
        <f t="shared" si="762"/>
        <v>0.99327489919046397</v>
      </c>
      <c r="BG264" s="528">
        <f t="shared" si="763"/>
        <v>0.48247906655278305</v>
      </c>
      <c r="BH264" s="528">
        <f t="shared" si="696"/>
        <v>1.0131107566370581</v>
      </c>
      <c r="BI264">
        <f t="shared" si="697"/>
        <v>2.6970879496739424E-2</v>
      </c>
      <c r="BJ264" s="460">
        <f t="shared" si="698"/>
        <v>509.44994604952245</v>
      </c>
      <c r="BK264">
        <f t="shared" si="764"/>
        <v>2.0132018538226659</v>
      </c>
      <c r="BL264" s="460">
        <f t="shared" si="699"/>
        <v>2519.7342775494126</v>
      </c>
      <c r="BM264" s="173">
        <f t="shared" si="765"/>
        <v>0.29819999999999997</v>
      </c>
      <c r="BN264" s="173">
        <f t="shared" si="766"/>
        <v>5.3249999999999999E-2</v>
      </c>
      <c r="BQ264" s="460">
        <f t="shared" si="700"/>
        <v>351.45</v>
      </c>
      <c r="BR264" s="528">
        <f t="shared" si="701"/>
        <v>5.8480135085517918E-3</v>
      </c>
      <c r="BS264" s="528">
        <f t="shared" si="702"/>
        <v>3.5294843634305351E-2</v>
      </c>
      <c r="BT264" s="528">
        <f t="shared" si="703"/>
        <v>3.547930702556019E-4</v>
      </c>
      <c r="BU264" s="528">
        <f t="shared" si="704"/>
        <v>0.67144149160976652</v>
      </c>
      <c r="BV264" s="528"/>
      <c r="BW264" s="625">
        <f t="shared" si="705"/>
        <v>7.2000000000000007E-3</v>
      </c>
      <c r="BX264" s="460">
        <f t="shared" si="706"/>
        <v>720.1391418228792</v>
      </c>
      <c r="BY264" s="173">
        <f t="shared" si="707"/>
        <v>3.5913234193722916</v>
      </c>
      <c r="BZ264" s="5">
        <f t="shared" si="708"/>
        <v>8.64</v>
      </c>
      <c r="CA264" s="173">
        <f t="shared" si="709"/>
        <v>0.70638308740293321</v>
      </c>
      <c r="CB264" s="5">
        <f t="shared" si="710"/>
        <v>70.638308740293326</v>
      </c>
      <c r="CC264">
        <f t="shared" si="711"/>
        <v>48</v>
      </c>
      <c r="CE264" s="562">
        <f t="shared" si="767"/>
        <v>-50</v>
      </c>
      <c r="CG264" s="173">
        <f t="shared" si="768"/>
        <v>0.50199601592044529</v>
      </c>
      <c r="CH264" s="173">
        <f t="shared" si="769"/>
        <v>0.1806706999629224</v>
      </c>
      <c r="CI264" s="170">
        <v>48</v>
      </c>
      <c r="CJ264" s="217">
        <f t="shared" si="712"/>
        <v>0.48</v>
      </c>
      <c r="CK264" s="217">
        <f t="shared" si="654"/>
        <v>0.12</v>
      </c>
      <c r="CL264" s="217">
        <f t="shared" si="655"/>
        <v>7.68</v>
      </c>
      <c r="CM264" s="217">
        <f t="shared" si="656"/>
        <v>0.96</v>
      </c>
      <c r="CN264" s="541">
        <f t="shared" si="657"/>
        <v>60</v>
      </c>
      <c r="CO264" s="443">
        <f t="shared" si="770"/>
        <v>16.7</v>
      </c>
      <c r="CP264" s="443">
        <f t="shared" si="771"/>
        <v>76.7</v>
      </c>
      <c r="CQ264" s="443"/>
      <c r="CR264" s="217">
        <f t="shared" si="660"/>
        <v>0.21465968586387432</v>
      </c>
      <c r="CS264" s="172">
        <f t="shared" si="661"/>
        <v>28.621291448516576</v>
      </c>
      <c r="CT264" s="172">
        <f t="shared" si="662"/>
        <v>4.0248691099476437</v>
      </c>
      <c r="CU264" s="217">
        <f t="shared" si="663"/>
        <v>1.788830715532286</v>
      </c>
      <c r="CV264" s="217">
        <f t="shared" si="664"/>
        <v>3.577661431064572</v>
      </c>
      <c r="CW264" s="217">
        <f t="shared" si="665"/>
        <v>16</v>
      </c>
      <c r="CX264" s="217">
        <f t="shared" si="666"/>
        <v>1.3416585365853662</v>
      </c>
      <c r="CY264" s="217">
        <f t="shared" si="667"/>
        <v>0.26833170731707323</v>
      </c>
      <c r="CZ264" s="217">
        <f t="shared" si="668"/>
        <v>0.964066014312838</v>
      </c>
      <c r="DA264" s="197">
        <f t="shared" si="669"/>
        <v>350</v>
      </c>
      <c r="DB264" s="443">
        <f t="shared" si="670"/>
        <v>350</v>
      </c>
      <c r="DD264" s="217">
        <f t="shared" si="671"/>
        <v>3.1104488731607378</v>
      </c>
      <c r="DE264" s="173">
        <f t="shared" si="672"/>
        <v>2.23505308251071</v>
      </c>
      <c r="DF264" s="173">
        <f t="shared" si="673"/>
        <v>1.0814250754144243</v>
      </c>
      <c r="DG264" s="173"/>
      <c r="DH264" s="173">
        <f t="shared" si="674"/>
        <v>0.71856287425149712</v>
      </c>
      <c r="DI264" s="545">
        <f t="shared" si="675"/>
        <v>1335.9999999999998</v>
      </c>
      <c r="DJ264" s="528">
        <f t="shared" si="676"/>
        <v>0.125748502994012</v>
      </c>
      <c r="DL264" s="173">
        <f t="shared" si="677"/>
        <v>2.0283702113484399</v>
      </c>
      <c r="DM264" s="173">
        <f t="shared" si="678"/>
        <v>2.0283702113484399</v>
      </c>
      <c r="DN264" s="173">
        <f t="shared" si="679"/>
        <v>1.9617557121099554</v>
      </c>
      <c r="DP264" s="545">
        <f t="shared" si="680"/>
        <v>480</v>
      </c>
      <c r="DQ264" s="460">
        <f t="shared" si="681"/>
        <v>350</v>
      </c>
      <c r="DS264">
        <f t="shared" si="682"/>
        <v>480</v>
      </c>
      <c r="DT264">
        <f t="shared" si="683"/>
        <v>350</v>
      </c>
      <c r="DV264" s="5">
        <f t="shared" si="684"/>
        <v>2.8571428571428572</v>
      </c>
      <c r="DW264" s="5">
        <f t="shared" si="685"/>
        <v>0.40567404226968801</v>
      </c>
      <c r="DX264" s="5">
        <f t="shared" si="686"/>
        <v>2.4514688148731691</v>
      </c>
      <c r="DY264" s="173">
        <f t="shared" si="687"/>
        <v>0.14198591479439079</v>
      </c>
      <c r="EA264" s="5">
        <f t="shared" si="713"/>
        <v>1.217022126809064</v>
      </c>
      <c r="EB264" s="5">
        <f t="shared" si="714"/>
        <v>0.60851106340453198</v>
      </c>
      <c r="EC264" s="5">
        <f t="shared" si="715"/>
        <v>0.26149000691980467</v>
      </c>
      <c r="ED264" s="5"/>
      <c r="EE264" s="173">
        <f t="shared" si="716"/>
        <v>0.44127490330796093</v>
      </c>
      <c r="EF264" s="173">
        <f t="shared" si="717"/>
        <v>1.0847603565484505</v>
      </c>
      <c r="EG264" s="173">
        <f t="shared" si="718"/>
        <v>0.26640438168175179</v>
      </c>
      <c r="EH264" s="173"/>
      <c r="EI264" s="528">
        <f t="shared" si="719"/>
        <v>3.8944708057890055E-3</v>
      </c>
      <c r="EJ264" s="528">
        <f t="shared" si="720"/>
        <v>1.0345803681493286</v>
      </c>
      <c r="EK264" s="528">
        <f t="shared" si="721"/>
        <v>4.0250000000000001E-2</v>
      </c>
      <c r="EL264" s="528">
        <f t="shared" si="722"/>
        <v>1.0140631637499999</v>
      </c>
      <c r="EM264">
        <f t="shared" si="723"/>
        <v>2.7E-2</v>
      </c>
      <c r="EN264" s="460">
        <f t="shared" si="724"/>
        <v>67.25</v>
      </c>
      <c r="EP264" s="460">
        <f t="shared" si="725"/>
        <v>2119.7880027051178</v>
      </c>
      <c r="EQ264" s="173">
        <f t="shared" si="726"/>
        <v>0.33599999999999997</v>
      </c>
      <c r="ER264" s="173">
        <f t="shared" si="772"/>
        <v>5.3249999999999999E-2</v>
      </c>
      <c r="ES264" s="528"/>
      <c r="EU264" s="460">
        <f t="shared" si="727"/>
        <v>389.25</v>
      </c>
      <c r="EV264" s="528">
        <f t="shared" si="728"/>
        <v>5.8417062086835083E-3</v>
      </c>
      <c r="EW264" s="528">
        <f t="shared" si="729"/>
        <v>3.5301150934173638E-2</v>
      </c>
      <c r="EX264" s="528">
        <f t="shared" si="730"/>
        <v>3.5485647289618241E-4</v>
      </c>
      <c r="EY264" s="528">
        <f t="shared" si="731"/>
        <v>0.67144149160976652</v>
      </c>
      <c r="EZ264" s="528"/>
      <c r="FA264" s="625">
        <f t="shared" si="732"/>
        <v>7.2000000000000007E-3</v>
      </c>
      <c r="FB264" s="460">
        <f t="shared" si="733"/>
        <v>720.13920522551985</v>
      </c>
      <c r="FC264" s="173">
        <f t="shared" si="734"/>
        <v>3.2291772079306371</v>
      </c>
      <c r="FD264" s="5">
        <f t="shared" si="735"/>
        <v>8.64</v>
      </c>
      <c r="FE264" s="173">
        <f t="shared" si="736"/>
        <v>0.72793588372975049</v>
      </c>
      <c r="FF264" s="5">
        <f t="shared" si="737"/>
        <v>72.793588372975051</v>
      </c>
      <c r="FG264">
        <f t="shared" si="738"/>
        <v>48</v>
      </c>
      <c r="FI264" s="562">
        <f t="shared" si="689"/>
        <v>-50</v>
      </c>
    </row>
    <row r="265" spans="5:165">
      <c r="E265" s="170">
        <v>49</v>
      </c>
      <c r="F265" s="217">
        <f t="shared" si="773"/>
        <v>0.49</v>
      </c>
      <c r="G265" s="217">
        <f t="shared" si="742"/>
        <v>0.1225</v>
      </c>
      <c r="H265" s="217">
        <f t="shared" si="743"/>
        <v>7.84</v>
      </c>
      <c r="I265" s="217">
        <f t="shared" si="744"/>
        <v>0.98</v>
      </c>
      <c r="J265" s="541">
        <f t="shared" si="745"/>
        <v>59.934617159569434</v>
      </c>
      <c r="K265" s="443">
        <f t="shared" si="746"/>
        <v>16.728982753492378</v>
      </c>
      <c r="L265" s="172">
        <f t="shared" si="747"/>
        <v>76.663599913061816</v>
      </c>
      <c r="M265" s="443"/>
      <c r="N265" s="217">
        <f t="shared" si="748"/>
        <v>0.21821285163315324</v>
      </c>
      <c r="O265" s="172">
        <f t="shared" si="749"/>
        <v>29.063341604291029</v>
      </c>
      <c r="P265" s="172">
        <f t="shared" si="750"/>
        <v>4.0870324131034259</v>
      </c>
      <c r="Q265" s="217">
        <f t="shared" si="626"/>
        <v>1.8164588502681893</v>
      </c>
      <c r="R265" s="217">
        <f t="shared" si="751"/>
        <v>3.6329177005363786</v>
      </c>
      <c r="S265" s="217">
        <f t="shared" si="752"/>
        <v>16</v>
      </c>
      <c r="T265" s="217">
        <f t="shared" si="753"/>
        <v>1.3487781458073063</v>
      </c>
      <c r="U265" s="217">
        <f t="shared" si="630"/>
        <v>0.27004990632702242</v>
      </c>
      <c r="V265" s="217">
        <f t="shared" si="631"/>
        <v>0.96750280565079716</v>
      </c>
      <c r="W265" s="197">
        <f t="shared" si="632"/>
        <v>350</v>
      </c>
      <c r="X265" s="443">
        <f t="shared" si="691"/>
        <v>350</v>
      </c>
      <c r="Z265" s="217">
        <f t="shared" si="633"/>
        <v>3.1139294576026106</v>
      </c>
      <c r="AA265" s="173">
        <f t="shared" si="634"/>
        <v>2.2336775667624189</v>
      </c>
      <c r="AB265" s="173">
        <f t="shared" si="754"/>
        <v>1.0819689026109629</v>
      </c>
      <c r="AC265" s="173"/>
      <c r="AD265" s="173">
        <f t="shared" si="636"/>
        <v>0.71731797305456935</v>
      </c>
      <c r="AE265" s="545">
        <f t="shared" si="755"/>
        <v>1366.2002582018774</v>
      </c>
      <c r="AF265" s="528">
        <f t="shared" si="756"/>
        <v>0.12553064528454963</v>
      </c>
      <c r="AH265" s="173">
        <f t="shared" si="757"/>
        <v>2.0493901531919199</v>
      </c>
      <c r="AI265" s="173">
        <f t="shared" si="758"/>
        <v>2.0493901531919199</v>
      </c>
      <c r="AJ265" s="173">
        <f t="shared" si="759"/>
        <v>1.977326039401422</v>
      </c>
      <c r="AL265" s="545">
        <f t="shared" si="760"/>
        <v>490</v>
      </c>
      <c r="AM265" s="460">
        <f t="shared" si="761"/>
        <v>350</v>
      </c>
      <c r="AO265">
        <f t="shared" si="644"/>
        <v>490</v>
      </c>
      <c r="AP265">
        <f t="shared" si="645"/>
        <v>350</v>
      </c>
      <c r="AR265" s="5">
        <f t="shared" si="774"/>
        <v>2.8571428571428572</v>
      </c>
      <c r="AS265" s="5">
        <f t="shared" si="739"/>
        <v>0.41032516772114663</v>
      </c>
      <c r="AT265" s="5">
        <f t="shared" si="740"/>
        <v>2.4468176894217106</v>
      </c>
      <c r="AU265" s="173">
        <f t="shared" si="741"/>
        <v>0.14361380870240131</v>
      </c>
      <c r="BA265" s="173">
        <f t="shared" si="692"/>
        <v>0.44839640072525322</v>
      </c>
      <c r="BB265" s="173">
        <f t="shared" si="693"/>
        <v>1.0949614914765899</v>
      </c>
      <c r="BC265" s="173">
        <f t="shared" si="694"/>
        <v>0.26890966040675079</v>
      </c>
      <c r="BD265" s="173"/>
      <c r="BE265" s="528">
        <f t="shared" si="695"/>
        <v>4.0211866436672371E-3</v>
      </c>
      <c r="BF265" s="528">
        <f t="shared" si="762"/>
        <v>1.0035632909938466</v>
      </c>
      <c r="BG265" s="528">
        <f t="shared" si="763"/>
        <v>0.48247366813453396</v>
      </c>
      <c r="BH265" s="528">
        <f t="shared" si="696"/>
        <v>1.0131008892122233</v>
      </c>
      <c r="BI265">
        <f t="shared" si="697"/>
        <v>2.6970577721806246E-2</v>
      </c>
      <c r="BJ265" s="460">
        <f t="shared" si="698"/>
        <v>509.44424585634016</v>
      </c>
      <c r="BK265">
        <f t="shared" si="764"/>
        <v>2.0237046033192985</v>
      </c>
      <c r="BL265" s="460">
        <f t="shared" si="699"/>
        <v>2530.1296127060768</v>
      </c>
      <c r="BM265" s="173">
        <f t="shared" si="765"/>
        <v>0.30441249999999997</v>
      </c>
      <c r="BN265" s="173">
        <f t="shared" si="766"/>
        <v>5.4359374999999995E-2</v>
      </c>
      <c r="BQ265" s="460">
        <f t="shared" si="700"/>
        <v>358.77187499999997</v>
      </c>
      <c r="BR265" s="528">
        <f t="shared" si="701"/>
        <v>6.0317799655008556E-3</v>
      </c>
      <c r="BS265" s="528">
        <f t="shared" si="702"/>
        <v>3.5968220034499149E-2</v>
      </c>
      <c r="BT265" s="528">
        <f t="shared" si="703"/>
        <v>3.6156202730037014E-4</v>
      </c>
      <c r="BU265" s="528">
        <f t="shared" si="704"/>
        <v>0.68897224713634042</v>
      </c>
      <c r="BV265" s="528"/>
      <c r="BW265" s="625">
        <f t="shared" si="705"/>
        <v>7.3500000000000024E-3</v>
      </c>
      <c r="BX265" s="460">
        <f t="shared" si="706"/>
        <v>738.68380916364072</v>
      </c>
      <c r="BY265" s="173">
        <f t="shared" si="707"/>
        <v>3.6275852968697184</v>
      </c>
      <c r="BZ265" s="5">
        <f t="shared" si="708"/>
        <v>8.82</v>
      </c>
      <c r="CA265" s="173">
        <f t="shared" si="709"/>
        <v>0.70857116377567841</v>
      </c>
      <c r="CB265" s="5">
        <f t="shared" si="710"/>
        <v>70.857116377567849</v>
      </c>
      <c r="CC265">
        <f t="shared" si="711"/>
        <v>49</v>
      </c>
      <c r="CE265" s="562">
        <f t="shared" si="767"/>
        <v>-50</v>
      </c>
      <c r="CG265" s="173">
        <f t="shared" si="768"/>
        <v>0.50719818611663037</v>
      </c>
      <c r="CH265" s="173">
        <f t="shared" si="769"/>
        <v>0.18254298520197487</v>
      </c>
      <c r="CI265" s="170">
        <v>49</v>
      </c>
      <c r="CJ265" s="217">
        <f t="shared" si="712"/>
        <v>0.49</v>
      </c>
      <c r="CK265" s="217">
        <f t="shared" si="654"/>
        <v>0.1225</v>
      </c>
      <c r="CL265" s="217">
        <f t="shared" si="655"/>
        <v>7.84</v>
      </c>
      <c r="CM265" s="217">
        <f t="shared" si="656"/>
        <v>0.98</v>
      </c>
      <c r="CN265" s="541">
        <f t="shared" si="657"/>
        <v>60</v>
      </c>
      <c r="CO265" s="443">
        <f t="shared" si="770"/>
        <v>16.7</v>
      </c>
      <c r="CP265" s="443">
        <f t="shared" si="771"/>
        <v>76.7</v>
      </c>
      <c r="CQ265" s="443"/>
      <c r="CR265" s="217">
        <f t="shared" si="660"/>
        <v>0.21465968586387432</v>
      </c>
      <c r="CS265" s="172">
        <f t="shared" si="661"/>
        <v>28.621291448516576</v>
      </c>
      <c r="CT265" s="172">
        <f t="shared" si="662"/>
        <v>4.0248691099476437</v>
      </c>
      <c r="CU265" s="217">
        <f t="shared" si="663"/>
        <v>1.788830715532286</v>
      </c>
      <c r="CV265" s="217">
        <f t="shared" si="664"/>
        <v>3.577661431064572</v>
      </c>
      <c r="CW265" s="217">
        <f t="shared" si="665"/>
        <v>16</v>
      </c>
      <c r="CX265" s="217">
        <f t="shared" si="666"/>
        <v>1.3696097560975611</v>
      </c>
      <c r="CY265" s="217">
        <f t="shared" si="667"/>
        <v>0.27392195121951224</v>
      </c>
      <c r="CZ265" s="217">
        <f t="shared" si="668"/>
        <v>0.98415072294435535</v>
      </c>
      <c r="DA265" s="197">
        <f t="shared" si="669"/>
        <v>350</v>
      </c>
      <c r="DB265" s="443">
        <f t="shared" si="670"/>
        <v>350</v>
      </c>
      <c r="DD265" s="217">
        <f t="shared" si="671"/>
        <v>3.1104488731607378</v>
      </c>
      <c r="DE265" s="173">
        <f t="shared" si="672"/>
        <v>2.23505308251071</v>
      </c>
      <c r="DF265" s="173">
        <f t="shared" si="673"/>
        <v>1.0814250754144243</v>
      </c>
      <c r="DG265" s="173"/>
      <c r="DH265" s="173">
        <f t="shared" si="674"/>
        <v>0.71856287425149712</v>
      </c>
      <c r="DI265" s="545">
        <f t="shared" si="675"/>
        <v>1363.833333333333</v>
      </c>
      <c r="DJ265" s="528">
        <f t="shared" si="676"/>
        <v>0.125748502994012</v>
      </c>
      <c r="DL265" s="173">
        <f t="shared" si="677"/>
        <v>2.0493901531919199</v>
      </c>
      <c r="DM265" s="173">
        <f t="shared" si="678"/>
        <v>2.0493901531919199</v>
      </c>
      <c r="DN265" s="173">
        <f t="shared" si="679"/>
        <v>1.977326039401422</v>
      </c>
      <c r="DP265" s="545">
        <f t="shared" si="680"/>
        <v>490</v>
      </c>
      <c r="DQ265" s="460">
        <f t="shared" si="681"/>
        <v>350</v>
      </c>
      <c r="DS265">
        <f t="shared" si="682"/>
        <v>490</v>
      </c>
      <c r="DT265">
        <f t="shared" si="683"/>
        <v>350</v>
      </c>
      <c r="DV265" s="5">
        <f t="shared" si="684"/>
        <v>2.8571428571428572</v>
      </c>
      <c r="DW265" s="5">
        <f t="shared" si="685"/>
        <v>0.40987803063838402</v>
      </c>
      <c r="DX265" s="5">
        <f t="shared" si="686"/>
        <v>2.4472648265044734</v>
      </c>
      <c r="DY265" s="173">
        <f t="shared" si="687"/>
        <v>0.1434573107234344</v>
      </c>
      <c r="EA265" s="5">
        <f t="shared" si="713"/>
        <v>1.2552514688300511</v>
      </c>
      <c r="EB265" s="5">
        <f t="shared" si="714"/>
        <v>0.62762573441502556</v>
      </c>
      <c r="EC265" s="5">
        <f t="shared" si="715"/>
        <v>0.2664799477749315</v>
      </c>
      <c r="ED265" s="5"/>
      <c r="EE265" s="173">
        <f t="shared" si="716"/>
        <v>0.44815202221211525</v>
      </c>
      <c r="EF265" s="173">
        <f t="shared" si="717"/>
        <v>1.0950615347948225</v>
      </c>
      <c r="EG265" s="173">
        <f t="shared" si="718"/>
        <v>0.26893422986872845</v>
      </c>
      <c r="EH265" s="173"/>
      <c r="EI265" s="528">
        <f t="shared" si="719"/>
        <v>4.0168047002561644E-3</v>
      </c>
      <c r="EJ265" s="528">
        <f t="shared" si="720"/>
        <v>1.0453016945863047</v>
      </c>
      <c r="EK265" s="528">
        <f t="shared" si="721"/>
        <v>4.0250000000000001E-2</v>
      </c>
      <c r="EL265" s="528">
        <f t="shared" si="722"/>
        <v>1.0140631637499999</v>
      </c>
      <c r="EM265">
        <f t="shared" si="723"/>
        <v>2.7E-2</v>
      </c>
      <c r="EN265" s="460">
        <f t="shared" si="724"/>
        <v>67.25</v>
      </c>
      <c r="EP265" s="460">
        <f t="shared" si="725"/>
        <v>2130.6316630365609</v>
      </c>
      <c r="EQ265" s="173">
        <f t="shared" si="726"/>
        <v>0.34299999999999997</v>
      </c>
      <c r="ER265" s="173">
        <f t="shared" si="772"/>
        <v>5.4359374999999995E-2</v>
      </c>
      <c r="ES265" s="528"/>
      <c r="EU265" s="460">
        <f t="shared" si="727"/>
        <v>397.35937499999994</v>
      </c>
      <c r="EV265" s="528">
        <f t="shared" si="728"/>
        <v>6.0252070503842466E-3</v>
      </c>
      <c r="EW265" s="528">
        <f t="shared" si="729"/>
        <v>3.597479294961576E-2</v>
      </c>
      <c r="EX265" s="528">
        <f t="shared" si="730"/>
        <v>3.616280999754304E-4</v>
      </c>
      <c r="EY265" s="528">
        <f t="shared" si="731"/>
        <v>0.68897224713634042</v>
      </c>
      <c r="EZ265" s="528"/>
      <c r="FA265" s="625">
        <f t="shared" si="732"/>
        <v>7.3500000000000024E-3</v>
      </c>
      <c r="FB265" s="460">
        <f t="shared" si="733"/>
        <v>738.68387523631588</v>
      </c>
      <c r="FC265" s="173">
        <f t="shared" si="734"/>
        <v>3.266674913272877</v>
      </c>
      <c r="FD265" s="5">
        <f t="shared" si="735"/>
        <v>8.82</v>
      </c>
      <c r="FE265" s="173">
        <f t="shared" si="736"/>
        <v>0.72972923184310967</v>
      </c>
      <c r="FF265" s="5">
        <f t="shared" si="737"/>
        <v>72.972923184310972</v>
      </c>
      <c r="FG265">
        <f t="shared" si="738"/>
        <v>49</v>
      </c>
      <c r="FI265" s="562">
        <f t="shared" si="689"/>
        <v>-50</v>
      </c>
    </row>
    <row r="266" spans="5:165">
      <c r="E266" s="170">
        <v>50</v>
      </c>
      <c r="F266" s="217">
        <f t="shared" si="773"/>
        <v>0.5</v>
      </c>
      <c r="G266" s="217">
        <f t="shared" si="742"/>
        <v>0.125</v>
      </c>
      <c r="H266" s="217">
        <f t="shared" si="743"/>
        <v>8</v>
      </c>
      <c r="I266" s="217">
        <f t="shared" si="744"/>
        <v>1</v>
      </c>
      <c r="J266" s="541">
        <f t="shared" si="745"/>
        <v>59.933953357369013</v>
      </c>
      <c r="K266" s="443">
        <f t="shared" si="746"/>
        <v>16.729277002188454</v>
      </c>
      <c r="L266" s="172">
        <f t="shared" si="747"/>
        <v>76.663230359557474</v>
      </c>
      <c r="M266" s="443"/>
      <c r="N266" s="217">
        <f t="shared" si="748"/>
        <v>0.2182177417221611</v>
      </c>
      <c r="O266" s="172">
        <f t="shared" si="749"/>
        <v>29.063671009169784</v>
      </c>
      <c r="P266" s="172">
        <f t="shared" si="750"/>
        <v>4.0870787356645009</v>
      </c>
      <c r="Q266" s="217">
        <f t="shared" si="626"/>
        <v>1.8164794380731115</v>
      </c>
      <c r="R266" s="217">
        <f t="shared" si="751"/>
        <v>3.632958876146223</v>
      </c>
      <c r="S266" s="217">
        <f t="shared" si="752"/>
        <v>16</v>
      </c>
      <c r="T266" s="217">
        <f t="shared" si="753"/>
        <v>1.3762886315145713</v>
      </c>
      <c r="U266" s="217">
        <f t="shared" si="630"/>
        <v>0.27556105768124239</v>
      </c>
      <c r="V266" s="217">
        <f t="shared" si="631"/>
        <v>0.98721920714292488</v>
      </c>
      <c r="W266" s="197">
        <f t="shared" si="632"/>
        <v>350</v>
      </c>
      <c r="X266" s="443">
        <f t="shared" si="691"/>
        <v>350</v>
      </c>
      <c r="Z266" s="217">
        <f t="shared" si="633"/>
        <v>3.1139647509824773</v>
      </c>
      <c r="AA266" s="173">
        <f t="shared" si="634"/>
        <v>2.2336635950795398</v>
      </c>
      <c r="AB266" s="173">
        <f t="shared" si="754"/>
        <v>1.0819743978758529</v>
      </c>
      <c r="AC266" s="173"/>
      <c r="AD266" s="173">
        <f t="shared" si="636"/>
        <v>0.71730535625838521</v>
      </c>
      <c r="AE266" s="545">
        <f t="shared" si="755"/>
        <v>1394.1064168490379</v>
      </c>
      <c r="AF266" s="528">
        <f t="shared" si="756"/>
        <v>0.1255284373452174</v>
      </c>
      <c r="AH266" s="173">
        <f t="shared" si="757"/>
        <v>2.0701966780270626</v>
      </c>
      <c r="AI266" s="173">
        <f t="shared" si="758"/>
        <v>2.0701966780270626</v>
      </c>
      <c r="AJ266" s="173">
        <f t="shared" si="759"/>
        <v>1.9927382800200464</v>
      </c>
      <c r="AL266" s="545">
        <f t="shared" si="760"/>
        <v>500</v>
      </c>
      <c r="AM266" s="460">
        <f t="shared" si="761"/>
        <v>350</v>
      </c>
      <c r="AO266">
        <f t="shared" si="644"/>
        <v>500</v>
      </c>
      <c r="AP266">
        <f t="shared" si="645"/>
        <v>350</v>
      </c>
      <c r="AR266" s="5">
        <f t="shared" si="774"/>
        <v>2.8571428571428572</v>
      </c>
      <c r="AS266" s="5">
        <f t="shared" si="739"/>
        <v>0.41449560298812377</v>
      </c>
      <c r="AT266" s="5">
        <f t="shared" si="740"/>
        <v>2.4426472541547333</v>
      </c>
      <c r="AU266" s="173">
        <f t="shared" si="741"/>
        <v>0.14507346104584332</v>
      </c>
      <c r="BA266" s="173">
        <f t="shared" si="692"/>
        <v>0.45524477096839</v>
      </c>
      <c r="BB266" s="173">
        <f t="shared" si="693"/>
        <v>1.1051351171134536</v>
      </c>
      <c r="BC266" s="173">
        <f t="shared" si="694"/>
        <v>0.27140818317345106</v>
      </c>
      <c r="BD266" s="173"/>
      <c r="BE266" s="528">
        <f t="shared" si="695"/>
        <v>4.1449560298812372E-3</v>
      </c>
      <c r="BF266" s="528">
        <f t="shared" si="762"/>
        <v>1.0137471252697332</v>
      </c>
      <c r="BG266" s="528">
        <f t="shared" si="763"/>
        <v>0.48246832452682059</v>
      </c>
      <c r="BH266" s="528">
        <f t="shared" si="696"/>
        <v>1.013091122019399</v>
      </c>
      <c r="BI266">
        <f t="shared" si="697"/>
        <v>2.6970279010816056E-2</v>
      </c>
      <c r="BJ266" s="460">
        <f t="shared" si="698"/>
        <v>509.4386035376366</v>
      </c>
      <c r="BK266">
        <f t="shared" si="764"/>
        <v>2.0341056131775184</v>
      </c>
      <c r="BL266" s="460">
        <f t="shared" si="699"/>
        <v>2540.4218068566502</v>
      </c>
      <c r="BM266" s="173">
        <f t="shared" si="765"/>
        <v>0.31062499999999998</v>
      </c>
      <c r="BN266" s="173">
        <f t="shared" si="766"/>
        <v>5.5468749999999997E-2</v>
      </c>
      <c r="BQ266" s="460">
        <f t="shared" si="700"/>
        <v>366.09375</v>
      </c>
      <c r="BR266" s="528">
        <f t="shared" si="701"/>
        <v>6.2174340448218554E-3</v>
      </c>
      <c r="BS266" s="528">
        <f t="shared" si="702"/>
        <v>3.6639708812321002E-2</v>
      </c>
      <c r="BT266" s="528">
        <f t="shared" si="703"/>
        <v>3.6831200946756777E-4</v>
      </c>
      <c r="BU266" s="528">
        <f t="shared" si="704"/>
        <v>0.70659267931288139</v>
      </c>
      <c r="BV266" s="528"/>
      <c r="BW266" s="625">
        <f t="shared" si="705"/>
        <v>7.5000000000000006E-3</v>
      </c>
      <c r="BX266" s="460">
        <f t="shared" si="706"/>
        <v>757.31813417949184</v>
      </c>
      <c r="BY266" s="173">
        <f t="shared" si="707"/>
        <v>3.663833691036142</v>
      </c>
      <c r="BZ266" s="5">
        <f t="shared" si="708"/>
        <v>9</v>
      </c>
      <c r="CA266" s="173">
        <f t="shared" si="709"/>
        <v>0.71068526479232597</v>
      </c>
      <c r="CB266" s="5">
        <f t="shared" si="710"/>
        <v>71.068526479232602</v>
      </c>
      <c r="CC266">
        <f t="shared" si="711"/>
        <v>50</v>
      </c>
      <c r="CE266" s="562">
        <f t="shared" si="767"/>
        <v>-50</v>
      </c>
      <c r="CG266" s="173">
        <f t="shared" si="768"/>
        <v>0.51234753829797997</v>
      </c>
      <c r="CH266" s="173">
        <f t="shared" si="769"/>
        <v>0.18439626099193149</v>
      </c>
      <c r="CI266" s="170">
        <v>50</v>
      </c>
      <c r="CJ266" s="217">
        <f t="shared" si="712"/>
        <v>0.5</v>
      </c>
      <c r="CK266" s="217">
        <f t="shared" si="654"/>
        <v>0.125</v>
      </c>
      <c r="CL266" s="217">
        <f t="shared" si="655"/>
        <v>8</v>
      </c>
      <c r="CM266" s="217">
        <f t="shared" si="656"/>
        <v>1</v>
      </c>
      <c r="CN266" s="541">
        <f t="shared" si="657"/>
        <v>60</v>
      </c>
      <c r="CO266" s="443">
        <f t="shared" si="770"/>
        <v>16.7</v>
      </c>
      <c r="CP266" s="443">
        <f t="shared" si="771"/>
        <v>76.7</v>
      </c>
      <c r="CQ266" s="443"/>
      <c r="CR266" s="217">
        <f t="shared" si="660"/>
        <v>0.21465968586387432</v>
      </c>
      <c r="CS266" s="172">
        <f t="shared" si="661"/>
        <v>28.621291448516576</v>
      </c>
      <c r="CT266" s="172">
        <f t="shared" si="662"/>
        <v>4.0248691099476437</v>
      </c>
      <c r="CU266" s="217">
        <f t="shared" si="663"/>
        <v>1.788830715532286</v>
      </c>
      <c r="CV266" s="217">
        <f t="shared" si="664"/>
        <v>3.577661431064572</v>
      </c>
      <c r="CW266" s="217">
        <f t="shared" si="665"/>
        <v>16</v>
      </c>
      <c r="CX266" s="217">
        <f t="shared" si="666"/>
        <v>1.3975609756097562</v>
      </c>
      <c r="CY266" s="217">
        <f t="shared" si="667"/>
        <v>0.27951219512195125</v>
      </c>
      <c r="CZ266" s="217">
        <f t="shared" si="668"/>
        <v>1.0042354315758728</v>
      </c>
      <c r="DA266" s="197">
        <f t="shared" si="669"/>
        <v>350</v>
      </c>
      <c r="DB266" s="443">
        <f t="shared" si="670"/>
        <v>350</v>
      </c>
      <c r="DD266" s="217">
        <f t="shared" si="671"/>
        <v>3.1104488731607378</v>
      </c>
      <c r="DE266" s="173">
        <f t="shared" si="672"/>
        <v>2.23505308251071</v>
      </c>
      <c r="DF266" s="173">
        <f t="shared" si="673"/>
        <v>1.0814250754144243</v>
      </c>
      <c r="DG266" s="173"/>
      <c r="DH266" s="173">
        <f t="shared" si="674"/>
        <v>0.71856287425149712</v>
      </c>
      <c r="DI266" s="545">
        <f t="shared" si="675"/>
        <v>1391.6666666666665</v>
      </c>
      <c r="DJ266" s="528">
        <f t="shared" si="676"/>
        <v>0.125748502994012</v>
      </c>
      <c r="DL266" s="173">
        <f t="shared" si="677"/>
        <v>2.0701966780270626</v>
      </c>
      <c r="DM266" s="173">
        <f t="shared" si="678"/>
        <v>2.0701966780270626</v>
      </c>
      <c r="DN266" s="173">
        <f t="shared" si="679"/>
        <v>1.9927382800200464</v>
      </c>
      <c r="DP266" s="545">
        <f t="shared" si="680"/>
        <v>500</v>
      </c>
      <c r="DQ266" s="460">
        <f t="shared" si="681"/>
        <v>350</v>
      </c>
      <c r="DS266">
        <f t="shared" si="682"/>
        <v>500</v>
      </c>
      <c r="DT266">
        <f t="shared" si="683"/>
        <v>350</v>
      </c>
      <c r="DV266" s="5">
        <f t="shared" si="684"/>
        <v>2.8571428571428572</v>
      </c>
      <c r="DW266" s="5">
        <f t="shared" si="685"/>
        <v>0.41403933560541256</v>
      </c>
      <c r="DX266" s="5">
        <f t="shared" si="686"/>
        <v>2.4431035215374446</v>
      </c>
      <c r="DY266" s="173">
        <f t="shared" si="687"/>
        <v>0.14491376746189438</v>
      </c>
      <c r="EA266" s="5">
        <f t="shared" si="713"/>
        <v>1.2938729237669142</v>
      </c>
      <c r="EB266" s="5">
        <f t="shared" si="714"/>
        <v>0.6469364618834571</v>
      </c>
      <c r="EC266" s="5">
        <f t="shared" si="715"/>
        <v>0.2714559468374938</v>
      </c>
      <c r="ED266" s="5"/>
      <c r="EE266" s="173">
        <f t="shared" si="716"/>
        <v>0.45499414040480374</v>
      </c>
      <c r="EF266" s="173">
        <f t="shared" si="717"/>
        <v>1.1052383275876394</v>
      </c>
      <c r="EG266" s="173">
        <f t="shared" si="718"/>
        <v>0.27143353045167024</v>
      </c>
      <c r="EH266" s="173"/>
      <c r="EI266" s="528">
        <f t="shared" si="719"/>
        <v>4.1403933560541254E-3</v>
      </c>
      <c r="EJ266" s="528">
        <f t="shared" si="720"/>
        <v>1.0559141666110936</v>
      </c>
      <c r="EK266" s="528">
        <f t="shared" si="721"/>
        <v>4.0250000000000001E-2</v>
      </c>
      <c r="EL266" s="528">
        <f t="shared" si="722"/>
        <v>1.0140631637499999</v>
      </c>
      <c r="EM266">
        <f t="shared" si="723"/>
        <v>2.7E-2</v>
      </c>
      <c r="EN266" s="460">
        <f t="shared" si="724"/>
        <v>67.25</v>
      </c>
      <c r="EP266" s="460">
        <f t="shared" si="725"/>
        <v>2141.3677237171478</v>
      </c>
      <c r="EQ266" s="173">
        <f t="shared" si="726"/>
        <v>0.35</v>
      </c>
      <c r="ER266" s="173">
        <f t="shared" si="772"/>
        <v>5.5468749999999997E-2</v>
      </c>
      <c r="ES266" s="528"/>
      <c r="EU266" s="460">
        <f t="shared" si="727"/>
        <v>405.46875</v>
      </c>
      <c r="EV266" s="528">
        <f t="shared" si="728"/>
        <v>6.2105900340811877E-3</v>
      </c>
      <c r="EW266" s="528">
        <f t="shared" si="729"/>
        <v>3.6646552823061659E-2</v>
      </c>
      <c r="EX266" s="528">
        <f t="shared" si="730"/>
        <v>3.6838080726728895E-4</v>
      </c>
      <c r="EY266" s="528">
        <f t="shared" si="731"/>
        <v>0.70659267931288139</v>
      </c>
      <c r="EZ266" s="528"/>
      <c r="FA266" s="625">
        <f t="shared" si="732"/>
        <v>7.5000000000000006E-3</v>
      </c>
      <c r="FB266" s="460">
        <f t="shared" si="733"/>
        <v>757.31820297729143</v>
      </c>
      <c r="FC266" s="173">
        <f t="shared" si="734"/>
        <v>3.3041546766944392</v>
      </c>
      <c r="FD266" s="5">
        <f t="shared" si="735"/>
        <v>9</v>
      </c>
      <c r="FE266" s="173">
        <f t="shared" si="736"/>
        <v>0.73146024546059152</v>
      </c>
      <c r="FF266" s="5">
        <f t="shared" si="737"/>
        <v>73.146024546059152</v>
      </c>
      <c r="FG266">
        <f t="shared" si="738"/>
        <v>50</v>
      </c>
      <c r="FI266" s="562">
        <f t="shared" si="689"/>
        <v>-50</v>
      </c>
    </row>
    <row r="267" spans="5:165">
      <c r="E267" s="170">
        <v>51</v>
      </c>
      <c r="F267" s="217">
        <f t="shared" si="773"/>
        <v>0.51</v>
      </c>
      <c r="G267" s="217">
        <f t="shared" si="742"/>
        <v>0.1275</v>
      </c>
      <c r="H267" s="217">
        <f t="shared" si="743"/>
        <v>8.16</v>
      </c>
      <c r="I267" s="217">
        <f t="shared" si="744"/>
        <v>1.02</v>
      </c>
      <c r="J267" s="541">
        <f t="shared" si="745"/>
        <v>59.933296160658614</v>
      </c>
      <c r="K267" s="443">
        <f t="shared" si="746"/>
        <v>16.729568322818274</v>
      </c>
      <c r="L267" s="172">
        <f t="shared" si="747"/>
        <v>76.662864483476881</v>
      </c>
      <c r="M267" s="443"/>
      <c r="N267" s="217">
        <f t="shared" si="748"/>
        <v>0.21822258319637916</v>
      </c>
      <c r="O267" s="172">
        <f t="shared" si="749"/>
        <v>29.063997128116789</v>
      </c>
      <c r="P267" s="172">
        <f t="shared" si="750"/>
        <v>4.0871245961414235</v>
      </c>
      <c r="Q267" s="217">
        <f t="shared" si="626"/>
        <v>1.8164998205072993</v>
      </c>
      <c r="R267" s="217">
        <f t="shared" si="751"/>
        <v>3.6329996410145986</v>
      </c>
      <c r="S267" s="217">
        <f t="shared" si="752"/>
        <v>16</v>
      </c>
      <c r="T267" s="217">
        <f t="shared" si="753"/>
        <v>1.4037986523377985</v>
      </c>
      <c r="U267" s="217">
        <f t="shared" si="630"/>
        <v>0.2810722070566069</v>
      </c>
      <c r="V267" s="217">
        <f t="shared" si="631"/>
        <v>1.0069347578488961</v>
      </c>
      <c r="W267" s="197">
        <f t="shared" si="632"/>
        <v>350</v>
      </c>
      <c r="X267" s="443">
        <f t="shared" si="691"/>
        <v>350</v>
      </c>
      <c r="Z267" s="217">
        <f t="shared" si="633"/>
        <v>3.1139996922982274</v>
      </c>
      <c r="AA267" s="173">
        <f t="shared" si="634"/>
        <v>2.2336497622960598</v>
      </c>
      <c r="AB267" s="173">
        <f t="shared" si="754"/>
        <v>1.0819798379431904</v>
      </c>
      <c r="AC267" s="173"/>
      <c r="AD267" s="173">
        <f t="shared" si="636"/>
        <v>0.71729286544905135</v>
      </c>
      <c r="AE267" s="545">
        <f t="shared" si="755"/>
        <v>1422.0133074395533</v>
      </c>
      <c r="AF267" s="528">
        <f t="shared" si="756"/>
        <v>0.12552625145358398</v>
      </c>
      <c r="AH267" s="173">
        <f t="shared" si="757"/>
        <v>2.0907961573115088</v>
      </c>
      <c r="AI267" s="173">
        <f t="shared" si="758"/>
        <v>2.0907961573115088</v>
      </c>
      <c r="AJ267" s="173">
        <f t="shared" si="759"/>
        <v>2.0079971535640806</v>
      </c>
      <c r="AL267" s="545">
        <f t="shared" si="760"/>
        <v>510</v>
      </c>
      <c r="AM267" s="460">
        <f t="shared" si="761"/>
        <v>350</v>
      </c>
      <c r="AO267">
        <f t="shared" si="644"/>
        <v>510</v>
      </c>
      <c r="AP267">
        <f t="shared" si="645"/>
        <v>350</v>
      </c>
      <c r="AR267" s="5">
        <f t="shared" si="774"/>
        <v>2.8571428571428572</v>
      </c>
      <c r="AS267" s="5">
        <f t="shared" si="739"/>
        <v>0.41862462929591682</v>
      </c>
      <c r="AT267" s="5">
        <f t="shared" si="740"/>
        <v>2.4385182278469406</v>
      </c>
      <c r="AU267" s="173">
        <f t="shared" si="741"/>
        <v>0.14651862025357087</v>
      </c>
      <c r="BA267" s="173">
        <f t="shared" si="692"/>
        <v>0.46205904486430904</v>
      </c>
      <c r="BB267" s="173">
        <f t="shared" si="693"/>
        <v>1.1151880093517592</v>
      </c>
      <c r="BC267" s="173">
        <f t="shared" si="694"/>
        <v>0.27387705523785855</v>
      </c>
      <c r="BD267" s="173"/>
      <c r="BE267" s="528">
        <f t="shared" si="695"/>
        <v>4.2699712188183515E-3</v>
      </c>
      <c r="BF267" s="528">
        <f t="shared" si="762"/>
        <v>1.0238295235306152</v>
      </c>
      <c r="BG267" s="528">
        <f t="shared" si="763"/>
        <v>0.48246303409330188</v>
      </c>
      <c r="BH267" s="528">
        <f t="shared" si="696"/>
        <v>1.0130814520662084</v>
      </c>
      <c r="BI267">
        <f t="shared" si="697"/>
        <v>2.6969983272296376E-2</v>
      </c>
      <c r="BJ267" s="460">
        <f t="shared" si="698"/>
        <v>509.43301736559823</v>
      </c>
      <c r="BK267">
        <f t="shared" si="764"/>
        <v>2.0444079832724706</v>
      </c>
      <c r="BL267" s="460">
        <f t="shared" si="699"/>
        <v>2550.6139641812401</v>
      </c>
      <c r="BM267" s="173">
        <f t="shared" si="765"/>
        <v>0.31683749999999999</v>
      </c>
      <c r="BN267" s="173">
        <f t="shared" si="766"/>
        <v>5.6578125E-2</v>
      </c>
      <c r="BQ267" s="460">
        <f t="shared" si="700"/>
        <v>373.41562499999998</v>
      </c>
      <c r="BR267" s="528">
        <f t="shared" si="701"/>
        <v>6.4049568282275272E-3</v>
      </c>
      <c r="BS267" s="528">
        <f t="shared" si="702"/>
        <v>3.7309328886058181E-2</v>
      </c>
      <c r="BT267" s="528">
        <f t="shared" si="703"/>
        <v>3.7504320692880513E-4</v>
      </c>
      <c r="BU267" s="528">
        <f t="shared" si="704"/>
        <v>0.72430143943904668</v>
      </c>
      <c r="BV267" s="528"/>
      <c r="BW267" s="625">
        <f t="shared" si="705"/>
        <v>7.6500000000000014E-3</v>
      </c>
      <c r="BX267" s="460">
        <f t="shared" si="706"/>
        <v>776.04076836026127</v>
      </c>
      <c r="BY267" s="173">
        <f t="shared" si="707"/>
        <v>3.700070357541501</v>
      </c>
      <c r="BZ267" s="5">
        <f t="shared" si="708"/>
        <v>9.18</v>
      </c>
      <c r="CA267" s="173">
        <f t="shared" si="709"/>
        <v>0.71272902594238963</v>
      </c>
      <c r="CB267" s="5">
        <f t="shared" si="710"/>
        <v>71.272902594238957</v>
      </c>
      <c r="CC267">
        <f t="shared" si="711"/>
        <v>51</v>
      </c>
      <c r="CE267" s="562">
        <f t="shared" si="767"/>
        <v>-50</v>
      </c>
      <c r="CG267" s="173">
        <f t="shared" si="768"/>
        <v>0.5174456493198103</v>
      </c>
      <c r="CH267" s="173">
        <f t="shared" si="769"/>
        <v>0.18623109485035147</v>
      </c>
      <c r="CI267" s="170">
        <v>51</v>
      </c>
      <c r="CJ267" s="217">
        <f t="shared" si="712"/>
        <v>0.51</v>
      </c>
      <c r="CK267" s="217">
        <f t="shared" si="654"/>
        <v>0.1275</v>
      </c>
      <c r="CL267" s="217">
        <f t="shared" si="655"/>
        <v>8.16</v>
      </c>
      <c r="CM267" s="217">
        <f t="shared" si="656"/>
        <v>1.02</v>
      </c>
      <c r="CN267" s="541">
        <f t="shared" si="657"/>
        <v>60</v>
      </c>
      <c r="CO267" s="443">
        <f t="shared" si="770"/>
        <v>16.7</v>
      </c>
      <c r="CP267" s="443">
        <f t="shared" si="771"/>
        <v>76.7</v>
      </c>
      <c r="CQ267" s="443"/>
      <c r="CR267" s="217">
        <f t="shared" si="660"/>
        <v>0.21465968586387432</v>
      </c>
      <c r="CS267" s="172">
        <f t="shared" si="661"/>
        <v>28.621291448516576</v>
      </c>
      <c r="CT267" s="172">
        <f t="shared" si="662"/>
        <v>4.0248691099476437</v>
      </c>
      <c r="CU267" s="217">
        <f t="shared" si="663"/>
        <v>1.788830715532286</v>
      </c>
      <c r="CV267" s="217">
        <f t="shared" si="664"/>
        <v>3.577661431064572</v>
      </c>
      <c r="CW267" s="217">
        <f t="shared" si="665"/>
        <v>16</v>
      </c>
      <c r="CX267" s="217">
        <f t="shared" si="666"/>
        <v>1.4255121951219514</v>
      </c>
      <c r="CY267" s="217">
        <f t="shared" si="667"/>
        <v>0.28510243902439031</v>
      </c>
      <c r="CZ267" s="217">
        <f t="shared" si="668"/>
        <v>1.0243201402073905</v>
      </c>
      <c r="DA267" s="197">
        <f t="shared" si="669"/>
        <v>350</v>
      </c>
      <c r="DB267" s="443">
        <f t="shared" si="670"/>
        <v>350</v>
      </c>
      <c r="DD267" s="217">
        <f t="shared" si="671"/>
        <v>3.1104488731607378</v>
      </c>
      <c r="DE267" s="173">
        <f t="shared" si="672"/>
        <v>2.23505308251071</v>
      </c>
      <c r="DF267" s="173">
        <f t="shared" si="673"/>
        <v>1.0814250754144243</v>
      </c>
      <c r="DG267" s="173"/>
      <c r="DH267" s="173">
        <f t="shared" si="674"/>
        <v>0.71856287425149712</v>
      </c>
      <c r="DI267" s="545">
        <f t="shared" si="675"/>
        <v>1419.4999999999998</v>
      </c>
      <c r="DJ267" s="528">
        <f t="shared" si="676"/>
        <v>0.125748502994012</v>
      </c>
      <c r="DL267" s="173">
        <f t="shared" si="677"/>
        <v>2.0907961573115088</v>
      </c>
      <c r="DM267" s="173">
        <f t="shared" si="678"/>
        <v>2.0907961573115088</v>
      </c>
      <c r="DN267" s="173">
        <f t="shared" si="679"/>
        <v>2.0079971535640806</v>
      </c>
      <c r="DP267" s="545">
        <f t="shared" si="680"/>
        <v>510</v>
      </c>
      <c r="DQ267" s="460">
        <f t="shared" si="681"/>
        <v>350</v>
      </c>
      <c r="DS267">
        <f t="shared" si="682"/>
        <v>510</v>
      </c>
      <c r="DT267">
        <f t="shared" si="683"/>
        <v>350</v>
      </c>
      <c r="DV267" s="5">
        <f t="shared" si="684"/>
        <v>2.8571428571428572</v>
      </c>
      <c r="DW267" s="5">
        <f t="shared" si="685"/>
        <v>0.41815923146230177</v>
      </c>
      <c r="DX267" s="5">
        <f t="shared" si="686"/>
        <v>2.4389836256805553</v>
      </c>
      <c r="DY267" s="173">
        <f t="shared" si="687"/>
        <v>0.14635573101180563</v>
      </c>
      <c r="EA267" s="5">
        <f t="shared" si="713"/>
        <v>1.332882550286087</v>
      </c>
      <c r="EB267" s="5">
        <f t="shared" si="714"/>
        <v>0.66644127514304352</v>
      </c>
      <c r="EC267" s="5">
        <f t="shared" si="715"/>
        <v>0.27641814424379624</v>
      </c>
      <c r="ED267" s="5"/>
      <c r="EE267" s="173">
        <f t="shared" si="716"/>
        <v>0.46180213083719518</v>
      </c>
      <c r="EF267" s="173">
        <f t="shared" si="717"/>
        <v>1.1152944226064629</v>
      </c>
      <c r="EG267" s="173">
        <f t="shared" si="718"/>
        <v>0.27390318908129307</v>
      </c>
      <c r="EH267" s="173"/>
      <c r="EI267" s="528">
        <f t="shared" si="719"/>
        <v>4.2652241609154795E-3</v>
      </c>
      <c r="EJ267" s="528">
        <f t="shared" si="720"/>
        <v>1.0664210340175218</v>
      </c>
      <c r="EK267" s="528">
        <f t="shared" si="721"/>
        <v>4.0250000000000001E-2</v>
      </c>
      <c r="EL267" s="528">
        <f t="shared" si="722"/>
        <v>1.0140631637499999</v>
      </c>
      <c r="EM267">
        <f t="shared" si="723"/>
        <v>2.7E-2</v>
      </c>
      <c r="EN267" s="460">
        <f t="shared" si="724"/>
        <v>67.25</v>
      </c>
      <c r="EP267" s="460">
        <f t="shared" si="725"/>
        <v>2151.9994219284372</v>
      </c>
      <c r="EQ267" s="173">
        <f t="shared" si="726"/>
        <v>0.35699999999999998</v>
      </c>
      <c r="ER267" s="173">
        <f t="shared" si="772"/>
        <v>5.6578125E-2</v>
      </c>
      <c r="ES267" s="528"/>
      <c r="EU267" s="460">
        <f t="shared" si="727"/>
        <v>413.57812499999994</v>
      </c>
      <c r="EV267" s="528">
        <f t="shared" si="728"/>
        <v>6.3978362413732179E-3</v>
      </c>
      <c r="EW267" s="528">
        <f t="shared" si="729"/>
        <v>3.7316449472912509E-2</v>
      </c>
      <c r="EX267" s="528">
        <f t="shared" si="730"/>
        <v>3.7511478494451294E-4</v>
      </c>
      <c r="EY267" s="528">
        <f t="shared" si="731"/>
        <v>0.72430143943904668</v>
      </c>
      <c r="EZ267" s="528"/>
      <c r="FA267" s="625">
        <f t="shared" si="732"/>
        <v>7.6500000000000014E-3</v>
      </c>
      <c r="FB267" s="460">
        <f t="shared" si="733"/>
        <v>776.04083993827703</v>
      </c>
      <c r="FC267" s="173">
        <f t="shared" si="734"/>
        <v>3.3416183868667142</v>
      </c>
      <c r="FD267" s="5">
        <f t="shared" si="735"/>
        <v>9.18</v>
      </c>
      <c r="FE267" s="173">
        <f t="shared" si="736"/>
        <v>0.73313206938397302</v>
      </c>
      <c r="FF267" s="5">
        <f t="shared" si="737"/>
        <v>73.3132069383973</v>
      </c>
      <c r="FG267">
        <f t="shared" si="738"/>
        <v>51</v>
      </c>
      <c r="FI267" s="562">
        <f t="shared" si="689"/>
        <v>-50</v>
      </c>
    </row>
    <row r="268" spans="5:165">
      <c r="E268" s="170">
        <v>52</v>
      </c>
      <c r="F268" s="217">
        <f t="shared" si="773"/>
        <v>0.52</v>
      </c>
      <c r="G268" s="217">
        <f t="shared" si="742"/>
        <v>0.13</v>
      </c>
      <c r="H268" s="217">
        <f t="shared" si="743"/>
        <v>8.32</v>
      </c>
      <c r="I268" s="217">
        <f t="shared" si="744"/>
        <v>1.04</v>
      </c>
      <c r="J268" s="541">
        <f t="shared" si="745"/>
        <v>59.932645376083464</v>
      </c>
      <c r="K268" s="443">
        <f t="shared" si="746"/>
        <v>16.729856801091685</v>
      </c>
      <c r="L268" s="172">
        <f t="shared" si="747"/>
        <v>76.662502177175156</v>
      </c>
      <c r="M268" s="443"/>
      <c r="N268" s="217">
        <f t="shared" si="748"/>
        <v>0.2182273774788516</v>
      </c>
      <c r="O268" s="172">
        <f t="shared" si="749"/>
        <v>29.064320057317143</v>
      </c>
      <c r="P268" s="172">
        <f t="shared" si="750"/>
        <v>4.0871700080602231</v>
      </c>
      <c r="Q268" s="217">
        <f t="shared" si="626"/>
        <v>1.8165200035823215</v>
      </c>
      <c r="R268" s="217">
        <f t="shared" si="751"/>
        <v>3.6330400071646429</v>
      </c>
      <c r="S268" s="217">
        <f t="shared" si="752"/>
        <v>16</v>
      </c>
      <c r="T268" s="217">
        <f t="shared" si="753"/>
        <v>1.4313082128865047</v>
      </c>
      <c r="U268" s="217">
        <f t="shared" si="630"/>
        <v>0.28658335447832806</v>
      </c>
      <c r="V268" s="217">
        <f t="shared" si="631"/>
        <v>1.0266494662116461</v>
      </c>
      <c r="W268" s="197">
        <f t="shared" si="632"/>
        <v>350</v>
      </c>
      <c r="X268" s="443">
        <f t="shared" si="691"/>
        <v>350</v>
      </c>
      <c r="Z268" s="217">
        <f t="shared" si="633"/>
        <v>3.1140342918554085</v>
      </c>
      <c r="AA268" s="173">
        <f t="shared" si="634"/>
        <v>2.2336360643461379</v>
      </c>
      <c r="AB268" s="173">
        <f t="shared" si="754"/>
        <v>1.0819852244287065</v>
      </c>
      <c r="AC268" s="173"/>
      <c r="AD268" s="173">
        <f t="shared" si="636"/>
        <v>0.71728049693868012</v>
      </c>
      <c r="AE268" s="545">
        <f t="shared" si="755"/>
        <v>1449.9209227612794</v>
      </c>
      <c r="AF268" s="528">
        <f t="shared" si="756"/>
        <v>0.12552408696426903</v>
      </c>
      <c r="AH268" s="173">
        <f t="shared" si="757"/>
        <v>2.1111946516469904</v>
      </c>
      <c r="AI268" s="173">
        <f t="shared" si="758"/>
        <v>2.1111946516469904</v>
      </c>
      <c r="AJ268" s="173">
        <f t="shared" si="759"/>
        <v>2.023107149368141</v>
      </c>
      <c r="AL268" s="545">
        <f t="shared" si="760"/>
        <v>520</v>
      </c>
      <c r="AM268" s="460">
        <f t="shared" si="761"/>
        <v>350</v>
      </c>
      <c r="AO268">
        <f t="shared" si="644"/>
        <v>520</v>
      </c>
      <c r="AP268">
        <f t="shared" si="645"/>
        <v>350</v>
      </c>
      <c r="AR268" s="5">
        <f t="shared" si="774"/>
        <v>2.8571428571428572</v>
      </c>
      <c r="AS268" s="5">
        <f t="shared" si="739"/>
        <v>0.42271345876338917</v>
      </c>
      <c r="AT268" s="5">
        <f t="shared" si="740"/>
        <v>2.4344293983794678</v>
      </c>
      <c r="AU268" s="173">
        <f t="shared" si="741"/>
        <v>0.1479497105671862</v>
      </c>
      <c r="BA268" s="173">
        <f t="shared" si="692"/>
        <v>0.46884005647657961</v>
      </c>
      <c r="BB268" s="173">
        <f t="shared" si="693"/>
        <v>1.1251236763828782</v>
      </c>
      <c r="BC268" s="173">
        <f t="shared" si="694"/>
        <v>0.27631713817050091</v>
      </c>
      <c r="BD268" s="173"/>
      <c r="BE268" s="528">
        <f t="shared" si="695"/>
        <v>4.3962199711392478E-3</v>
      </c>
      <c r="BF268" s="528">
        <f t="shared" si="762"/>
        <v>1.0338134549940698</v>
      </c>
      <c r="BG268" s="528">
        <f t="shared" si="763"/>
        <v>0.4824577952774719</v>
      </c>
      <c r="BH268" s="528">
        <f t="shared" si="696"/>
        <v>1.013071876506271</v>
      </c>
      <c r="BI268">
        <f t="shared" si="697"/>
        <v>2.6969690419237559E-2</v>
      </c>
      <c r="BJ268" s="460">
        <f t="shared" si="698"/>
        <v>509.42748569670948</v>
      </c>
      <c r="BK268">
        <f t="shared" si="764"/>
        <v>2.0546146618947727</v>
      </c>
      <c r="BL268" s="460">
        <f t="shared" si="699"/>
        <v>2560.7090371681898</v>
      </c>
      <c r="BM268" s="173">
        <f t="shared" si="765"/>
        <v>0.32304999999999995</v>
      </c>
      <c r="BN268" s="173">
        <f t="shared" si="766"/>
        <v>5.7687499999999996E-2</v>
      </c>
      <c r="BQ268" s="460">
        <f t="shared" si="700"/>
        <v>380.73749999999995</v>
      </c>
      <c r="BR268" s="528">
        <f t="shared" si="701"/>
        <v>6.5943299567088713E-3</v>
      </c>
      <c r="BS268" s="528">
        <f t="shared" si="702"/>
        <v>3.7977098614719706E-2</v>
      </c>
      <c r="BT268" s="528">
        <f t="shared" si="703"/>
        <v>3.8175580423367847E-4</v>
      </c>
      <c r="BU268" s="528">
        <f t="shared" si="704"/>
        <v>0.74209722521654342</v>
      </c>
      <c r="BV268" s="528"/>
      <c r="BW268" s="625">
        <f t="shared" si="705"/>
        <v>7.8000000000000014E-3</v>
      </c>
      <c r="BX268" s="460">
        <f t="shared" si="706"/>
        <v>794.85040959220578</v>
      </c>
      <c r="BY268" s="173">
        <f t="shared" si="707"/>
        <v>3.7362969467603953</v>
      </c>
      <c r="BZ268" s="5">
        <f t="shared" si="708"/>
        <v>9.36</v>
      </c>
      <c r="CA268" s="173">
        <f t="shared" si="709"/>
        <v>0.71470584685508098</v>
      </c>
      <c r="CB268" s="5">
        <f t="shared" si="710"/>
        <v>71.470584685508101</v>
      </c>
      <c r="CC268">
        <f t="shared" si="711"/>
        <v>52</v>
      </c>
      <c r="CE268" s="562">
        <f t="shared" si="767"/>
        <v>-50</v>
      </c>
      <c r="CG268" s="173">
        <f t="shared" si="768"/>
        <v>0.52249401910452531</v>
      </c>
      <c r="CH268" s="173">
        <f t="shared" si="769"/>
        <v>0.18804802660628134</v>
      </c>
      <c r="CI268" s="170">
        <v>52</v>
      </c>
      <c r="CJ268" s="217">
        <f t="shared" si="712"/>
        <v>0.52</v>
      </c>
      <c r="CK268" s="217">
        <f t="shared" si="654"/>
        <v>0.13</v>
      </c>
      <c r="CL268" s="217">
        <f t="shared" si="655"/>
        <v>8.32</v>
      </c>
      <c r="CM268" s="217">
        <f t="shared" si="656"/>
        <v>1.04</v>
      </c>
      <c r="CN268" s="541">
        <f t="shared" si="657"/>
        <v>60</v>
      </c>
      <c r="CO268" s="443">
        <f t="shared" si="770"/>
        <v>16.7</v>
      </c>
      <c r="CP268" s="443">
        <f t="shared" si="771"/>
        <v>76.7</v>
      </c>
      <c r="CQ268" s="443"/>
      <c r="CR268" s="217">
        <f t="shared" si="660"/>
        <v>0.21465968586387432</v>
      </c>
      <c r="CS268" s="172">
        <f t="shared" si="661"/>
        <v>28.621291448516576</v>
      </c>
      <c r="CT268" s="172">
        <f t="shared" si="662"/>
        <v>4.0248691099476437</v>
      </c>
      <c r="CU268" s="217">
        <f t="shared" si="663"/>
        <v>1.788830715532286</v>
      </c>
      <c r="CV268" s="217">
        <f t="shared" si="664"/>
        <v>3.577661431064572</v>
      </c>
      <c r="CW268" s="217">
        <f t="shared" si="665"/>
        <v>16</v>
      </c>
      <c r="CX268" s="217">
        <f t="shared" si="666"/>
        <v>1.4534634146341463</v>
      </c>
      <c r="CY268" s="217">
        <f t="shared" si="667"/>
        <v>0.29069268292682926</v>
      </c>
      <c r="CZ268" s="217">
        <f t="shared" si="668"/>
        <v>1.0444048488389077</v>
      </c>
      <c r="DA268" s="197">
        <f t="shared" si="669"/>
        <v>350</v>
      </c>
      <c r="DB268" s="443">
        <f t="shared" si="670"/>
        <v>350</v>
      </c>
      <c r="DD268" s="217">
        <f t="shared" si="671"/>
        <v>3.1104488731607378</v>
      </c>
      <c r="DE268" s="173">
        <f t="shared" si="672"/>
        <v>2.23505308251071</v>
      </c>
      <c r="DF268" s="173">
        <f t="shared" si="673"/>
        <v>1.0814250754144243</v>
      </c>
      <c r="DG268" s="173"/>
      <c r="DH268" s="173">
        <f t="shared" si="674"/>
        <v>0.71856287425149712</v>
      </c>
      <c r="DI268" s="545">
        <f t="shared" si="675"/>
        <v>1447.3333333333333</v>
      </c>
      <c r="DJ268" s="528">
        <f t="shared" si="676"/>
        <v>0.125748502994012</v>
      </c>
      <c r="DL268" s="173">
        <f t="shared" si="677"/>
        <v>2.1111946516469904</v>
      </c>
      <c r="DM268" s="173">
        <f t="shared" si="678"/>
        <v>2.1111946516469904</v>
      </c>
      <c r="DN268" s="173">
        <f t="shared" si="679"/>
        <v>2.023107149368141</v>
      </c>
      <c r="DP268" s="545">
        <f t="shared" si="680"/>
        <v>520</v>
      </c>
      <c r="DQ268" s="460">
        <f t="shared" si="681"/>
        <v>350</v>
      </c>
      <c r="DS268">
        <f t="shared" si="682"/>
        <v>520</v>
      </c>
      <c r="DT268">
        <f t="shared" si="683"/>
        <v>350</v>
      </c>
      <c r="DV268" s="5">
        <f t="shared" si="684"/>
        <v>2.8571428571428572</v>
      </c>
      <c r="DW268" s="5">
        <f t="shared" si="685"/>
        <v>0.42223893032939808</v>
      </c>
      <c r="DX268" s="5">
        <f t="shared" si="686"/>
        <v>2.4349039268134591</v>
      </c>
      <c r="DY268" s="173">
        <f t="shared" si="687"/>
        <v>0.14778362561528932</v>
      </c>
      <c r="EA268" s="5">
        <f t="shared" si="713"/>
        <v>1.3722765235705436</v>
      </c>
      <c r="EB268" s="5">
        <f t="shared" si="714"/>
        <v>0.68613826178527182</v>
      </c>
      <c r="EC268" s="5">
        <f t="shared" si="715"/>
        <v>0.281366675987333</v>
      </c>
      <c r="ED268" s="5"/>
      <c r="EE268" s="173">
        <f t="shared" si="716"/>
        <v>0.46857682803494133</v>
      </c>
      <c r="EF268" s="173">
        <f t="shared" si="717"/>
        <v>1.1252333277782873</v>
      </c>
      <c r="EG268" s="173">
        <f t="shared" si="718"/>
        <v>0.27634406726319705</v>
      </c>
      <c r="EH268" s="173"/>
      <c r="EI268" s="528">
        <f t="shared" si="719"/>
        <v>4.3912848754257394E-3</v>
      </c>
      <c r="EJ268" s="528">
        <f t="shared" si="720"/>
        <v>1.0768253880458059</v>
      </c>
      <c r="EK268" s="528">
        <f t="shared" si="721"/>
        <v>4.0250000000000001E-2</v>
      </c>
      <c r="EL268" s="528">
        <f t="shared" si="722"/>
        <v>1.0140631637499999</v>
      </c>
      <c r="EM268">
        <f t="shared" si="723"/>
        <v>2.7E-2</v>
      </c>
      <c r="EN268" s="460">
        <f t="shared" si="724"/>
        <v>67.25</v>
      </c>
      <c r="EP268" s="460">
        <f t="shared" si="725"/>
        <v>2162.5298366712314</v>
      </c>
      <c r="EQ268" s="173">
        <f t="shared" si="726"/>
        <v>0.36399999999999999</v>
      </c>
      <c r="ER268" s="173">
        <f t="shared" si="772"/>
        <v>5.7687499999999996E-2</v>
      </c>
      <c r="ES268" s="528"/>
      <c r="EU268" s="460">
        <f t="shared" si="727"/>
        <v>421.6875</v>
      </c>
      <c r="EV268" s="528">
        <f t="shared" si="728"/>
        <v>6.586927313138609E-3</v>
      </c>
      <c r="EW268" s="528">
        <f t="shared" si="729"/>
        <v>3.7984501258289956E-2</v>
      </c>
      <c r="EX268" s="528">
        <f t="shared" si="730"/>
        <v>3.8183021755783182E-4</v>
      </c>
      <c r="EY268" s="528">
        <f t="shared" si="731"/>
        <v>0.74209722521654342</v>
      </c>
      <c r="EZ268" s="528"/>
      <c r="FA268" s="625">
        <f t="shared" si="732"/>
        <v>7.8000000000000014E-3</v>
      </c>
      <c r="FB268" s="460">
        <f t="shared" si="733"/>
        <v>794.85048400552978</v>
      </c>
      <c r="FC268" s="173">
        <f t="shared" si="734"/>
        <v>3.3790678206767613</v>
      </c>
      <c r="FD268" s="5">
        <f t="shared" si="735"/>
        <v>9.36</v>
      </c>
      <c r="FE268" s="173">
        <f t="shared" si="736"/>
        <v>0.73474763866221027</v>
      </c>
      <c r="FF268" s="5">
        <f t="shared" si="737"/>
        <v>73.474763866221025</v>
      </c>
      <c r="FG268">
        <f t="shared" si="738"/>
        <v>52</v>
      </c>
      <c r="FI268" s="562">
        <f t="shared" si="689"/>
        <v>-50</v>
      </c>
    </row>
    <row r="269" spans="5:165">
      <c r="E269" s="170">
        <v>53</v>
      </c>
      <c r="F269" s="217">
        <f t="shared" si="773"/>
        <v>0.53</v>
      </c>
      <c r="G269" s="217">
        <f t="shared" si="742"/>
        <v>0.13250000000000001</v>
      </c>
      <c r="H269" s="217">
        <f t="shared" si="743"/>
        <v>8.48</v>
      </c>
      <c r="I269" s="217">
        <f t="shared" si="744"/>
        <v>1.06</v>
      </c>
      <c r="J269" s="541">
        <f t="shared" si="745"/>
        <v>59.932000819541742</v>
      </c>
      <c r="K269" s="443">
        <f t="shared" si="746"/>
        <v>16.730142518616919</v>
      </c>
      <c r="L269" s="172">
        <f t="shared" si="747"/>
        <v>76.662143338158657</v>
      </c>
      <c r="M269" s="443"/>
      <c r="N269" s="217">
        <f t="shared" si="748"/>
        <v>0.21823212592452362</v>
      </c>
      <c r="O269" s="172">
        <f t="shared" si="749"/>
        <v>29.064639888353081</v>
      </c>
      <c r="P269" s="172">
        <f t="shared" si="750"/>
        <v>4.0872149842996519</v>
      </c>
      <c r="Q269" s="217">
        <f t="shared" si="626"/>
        <v>1.8165399930220676</v>
      </c>
      <c r="R269" s="217">
        <f t="shared" si="751"/>
        <v>3.6330799860441352</v>
      </c>
      <c r="S269" s="217">
        <f t="shared" si="752"/>
        <v>16</v>
      </c>
      <c r="T269" s="217">
        <f t="shared" si="753"/>
        <v>1.4588173176365669</v>
      </c>
      <c r="U269" s="217">
        <f t="shared" si="630"/>
        <v>0.29209449997088643</v>
      </c>
      <c r="V269" s="217">
        <f t="shared" si="631"/>
        <v>1.0463633404293322</v>
      </c>
      <c r="W269" s="197">
        <f t="shared" si="632"/>
        <v>350</v>
      </c>
      <c r="X269" s="443">
        <f t="shared" si="691"/>
        <v>350</v>
      </c>
      <c r="Z269" s="217">
        <f t="shared" si="633"/>
        <v>3.1140685594664013</v>
      </c>
      <c r="AA269" s="173">
        <f t="shared" si="634"/>
        <v>2.2336224973585046</v>
      </c>
      <c r="AB269" s="173">
        <f t="shared" si="754"/>
        <v>1.0819905588708136</v>
      </c>
      <c r="AC269" s="173"/>
      <c r="AD269" s="173">
        <f t="shared" si="636"/>
        <v>0.71726824721586657</v>
      </c>
      <c r="AE269" s="545">
        <f t="shared" si="755"/>
        <v>1477.8292558111611</v>
      </c>
      <c r="AF269" s="528">
        <f t="shared" si="756"/>
        <v>0.12552194326277663</v>
      </c>
      <c r="AH269" s="173">
        <f t="shared" si="757"/>
        <v>2.1313979316066587</v>
      </c>
      <c r="AI269" s="173">
        <f t="shared" si="758"/>
        <v>2.1313979316066587</v>
      </c>
      <c r="AJ269" s="173">
        <f t="shared" si="759"/>
        <v>2.0380725419308581</v>
      </c>
      <c r="AL269" s="545">
        <f t="shared" si="760"/>
        <v>530</v>
      </c>
      <c r="AM269" s="460">
        <f t="shared" si="761"/>
        <v>350</v>
      </c>
      <c r="AO269">
        <f t="shared" si="644"/>
        <v>530</v>
      </c>
      <c r="AP269">
        <f t="shared" si="645"/>
        <v>350</v>
      </c>
      <c r="AR269" s="5">
        <f t="shared" si="774"/>
        <v>2.8571428571428572</v>
      </c>
      <c r="AS269" s="5">
        <f t="shared" si="739"/>
        <v>0.42676324550373107</v>
      </c>
      <c r="AT269" s="5">
        <f t="shared" si="740"/>
        <v>2.4303796116391263</v>
      </c>
      <c r="AU269" s="173">
        <f t="shared" si="741"/>
        <v>0.14936713592630588</v>
      </c>
      <c r="BA269" s="173">
        <f t="shared" si="692"/>
        <v>0.4755886038552411</v>
      </c>
      <c r="BB269" s="173">
        <f t="shared" si="693"/>
        <v>1.1349454586757624</v>
      </c>
      <c r="BC269" s="173">
        <f t="shared" si="694"/>
        <v>0.2787292523512534</v>
      </c>
      <c r="BD269" s="173"/>
      <c r="BE269" s="528">
        <f t="shared" si="695"/>
        <v>4.5236904023395492E-3</v>
      </c>
      <c r="BF269" s="528">
        <f t="shared" si="762"/>
        <v>1.0437017467865077</v>
      </c>
      <c r="BG269" s="528">
        <f t="shared" si="763"/>
        <v>0.48245260659731104</v>
      </c>
      <c r="BH269" s="528">
        <f t="shared" si="696"/>
        <v>1.013062392629416</v>
      </c>
      <c r="BI269">
        <f t="shared" si="697"/>
        <v>2.6969400368793781E-2</v>
      </c>
      <c r="BJ269" s="460">
        <f t="shared" si="698"/>
        <v>509.42200696610485</v>
      </c>
      <c r="BK269">
        <f t="shared" si="764"/>
        <v>2.064728455917249</v>
      </c>
      <c r="BL269" s="460">
        <f t="shared" si="699"/>
        <v>2570.7098367843682</v>
      </c>
      <c r="BM269" s="173">
        <f t="shared" si="765"/>
        <v>0.32926249999999996</v>
      </c>
      <c r="BN269" s="173">
        <f t="shared" si="766"/>
        <v>5.8796874999999998E-2</v>
      </c>
      <c r="BQ269" s="460">
        <f t="shared" si="700"/>
        <v>388.05937499999999</v>
      </c>
      <c r="BR269" s="528">
        <f t="shared" si="701"/>
        <v>6.7855356035093238E-3</v>
      </c>
      <c r="BS269" s="528">
        <f t="shared" si="702"/>
        <v>3.8643035825062094E-2</v>
      </c>
      <c r="BT269" s="528">
        <f t="shared" si="703"/>
        <v>3.8844998058144348E-4</v>
      </c>
      <c r="BU269" s="528">
        <f t="shared" si="704"/>
        <v>0.7599787782886005</v>
      </c>
      <c r="BV269" s="528"/>
      <c r="BW269" s="625">
        <f t="shared" si="705"/>
        <v>7.9500000000000005E-3</v>
      </c>
      <c r="BX269" s="460">
        <f t="shared" si="706"/>
        <v>813.74579969775345</v>
      </c>
      <c r="BY269" s="173">
        <f t="shared" si="707"/>
        <v>3.7725150114821218</v>
      </c>
      <c r="BZ269" s="5">
        <f t="shared" si="708"/>
        <v>9.5400000000000009</v>
      </c>
      <c r="CA269" s="173">
        <f t="shared" si="709"/>
        <v>0.7166189102338435</v>
      </c>
      <c r="CB269" s="5">
        <f t="shared" si="710"/>
        <v>71.661891023384356</v>
      </c>
      <c r="CC269">
        <f t="shared" si="711"/>
        <v>53</v>
      </c>
      <c r="CE269" s="562">
        <f t="shared" si="767"/>
        <v>-50</v>
      </c>
      <c r="CG269" s="173">
        <f t="shared" si="768"/>
        <v>0.5274940757961174</v>
      </c>
      <c r="CH269" s="173">
        <f t="shared" si="769"/>
        <v>0.18984757025538354</v>
      </c>
      <c r="CI269" s="170">
        <v>53</v>
      </c>
      <c r="CJ269" s="217">
        <f t="shared" si="712"/>
        <v>0.53</v>
      </c>
      <c r="CK269" s="217">
        <f t="shared" si="654"/>
        <v>0.13250000000000001</v>
      </c>
      <c r="CL269" s="217">
        <f t="shared" si="655"/>
        <v>8.48</v>
      </c>
      <c r="CM269" s="217">
        <f t="shared" si="656"/>
        <v>1.06</v>
      </c>
      <c r="CN269" s="541">
        <f t="shared" si="657"/>
        <v>60</v>
      </c>
      <c r="CO269" s="443">
        <f t="shared" si="770"/>
        <v>16.7</v>
      </c>
      <c r="CP269" s="443">
        <f t="shared" si="771"/>
        <v>76.7</v>
      </c>
      <c r="CQ269" s="443"/>
      <c r="CR269" s="217">
        <f t="shared" si="660"/>
        <v>0.21465968586387432</v>
      </c>
      <c r="CS269" s="172">
        <f t="shared" si="661"/>
        <v>28.621291448516576</v>
      </c>
      <c r="CT269" s="172">
        <f t="shared" si="662"/>
        <v>4.0248691099476437</v>
      </c>
      <c r="CU269" s="217">
        <f t="shared" si="663"/>
        <v>1.788830715532286</v>
      </c>
      <c r="CV269" s="217">
        <f t="shared" si="664"/>
        <v>3.577661431064572</v>
      </c>
      <c r="CW269" s="217">
        <f t="shared" si="665"/>
        <v>16</v>
      </c>
      <c r="CX269" s="217">
        <f t="shared" si="666"/>
        <v>1.4814146341463417</v>
      </c>
      <c r="CY269" s="217">
        <f t="shared" si="667"/>
        <v>0.29628292682926832</v>
      </c>
      <c r="CZ269" s="217">
        <f t="shared" si="668"/>
        <v>1.0644895574704252</v>
      </c>
      <c r="DA269" s="197">
        <f t="shared" si="669"/>
        <v>350</v>
      </c>
      <c r="DB269" s="443">
        <f t="shared" si="670"/>
        <v>350</v>
      </c>
      <c r="DD269" s="217">
        <f t="shared" si="671"/>
        <v>3.1104488731607378</v>
      </c>
      <c r="DE269" s="173">
        <f t="shared" si="672"/>
        <v>2.23505308251071</v>
      </c>
      <c r="DF269" s="173">
        <f t="shared" si="673"/>
        <v>1.0814250754144243</v>
      </c>
      <c r="DG269" s="173"/>
      <c r="DH269" s="173">
        <f t="shared" si="674"/>
        <v>0.71856287425149712</v>
      </c>
      <c r="DI269" s="545">
        <f t="shared" si="675"/>
        <v>1475.1666666666665</v>
      </c>
      <c r="DJ269" s="528">
        <f t="shared" si="676"/>
        <v>0.125748502994012</v>
      </c>
      <c r="DL269" s="173">
        <f t="shared" si="677"/>
        <v>2.1313979316066587</v>
      </c>
      <c r="DM269" s="173">
        <f t="shared" si="678"/>
        <v>2.1313979316066587</v>
      </c>
      <c r="DN269" s="173">
        <f t="shared" si="679"/>
        <v>2.0380725419308581</v>
      </c>
      <c r="DP269" s="545">
        <f t="shared" si="680"/>
        <v>530</v>
      </c>
      <c r="DQ269" s="460">
        <f t="shared" si="681"/>
        <v>350</v>
      </c>
      <c r="DS269">
        <f t="shared" si="682"/>
        <v>530</v>
      </c>
      <c r="DT269">
        <f t="shared" si="683"/>
        <v>350</v>
      </c>
      <c r="DV269" s="5">
        <f t="shared" si="684"/>
        <v>2.8571428571428572</v>
      </c>
      <c r="DW269" s="5">
        <f t="shared" si="685"/>
        <v>0.42627958632133173</v>
      </c>
      <c r="DX269" s="5">
        <f t="shared" si="686"/>
        <v>2.4308632708215256</v>
      </c>
      <c r="DY269" s="173">
        <f t="shared" si="687"/>
        <v>0.14919785521246609</v>
      </c>
      <c r="EA269" s="5">
        <f t="shared" si="713"/>
        <v>1.4120511296894114</v>
      </c>
      <c r="EB269" s="5">
        <f t="shared" si="714"/>
        <v>0.70602556484470569</v>
      </c>
      <c r="EC269" s="5">
        <f t="shared" si="715"/>
        <v>0.28630167411897961</v>
      </c>
      <c r="ED269" s="5"/>
      <c r="EE269" s="173">
        <f t="shared" si="716"/>
        <v>0.47531903049457824</v>
      </c>
      <c r="EF269" s="173">
        <f t="shared" si="717"/>
        <v>1.1350583833157697</v>
      </c>
      <c r="EG269" s="173">
        <f t="shared" si="718"/>
        <v>0.27875698531431403</v>
      </c>
      <c r="EH269" s="173"/>
      <c r="EI269" s="528">
        <f t="shared" si="719"/>
        <v>4.5185636150061161E-3</v>
      </c>
      <c r="EJ269" s="528">
        <f t="shared" si="720"/>
        <v>1.0871301720056343</v>
      </c>
      <c r="EK269" s="528">
        <f t="shared" si="721"/>
        <v>4.0250000000000001E-2</v>
      </c>
      <c r="EL269" s="528">
        <f t="shared" si="722"/>
        <v>1.0140631637499999</v>
      </c>
      <c r="EM269">
        <f t="shared" si="723"/>
        <v>2.7E-2</v>
      </c>
      <c r="EN269" s="460">
        <f t="shared" si="724"/>
        <v>67.25</v>
      </c>
      <c r="EP269" s="460">
        <f t="shared" si="725"/>
        <v>2172.9618993706399</v>
      </c>
      <c r="EQ269" s="173">
        <f t="shared" si="726"/>
        <v>0.371</v>
      </c>
      <c r="ER269" s="173">
        <f t="shared" si="772"/>
        <v>5.8796874999999998E-2</v>
      </c>
      <c r="ES269" s="528"/>
      <c r="EU269" s="460">
        <f t="shared" si="727"/>
        <v>429.79687499999994</v>
      </c>
      <c r="EV269" s="528">
        <f t="shared" si="728"/>
        <v>6.7778454225091737E-3</v>
      </c>
      <c r="EW269" s="528">
        <f t="shared" si="729"/>
        <v>3.8650726006062258E-2</v>
      </c>
      <c r="EX269" s="528">
        <f t="shared" si="730"/>
        <v>3.8852728430762345E-4</v>
      </c>
      <c r="EY269" s="528">
        <f t="shared" si="731"/>
        <v>0.7599787782886005</v>
      </c>
      <c r="EZ269" s="528"/>
      <c r="FA269" s="625">
        <f t="shared" si="732"/>
        <v>7.9500000000000005E-3</v>
      </c>
      <c r="FB269" s="460">
        <f t="shared" si="733"/>
        <v>813.74587700147958</v>
      </c>
      <c r="FC269" s="173">
        <f t="shared" si="734"/>
        <v>3.4165046513721204</v>
      </c>
      <c r="FD269" s="5">
        <f t="shared" si="735"/>
        <v>9.5400000000000009</v>
      </c>
      <c r="FE269" s="173">
        <f t="shared" si="736"/>
        <v>0.73630969591707707</v>
      </c>
      <c r="FF269" s="5">
        <f t="shared" si="737"/>
        <v>73.630969591707711</v>
      </c>
      <c r="FG269">
        <f t="shared" si="738"/>
        <v>53</v>
      </c>
      <c r="FI269" s="562">
        <f t="shared" si="689"/>
        <v>-50</v>
      </c>
    </row>
    <row r="270" spans="5:165">
      <c r="E270" s="170">
        <v>54</v>
      </c>
      <c r="F270" s="217">
        <f t="shared" si="773"/>
        <v>0.54</v>
      </c>
      <c r="G270" s="217">
        <f t="shared" si="742"/>
        <v>0.13500000000000001</v>
      </c>
      <c r="H270" s="217">
        <f t="shared" si="743"/>
        <v>8.64</v>
      </c>
      <c r="I270" s="217">
        <f t="shared" si="744"/>
        <v>1.08</v>
      </c>
      <c r="J270" s="541">
        <f t="shared" si="745"/>
        <v>59.931362315576273</v>
      </c>
      <c r="K270" s="443">
        <f t="shared" si="746"/>
        <v>16.730425553170225</v>
      </c>
      <c r="L270" s="172">
        <f t="shared" si="747"/>
        <v>76.661787868746501</v>
      </c>
      <c r="M270" s="443"/>
      <c r="N270" s="217">
        <f t="shared" si="748"/>
        <v>0.21823682982471754</v>
      </c>
      <c r="O270" s="172">
        <f t="shared" si="749"/>
        <v>29.064956708506468</v>
      </c>
      <c r="P270" s="172">
        <f t="shared" si="750"/>
        <v>4.0872595371337219</v>
      </c>
      <c r="Q270" s="217">
        <f t="shared" si="626"/>
        <v>1.8165597942816543</v>
      </c>
      <c r="R270" s="217">
        <f t="shared" si="751"/>
        <v>3.6331195885633085</v>
      </c>
      <c r="S270" s="217">
        <f t="shared" si="752"/>
        <v>16</v>
      </c>
      <c r="T270" s="217">
        <f t="shared" si="753"/>
        <v>1.4863259709365617</v>
      </c>
      <c r="U270" s="217">
        <f t="shared" si="630"/>
        <v>0.29760564355806668</v>
      </c>
      <c r="V270" s="217">
        <f t="shared" si="631"/>
        <v>1.0660763884669413</v>
      </c>
      <c r="W270" s="197">
        <f t="shared" si="632"/>
        <v>350</v>
      </c>
      <c r="X270" s="443">
        <f t="shared" si="691"/>
        <v>350</v>
      </c>
      <c r="Z270" s="217">
        <f t="shared" si="633"/>
        <v>3.1141025044828354</v>
      </c>
      <c r="AA270" s="173">
        <f t="shared" si="634"/>
        <v>2.2336090576436645</v>
      </c>
      <c r="AB270" s="173">
        <f t="shared" si="754"/>
        <v>1.0819958427356837</v>
      </c>
      <c r="AC270" s="173"/>
      <c r="AD270" s="173">
        <f t="shared" si="636"/>
        <v>0.71725611293408709</v>
      </c>
      <c r="AE270" s="545">
        <f t="shared" si="755"/>
        <v>1505.7382997853204</v>
      </c>
      <c r="AF270" s="528">
        <f t="shared" si="756"/>
        <v>0.12551981976346524</v>
      </c>
      <c r="AH270" s="173">
        <f t="shared" si="757"/>
        <v>2.1514114968019085</v>
      </c>
      <c r="AI270" s="173">
        <f t="shared" si="758"/>
        <v>2.1514114968019085</v>
      </c>
      <c r="AJ270" s="173">
        <f t="shared" si="759"/>
        <v>2.0528974050384505</v>
      </c>
      <c r="AL270" s="545">
        <f t="shared" si="760"/>
        <v>540</v>
      </c>
      <c r="AM270" s="460">
        <f t="shared" si="761"/>
        <v>350</v>
      </c>
      <c r="AO270">
        <f t="shared" si="644"/>
        <v>540</v>
      </c>
      <c r="AP270">
        <f t="shared" si="645"/>
        <v>350</v>
      </c>
      <c r="AR270" s="5">
        <f t="shared" si="774"/>
        <v>2.8571428571428572</v>
      </c>
      <c r="AS270" s="5">
        <f t="shared" si="739"/>
        <v>0.43077508943782228</v>
      </c>
      <c r="AT270" s="5">
        <f t="shared" si="740"/>
        <v>2.426367767705035</v>
      </c>
      <c r="AU270" s="173">
        <f t="shared" si="741"/>
        <v>0.1507712813032378</v>
      </c>
      <c r="BA270" s="173">
        <f t="shared" si="692"/>
        <v>0.48230545124062613</v>
      </c>
      <c r="BB270" s="173">
        <f t="shared" si="693"/>
        <v>1.1446565399982296</v>
      </c>
      <c r="BC270" s="173">
        <f t="shared" si="694"/>
        <v>0.2811141796760358</v>
      </c>
      <c r="BD270" s="173"/>
      <c r="BE270" s="528">
        <f t="shared" si="695"/>
        <v>4.6523709659284799E-3</v>
      </c>
      <c r="BF270" s="528">
        <f t="shared" si="762"/>
        <v>1.0534970932844183</v>
      </c>
      <c r="BG270" s="528">
        <f t="shared" si="763"/>
        <v>0.48244746664038901</v>
      </c>
      <c r="BH270" s="528">
        <f t="shared" si="696"/>
        <v>1.0130529978527347</v>
      </c>
      <c r="BI270">
        <f t="shared" si="697"/>
        <v>2.6969113042009323E-2</v>
      </c>
      <c r="BJ270" s="460">
        <f t="shared" si="698"/>
        <v>509.41657968239826</v>
      </c>
      <c r="BK270">
        <f t="shared" si="764"/>
        <v>2.0747520401018043</v>
      </c>
      <c r="BL270" s="460">
        <f t="shared" si="699"/>
        <v>2580.61904178548</v>
      </c>
      <c r="BM270" s="173">
        <f t="shared" si="765"/>
        <v>0.33547499999999997</v>
      </c>
      <c r="BN270" s="173">
        <f t="shared" si="766"/>
        <v>5.9906250000000001E-2</v>
      </c>
      <c r="BQ270" s="460">
        <f t="shared" si="700"/>
        <v>395.38124999999997</v>
      </c>
      <c r="BR270" s="528">
        <f t="shared" si="701"/>
        <v>6.9785564488927193E-3</v>
      </c>
      <c r="BS270" s="528">
        <f t="shared" si="702"/>
        <v>3.9307157836821552E-2</v>
      </c>
      <c r="BT270" s="528">
        <f t="shared" si="703"/>
        <v>3.951259100746527E-4</v>
      </c>
      <c r="BU270" s="528">
        <f t="shared" si="704"/>
        <v>0.77794488195400335</v>
      </c>
      <c r="BV270" s="528"/>
      <c r="BW270" s="625">
        <f t="shared" si="705"/>
        <v>8.0999999999999978E-3</v>
      </c>
      <c r="BX270" s="460">
        <f t="shared" si="706"/>
        <v>832.7257221497922</v>
      </c>
      <c r="BY270" s="173">
        <f t="shared" si="707"/>
        <v>3.8087260139352725</v>
      </c>
      <c r="BZ270" s="5">
        <f t="shared" si="708"/>
        <v>9.7200000000000006</v>
      </c>
      <c r="CA270" s="173">
        <f t="shared" si="709"/>
        <v>0.71847119898709666</v>
      </c>
      <c r="CB270" s="5">
        <f t="shared" si="710"/>
        <v>71.847119898709664</v>
      </c>
      <c r="CC270">
        <f t="shared" si="711"/>
        <v>54</v>
      </c>
      <c r="CE270" s="562">
        <f t="shared" si="767"/>
        <v>-50</v>
      </c>
      <c r="CG270" s="173">
        <f t="shared" si="768"/>
        <v>0.53244718047896544</v>
      </c>
      <c r="CH270" s="173">
        <f t="shared" si="769"/>
        <v>0.19163021565825383</v>
      </c>
      <c r="CI270" s="170">
        <v>54</v>
      </c>
      <c r="CJ270" s="217">
        <f t="shared" si="712"/>
        <v>0.54</v>
      </c>
      <c r="CK270" s="217">
        <f t="shared" si="654"/>
        <v>0.13500000000000001</v>
      </c>
      <c r="CL270" s="217">
        <f t="shared" si="655"/>
        <v>8.64</v>
      </c>
      <c r="CM270" s="217">
        <f t="shared" si="656"/>
        <v>1.08</v>
      </c>
      <c r="CN270" s="541">
        <f t="shared" si="657"/>
        <v>60</v>
      </c>
      <c r="CO270" s="443">
        <f t="shared" si="770"/>
        <v>16.7</v>
      </c>
      <c r="CP270" s="443">
        <f t="shared" si="771"/>
        <v>76.7</v>
      </c>
      <c r="CQ270" s="443"/>
      <c r="CR270" s="217">
        <f t="shared" si="660"/>
        <v>0.21465968586387432</v>
      </c>
      <c r="CS270" s="172">
        <f t="shared" si="661"/>
        <v>28.621291448516576</v>
      </c>
      <c r="CT270" s="172">
        <f t="shared" si="662"/>
        <v>4.0248691099476437</v>
      </c>
      <c r="CU270" s="217">
        <f t="shared" si="663"/>
        <v>1.788830715532286</v>
      </c>
      <c r="CV270" s="217">
        <f t="shared" si="664"/>
        <v>3.577661431064572</v>
      </c>
      <c r="CW270" s="217">
        <f t="shared" si="665"/>
        <v>16</v>
      </c>
      <c r="CX270" s="217">
        <f t="shared" si="666"/>
        <v>1.5093658536585368</v>
      </c>
      <c r="CY270" s="217">
        <f t="shared" si="667"/>
        <v>0.30187317073170733</v>
      </c>
      <c r="CZ270" s="217">
        <f t="shared" si="668"/>
        <v>1.0845742661019426</v>
      </c>
      <c r="DA270" s="197">
        <f t="shared" si="669"/>
        <v>350</v>
      </c>
      <c r="DB270" s="443">
        <f t="shared" si="670"/>
        <v>350</v>
      </c>
      <c r="DD270" s="217">
        <f t="shared" si="671"/>
        <v>3.1104488731607378</v>
      </c>
      <c r="DE270" s="173">
        <f t="shared" si="672"/>
        <v>2.23505308251071</v>
      </c>
      <c r="DF270" s="173">
        <f t="shared" si="673"/>
        <v>1.0814250754144243</v>
      </c>
      <c r="DG270" s="173"/>
      <c r="DH270" s="173">
        <f t="shared" si="674"/>
        <v>0.71856287425149712</v>
      </c>
      <c r="DI270" s="545">
        <f t="shared" si="675"/>
        <v>1503</v>
      </c>
      <c r="DJ270" s="528">
        <f t="shared" si="676"/>
        <v>0.125748502994012</v>
      </c>
      <c r="DL270" s="173">
        <f t="shared" si="677"/>
        <v>2.1514114968019085</v>
      </c>
      <c r="DM270" s="173">
        <f t="shared" si="678"/>
        <v>2.1514114968019085</v>
      </c>
      <c r="DN270" s="173">
        <f t="shared" si="679"/>
        <v>2.0528974050384505</v>
      </c>
      <c r="DP270" s="545">
        <f t="shared" si="680"/>
        <v>540</v>
      </c>
      <c r="DQ270" s="460">
        <f t="shared" si="681"/>
        <v>350</v>
      </c>
      <c r="DS270">
        <f t="shared" si="682"/>
        <v>540</v>
      </c>
      <c r="DT270">
        <f t="shared" si="683"/>
        <v>350</v>
      </c>
      <c r="DV270" s="5">
        <f t="shared" si="684"/>
        <v>2.8571428571428572</v>
      </c>
      <c r="DW270" s="5">
        <f t="shared" si="685"/>
        <v>0.4302822993603817</v>
      </c>
      <c r="DX270" s="5">
        <f t="shared" si="686"/>
        <v>2.4268605577824753</v>
      </c>
      <c r="DY270" s="173">
        <f t="shared" si="687"/>
        <v>0.1505988047761336</v>
      </c>
      <c r="EA270" s="5">
        <f t="shared" si="713"/>
        <v>1.4522027603412884</v>
      </c>
      <c r="EB270" s="5">
        <f t="shared" si="714"/>
        <v>0.72610138017064418</v>
      </c>
      <c r="EC270" s="5">
        <f t="shared" si="715"/>
        <v>0.291223266933897</v>
      </c>
      <c r="ED270" s="5"/>
      <c r="EE270" s="173">
        <f t="shared" si="716"/>
        <v>0.48202950288815949</v>
      </c>
      <c r="EF270" s="173">
        <f t="shared" si="717"/>
        <v>1.1447727727381258</v>
      </c>
      <c r="EG270" s="173">
        <f t="shared" si="718"/>
        <v>0.28114272506951027</v>
      </c>
      <c r="EH270" s="173"/>
      <c r="EI270" s="528">
        <f t="shared" si="719"/>
        <v>4.647048833092123E-3</v>
      </c>
      <c r="EJ270" s="528">
        <f t="shared" si="720"/>
        <v>1.0973381910012976</v>
      </c>
      <c r="EK270" s="528">
        <f t="shared" si="721"/>
        <v>4.0250000000000001E-2</v>
      </c>
      <c r="EL270" s="528">
        <f t="shared" si="722"/>
        <v>1.0140631637499999</v>
      </c>
      <c r="EM270">
        <f t="shared" si="723"/>
        <v>2.7E-2</v>
      </c>
      <c r="EN270" s="460">
        <f t="shared" si="724"/>
        <v>67.25</v>
      </c>
      <c r="EP270" s="460">
        <f t="shared" si="725"/>
        <v>2183.2984035843897</v>
      </c>
      <c r="EQ270" s="173">
        <f t="shared" si="726"/>
        <v>0.378</v>
      </c>
      <c r="ER270" s="173">
        <f t="shared" si="772"/>
        <v>5.9906250000000001E-2</v>
      </c>
      <c r="ES270" s="528"/>
      <c r="EU270" s="460">
        <f t="shared" si="727"/>
        <v>437.90625</v>
      </c>
      <c r="EV270" s="528">
        <f t="shared" si="728"/>
        <v>6.970573249638185E-3</v>
      </c>
      <c r="EW270" s="528">
        <f t="shared" si="729"/>
        <v>3.9315141036076098E-2</v>
      </c>
      <c r="EX270" s="528">
        <f t="shared" si="730"/>
        <v>3.9520615929755122E-4</v>
      </c>
      <c r="EY270" s="528">
        <f t="shared" si="731"/>
        <v>0.77794488195400335</v>
      </c>
      <c r="EZ270" s="528"/>
      <c r="FA270" s="625">
        <f t="shared" si="732"/>
        <v>8.0999999999999978E-3</v>
      </c>
      <c r="FB270" s="460">
        <f t="shared" si="733"/>
        <v>832.72580239901515</v>
      </c>
      <c r="FC270" s="173">
        <f t="shared" si="734"/>
        <v>3.453930455983405</v>
      </c>
      <c r="FD270" s="5">
        <f t="shared" si="735"/>
        <v>9.7200000000000006</v>
      </c>
      <c r="FE270" s="173">
        <f t="shared" si="736"/>
        <v>0.73782080696997454</v>
      </c>
      <c r="FF270" s="5">
        <f t="shared" si="737"/>
        <v>73.782080696997454</v>
      </c>
      <c r="FG270">
        <f t="shared" si="738"/>
        <v>54</v>
      </c>
      <c r="FI270" s="562">
        <f t="shared" si="689"/>
        <v>-50</v>
      </c>
    </row>
    <row r="271" spans="5:165">
      <c r="E271" s="170">
        <v>55</v>
      </c>
      <c r="F271" s="217">
        <f t="shared" si="773"/>
        <v>0.55000000000000004</v>
      </c>
      <c r="G271" s="217">
        <f t="shared" si="742"/>
        <v>0.13750000000000001</v>
      </c>
      <c r="H271" s="217">
        <f t="shared" si="743"/>
        <v>8.8000000000000007</v>
      </c>
      <c r="I271" s="217">
        <f t="shared" si="744"/>
        <v>1.1000000000000001</v>
      </c>
      <c r="J271" s="541">
        <f t="shared" si="745"/>
        <v>59.930729696816691</v>
      </c>
      <c r="K271" s="443">
        <f t="shared" si="746"/>
        <v>16.730705978943149</v>
      </c>
      <c r="L271" s="172">
        <f t="shared" si="747"/>
        <v>76.661435675759833</v>
      </c>
      <c r="M271" s="443"/>
      <c r="N271" s="217">
        <f t="shared" si="748"/>
        <v>0.21824149041123891</v>
      </c>
      <c r="O271" s="172">
        <f t="shared" si="749"/>
        <v>29.065270601036381</v>
      </c>
      <c r="P271" s="172">
        <f t="shared" si="750"/>
        <v>4.0873036782707413</v>
      </c>
      <c r="Q271" s="217">
        <f t="shared" si="626"/>
        <v>1.8165794125647738</v>
      </c>
      <c r="R271" s="217">
        <f t="shared" si="751"/>
        <v>3.6331588251295477</v>
      </c>
      <c r="S271" s="217">
        <f t="shared" si="752"/>
        <v>16</v>
      </c>
      <c r="T271" s="217">
        <f t="shared" si="753"/>
        <v>1.5138341770136863</v>
      </c>
      <c r="U271" s="217">
        <f t="shared" si="630"/>
        <v>0.30311678526298919</v>
      </c>
      <c r="V271" s="217">
        <f t="shared" si="631"/>
        <v>1.085788618067135</v>
      </c>
      <c r="W271" s="197">
        <f t="shared" si="632"/>
        <v>350</v>
      </c>
      <c r="X271" s="443">
        <f t="shared" si="691"/>
        <v>350</v>
      </c>
      <c r="Z271" s="217">
        <f t="shared" si="633"/>
        <v>3.1141361358253263</v>
      </c>
      <c r="AA271" s="173">
        <f t="shared" si="634"/>
        <v>2.2335957416821746</v>
      </c>
      <c r="AB271" s="173">
        <f t="shared" si="754"/>
        <v>1.082001077421916</v>
      </c>
      <c r="AC271" s="173"/>
      <c r="AD271" s="173">
        <f t="shared" si="636"/>
        <v>0.71724409090105956</v>
      </c>
      <c r="AE271" s="545">
        <f t="shared" si="755"/>
        <v>1533.6480480697887</v>
      </c>
      <c r="AF271" s="528">
        <f t="shared" si="756"/>
        <v>0.1255177159076854</v>
      </c>
      <c r="AH271" s="173">
        <f t="shared" si="757"/>
        <v>2.1712405933672376</v>
      </c>
      <c r="AI271" s="173">
        <f t="shared" si="758"/>
        <v>2.1712405933672376</v>
      </c>
      <c r="AJ271" s="173">
        <f t="shared" si="759"/>
        <v>2.0675856247164721</v>
      </c>
      <c r="AL271" s="545">
        <f t="shared" si="760"/>
        <v>550</v>
      </c>
      <c r="AM271" s="460">
        <f t="shared" si="761"/>
        <v>350</v>
      </c>
      <c r="AO271">
        <f t="shared" si="644"/>
        <v>550</v>
      </c>
      <c r="AP271">
        <f t="shared" si="645"/>
        <v>350</v>
      </c>
      <c r="AR271" s="5">
        <f t="shared" si="774"/>
        <v>2.8571428571428572</v>
      </c>
      <c r="AS271" s="5">
        <f t="shared" si="739"/>
        <v>0.43475003979120241</v>
      </c>
      <c r="AT271" s="5">
        <f t="shared" si="740"/>
        <v>2.4223928173516547</v>
      </c>
      <c r="AU271" s="173">
        <f t="shared" si="741"/>
        <v>0.15216251392692084</v>
      </c>
      <c r="BA271" s="173">
        <f t="shared" si="692"/>
        <v>0.48899133109408116</v>
      </c>
      <c r="BB271" s="173">
        <f t="shared" si="693"/>
        <v>1.1542599575240449</v>
      </c>
      <c r="BC271" s="173">
        <f t="shared" si="694"/>
        <v>0.2834726660389934</v>
      </c>
      <c r="BD271" s="173"/>
      <c r="BE271" s="528">
        <f t="shared" si="695"/>
        <v>4.7822504377032261E-3</v>
      </c>
      <c r="BF271" s="528">
        <f t="shared" si="762"/>
        <v>1.0632020646805722</v>
      </c>
      <c r="BG271" s="528">
        <f t="shared" si="763"/>
        <v>0.4824423740593744</v>
      </c>
      <c r="BH271" s="528">
        <f t="shared" si="696"/>
        <v>1.0130436897123607</v>
      </c>
      <c r="BI271">
        <f t="shared" si="697"/>
        <v>2.696882836356751E-2</v>
      </c>
      <c r="BJ271" s="460">
        <f t="shared" si="698"/>
        <v>509.41120242294193</v>
      </c>
      <c r="BK271">
        <f t="shared" si="764"/>
        <v>2.0846879656336399</v>
      </c>
      <c r="BL271" s="460">
        <f t="shared" si="699"/>
        <v>2590.4392072535784</v>
      </c>
      <c r="BM271" s="173">
        <f t="shared" si="765"/>
        <v>0.34168749999999998</v>
      </c>
      <c r="BN271" s="173">
        <f t="shared" si="766"/>
        <v>6.1015625000000004E-2</v>
      </c>
      <c r="BQ271" s="460">
        <f t="shared" si="700"/>
        <v>402.703125</v>
      </c>
      <c r="BR271" s="528">
        <f t="shared" si="701"/>
        <v>7.1733756565548383E-3</v>
      </c>
      <c r="BS271" s="528">
        <f t="shared" si="702"/>
        <v>3.9969481486302298E-2</v>
      </c>
      <c r="BT271" s="528">
        <f t="shared" si="703"/>
        <v>4.0178376195627342E-4</v>
      </c>
      <c r="BU271" s="528">
        <f t="shared" si="704"/>
        <v>0.79599435904029503</v>
      </c>
      <c r="BV271" s="528"/>
      <c r="BW271" s="625">
        <f t="shared" si="705"/>
        <v>8.2500000000000004E-3</v>
      </c>
      <c r="BX271" s="460">
        <f t="shared" si="706"/>
        <v>851.78899994510834</v>
      </c>
      <c r="BY271" s="173">
        <f t="shared" si="707"/>
        <v>3.8449313321986862</v>
      </c>
      <c r="BZ271" s="5">
        <f t="shared" si="708"/>
        <v>9.9</v>
      </c>
      <c r="CA271" s="173">
        <f t="shared" si="709"/>
        <v>0.72026551175329612</v>
      </c>
      <c r="CB271" s="5">
        <f t="shared" si="710"/>
        <v>72.026551175329615</v>
      </c>
      <c r="CC271">
        <f t="shared" si="711"/>
        <v>55.000000000000007</v>
      </c>
      <c r="CE271" s="562">
        <f t="shared" si="767"/>
        <v>-50</v>
      </c>
      <c r="CG271" s="173">
        <f t="shared" si="768"/>
        <v>0.53735463150511698</v>
      </c>
      <c r="CH271" s="173">
        <f t="shared" si="769"/>
        <v>0.19339643009783031</v>
      </c>
      <c r="CI271" s="170">
        <v>55</v>
      </c>
      <c r="CJ271" s="217">
        <f t="shared" si="712"/>
        <v>0.55000000000000004</v>
      </c>
      <c r="CK271" s="217">
        <f t="shared" si="654"/>
        <v>0.13750000000000001</v>
      </c>
      <c r="CL271" s="217">
        <f t="shared" si="655"/>
        <v>8.8000000000000007</v>
      </c>
      <c r="CM271" s="217">
        <f t="shared" si="656"/>
        <v>1.1000000000000001</v>
      </c>
      <c r="CN271" s="541">
        <f t="shared" si="657"/>
        <v>60</v>
      </c>
      <c r="CO271" s="443">
        <f t="shared" si="770"/>
        <v>16.7</v>
      </c>
      <c r="CP271" s="443">
        <f t="shared" si="771"/>
        <v>76.7</v>
      </c>
      <c r="CQ271" s="443"/>
      <c r="CR271" s="217">
        <f t="shared" si="660"/>
        <v>0.21465968586387432</v>
      </c>
      <c r="CS271" s="172">
        <f t="shared" si="661"/>
        <v>28.621291448516576</v>
      </c>
      <c r="CT271" s="172">
        <f t="shared" si="662"/>
        <v>4.0248691099476437</v>
      </c>
      <c r="CU271" s="217">
        <f t="shared" si="663"/>
        <v>1.788830715532286</v>
      </c>
      <c r="CV271" s="217">
        <f t="shared" si="664"/>
        <v>3.577661431064572</v>
      </c>
      <c r="CW271" s="217">
        <f t="shared" si="665"/>
        <v>16</v>
      </c>
      <c r="CX271" s="217">
        <f t="shared" si="666"/>
        <v>1.537317073170732</v>
      </c>
      <c r="CY271" s="217">
        <f t="shared" si="667"/>
        <v>0.30746341463414639</v>
      </c>
      <c r="CZ271" s="217">
        <f t="shared" si="668"/>
        <v>1.1046589747334603</v>
      </c>
      <c r="DA271" s="197">
        <f t="shared" si="669"/>
        <v>350</v>
      </c>
      <c r="DB271" s="443">
        <f t="shared" si="670"/>
        <v>350</v>
      </c>
      <c r="DD271" s="217">
        <f t="shared" si="671"/>
        <v>3.1104488731607378</v>
      </c>
      <c r="DE271" s="173">
        <f t="shared" si="672"/>
        <v>2.23505308251071</v>
      </c>
      <c r="DF271" s="173">
        <f t="shared" si="673"/>
        <v>1.0814250754144243</v>
      </c>
      <c r="DG271" s="173"/>
      <c r="DH271" s="173">
        <f t="shared" si="674"/>
        <v>0.71856287425149712</v>
      </c>
      <c r="DI271" s="545">
        <f t="shared" si="675"/>
        <v>1530.8333333333333</v>
      </c>
      <c r="DJ271" s="528">
        <f t="shared" si="676"/>
        <v>0.125748502994012</v>
      </c>
      <c r="DL271" s="173">
        <f t="shared" si="677"/>
        <v>2.1712405933672376</v>
      </c>
      <c r="DM271" s="173">
        <f t="shared" si="678"/>
        <v>2.1712405933672376</v>
      </c>
      <c r="DN271" s="173">
        <f t="shared" si="679"/>
        <v>2.0675856247164721</v>
      </c>
      <c r="DP271" s="545">
        <f t="shared" si="680"/>
        <v>550</v>
      </c>
      <c r="DQ271" s="460">
        <f t="shared" si="681"/>
        <v>350</v>
      </c>
      <c r="DS271">
        <f t="shared" si="682"/>
        <v>550</v>
      </c>
      <c r="DT271">
        <f t="shared" si="683"/>
        <v>350</v>
      </c>
      <c r="DV271" s="5">
        <f t="shared" si="684"/>
        <v>2.8571428571428572</v>
      </c>
      <c r="DW271" s="5">
        <f t="shared" si="685"/>
        <v>0.43424811867344754</v>
      </c>
      <c r="DX271" s="5">
        <f t="shared" si="686"/>
        <v>2.4228947384694095</v>
      </c>
      <c r="DY271" s="173">
        <f t="shared" si="687"/>
        <v>0.15198684153570663</v>
      </c>
      <c r="EA271" s="5">
        <f t="shared" si="713"/>
        <v>1.4927279079399762</v>
      </c>
      <c r="EB271" s="5">
        <f t="shared" si="714"/>
        <v>0.74636395396998811</v>
      </c>
      <c r="EC271" s="5">
        <f t="shared" si="715"/>
        <v>0.29613157914626115</v>
      </c>
      <c r="ED271" s="5"/>
      <c r="EE271" s="173">
        <f t="shared" si="716"/>
        <v>0.48870897809473091</v>
      </c>
      <c r="EF271" s="173">
        <f t="shared" si="717"/>
        <v>1.154379532977857</v>
      </c>
      <c r="EG271" s="173">
        <f t="shared" si="718"/>
        <v>0.2835020323636796</v>
      </c>
      <c r="EH271" s="173"/>
      <c r="EI271" s="528">
        <f t="shared" si="719"/>
        <v>4.7767293054079233E-3</v>
      </c>
      <c r="EJ271" s="528">
        <f t="shared" si="720"/>
        <v>1.1074521208499266</v>
      </c>
      <c r="EK271" s="528">
        <f t="shared" si="721"/>
        <v>4.0250000000000001E-2</v>
      </c>
      <c r="EL271" s="528">
        <f t="shared" si="722"/>
        <v>1.0140631637499999</v>
      </c>
      <c r="EM271">
        <f t="shared" si="723"/>
        <v>2.7E-2</v>
      </c>
      <c r="EN271" s="460">
        <f t="shared" si="724"/>
        <v>67.25</v>
      </c>
      <c r="EP271" s="460">
        <f t="shared" si="725"/>
        <v>2193.5420139053344</v>
      </c>
      <c r="EQ271" s="173">
        <f t="shared" si="726"/>
        <v>0.38500000000000001</v>
      </c>
      <c r="ER271" s="173">
        <f t="shared" si="772"/>
        <v>6.1015625000000004E-2</v>
      </c>
      <c r="ES271" s="528"/>
      <c r="EU271" s="460">
        <f t="shared" si="727"/>
        <v>446.015625</v>
      </c>
      <c r="EV271" s="528">
        <f t="shared" si="728"/>
        <v>7.165093958111885E-3</v>
      </c>
      <c r="EW271" s="528">
        <f t="shared" si="729"/>
        <v>3.9977763184745253E-2</v>
      </c>
      <c r="EX271" s="528">
        <f t="shared" si="730"/>
        <v>4.0186701177168419E-4</v>
      </c>
      <c r="EY271" s="528">
        <f t="shared" si="731"/>
        <v>0.79599435904029503</v>
      </c>
      <c r="EZ271" s="528"/>
      <c r="FA271" s="625">
        <f t="shared" si="732"/>
        <v>8.2500000000000004E-3</v>
      </c>
      <c r="FB271" s="460">
        <f t="shared" si="733"/>
        <v>851.78908319492382</v>
      </c>
      <c r="FC271" s="173">
        <f t="shared" si="734"/>
        <v>3.4913467221002583</v>
      </c>
      <c r="FD271" s="5">
        <f t="shared" si="735"/>
        <v>9.9</v>
      </c>
      <c r="FE271" s="173">
        <f t="shared" si="736"/>
        <v>0.73928337496195551</v>
      </c>
      <c r="FF271" s="5">
        <f t="shared" si="737"/>
        <v>73.928337496195553</v>
      </c>
      <c r="FG271">
        <f t="shared" si="738"/>
        <v>55.000000000000007</v>
      </c>
      <c r="FI271" s="562">
        <f t="shared" si="689"/>
        <v>-50</v>
      </c>
    </row>
    <row r="272" spans="5:165">
      <c r="E272" s="170">
        <v>56</v>
      </c>
      <c r="F272" s="217">
        <f t="shared" si="773"/>
        <v>0.56000000000000005</v>
      </c>
      <c r="G272" s="217">
        <f t="shared" si="742"/>
        <v>0.14000000000000001</v>
      </c>
      <c r="H272" s="217">
        <f t="shared" si="743"/>
        <v>8.9600000000000009</v>
      </c>
      <c r="I272" s="217">
        <f t="shared" si="744"/>
        <v>1.1200000000000001</v>
      </c>
      <c r="J272" s="541">
        <f t="shared" si="745"/>
        <v>59.930102803467065</v>
      </c>
      <c r="K272" s="443">
        <f t="shared" si="746"/>
        <v>16.730983866769659</v>
      </c>
      <c r="L272" s="172">
        <f t="shared" si="747"/>
        <v>76.661086670236728</v>
      </c>
      <c r="M272" s="443"/>
      <c r="N272" s="217">
        <f t="shared" si="748"/>
        <v>0.21824610886014714</v>
      </c>
      <c r="O272" s="172">
        <f t="shared" si="749"/>
        <v>29.065581645433959</v>
      </c>
      <c r="P272" s="172">
        <f t="shared" si="750"/>
        <v>4.0873474188891503</v>
      </c>
      <c r="Q272" s="217">
        <f t="shared" si="626"/>
        <v>1.8165988528396224</v>
      </c>
      <c r="R272" s="217">
        <f t="shared" si="751"/>
        <v>3.6331977056792448</v>
      </c>
      <c r="S272" s="217">
        <f t="shared" si="752"/>
        <v>16</v>
      </c>
      <c r="T272" s="217">
        <f t="shared" si="753"/>
        <v>1.5413419399793031</v>
      </c>
      <c r="U272" s="217">
        <f t="shared" si="630"/>
        <v>0.30862792510814119</v>
      </c>
      <c r="V272" s="217">
        <f t="shared" si="631"/>
        <v>1.1055000367604071</v>
      </c>
      <c r="W272" s="197">
        <f t="shared" si="632"/>
        <v>350</v>
      </c>
      <c r="X272" s="443">
        <f t="shared" si="691"/>
        <v>350</v>
      </c>
      <c r="Z272" s="217">
        <f t="shared" si="633"/>
        <v>3.1141694620107816</v>
      </c>
      <c r="AA272" s="173">
        <f t="shared" si="634"/>
        <v>2.2335825461138654</v>
      </c>
      <c r="AB272" s="173">
        <f t="shared" si="754"/>
        <v>1.0820062642648136</v>
      </c>
      <c r="AC272" s="173"/>
      <c r="AD272" s="173">
        <f t="shared" si="636"/>
        <v>0.71723217806896999</v>
      </c>
      <c r="AE272" s="545">
        <f t="shared" si="755"/>
        <v>1561.5584942318351</v>
      </c>
      <c r="AF272" s="528">
        <f t="shared" si="756"/>
        <v>0.12551563116206974</v>
      </c>
      <c r="AH272" s="173">
        <f t="shared" si="757"/>
        <v>2.1908902300206647</v>
      </c>
      <c r="AI272" s="173">
        <f t="shared" si="758"/>
        <v>2.1908902300206647</v>
      </c>
      <c r="AJ272" s="173">
        <f t="shared" si="759"/>
        <v>2.0821409111264182</v>
      </c>
      <c r="AL272" s="545">
        <f t="shared" si="760"/>
        <v>560</v>
      </c>
      <c r="AM272" s="460">
        <f t="shared" si="761"/>
        <v>350</v>
      </c>
      <c r="AO272">
        <f t="shared" si="644"/>
        <v>560</v>
      </c>
      <c r="AP272">
        <f t="shared" si="645"/>
        <v>350</v>
      </c>
      <c r="AR272" s="5">
        <f t="shared" si="774"/>
        <v>2.8571428571428572</v>
      </c>
      <c r="AS272" s="5">
        <f t="shared" si="739"/>
        <v>0.43868909830615233</v>
      </c>
      <c r="AT272" s="5">
        <f t="shared" si="740"/>
        <v>2.418453758836705</v>
      </c>
      <c r="AU272" s="173">
        <f t="shared" si="741"/>
        <v>0.15354118440715331</v>
      </c>
      <c r="BA272" s="173">
        <f t="shared" si="692"/>
        <v>0.49564694597207531</v>
      </c>
      <c r="BB272" s="173">
        <f t="shared" si="693"/>
        <v>1.1637586111168223</v>
      </c>
      <c r="BC272" s="173">
        <f t="shared" si="694"/>
        <v>0.28580542361251371</v>
      </c>
      <c r="BD272" s="173"/>
      <c r="BE272" s="528">
        <f t="shared" si="695"/>
        <v>4.9133179010289072E-3</v>
      </c>
      <c r="BF272" s="528">
        <f t="shared" si="762"/>
        <v>1.0728191148523627</v>
      </c>
      <c r="BG272" s="528">
        <f t="shared" si="763"/>
        <v>0.48243732756790991</v>
      </c>
      <c r="BH272" s="528">
        <f t="shared" si="696"/>
        <v>1.0130344658559343</v>
      </c>
      <c r="BI272">
        <f t="shared" si="697"/>
        <v>2.6968546261560179E-2</v>
      </c>
      <c r="BJ272" s="460">
        <f t="shared" si="698"/>
        <v>509.40587382947012</v>
      </c>
      <c r="BK272">
        <f t="shared" si="764"/>
        <v>2.0945386679598115</v>
      </c>
      <c r="BL272" s="460">
        <f t="shared" si="699"/>
        <v>2600.1727724387956</v>
      </c>
      <c r="BM272" s="173">
        <f t="shared" si="765"/>
        <v>0.34789999999999999</v>
      </c>
      <c r="BN272" s="173">
        <f t="shared" si="766"/>
        <v>6.2125E-2</v>
      </c>
      <c r="BQ272" s="460">
        <f t="shared" si="700"/>
        <v>410.02499999999998</v>
      </c>
      <c r="BR272" s="528">
        <f t="shared" si="701"/>
        <v>7.3699768515433604E-3</v>
      </c>
      <c r="BS272" s="528">
        <f t="shared" si="702"/>
        <v>4.0630023148456658E-2</v>
      </c>
      <c r="BT272" s="528">
        <f t="shared" si="703"/>
        <v>4.0842370083164206E-4</v>
      </c>
      <c r="BU272" s="528">
        <f t="shared" si="704"/>
        <v>0.81412606992236158</v>
      </c>
      <c r="BV272" s="528"/>
      <c r="BW272" s="625">
        <f t="shared" si="705"/>
        <v>8.400000000000003E-3</v>
      </c>
      <c r="BX272" s="460">
        <f t="shared" si="706"/>
        <v>870.93449362319325</v>
      </c>
      <c r="BY272" s="173">
        <f t="shared" si="707"/>
        <v>3.8811322660619889</v>
      </c>
      <c r="BZ272" s="5">
        <f t="shared" si="708"/>
        <v>10.080000000000002</v>
      </c>
      <c r="CA272" s="173">
        <f t="shared" si="709"/>
        <v>0.7220044769938464</v>
      </c>
      <c r="CB272" s="5">
        <f t="shared" si="710"/>
        <v>72.20044769938464</v>
      </c>
      <c r="CC272">
        <f t="shared" si="711"/>
        <v>56.000000000000007</v>
      </c>
      <c r="CE272" s="562">
        <f t="shared" si="767"/>
        <v>-50</v>
      </c>
      <c r="CG272" s="173">
        <f t="shared" si="768"/>
        <v>0.54221766846903841</v>
      </c>
      <c r="CH272" s="173">
        <f t="shared" si="769"/>
        <v>0.19514665970992448</v>
      </c>
      <c r="CI272" s="170">
        <v>56</v>
      </c>
      <c r="CJ272" s="217">
        <f t="shared" si="712"/>
        <v>0.56000000000000005</v>
      </c>
      <c r="CK272" s="217">
        <f t="shared" si="654"/>
        <v>0.14000000000000001</v>
      </c>
      <c r="CL272" s="217">
        <f t="shared" si="655"/>
        <v>8.9600000000000009</v>
      </c>
      <c r="CM272" s="217">
        <f t="shared" si="656"/>
        <v>1.1200000000000001</v>
      </c>
      <c r="CN272" s="541">
        <f t="shared" si="657"/>
        <v>60</v>
      </c>
      <c r="CO272" s="443">
        <f t="shared" si="770"/>
        <v>16.7</v>
      </c>
      <c r="CP272" s="443">
        <f t="shared" si="771"/>
        <v>76.7</v>
      </c>
      <c r="CQ272" s="443"/>
      <c r="CR272" s="217">
        <f t="shared" si="660"/>
        <v>0.21465968586387432</v>
      </c>
      <c r="CS272" s="172">
        <f t="shared" si="661"/>
        <v>28.621291448516576</v>
      </c>
      <c r="CT272" s="172">
        <f t="shared" si="662"/>
        <v>4.0248691099476437</v>
      </c>
      <c r="CU272" s="217">
        <f t="shared" si="663"/>
        <v>1.788830715532286</v>
      </c>
      <c r="CV272" s="217">
        <f t="shared" si="664"/>
        <v>3.577661431064572</v>
      </c>
      <c r="CW272" s="217">
        <f t="shared" si="665"/>
        <v>16</v>
      </c>
      <c r="CX272" s="217">
        <f t="shared" si="666"/>
        <v>1.5652682926829273</v>
      </c>
      <c r="CY272" s="217">
        <f t="shared" si="667"/>
        <v>0.31305365853658551</v>
      </c>
      <c r="CZ272" s="217">
        <f t="shared" si="668"/>
        <v>1.1247436833649778</v>
      </c>
      <c r="DA272" s="197">
        <f t="shared" si="669"/>
        <v>350</v>
      </c>
      <c r="DB272" s="443">
        <f t="shared" si="670"/>
        <v>350</v>
      </c>
      <c r="DD272" s="217">
        <f t="shared" si="671"/>
        <v>3.1104488731607378</v>
      </c>
      <c r="DE272" s="173">
        <f t="shared" si="672"/>
        <v>2.23505308251071</v>
      </c>
      <c r="DF272" s="173">
        <f t="shared" si="673"/>
        <v>1.0814250754144243</v>
      </c>
      <c r="DG272" s="173"/>
      <c r="DH272" s="173">
        <f t="shared" si="674"/>
        <v>0.71856287425149712</v>
      </c>
      <c r="DI272" s="545">
        <f t="shared" si="675"/>
        <v>1558.6666666666665</v>
      </c>
      <c r="DJ272" s="528">
        <f t="shared" si="676"/>
        <v>0.125748502994012</v>
      </c>
      <c r="DL272" s="173">
        <f t="shared" si="677"/>
        <v>2.1908902300206647</v>
      </c>
      <c r="DM272" s="173">
        <f t="shared" si="678"/>
        <v>2.1908902300206647</v>
      </c>
      <c r="DN272" s="173">
        <f t="shared" si="679"/>
        <v>2.0821409111264182</v>
      </c>
      <c r="DP272" s="545">
        <f t="shared" si="680"/>
        <v>560</v>
      </c>
      <c r="DQ272" s="460">
        <f t="shared" si="681"/>
        <v>350</v>
      </c>
      <c r="DS272">
        <f t="shared" si="682"/>
        <v>560</v>
      </c>
      <c r="DT272">
        <f t="shared" si="683"/>
        <v>350</v>
      </c>
      <c r="DV272" s="5">
        <f t="shared" si="684"/>
        <v>2.8571428571428572</v>
      </c>
      <c r="DW272" s="5">
        <f t="shared" si="685"/>
        <v>0.43817804600413296</v>
      </c>
      <c r="DX272" s="5">
        <f t="shared" si="686"/>
        <v>2.4189648111387241</v>
      </c>
      <c r="DY272" s="173">
        <f t="shared" si="687"/>
        <v>0.15336231610144654</v>
      </c>
      <c r="EA272" s="5">
        <f t="shared" si="713"/>
        <v>1.5336231610144657</v>
      </c>
      <c r="EB272" s="5">
        <f t="shared" si="714"/>
        <v>0.76681158050723286</v>
      </c>
      <c r="EC272" s="5">
        <f t="shared" si="715"/>
        <v>0.30102673205281899</v>
      </c>
      <c r="ED272" s="5"/>
      <c r="EE272" s="173">
        <f t="shared" si="716"/>
        <v>0.49535815907514291</v>
      </c>
      <c r="EF272" s="173">
        <f t="shared" si="717"/>
        <v>1.1638815636643129</v>
      </c>
      <c r="EG272" s="173">
        <f t="shared" si="718"/>
        <v>0.28583561931167684</v>
      </c>
      <c r="EH272" s="173"/>
      <c r="EI272" s="528">
        <f t="shared" si="719"/>
        <v>4.907594115246292E-3</v>
      </c>
      <c r="EJ272" s="528">
        <f t="shared" si="720"/>
        <v>1.1174745162731903</v>
      </c>
      <c r="EK272" s="528">
        <f t="shared" si="721"/>
        <v>4.0250000000000001E-2</v>
      </c>
      <c r="EL272" s="528">
        <f t="shared" si="722"/>
        <v>1.0140631637499999</v>
      </c>
      <c r="EM272">
        <f t="shared" si="723"/>
        <v>2.7E-2</v>
      </c>
      <c r="EN272" s="460">
        <f t="shared" si="724"/>
        <v>67.25</v>
      </c>
      <c r="EP272" s="460">
        <f t="shared" si="725"/>
        <v>2203.6952741384366</v>
      </c>
      <c r="EQ272" s="173">
        <f t="shared" si="726"/>
        <v>0.39200000000000002</v>
      </c>
      <c r="ER272" s="173">
        <f t="shared" si="772"/>
        <v>6.2125E-2</v>
      </c>
      <c r="ES272" s="528"/>
      <c r="EU272" s="460">
        <f t="shared" si="727"/>
        <v>454.125</v>
      </c>
      <c r="EV272" s="528">
        <f t="shared" si="728"/>
        <v>7.3613911728694376E-3</v>
      </c>
      <c r="EW272" s="528">
        <f t="shared" si="729"/>
        <v>4.0638608827130586E-2</v>
      </c>
      <c r="EX272" s="528">
        <f t="shared" si="730"/>
        <v>4.0851000633644922E-4</v>
      </c>
      <c r="EY272" s="528">
        <f t="shared" si="731"/>
        <v>0.81412606992236158</v>
      </c>
      <c r="EZ272" s="528"/>
      <c r="FA272" s="625">
        <f t="shared" si="732"/>
        <v>8.400000000000003E-3</v>
      </c>
      <c r="FB272" s="460">
        <f t="shared" si="733"/>
        <v>870.9345799286981</v>
      </c>
      <c r="FC272" s="173">
        <f t="shared" si="734"/>
        <v>3.5287548540671345</v>
      </c>
      <c r="FD272" s="5">
        <f t="shared" si="735"/>
        <v>10.080000000000002</v>
      </c>
      <c r="FE272" s="173">
        <f t="shared" si="736"/>
        <v>0.74069965313450226</v>
      </c>
      <c r="FF272" s="5">
        <f t="shared" si="737"/>
        <v>74.069965313450226</v>
      </c>
      <c r="FG272">
        <f t="shared" si="738"/>
        <v>56.000000000000007</v>
      </c>
      <c r="FI272" s="562">
        <f t="shared" si="689"/>
        <v>-50</v>
      </c>
    </row>
    <row r="273" spans="5:165">
      <c r="E273" s="170">
        <v>57</v>
      </c>
      <c r="F273" s="217">
        <f t="shared" si="773"/>
        <v>0.56999999999999995</v>
      </c>
      <c r="G273" s="217">
        <f t="shared" si="742"/>
        <v>0.14249999999999999</v>
      </c>
      <c r="H273" s="217">
        <f t="shared" si="743"/>
        <v>9.1199999999999992</v>
      </c>
      <c r="I273" s="217">
        <f t="shared" si="744"/>
        <v>1.1399999999999999</v>
      </c>
      <c r="J273" s="541">
        <f t="shared" si="745"/>
        <v>59.929481482834504</v>
      </c>
      <c r="K273" s="443">
        <f t="shared" si="746"/>
        <v>16.731259284335103</v>
      </c>
      <c r="L273" s="172">
        <f t="shared" si="747"/>
        <v>76.660740767169614</v>
      </c>
      <c r="M273" s="443"/>
      <c r="N273" s="217">
        <f t="shared" si="748"/>
        <v>0.21825068629522501</v>
      </c>
      <c r="O273" s="172">
        <f t="shared" si="749"/>
        <v>29.065889917656914</v>
      </c>
      <c r="P273" s="172">
        <f t="shared" si="750"/>
        <v>4.0873907696705034</v>
      </c>
      <c r="Q273" s="217">
        <f t="shared" si="626"/>
        <v>1.8166181198535571</v>
      </c>
      <c r="R273" s="217">
        <f t="shared" si="751"/>
        <v>3.6332362397071143</v>
      </c>
      <c r="S273" s="217">
        <f t="shared" si="752"/>
        <v>16</v>
      </c>
      <c r="T273" s="217">
        <f t="shared" si="753"/>
        <v>1.5688492638341331</v>
      </c>
      <c r="U273" s="217">
        <f t="shared" si="630"/>
        <v>0.31413906311540424</v>
      </c>
      <c r="V273" s="217">
        <f t="shared" si="631"/>
        <v>1.1252106518745968</v>
      </c>
      <c r="W273" s="197">
        <f t="shared" si="632"/>
        <v>350</v>
      </c>
      <c r="X273" s="443">
        <f t="shared" si="691"/>
        <v>350</v>
      </c>
      <c r="Z273" s="217">
        <f t="shared" si="633"/>
        <v>3.1142024911775263</v>
      </c>
      <c r="AA273" s="173">
        <f t="shared" si="634"/>
        <v>2.2335694677279285</v>
      </c>
      <c r="AB273" s="173">
        <f t="shared" si="754"/>
        <v>1.0820114045403251</v>
      </c>
      <c r="AC273" s="173"/>
      <c r="AD273" s="173">
        <f t="shared" si="636"/>
        <v>0.71722037152548246</v>
      </c>
      <c r="AE273" s="545">
        <f t="shared" si="755"/>
        <v>1589.4696320118346</v>
      </c>
      <c r="AF273" s="528">
        <f t="shared" si="756"/>
        <v>0.12551356501695943</v>
      </c>
      <c r="AH273" s="173">
        <f t="shared" si="757"/>
        <v>2.2103651928390216</v>
      </c>
      <c r="AI273" s="173">
        <f t="shared" si="758"/>
        <v>2.2103651928390216</v>
      </c>
      <c r="AJ273" s="173">
        <f t="shared" si="759"/>
        <v>2.0965668095103864</v>
      </c>
      <c r="AL273" s="545">
        <f t="shared" si="760"/>
        <v>570</v>
      </c>
      <c r="AM273" s="460">
        <f t="shared" si="761"/>
        <v>350</v>
      </c>
      <c r="AO273">
        <f t="shared" si="644"/>
        <v>570</v>
      </c>
      <c r="AP273">
        <f t="shared" si="645"/>
        <v>350</v>
      </c>
      <c r="AR273" s="5">
        <f t="shared" si="774"/>
        <v>2.8571428571428572</v>
      </c>
      <c r="AS273" s="5">
        <f t="shared" si="739"/>
        <v>0.44259322219675123</v>
      </c>
      <c r="AT273" s="5">
        <f t="shared" si="740"/>
        <v>2.414549634946106</v>
      </c>
      <c r="AU273" s="173">
        <f t="shared" si="741"/>
        <v>0.15490762776886294</v>
      </c>
      <c r="BA273" s="173">
        <f t="shared" si="692"/>
        <v>0.50227297025835282</v>
      </c>
      <c r="BB273" s="173">
        <f t="shared" si="693"/>
        <v>1.173155271871239</v>
      </c>
      <c r="BC273" s="173">
        <f t="shared" si="694"/>
        <v>0.28811313294484836</v>
      </c>
      <c r="BD273" s="173"/>
      <c r="BE273" s="528">
        <f t="shared" si="695"/>
        <v>5.0455627330429631E-3</v>
      </c>
      <c r="BF273" s="528">
        <f t="shared" si="762"/>
        <v>1.0823505886005331</v>
      </c>
      <c r="BG273" s="528">
        <f t="shared" si="763"/>
        <v>0.48243232593681773</v>
      </c>
      <c r="BH273" s="528">
        <f t="shared" si="696"/>
        <v>1.0130253240356575</v>
      </c>
      <c r="BI273">
        <f t="shared" si="697"/>
        <v>2.6968266667275528E-2</v>
      </c>
      <c r="BJ273" s="460">
        <f t="shared" si="698"/>
        <v>509.40059260409322</v>
      </c>
      <c r="BK273">
        <f t="shared" si="764"/>
        <v>2.1043064740001647</v>
      </c>
      <c r="BL273" s="460">
        <f t="shared" si="699"/>
        <v>2609.8220679733267</v>
      </c>
      <c r="BM273" s="173">
        <f t="shared" si="765"/>
        <v>0.35411249999999994</v>
      </c>
      <c r="BN273" s="173">
        <f t="shared" si="766"/>
        <v>6.3234374999999995E-2</v>
      </c>
      <c r="BQ273" s="460">
        <f t="shared" si="700"/>
        <v>417.34687499999995</v>
      </c>
      <c r="BR273" s="528">
        <f t="shared" si="701"/>
        <v>7.5683440995644446E-3</v>
      </c>
      <c r="BS273" s="528">
        <f t="shared" si="702"/>
        <v>4.1288798757578418E-2</v>
      </c>
      <c r="BT273" s="528">
        <f t="shared" si="703"/>
        <v>4.1504588687647933E-4</v>
      </c>
      <c r="BU273" s="528">
        <f t="shared" si="704"/>
        <v>0.83233891067403643</v>
      </c>
      <c r="BV273" s="528"/>
      <c r="BW273" s="625">
        <f t="shared" si="705"/>
        <v>8.5500000000000003E-3</v>
      </c>
      <c r="BX273" s="460">
        <f t="shared" si="706"/>
        <v>890.16109941805564</v>
      </c>
      <c r="BY273" s="173">
        <f t="shared" si="707"/>
        <v>3.9173300423913822</v>
      </c>
      <c r="BZ273" s="5">
        <f t="shared" si="708"/>
        <v>10.26</v>
      </c>
      <c r="CA273" s="173">
        <f t="shared" si="709"/>
        <v>0.72369056580623825</v>
      </c>
      <c r="CB273" s="5">
        <f t="shared" si="710"/>
        <v>72.36905658062382</v>
      </c>
      <c r="CC273">
        <f t="shared" si="711"/>
        <v>56.999999999999993</v>
      </c>
      <c r="CE273" s="562">
        <f t="shared" si="767"/>
        <v>-50</v>
      </c>
      <c r="CG273" s="173">
        <f t="shared" si="768"/>
        <v>0.54703747586431406</v>
      </c>
      <c r="CH273" s="173">
        <f t="shared" si="769"/>
        <v>0.19688133079928413</v>
      </c>
      <c r="CI273" s="170">
        <v>57</v>
      </c>
      <c r="CJ273" s="217">
        <f t="shared" si="712"/>
        <v>0.56999999999999995</v>
      </c>
      <c r="CK273" s="217">
        <f t="shared" si="654"/>
        <v>0.14249999999999999</v>
      </c>
      <c r="CL273" s="217">
        <f t="shared" si="655"/>
        <v>9.1199999999999992</v>
      </c>
      <c r="CM273" s="217">
        <f t="shared" si="656"/>
        <v>1.1399999999999999</v>
      </c>
      <c r="CN273" s="541">
        <f t="shared" si="657"/>
        <v>60</v>
      </c>
      <c r="CO273" s="443">
        <f t="shared" si="770"/>
        <v>16.7</v>
      </c>
      <c r="CP273" s="443">
        <f t="shared" si="771"/>
        <v>76.7</v>
      </c>
      <c r="CQ273" s="443"/>
      <c r="CR273" s="217">
        <f t="shared" si="660"/>
        <v>0.21465968586387432</v>
      </c>
      <c r="CS273" s="172">
        <f t="shared" si="661"/>
        <v>28.621291448516576</v>
      </c>
      <c r="CT273" s="172">
        <f t="shared" si="662"/>
        <v>4.0248691099476437</v>
      </c>
      <c r="CU273" s="217">
        <f t="shared" si="663"/>
        <v>1.788830715532286</v>
      </c>
      <c r="CV273" s="217">
        <f t="shared" si="664"/>
        <v>3.577661431064572</v>
      </c>
      <c r="CW273" s="217">
        <f t="shared" si="665"/>
        <v>16</v>
      </c>
      <c r="CX273" s="217">
        <f t="shared" si="666"/>
        <v>1.593219512195122</v>
      </c>
      <c r="CY273" s="217">
        <f t="shared" si="667"/>
        <v>0.31864390243902446</v>
      </c>
      <c r="CZ273" s="217">
        <f t="shared" si="668"/>
        <v>1.144828391996495</v>
      </c>
      <c r="DA273" s="197">
        <f t="shared" si="669"/>
        <v>350</v>
      </c>
      <c r="DB273" s="443">
        <f t="shared" si="670"/>
        <v>350</v>
      </c>
      <c r="DD273" s="217">
        <f t="shared" si="671"/>
        <v>3.1104488731607378</v>
      </c>
      <c r="DE273" s="173">
        <f t="shared" si="672"/>
        <v>2.23505308251071</v>
      </c>
      <c r="DF273" s="173">
        <f t="shared" si="673"/>
        <v>1.0814250754144243</v>
      </c>
      <c r="DG273" s="173"/>
      <c r="DH273" s="173">
        <f t="shared" si="674"/>
        <v>0.71856287425149712</v>
      </c>
      <c r="DI273" s="545">
        <f t="shared" si="675"/>
        <v>1586.4999999999998</v>
      </c>
      <c r="DJ273" s="528">
        <f t="shared" si="676"/>
        <v>0.125748502994012</v>
      </c>
      <c r="DL273" s="173">
        <f t="shared" si="677"/>
        <v>2.2103651928390216</v>
      </c>
      <c r="DM273" s="173">
        <f t="shared" si="678"/>
        <v>2.2103651928390216</v>
      </c>
      <c r="DN273" s="173">
        <f t="shared" si="679"/>
        <v>2.0965668095103864</v>
      </c>
      <c r="DP273" s="545">
        <f t="shared" si="680"/>
        <v>570</v>
      </c>
      <c r="DQ273" s="460">
        <f t="shared" si="681"/>
        <v>350</v>
      </c>
      <c r="DS273">
        <f t="shared" si="682"/>
        <v>570</v>
      </c>
      <c r="DT273">
        <f t="shared" si="683"/>
        <v>350</v>
      </c>
      <c r="DV273" s="5">
        <f t="shared" si="684"/>
        <v>2.8571428571428572</v>
      </c>
      <c r="DW273" s="5">
        <f t="shared" si="685"/>
        <v>0.44207303856780433</v>
      </c>
      <c r="DX273" s="5">
        <f t="shared" si="686"/>
        <v>2.415069818575053</v>
      </c>
      <c r="DY273" s="173">
        <f t="shared" si="687"/>
        <v>0.15472556349873151</v>
      </c>
      <c r="EA273" s="5">
        <f t="shared" si="713"/>
        <v>1.5748851998978026</v>
      </c>
      <c r="EB273" s="5">
        <f t="shared" si="714"/>
        <v>0.78744259994890131</v>
      </c>
      <c r="EC273" s="5">
        <f t="shared" si="715"/>
        <v>0.30590884368617333</v>
      </c>
      <c r="ED273" s="5"/>
      <c r="EE273" s="173">
        <f t="shared" si="716"/>
        <v>0.50197772060485757</v>
      </c>
      <c r="EF273" s="173">
        <f t="shared" si="717"/>
        <v>1.1732816356645916</v>
      </c>
      <c r="EG273" s="173">
        <f t="shared" si="718"/>
        <v>0.28814416640586293</v>
      </c>
      <c r="EH273" s="173"/>
      <c r="EI273" s="528">
        <f t="shared" si="719"/>
        <v>5.0396326396729687E-3</v>
      </c>
      <c r="EJ273" s="528">
        <f t="shared" si="720"/>
        <v>1.1274078184335072</v>
      </c>
      <c r="EK273" s="528">
        <f t="shared" si="721"/>
        <v>4.0250000000000001E-2</v>
      </c>
      <c r="EL273" s="528">
        <f t="shared" si="722"/>
        <v>1.0140631637499999</v>
      </c>
      <c r="EM273">
        <f t="shared" si="723"/>
        <v>2.7E-2</v>
      </c>
      <c r="EN273" s="460">
        <f t="shared" si="724"/>
        <v>67.25</v>
      </c>
      <c r="EP273" s="460">
        <f t="shared" si="725"/>
        <v>2213.7606148231803</v>
      </c>
      <c r="EQ273" s="173">
        <f t="shared" si="726"/>
        <v>0.39899999999999997</v>
      </c>
      <c r="ER273" s="173">
        <f t="shared" si="772"/>
        <v>6.3234374999999995E-2</v>
      </c>
      <c r="ES273" s="528"/>
      <c r="EU273" s="460">
        <f t="shared" si="727"/>
        <v>462.234375</v>
      </c>
      <c r="EV273" s="528">
        <f t="shared" si="728"/>
        <v>7.5594489595094527E-3</v>
      </c>
      <c r="EW273" s="528">
        <f t="shared" si="729"/>
        <v>4.1297693897633388E-2</v>
      </c>
      <c r="EX273" s="528">
        <f t="shared" si="730"/>
        <v>4.1513530316864813E-4</v>
      </c>
      <c r="EY273" s="528">
        <f t="shared" si="731"/>
        <v>0.83233891067403643</v>
      </c>
      <c r="EZ273" s="528"/>
      <c r="FA273" s="625">
        <f t="shared" si="732"/>
        <v>8.5500000000000003E-3</v>
      </c>
      <c r="FB273" s="460">
        <f t="shared" si="733"/>
        <v>890.16118883434785</v>
      </c>
      <c r="FC273" s="173">
        <f t="shared" si="734"/>
        <v>3.5661561786575278</v>
      </c>
      <c r="FD273" s="5">
        <f t="shared" si="735"/>
        <v>10.26</v>
      </c>
      <c r="FE273" s="173">
        <f t="shared" si="736"/>
        <v>0.74207175641756784</v>
      </c>
      <c r="FF273" s="5">
        <f t="shared" si="737"/>
        <v>74.207175641756777</v>
      </c>
      <c r="FG273">
        <f t="shared" si="738"/>
        <v>56.999999999999993</v>
      </c>
      <c r="FI273" s="562">
        <f t="shared" si="689"/>
        <v>-50</v>
      </c>
    </row>
    <row r="274" spans="5:165">
      <c r="E274" s="170">
        <v>58</v>
      </c>
      <c r="F274" s="217">
        <f t="shared" si="773"/>
        <v>0.57999999999999996</v>
      </c>
      <c r="G274" s="217">
        <f t="shared" si="742"/>
        <v>0.14499999999999999</v>
      </c>
      <c r="H274" s="217">
        <f t="shared" si="743"/>
        <v>9.2799999999999994</v>
      </c>
      <c r="I274" s="217">
        <f t="shared" si="744"/>
        <v>1.1599999999999999</v>
      </c>
      <c r="J274" s="541">
        <f t="shared" si="745"/>
        <v>59.928865588894844</v>
      </c>
      <c r="K274" s="443">
        <f t="shared" si="746"/>
        <v>16.731532296368734</v>
      </c>
      <c r="L274" s="172">
        <f t="shared" si="747"/>
        <v>76.660397885263578</v>
      </c>
      <c r="M274" s="443"/>
      <c r="N274" s="217">
        <f t="shared" si="748"/>
        <v>0.21825522379117518</v>
      </c>
      <c r="O274" s="172">
        <f t="shared" si="749"/>
        <v>29.06619549034556</v>
      </c>
      <c r="P274" s="172">
        <f t="shared" si="750"/>
        <v>4.0874337408298445</v>
      </c>
      <c r="Q274" s="217">
        <f t="shared" si="626"/>
        <v>1.8166372181465975</v>
      </c>
      <c r="R274" s="217">
        <f t="shared" si="751"/>
        <v>3.633274436293195</v>
      </c>
      <c r="S274" s="217">
        <f t="shared" si="752"/>
        <v>16</v>
      </c>
      <c r="T274" s="217">
        <f t="shared" si="753"/>
        <v>1.596356152473134</v>
      </c>
      <c r="U274" s="217">
        <f t="shared" si="630"/>
        <v>0.31965019930608157</v>
      </c>
      <c r="V274" s="217">
        <f t="shared" si="631"/>
        <v>1.1449204705438198</v>
      </c>
      <c r="W274" s="197">
        <f t="shared" si="632"/>
        <v>350</v>
      </c>
      <c r="X274" s="443">
        <f t="shared" si="691"/>
        <v>350</v>
      </c>
      <c r="Z274" s="217">
        <f t="shared" si="633"/>
        <v>3.1142352311084527</v>
      </c>
      <c r="AA274" s="173">
        <f t="shared" si="634"/>
        <v>2.233556503453785</v>
      </c>
      <c r="AB274" s="173">
        <f t="shared" si="754"/>
        <v>1.0820164994686732</v>
      </c>
      <c r="AC274" s="173"/>
      <c r="AD274" s="173">
        <f t="shared" si="636"/>
        <v>0.71720866848545461</v>
      </c>
      <c r="AE274" s="545">
        <f t="shared" si="755"/>
        <v>1617.3814553156442</v>
      </c>
      <c r="AF274" s="528">
        <f t="shared" si="756"/>
        <v>0.12551151698495455</v>
      </c>
      <c r="AH274" s="173">
        <f t="shared" si="757"/>
        <v>2.2296700588716192</v>
      </c>
      <c r="AI274" s="173">
        <f t="shared" si="758"/>
        <v>2.2296700588716192</v>
      </c>
      <c r="AJ274" s="173">
        <f t="shared" si="759"/>
        <v>2.1108667102752734</v>
      </c>
      <c r="AL274" s="545">
        <f t="shared" si="760"/>
        <v>580</v>
      </c>
      <c r="AM274" s="460">
        <f t="shared" si="761"/>
        <v>350</v>
      </c>
      <c r="AO274">
        <f t="shared" si="644"/>
        <v>580</v>
      </c>
      <c r="AP274">
        <f t="shared" si="645"/>
        <v>350</v>
      </c>
      <c r="AR274" s="5">
        <f t="shared" si="774"/>
        <v>2.8571428571428572</v>
      </c>
      <c r="AS274" s="5">
        <f t="shared" si="739"/>
        <v>0.44646332687160817</v>
      </c>
      <c r="AT274" s="5">
        <f t="shared" si="740"/>
        <v>2.4106795302712491</v>
      </c>
      <c r="AU274" s="173">
        <f t="shared" si="741"/>
        <v>0.15626216440506285</v>
      </c>
      <c r="BA274" s="173">
        <f t="shared" si="692"/>
        <v>0.50887005176718014</v>
      </c>
      <c r="BB274" s="173">
        <f t="shared" si="693"/>
        <v>1.1824525899829237</v>
      </c>
      <c r="BC274" s="173">
        <f t="shared" si="694"/>
        <v>0.29039644489286509</v>
      </c>
      <c r="BD274" s="173"/>
      <c r="BE274" s="528">
        <f t="shared" si="695"/>
        <v>5.1789745917106521E-3</v>
      </c>
      <c r="BF274" s="528">
        <f t="shared" si="762"/>
        <v>1.0917987283188029</v>
      </c>
      <c r="BG274" s="528">
        <f t="shared" si="763"/>
        <v>0.48242736799060348</v>
      </c>
      <c r="BH274" s="528">
        <f t="shared" si="696"/>
        <v>1.0130162621019037</v>
      </c>
      <c r="BI274">
        <f t="shared" si="697"/>
        <v>2.6967989515002681E-2</v>
      </c>
      <c r="BJ274" s="460">
        <f t="shared" si="698"/>
        <v>509.39535750560617</v>
      </c>
      <c r="BK274">
        <f t="shared" si="764"/>
        <v>2.1139936087910023</v>
      </c>
      <c r="BL274" s="460">
        <f t="shared" si="699"/>
        <v>2619.3893225180232</v>
      </c>
      <c r="BM274" s="173">
        <f t="shared" si="765"/>
        <v>0.36032499999999995</v>
      </c>
      <c r="BN274" s="173">
        <f t="shared" si="766"/>
        <v>6.4343749999999991E-2</v>
      </c>
      <c r="BQ274" s="460">
        <f t="shared" si="700"/>
        <v>424.66874999999993</v>
      </c>
      <c r="BR274" s="528">
        <f t="shared" si="701"/>
        <v>7.7684618875659781E-3</v>
      </c>
      <c r="BS274" s="528">
        <f t="shared" si="702"/>
        <v>4.1945823826719728E-2</v>
      </c>
      <c r="BT274" s="528">
        <f t="shared" si="703"/>
        <v>4.216504760320742E-4</v>
      </c>
      <c r="BU274" s="528">
        <f t="shared" si="704"/>
        <v>0.85063181134161481</v>
      </c>
      <c r="BV274" s="528"/>
      <c r="BW274" s="625">
        <f t="shared" si="705"/>
        <v>8.6999999999999977E-3</v>
      </c>
      <c r="BX274" s="460">
        <f t="shared" si="706"/>
        <v>909.46774753193256</v>
      </c>
      <c r="BY274" s="173">
        <f t="shared" si="707"/>
        <v>3.9535258200499559</v>
      </c>
      <c r="BZ274" s="5">
        <f t="shared" si="708"/>
        <v>10.44</v>
      </c>
      <c r="CA274" s="173">
        <f t="shared" si="709"/>
        <v>0.72532610359146632</v>
      </c>
      <c r="CB274" s="5">
        <f t="shared" si="710"/>
        <v>72.532610359146631</v>
      </c>
      <c r="CC274">
        <f t="shared" si="711"/>
        <v>57.999999999999993</v>
      </c>
      <c r="CE274" s="562">
        <f t="shared" si="767"/>
        <v>-50</v>
      </c>
      <c r="CG274" s="173">
        <f t="shared" si="768"/>
        <v>0.55181518645285577</v>
      </c>
      <c r="CH274" s="173">
        <f t="shared" si="769"/>
        <v>0.19860085105218767</v>
      </c>
      <c r="CI274" s="170">
        <v>58</v>
      </c>
      <c r="CJ274" s="217">
        <f t="shared" si="712"/>
        <v>0.57999999999999996</v>
      </c>
      <c r="CK274" s="217">
        <f t="shared" si="654"/>
        <v>0.14499999999999999</v>
      </c>
      <c r="CL274" s="217">
        <f t="shared" si="655"/>
        <v>9.2799999999999994</v>
      </c>
      <c r="CM274" s="217">
        <f t="shared" si="656"/>
        <v>1.1599999999999999</v>
      </c>
      <c r="CN274" s="541">
        <f t="shared" si="657"/>
        <v>60</v>
      </c>
      <c r="CO274" s="443">
        <f t="shared" si="770"/>
        <v>16.7</v>
      </c>
      <c r="CP274" s="443">
        <f t="shared" si="771"/>
        <v>76.7</v>
      </c>
      <c r="CQ274" s="443"/>
      <c r="CR274" s="217">
        <f t="shared" si="660"/>
        <v>0.21465968586387432</v>
      </c>
      <c r="CS274" s="172">
        <f t="shared" si="661"/>
        <v>28.621291448516576</v>
      </c>
      <c r="CT274" s="172">
        <f t="shared" si="662"/>
        <v>4.0248691099476437</v>
      </c>
      <c r="CU274" s="217">
        <f t="shared" si="663"/>
        <v>1.788830715532286</v>
      </c>
      <c r="CV274" s="217">
        <f t="shared" si="664"/>
        <v>3.577661431064572</v>
      </c>
      <c r="CW274" s="217">
        <f t="shared" si="665"/>
        <v>16</v>
      </c>
      <c r="CX274" s="217">
        <f t="shared" si="666"/>
        <v>1.6211707317073172</v>
      </c>
      <c r="CY274" s="217">
        <f t="shared" si="667"/>
        <v>0.32423414634146347</v>
      </c>
      <c r="CZ274" s="217">
        <f t="shared" si="668"/>
        <v>1.1649131006280125</v>
      </c>
      <c r="DA274" s="197">
        <f t="shared" si="669"/>
        <v>350</v>
      </c>
      <c r="DB274" s="443">
        <f t="shared" si="670"/>
        <v>350</v>
      </c>
      <c r="DD274" s="217">
        <f t="shared" si="671"/>
        <v>3.1104488731607378</v>
      </c>
      <c r="DE274" s="173">
        <f t="shared" si="672"/>
        <v>2.23505308251071</v>
      </c>
      <c r="DF274" s="173">
        <f t="shared" si="673"/>
        <v>1.0814250754144243</v>
      </c>
      <c r="DG274" s="173"/>
      <c r="DH274" s="173">
        <f t="shared" si="674"/>
        <v>0.71856287425149712</v>
      </c>
      <c r="DI274" s="545">
        <f t="shared" si="675"/>
        <v>1614.333333333333</v>
      </c>
      <c r="DJ274" s="528">
        <f t="shared" si="676"/>
        <v>0.125748502994012</v>
      </c>
      <c r="DL274" s="173">
        <f t="shared" si="677"/>
        <v>2.2296700588716192</v>
      </c>
      <c r="DM274" s="173">
        <f t="shared" si="678"/>
        <v>2.2296700588716192</v>
      </c>
      <c r="DN274" s="173">
        <f t="shared" si="679"/>
        <v>2.1108667102752734</v>
      </c>
      <c r="DP274" s="545">
        <f t="shared" si="680"/>
        <v>580</v>
      </c>
      <c r="DQ274" s="460">
        <f t="shared" si="681"/>
        <v>350</v>
      </c>
      <c r="DS274">
        <f t="shared" si="682"/>
        <v>580</v>
      </c>
      <c r="DT274">
        <f t="shared" si="683"/>
        <v>350</v>
      </c>
      <c r="DV274" s="5">
        <f t="shared" si="684"/>
        <v>2.8571428571428572</v>
      </c>
      <c r="DW274" s="5">
        <f t="shared" si="685"/>
        <v>0.44593401177432379</v>
      </c>
      <c r="DX274" s="5">
        <f t="shared" si="686"/>
        <v>2.4112088453685336</v>
      </c>
      <c r="DY274" s="173">
        <f t="shared" si="687"/>
        <v>0.15607690412101333</v>
      </c>
      <c r="EA274" s="5">
        <f t="shared" si="713"/>
        <v>1.6165107926819238</v>
      </c>
      <c r="EB274" s="5">
        <f t="shared" si="714"/>
        <v>0.80825539634096188</v>
      </c>
      <c r="EC274" s="5">
        <f t="shared" si="715"/>
        <v>0.3107780289586109</v>
      </c>
      <c r="ED274" s="5"/>
      <c r="EE274" s="173">
        <f t="shared" si="716"/>
        <v>0.50856831087780896</v>
      </c>
      <c r="EF274" s="173">
        <f t="shared" si="717"/>
        <v>1.1825823989531339</v>
      </c>
      <c r="EG274" s="173">
        <f t="shared" si="718"/>
        <v>0.29042832444878436</v>
      </c>
      <c r="EH274" s="173"/>
      <c r="EI274" s="528">
        <f t="shared" si="719"/>
        <v>5.1728345365821549E-3</v>
      </c>
      <c r="EJ274" s="528">
        <f t="shared" si="720"/>
        <v>1.1372543618777637</v>
      </c>
      <c r="EK274" s="528">
        <f t="shared" si="721"/>
        <v>4.0250000000000001E-2</v>
      </c>
      <c r="EL274" s="528">
        <f t="shared" si="722"/>
        <v>1.0140631637499999</v>
      </c>
      <c r="EM274">
        <f t="shared" si="723"/>
        <v>2.7E-2</v>
      </c>
      <c r="EN274" s="460">
        <f t="shared" si="724"/>
        <v>67.25</v>
      </c>
      <c r="EP274" s="460">
        <f t="shared" si="725"/>
        <v>2223.7403601643459</v>
      </c>
      <c r="EQ274" s="173">
        <f t="shared" si="726"/>
        <v>0.40599999999999997</v>
      </c>
      <c r="ER274" s="173">
        <f t="shared" si="772"/>
        <v>6.4343749999999991E-2</v>
      </c>
      <c r="ES274" s="528"/>
      <c r="EU274" s="460">
        <f t="shared" si="727"/>
        <v>470.34374999999994</v>
      </c>
      <c r="EV274" s="528">
        <f t="shared" si="728"/>
        <v>7.7592518048732323E-3</v>
      </c>
      <c r="EW274" s="528">
        <f t="shared" si="729"/>
        <v>4.1955033909412472E-2</v>
      </c>
      <c r="EX274" s="528">
        <f t="shared" si="730"/>
        <v>4.217430582106418E-4</v>
      </c>
      <c r="EY274" s="528">
        <f t="shared" si="731"/>
        <v>0.85063181134161481</v>
      </c>
      <c r="EZ274" s="528"/>
      <c r="FA274" s="625">
        <f t="shared" si="732"/>
        <v>8.6999999999999977E-3</v>
      </c>
      <c r="FB274" s="460">
        <f t="shared" si="733"/>
        <v>909.46784011411114</v>
      </c>
      <c r="FC274" s="173">
        <f t="shared" si="734"/>
        <v>3.6035519502784568</v>
      </c>
      <c r="FD274" s="5">
        <f t="shared" si="735"/>
        <v>10.44</v>
      </c>
      <c r="FE274" s="173">
        <f t="shared" si="736"/>
        <v>0.74340167195329776</v>
      </c>
      <c r="FF274" s="5">
        <f t="shared" si="737"/>
        <v>74.340167195329769</v>
      </c>
      <c r="FG274">
        <f t="shared" si="738"/>
        <v>57.999999999999993</v>
      </c>
      <c r="FI274" s="562">
        <f t="shared" si="689"/>
        <v>-50</v>
      </c>
    </row>
    <row r="275" spans="5:165">
      <c r="E275" s="170">
        <v>59</v>
      </c>
      <c r="F275" s="217">
        <f t="shared" si="773"/>
        <v>0.59</v>
      </c>
      <c r="G275" s="217">
        <f t="shared" si="742"/>
        <v>0.14749999999999999</v>
      </c>
      <c r="H275" s="217">
        <f t="shared" si="743"/>
        <v>9.44</v>
      </c>
      <c r="I275" s="217">
        <f t="shared" si="744"/>
        <v>1.18</v>
      </c>
      <c r="J275" s="541">
        <f t="shared" si="745"/>
        <v>59.928254981891882</v>
      </c>
      <c r="K275" s="443">
        <f t="shared" si="746"/>
        <v>16.731802964821359</v>
      </c>
      <c r="L275" s="172">
        <f t="shared" si="747"/>
        <v>76.660057946713238</v>
      </c>
      <c r="M275" s="443"/>
      <c r="N275" s="217">
        <f t="shared" si="748"/>
        <v>0.21825972237656946</v>
      </c>
      <c r="O275" s="172">
        <f t="shared" si="749"/>
        <v>29.066498433022193</v>
      </c>
      <c r="P275" s="172">
        <f t="shared" si="750"/>
        <v>4.0874763421437459</v>
      </c>
      <c r="Q275" s="217">
        <f t="shared" si="626"/>
        <v>1.8166561520638871</v>
      </c>
      <c r="R275" s="217">
        <f t="shared" si="751"/>
        <v>3.6333123041277742</v>
      </c>
      <c r="S275" s="217">
        <f t="shared" si="752"/>
        <v>16</v>
      </c>
      <c r="T275" s="217">
        <f t="shared" si="753"/>
        <v>1.6238626096900786</v>
      </c>
      <c r="U275" s="217">
        <f t="shared" si="630"/>
        <v>0.32516133370092293</v>
      </c>
      <c r="V275" s="217">
        <f t="shared" si="631"/>
        <v>1.1646294997168583</v>
      </c>
      <c r="W275" s="197">
        <f t="shared" si="632"/>
        <v>350</v>
      </c>
      <c r="X275" s="443">
        <f t="shared" si="691"/>
        <v>350</v>
      </c>
      <c r="Z275" s="217">
        <f t="shared" si="633"/>
        <v>3.1142676892523782</v>
      </c>
      <c r="AA275" s="173">
        <f t="shared" si="634"/>
        <v>2.2335436503526589</v>
      </c>
      <c r="AB275" s="173">
        <f t="shared" si="754"/>
        <v>1.0820215502177037</v>
      </c>
      <c r="AC275" s="173"/>
      <c r="AD275" s="173">
        <f t="shared" si="636"/>
        <v>0.71719706628329405</v>
      </c>
      <c r="AE275" s="545">
        <f t="shared" si="755"/>
        <v>1645.2939582074337</v>
      </c>
      <c r="AF275" s="528">
        <f t="shared" si="756"/>
        <v>0.12550948659957648</v>
      </c>
      <c r="AH275" s="173">
        <f t="shared" si="757"/>
        <v>2.2488092087019869</v>
      </c>
      <c r="AI275" s="173">
        <f t="shared" si="758"/>
        <v>2.2488092087019869</v>
      </c>
      <c r="AJ275" s="173">
        <f t="shared" si="759"/>
        <v>2.1250438582977678</v>
      </c>
      <c r="AL275" s="545">
        <f t="shared" si="760"/>
        <v>590</v>
      </c>
      <c r="AM275" s="460">
        <f t="shared" si="761"/>
        <v>350</v>
      </c>
      <c r="AO275">
        <f t="shared" si="644"/>
        <v>590</v>
      </c>
      <c r="AP275">
        <f t="shared" si="645"/>
        <v>350</v>
      </c>
      <c r="AR275" s="5">
        <f t="shared" si="774"/>
        <v>2.8571428571428572</v>
      </c>
      <c r="AS275" s="5">
        <f t="shared" si="739"/>
        <v>0.45030028844620845</v>
      </c>
      <c r="AT275" s="5">
        <f t="shared" si="740"/>
        <v>2.4068425686966486</v>
      </c>
      <c r="AU275" s="173">
        <f t="shared" si="741"/>
        <v>0.15760510095617294</v>
      </c>
      <c r="BA275" s="173">
        <f t="shared" si="692"/>
        <v>0.51543881322933272</v>
      </c>
      <c r="BB275" s="173">
        <f t="shared" si="693"/>
        <v>1.1916531020104058</v>
      </c>
      <c r="BC275" s="173">
        <f t="shared" si="694"/>
        <v>0.29265598240549667</v>
      </c>
      <c r="BD275" s="173"/>
      <c r="BE275" s="528">
        <f t="shared" si="695"/>
        <v>5.3135434036652588E-3</v>
      </c>
      <c r="BF275" s="528">
        <f t="shared" si="762"/>
        <v>1.1011656801481311</v>
      </c>
      <c r="BG275" s="528">
        <f t="shared" si="763"/>
        <v>0.48242245260422967</v>
      </c>
      <c r="BH275" s="528">
        <f t="shared" si="696"/>
        <v>1.0130072779973178</v>
      </c>
      <c r="BI275">
        <f t="shared" si="697"/>
        <v>2.6967714741851348E-2</v>
      </c>
      <c r="BJ275" s="460">
        <f t="shared" si="698"/>
        <v>509.390167346081</v>
      </c>
      <c r="BK275">
        <f t="shared" si="764"/>
        <v>2.1236022016150713</v>
      </c>
      <c r="BL275" s="460">
        <f t="shared" si="699"/>
        <v>2628.8766688951951</v>
      </c>
      <c r="BM275" s="173">
        <f t="shared" si="765"/>
        <v>0.36653749999999996</v>
      </c>
      <c r="BN275" s="173">
        <f t="shared" si="766"/>
        <v>6.5453124999999987E-2</v>
      </c>
      <c r="BQ275" s="460">
        <f t="shared" si="700"/>
        <v>431.99062499999997</v>
      </c>
      <c r="BR275" s="528">
        <f t="shared" si="701"/>
        <v>7.9703151054978869E-3</v>
      </c>
      <c r="BS275" s="528">
        <f t="shared" si="702"/>
        <v>4.2601113465930672E-2</v>
      </c>
      <c r="BT275" s="528">
        <f t="shared" si="703"/>
        <v>4.2823762018863194E-4</v>
      </c>
      <c r="BU275" s="528">
        <f t="shared" si="704"/>
        <v>0.86900373432926292</v>
      </c>
      <c r="BV275" s="528"/>
      <c r="BW275" s="625">
        <f t="shared" si="705"/>
        <v>8.8499999999999985E-3</v>
      </c>
      <c r="BX275" s="460">
        <f t="shared" si="706"/>
        <v>928.8534005208802</v>
      </c>
      <c r="BY275" s="173">
        <f t="shared" si="707"/>
        <v>3.989720694416075</v>
      </c>
      <c r="BZ275" s="5">
        <f t="shared" si="708"/>
        <v>10.62</v>
      </c>
      <c r="CA275" s="173">
        <f t="shared" si="709"/>
        <v>0.72691328069393069</v>
      </c>
      <c r="CB275" s="5">
        <f t="shared" si="710"/>
        <v>72.691328069393066</v>
      </c>
      <c r="CC275">
        <f t="shared" si="711"/>
        <v>59</v>
      </c>
      <c r="CE275" s="562">
        <f t="shared" si="767"/>
        <v>-50</v>
      </c>
      <c r="CG275" s="173">
        <f t="shared" si="768"/>
        <v>0.55655188437377512</v>
      </c>
      <c r="CH275" s="173">
        <f t="shared" si="769"/>
        <v>0.20030561065534166</v>
      </c>
      <c r="CI275" s="170">
        <v>59</v>
      </c>
      <c r="CJ275" s="217">
        <f t="shared" si="712"/>
        <v>0.59</v>
      </c>
      <c r="CK275" s="217">
        <f t="shared" si="654"/>
        <v>0.14749999999999999</v>
      </c>
      <c r="CL275" s="217">
        <f t="shared" si="655"/>
        <v>9.44</v>
      </c>
      <c r="CM275" s="217">
        <f t="shared" si="656"/>
        <v>1.18</v>
      </c>
      <c r="CN275" s="541">
        <f t="shared" si="657"/>
        <v>60</v>
      </c>
      <c r="CO275" s="443">
        <f t="shared" si="770"/>
        <v>16.7</v>
      </c>
      <c r="CP275" s="443">
        <f t="shared" si="771"/>
        <v>76.7</v>
      </c>
      <c r="CQ275" s="443"/>
      <c r="CR275" s="217">
        <f t="shared" si="660"/>
        <v>0.21465968586387432</v>
      </c>
      <c r="CS275" s="172">
        <f t="shared" si="661"/>
        <v>28.621291448516576</v>
      </c>
      <c r="CT275" s="172">
        <f t="shared" si="662"/>
        <v>4.0248691099476437</v>
      </c>
      <c r="CU275" s="217">
        <f t="shared" si="663"/>
        <v>1.788830715532286</v>
      </c>
      <c r="CV275" s="217">
        <f t="shared" si="664"/>
        <v>3.577661431064572</v>
      </c>
      <c r="CW275" s="217">
        <f t="shared" si="665"/>
        <v>16</v>
      </c>
      <c r="CX275" s="217">
        <f t="shared" si="666"/>
        <v>1.6491219512195123</v>
      </c>
      <c r="CY275" s="217">
        <f t="shared" si="667"/>
        <v>0.32982439024390248</v>
      </c>
      <c r="CZ275" s="217">
        <f t="shared" si="668"/>
        <v>1.1849978092595297</v>
      </c>
      <c r="DA275" s="197">
        <f t="shared" si="669"/>
        <v>350</v>
      </c>
      <c r="DB275" s="443">
        <f t="shared" si="670"/>
        <v>350</v>
      </c>
      <c r="DD275" s="217">
        <f t="shared" si="671"/>
        <v>3.1104488731607378</v>
      </c>
      <c r="DE275" s="173">
        <f t="shared" si="672"/>
        <v>2.23505308251071</v>
      </c>
      <c r="DF275" s="173">
        <f t="shared" si="673"/>
        <v>1.0814250754144243</v>
      </c>
      <c r="DG275" s="173"/>
      <c r="DH275" s="173">
        <f t="shared" si="674"/>
        <v>0.71856287425149712</v>
      </c>
      <c r="DI275" s="545">
        <f t="shared" si="675"/>
        <v>1642.1666666666663</v>
      </c>
      <c r="DJ275" s="528">
        <f t="shared" si="676"/>
        <v>0.125748502994012</v>
      </c>
      <c r="DL275" s="173">
        <f t="shared" si="677"/>
        <v>2.2488092087019869</v>
      </c>
      <c r="DM275" s="173">
        <f t="shared" si="678"/>
        <v>2.2488092087019869</v>
      </c>
      <c r="DN275" s="173">
        <f t="shared" si="679"/>
        <v>2.1250438582977678</v>
      </c>
      <c r="DP275" s="545">
        <f t="shared" si="680"/>
        <v>590</v>
      </c>
      <c r="DQ275" s="460">
        <f t="shared" si="681"/>
        <v>350</v>
      </c>
      <c r="DS275">
        <f t="shared" si="682"/>
        <v>590</v>
      </c>
      <c r="DT275">
        <f t="shared" si="683"/>
        <v>350</v>
      </c>
      <c r="DV275" s="5">
        <f t="shared" si="684"/>
        <v>2.8571428571428572</v>
      </c>
      <c r="DW275" s="5">
        <f t="shared" si="685"/>
        <v>0.44976184174039741</v>
      </c>
      <c r="DX275" s="5">
        <f t="shared" si="686"/>
        <v>2.4073810154024597</v>
      </c>
      <c r="DY275" s="173">
        <f t="shared" si="687"/>
        <v>0.15741664460913909</v>
      </c>
      <c r="EA275" s="5">
        <f t="shared" si="713"/>
        <v>1.6584967914177153</v>
      </c>
      <c r="EB275" s="5">
        <f t="shared" si="714"/>
        <v>0.82924839570885767</v>
      </c>
      <c r="EC275" s="5">
        <f t="shared" si="715"/>
        <v>0.31563439979721131</v>
      </c>
      <c r="ED275" s="5"/>
      <c r="EE275" s="173">
        <f t="shared" si="716"/>
        <v>0.51513055299296162</v>
      </c>
      <c r="EF275" s="173">
        <f t="shared" si="717"/>
        <v>1.1917863898733911</v>
      </c>
      <c r="EG275" s="173">
        <f t="shared" si="718"/>
        <v>0.29268871633655341</v>
      </c>
      <c r="EH275" s="173"/>
      <c r="EI275" s="528">
        <f t="shared" si="719"/>
        <v>5.3071897325366888E-3</v>
      </c>
      <c r="EJ275" s="528">
        <f t="shared" si="720"/>
        <v>1.147016380944492</v>
      </c>
      <c r="EK275" s="528">
        <f t="shared" si="721"/>
        <v>4.0250000000000001E-2</v>
      </c>
      <c r="EL275" s="528">
        <f t="shared" si="722"/>
        <v>1.0140631637499999</v>
      </c>
      <c r="EM275">
        <f t="shared" si="723"/>
        <v>2.7E-2</v>
      </c>
      <c r="EN275" s="460">
        <f t="shared" si="724"/>
        <v>67.25</v>
      </c>
      <c r="EP275" s="460">
        <f t="shared" si="725"/>
        <v>2233.6367344270288</v>
      </c>
      <c r="EQ275" s="173">
        <f t="shared" si="726"/>
        <v>0.41299999999999998</v>
      </c>
      <c r="ER275" s="173">
        <f t="shared" si="772"/>
        <v>6.5453124999999987E-2</v>
      </c>
      <c r="ES275" s="528"/>
      <c r="EU275" s="460">
        <f t="shared" si="727"/>
        <v>478.453125</v>
      </c>
      <c r="EV275" s="528">
        <f t="shared" si="728"/>
        <v>7.9607845988050336E-3</v>
      </c>
      <c r="EW275" s="528">
        <f t="shared" si="729"/>
        <v>4.261064397262352E-2</v>
      </c>
      <c r="EX275" s="528">
        <f t="shared" si="730"/>
        <v>4.2833342335369713E-4</v>
      </c>
      <c r="EY275" s="528">
        <f t="shared" si="731"/>
        <v>0.86900373432926292</v>
      </c>
      <c r="EZ275" s="528"/>
      <c r="FA275" s="625">
        <f t="shared" si="732"/>
        <v>8.8499999999999985E-3</v>
      </c>
      <c r="FB275" s="460">
        <f t="shared" si="733"/>
        <v>928.85349632404518</v>
      </c>
      <c r="FC275" s="173">
        <f t="shared" si="734"/>
        <v>3.6409433557510735</v>
      </c>
      <c r="FD275" s="5">
        <f t="shared" si="735"/>
        <v>10.62</v>
      </c>
      <c r="FE275" s="173">
        <f t="shared" si="736"/>
        <v>0.74469126866822777</v>
      </c>
      <c r="FF275" s="5">
        <f t="shared" si="737"/>
        <v>74.469126866822776</v>
      </c>
      <c r="FG275">
        <f t="shared" si="738"/>
        <v>59</v>
      </c>
      <c r="FI275" s="562">
        <f t="shared" si="689"/>
        <v>-50</v>
      </c>
    </row>
    <row r="276" spans="5:165">
      <c r="E276" s="170">
        <v>60</v>
      </c>
      <c r="F276" s="217">
        <f t="shared" si="773"/>
        <v>0.6</v>
      </c>
      <c r="G276" s="217">
        <f t="shared" si="742"/>
        <v>0.15</v>
      </c>
      <c r="H276" s="217">
        <f t="shared" si="743"/>
        <v>9.6</v>
      </c>
      <c r="I276" s="217">
        <f t="shared" si="744"/>
        <v>1.2</v>
      </c>
      <c r="J276" s="541">
        <f t="shared" si="745"/>
        <v>59.927649527967056</v>
      </c>
      <c r="K276" s="443">
        <f t="shared" si="746"/>
        <v>16.732071349029489</v>
      </c>
      <c r="L276" s="172">
        <f t="shared" si="747"/>
        <v>76.659720876996545</v>
      </c>
      <c r="M276" s="443"/>
      <c r="N276" s="217">
        <f t="shared" si="748"/>
        <v>0.21826418303657455</v>
      </c>
      <c r="O276" s="172">
        <f t="shared" si="749"/>
        <v>29.066798812275312</v>
      </c>
      <c r="P276" s="172">
        <f t="shared" si="750"/>
        <v>4.087518582976216</v>
      </c>
      <c r="Q276" s="217">
        <f t="shared" si="626"/>
        <v>1.816674925767207</v>
      </c>
      <c r="R276" s="217">
        <f t="shared" si="751"/>
        <v>3.633349851534414</v>
      </c>
      <c r="S276" s="217">
        <f t="shared" si="752"/>
        <v>16</v>
      </c>
      <c r="T276" s="217">
        <f t="shared" si="753"/>
        <v>1.6513686391818601</v>
      </c>
      <c r="U276" s="217">
        <f t="shared" si="630"/>
        <v>0.33067246632014807</v>
      </c>
      <c r="V276" s="217">
        <f t="shared" si="631"/>
        <v>1.1843377461650457</v>
      </c>
      <c r="W276" s="197">
        <f t="shared" si="632"/>
        <v>350</v>
      </c>
      <c r="X276" s="443">
        <f t="shared" si="691"/>
        <v>350</v>
      </c>
      <c r="Z276" s="217">
        <f t="shared" si="633"/>
        <v>3.1142998727437834</v>
      </c>
      <c r="AA276" s="173">
        <f t="shared" si="634"/>
        <v>2.2335309056097867</v>
      </c>
      <c r="AB276" s="173">
        <f t="shared" si="754"/>
        <v>1.0820265579059789</v>
      </c>
      <c r="AC276" s="173"/>
      <c r="AD276" s="173">
        <f t="shared" si="636"/>
        <v>0.71718556236589537</v>
      </c>
      <c r="AE276" s="545">
        <f t="shared" si="755"/>
        <v>1673.2071349029488</v>
      </c>
      <c r="AF276" s="528">
        <f t="shared" si="756"/>
        <v>0.12550747341403168</v>
      </c>
      <c r="AH276" s="173">
        <f t="shared" si="757"/>
        <v>2.2677868380553634</v>
      </c>
      <c r="AI276" s="173">
        <f t="shared" si="758"/>
        <v>2.2677868380553634</v>
      </c>
      <c r="AJ276" s="173">
        <f t="shared" si="759"/>
        <v>2.1391013615224912</v>
      </c>
      <c r="AL276" s="545">
        <f t="shared" si="760"/>
        <v>600</v>
      </c>
      <c r="AM276" s="460">
        <f t="shared" si="761"/>
        <v>350</v>
      </c>
      <c r="AO276">
        <f t="shared" si="644"/>
        <v>600</v>
      </c>
      <c r="AP276">
        <f t="shared" si="645"/>
        <v>350</v>
      </c>
      <c r="AR276" s="5">
        <f t="shared" si="774"/>
        <v>2.8571428571428572</v>
      </c>
      <c r="AS276" s="5">
        <f t="shared" si="739"/>
        <v>0.45410494606441026</v>
      </c>
      <c r="AT276" s="5">
        <f t="shared" si="740"/>
        <v>2.4030379110784468</v>
      </c>
      <c r="AU276" s="173">
        <f t="shared" si="741"/>
        <v>0.15893673112254358</v>
      </c>
      <c r="BA276" s="173">
        <f t="shared" si="692"/>
        <v>0.52197985367123723</v>
      </c>
      <c r="BB276" s="173">
        <f t="shared" si="693"/>
        <v>1.2007592375855654</v>
      </c>
      <c r="BC276" s="173">
        <f t="shared" si="694"/>
        <v>0.29489234217174909</v>
      </c>
      <c r="BD276" s="173"/>
      <c r="BE276" s="528">
        <f t="shared" si="695"/>
        <v>5.4492593527729252E-3</v>
      </c>
      <c r="BF276" s="528">
        <f t="shared" si="762"/>
        <v>1.1104534996634716</v>
      </c>
      <c r="BG276" s="528">
        <f t="shared" si="763"/>
        <v>0.48241757870013485</v>
      </c>
      <c r="BH276" s="528">
        <f t="shared" si="696"/>
        <v>1.0129983697513636</v>
      </c>
      <c r="BI276">
        <f t="shared" si="697"/>
        <v>2.6967442287585176E-2</v>
      </c>
      <c r="BJ276" s="460">
        <f t="shared" si="698"/>
        <v>509.38502098772</v>
      </c>
      <c r="BK276">
        <f t="shared" si="764"/>
        <v>2.1331342916655811</v>
      </c>
      <c r="BL276" s="460">
        <f t="shared" si="699"/>
        <v>2638.2861497553281</v>
      </c>
      <c r="BM276" s="173">
        <f t="shared" si="765"/>
        <v>0.37274999999999997</v>
      </c>
      <c r="BN276" s="173">
        <f t="shared" si="766"/>
        <v>6.6562499999999997E-2</v>
      </c>
      <c r="BQ276" s="460">
        <f t="shared" si="700"/>
        <v>439.3125</v>
      </c>
      <c r="BR276" s="528">
        <f t="shared" si="701"/>
        <v>8.1738890291593869E-3</v>
      </c>
      <c r="BS276" s="528">
        <f t="shared" si="702"/>
        <v>4.3254682399412041E-2</v>
      </c>
      <c r="BT276" s="528">
        <f t="shared" si="703"/>
        <v>4.3480746735769974E-4</v>
      </c>
      <c r="BU276" s="528">
        <f t="shared" si="704"/>
        <v>0.88745367288729471</v>
      </c>
      <c r="BV276" s="528"/>
      <c r="BW276" s="625">
        <f t="shared" si="705"/>
        <v>9.0000000000000011E-3</v>
      </c>
      <c r="BX276" s="460">
        <f t="shared" si="706"/>
        <v>948.31705178322386</v>
      </c>
      <c r="BY276" s="173">
        <f t="shared" si="707"/>
        <v>4.025915701538552</v>
      </c>
      <c r="BZ276" s="5">
        <f t="shared" si="708"/>
        <v>10.799999999999999</v>
      </c>
      <c r="CA276" s="173">
        <f t="shared" si="709"/>
        <v>0.7284541621182451</v>
      </c>
      <c r="CB276" s="5">
        <f t="shared" si="710"/>
        <v>72.845416211824514</v>
      </c>
      <c r="CC276">
        <f t="shared" si="711"/>
        <v>60</v>
      </c>
      <c r="CE276" s="562">
        <f t="shared" si="767"/>
        <v>-50</v>
      </c>
      <c r="CG276" s="173">
        <f t="shared" si="768"/>
        <v>0.56124860801609122</v>
      </c>
      <c r="CH276" s="173">
        <f t="shared" si="769"/>
        <v>0.20199598332978161</v>
      </c>
      <c r="CI276" s="170">
        <v>60</v>
      </c>
      <c r="CJ276" s="217">
        <f t="shared" si="712"/>
        <v>0.6</v>
      </c>
      <c r="CK276" s="217">
        <f t="shared" si="654"/>
        <v>0.15</v>
      </c>
      <c r="CL276" s="217">
        <f t="shared" si="655"/>
        <v>9.6</v>
      </c>
      <c r="CM276" s="217">
        <f t="shared" si="656"/>
        <v>1.2</v>
      </c>
      <c r="CN276" s="541">
        <f t="shared" si="657"/>
        <v>60</v>
      </c>
      <c r="CO276" s="443">
        <f t="shared" si="770"/>
        <v>16.7</v>
      </c>
      <c r="CP276" s="443">
        <f t="shared" si="771"/>
        <v>76.7</v>
      </c>
      <c r="CQ276" s="443"/>
      <c r="CR276" s="217">
        <f t="shared" si="660"/>
        <v>0.21465968586387432</v>
      </c>
      <c r="CS276" s="172">
        <f t="shared" si="661"/>
        <v>28.621291448516576</v>
      </c>
      <c r="CT276" s="172">
        <f t="shared" si="662"/>
        <v>4.0248691099476437</v>
      </c>
      <c r="CU276" s="217">
        <f t="shared" si="663"/>
        <v>1.788830715532286</v>
      </c>
      <c r="CV276" s="217">
        <f t="shared" si="664"/>
        <v>3.577661431064572</v>
      </c>
      <c r="CW276" s="217">
        <f t="shared" si="665"/>
        <v>16</v>
      </c>
      <c r="CX276" s="217">
        <f t="shared" si="666"/>
        <v>1.6770731707317073</v>
      </c>
      <c r="CY276" s="217">
        <f t="shared" si="667"/>
        <v>0.33541463414634143</v>
      </c>
      <c r="CZ276" s="217">
        <f t="shared" si="668"/>
        <v>1.2050825178910469</v>
      </c>
      <c r="DA276" s="197">
        <f t="shared" si="669"/>
        <v>350</v>
      </c>
      <c r="DB276" s="443">
        <f t="shared" si="670"/>
        <v>350</v>
      </c>
      <c r="DD276" s="217">
        <f t="shared" si="671"/>
        <v>3.1104488731607378</v>
      </c>
      <c r="DE276" s="173">
        <f t="shared" si="672"/>
        <v>2.23505308251071</v>
      </c>
      <c r="DF276" s="173">
        <f t="shared" si="673"/>
        <v>1.0814250754144243</v>
      </c>
      <c r="DG276" s="173"/>
      <c r="DH276" s="173">
        <f t="shared" si="674"/>
        <v>0.71856287425149712</v>
      </c>
      <c r="DI276" s="545">
        <f t="shared" si="675"/>
        <v>1669.9999999999998</v>
      </c>
      <c r="DJ276" s="528">
        <f t="shared" si="676"/>
        <v>0.125748502994012</v>
      </c>
      <c r="DL276" s="173">
        <f t="shared" si="677"/>
        <v>2.2677868380553634</v>
      </c>
      <c r="DM276" s="173">
        <f t="shared" si="678"/>
        <v>2.2677868380553634</v>
      </c>
      <c r="DN276" s="173">
        <f t="shared" si="679"/>
        <v>2.1391013615224912</v>
      </c>
      <c r="DP276" s="545">
        <f t="shared" si="680"/>
        <v>600</v>
      </c>
      <c r="DQ276" s="460">
        <f t="shared" si="681"/>
        <v>350</v>
      </c>
      <c r="DS276">
        <f t="shared" si="682"/>
        <v>600</v>
      </c>
      <c r="DT276">
        <f t="shared" si="683"/>
        <v>350</v>
      </c>
      <c r="DV276" s="5">
        <f t="shared" si="684"/>
        <v>2.8571428571428572</v>
      </c>
      <c r="DW276" s="5">
        <f t="shared" si="685"/>
        <v>0.45355736761107268</v>
      </c>
      <c r="DX276" s="5">
        <f t="shared" si="686"/>
        <v>2.4035854895317845</v>
      </c>
      <c r="DY276" s="173">
        <f t="shared" si="687"/>
        <v>0.15874507866387544</v>
      </c>
      <c r="EA276" s="5">
        <f t="shared" si="713"/>
        <v>1.7008401285415227</v>
      </c>
      <c r="EB276" s="5">
        <f t="shared" si="714"/>
        <v>0.85042006427076133</v>
      </c>
      <c r="EC276" s="5">
        <f t="shared" si="715"/>
        <v>0.32047806527090456</v>
      </c>
      <c r="ED276" s="5"/>
      <c r="EE276" s="173">
        <f t="shared" si="716"/>
        <v>0.52166504633398969</v>
      </c>
      <c r="EF276" s="173">
        <f t="shared" si="717"/>
        <v>1.2008960378480189</v>
      </c>
      <c r="EG276" s="173">
        <f t="shared" si="718"/>
        <v>0.29492593870679285</v>
      </c>
      <c r="EH276" s="173"/>
      <c r="EI276" s="528">
        <f t="shared" si="719"/>
        <v>5.4426884113328725E-3</v>
      </c>
      <c r="EJ276" s="528">
        <f t="shared" si="720"/>
        <v>1.1566960156843287</v>
      </c>
      <c r="EK276" s="528">
        <f t="shared" si="721"/>
        <v>4.0250000000000001E-2</v>
      </c>
      <c r="EL276" s="528">
        <f t="shared" si="722"/>
        <v>1.0140631637499999</v>
      </c>
      <c r="EM276">
        <f t="shared" si="723"/>
        <v>2.7E-2</v>
      </c>
      <c r="EN276" s="460">
        <f t="shared" si="724"/>
        <v>67.25</v>
      </c>
      <c r="EP276" s="460">
        <f t="shared" si="725"/>
        <v>2243.4518678456616</v>
      </c>
      <c r="EQ276" s="173">
        <f t="shared" si="726"/>
        <v>0.42</v>
      </c>
      <c r="ER276" s="173">
        <f t="shared" si="772"/>
        <v>6.6562499999999997E-2</v>
      </c>
      <c r="ES276" s="528"/>
      <c r="EU276" s="460">
        <f t="shared" si="727"/>
        <v>486.5625</v>
      </c>
      <c r="EV276" s="528">
        <f t="shared" si="728"/>
        <v>8.1640326169993074E-3</v>
      </c>
      <c r="EW276" s="528">
        <f t="shared" si="729"/>
        <v>4.3264538811572106E-2</v>
      </c>
      <c r="EX276" s="528">
        <f t="shared" si="730"/>
        <v>4.3490654661041469E-4</v>
      </c>
      <c r="EY276" s="528">
        <f t="shared" si="731"/>
        <v>0.88745367288729471</v>
      </c>
      <c r="EZ276" s="528"/>
      <c r="FA276" s="625">
        <f t="shared" si="732"/>
        <v>9.0000000000000011E-3</v>
      </c>
      <c r="FB276" s="460">
        <f t="shared" si="733"/>
        <v>948.31715086247664</v>
      </c>
      <c r="FC276" s="173">
        <f t="shared" si="734"/>
        <v>3.6783315187081373</v>
      </c>
      <c r="FD276" s="5">
        <f t="shared" si="735"/>
        <v>10.799999999999999</v>
      </c>
      <c r="FE276" s="173">
        <f t="shared" si="736"/>
        <v>0.74594230599325673</v>
      </c>
      <c r="FF276" s="5">
        <f t="shared" si="737"/>
        <v>74.59423059932567</v>
      </c>
      <c r="FG276">
        <f t="shared" si="738"/>
        <v>60</v>
      </c>
      <c r="FI276" s="562">
        <f t="shared" si="689"/>
        <v>-50</v>
      </c>
    </row>
    <row r="277" spans="5:165">
      <c r="E277" s="170">
        <v>61</v>
      </c>
      <c r="F277" s="217">
        <f t="shared" si="773"/>
        <v>0.61</v>
      </c>
      <c r="G277" s="217">
        <f t="shared" si="742"/>
        <v>0.1525</v>
      </c>
      <c r="H277" s="217">
        <f t="shared" si="743"/>
        <v>9.76</v>
      </c>
      <c r="I277" s="217">
        <f t="shared" si="744"/>
        <v>1.22</v>
      </c>
      <c r="J277" s="541">
        <f t="shared" si="745"/>
        <v>59.927049098816759</v>
      </c>
      <c r="K277" s="443">
        <f t="shared" si="746"/>
        <v>16.732337505867246</v>
      </c>
      <c r="L277" s="172">
        <f t="shared" si="747"/>
        <v>76.659386604684002</v>
      </c>
      <c r="M277" s="443"/>
      <c r="N277" s="217">
        <f t="shared" si="748"/>
        <v>0.21826860671547396</v>
      </c>
      <c r="O277" s="172">
        <f t="shared" si="749"/>
        <v>29.067096691930072</v>
      </c>
      <c r="P277" s="172">
        <f t="shared" si="750"/>
        <v>4.0875604723026662</v>
      </c>
      <c r="Q277" s="217">
        <f t="shared" si="626"/>
        <v>1.8166935432456295</v>
      </c>
      <c r="R277" s="217">
        <f t="shared" si="751"/>
        <v>3.633387086491259</v>
      </c>
      <c r="S277" s="217">
        <f t="shared" si="752"/>
        <v>16</v>
      </c>
      <c r="T277" s="217">
        <f t="shared" si="753"/>
        <v>1.6788742445525491</v>
      </c>
      <c r="U277" s="217">
        <f t="shared" si="630"/>
        <v>0.33618359718346913</v>
      </c>
      <c r="V277" s="217">
        <f t="shared" si="631"/>
        <v>1.2040452164896962</v>
      </c>
      <c r="W277" s="197">
        <f t="shared" si="632"/>
        <v>350</v>
      </c>
      <c r="X277" s="443">
        <f t="shared" si="691"/>
        <v>350</v>
      </c>
      <c r="Z277" s="217">
        <f t="shared" si="633"/>
        <v>3.1143317884210791</v>
      </c>
      <c r="AA277" s="173">
        <f t="shared" si="634"/>
        <v>2.2335182665272173</v>
      </c>
      <c r="AB277" s="173">
        <f t="shared" si="754"/>
        <v>1.0820315236056444</v>
      </c>
      <c r="AC277" s="173"/>
      <c r="AD277" s="173">
        <f t="shared" si="636"/>
        <v>0.71717415428610398</v>
      </c>
      <c r="AE277" s="545">
        <f t="shared" si="755"/>
        <v>1701.12097976317</v>
      </c>
      <c r="AF277" s="528">
        <f t="shared" si="756"/>
        <v>0.1255054770000682</v>
      </c>
      <c r="AH277" s="173">
        <f t="shared" si="757"/>
        <v>2.2866069685390684</v>
      </c>
      <c r="AI277" s="173">
        <f t="shared" si="758"/>
        <v>2.2866069685390684</v>
      </c>
      <c r="AJ277" s="173">
        <f t="shared" si="759"/>
        <v>2.1530421989178286</v>
      </c>
      <c r="AL277" s="545">
        <f t="shared" si="760"/>
        <v>610</v>
      </c>
      <c r="AM277" s="460">
        <f t="shared" si="761"/>
        <v>350</v>
      </c>
      <c r="AO277">
        <f t="shared" si="644"/>
        <v>610</v>
      </c>
      <c r="AP277">
        <f t="shared" si="645"/>
        <v>350</v>
      </c>
      <c r="AR277" s="5">
        <f t="shared" si="774"/>
        <v>2.8571428571428572</v>
      </c>
      <c r="AS277" s="5">
        <f t="shared" si="739"/>
        <v>0.45787810404651819</v>
      </c>
      <c r="AT277" s="5">
        <f t="shared" si="740"/>
        <v>2.3992647530963391</v>
      </c>
      <c r="AU277" s="173">
        <f t="shared" si="741"/>
        <v>0.16025733641628137</v>
      </c>
      <c r="BA277" s="173">
        <f t="shared" si="692"/>
        <v>0.52849374969660334</v>
      </c>
      <c r="BB277" s="173">
        <f t="shared" si="693"/>
        <v>1.2097733256229313</v>
      </c>
      <c r="BC277" s="173">
        <f t="shared" si="694"/>
        <v>0.29710609614563166</v>
      </c>
      <c r="BD277" s="173"/>
      <c r="BE277" s="528">
        <f t="shared" si="695"/>
        <v>5.5861128693675214E-3</v>
      </c>
      <c r="BF277" s="528">
        <f t="shared" si="762"/>
        <v>1.1196641571357087</v>
      </c>
      <c r="BG277" s="528">
        <f t="shared" si="763"/>
        <v>0.48241274524547495</v>
      </c>
      <c r="BH277" s="528">
        <f t="shared" si="696"/>
        <v>1.0129895354752791</v>
      </c>
      <c r="BI277">
        <f t="shared" si="697"/>
        <v>2.6967172094467542E-2</v>
      </c>
      <c r="BJ277" s="460">
        <f t="shared" si="698"/>
        <v>509.37991733994249</v>
      </c>
      <c r="BK277">
        <f t="shared" si="764"/>
        <v>2.1425918332868257</v>
      </c>
      <c r="BL277" s="460">
        <f t="shared" si="699"/>
        <v>2647.6197228202977</v>
      </c>
      <c r="BM277" s="173">
        <f t="shared" si="765"/>
        <v>0.37896249999999998</v>
      </c>
      <c r="BN277" s="173">
        <f t="shared" si="766"/>
        <v>6.7671874999999992E-2</v>
      </c>
      <c r="BQ277" s="460">
        <f t="shared" si="700"/>
        <v>446.63437499999998</v>
      </c>
      <c r="BR277" s="528">
        <f t="shared" si="701"/>
        <v>8.3791693040512812E-3</v>
      </c>
      <c r="BS277" s="528">
        <f t="shared" si="702"/>
        <v>4.3906544981663007E-2</v>
      </c>
      <c r="BT277" s="528">
        <f t="shared" si="703"/>
        <v>4.4136016183448658E-4</v>
      </c>
      <c r="BU277" s="528">
        <f t="shared" si="704"/>
        <v>0.90598064969515535</v>
      </c>
      <c r="BV277" s="528"/>
      <c r="BW277" s="625">
        <f t="shared" si="705"/>
        <v>9.1500000000000001E-3</v>
      </c>
      <c r="BX277" s="460">
        <f t="shared" si="706"/>
        <v>967.85772414270411</v>
      </c>
      <c r="BY277" s="173">
        <f t="shared" si="707"/>
        <v>4.0621118219630015</v>
      </c>
      <c r="BZ277" s="5">
        <f t="shared" si="708"/>
        <v>10.98</v>
      </c>
      <c r="CA277" s="173">
        <f t="shared" si="709"/>
        <v>0.72995069641538579</v>
      </c>
      <c r="CB277" s="5">
        <f t="shared" si="710"/>
        <v>72.995069641538578</v>
      </c>
      <c r="CC277">
        <f t="shared" si="711"/>
        <v>61</v>
      </c>
      <c r="CE277" s="562">
        <f t="shared" si="767"/>
        <v>-50</v>
      </c>
      <c r="CG277" s="173">
        <f t="shared" si="768"/>
        <v>0.56590635267683642</v>
      </c>
      <c r="CH277" s="173">
        <f t="shared" si="769"/>
        <v>0.20367232728753679</v>
      </c>
      <c r="CI277" s="170">
        <v>61</v>
      </c>
      <c r="CJ277" s="217">
        <f t="shared" si="712"/>
        <v>0.61</v>
      </c>
      <c r="CK277" s="217">
        <f t="shared" si="654"/>
        <v>0.1525</v>
      </c>
      <c r="CL277" s="217">
        <f t="shared" si="655"/>
        <v>9.76</v>
      </c>
      <c r="CM277" s="217">
        <f t="shared" si="656"/>
        <v>1.22</v>
      </c>
      <c r="CN277" s="541">
        <f t="shared" si="657"/>
        <v>60</v>
      </c>
      <c r="CO277" s="443">
        <f t="shared" si="770"/>
        <v>16.7</v>
      </c>
      <c r="CP277" s="443">
        <f t="shared" si="771"/>
        <v>76.7</v>
      </c>
      <c r="CQ277" s="443"/>
      <c r="CR277" s="217">
        <f t="shared" si="660"/>
        <v>0.21465968586387432</v>
      </c>
      <c r="CS277" s="172">
        <f t="shared" si="661"/>
        <v>28.621291448516576</v>
      </c>
      <c r="CT277" s="172">
        <f t="shared" si="662"/>
        <v>4.0248691099476437</v>
      </c>
      <c r="CU277" s="217">
        <f t="shared" si="663"/>
        <v>1.788830715532286</v>
      </c>
      <c r="CV277" s="217">
        <f t="shared" si="664"/>
        <v>3.577661431064572</v>
      </c>
      <c r="CW277" s="217">
        <f t="shared" si="665"/>
        <v>16</v>
      </c>
      <c r="CX277" s="217">
        <f t="shared" si="666"/>
        <v>1.7050243902439026</v>
      </c>
      <c r="CY277" s="217">
        <f t="shared" si="667"/>
        <v>0.34100487804878055</v>
      </c>
      <c r="CZ277" s="217">
        <f t="shared" si="668"/>
        <v>1.2251672265225648</v>
      </c>
      <c r="DA277" s="197">
        <f t="shared" si="669"/>
        <v>350</v>
      </c>
      <c r="DB277" s="443">
        <f t="shared" si="670"/>
        <v>350</v>
      </c>
      <c r="DD277" s="217">
        <f t="shared" si="671"/>
        <v>3.1104488731607378</v>
      </c>
      <c r="DE277" s="173">
        <f t="shared" si="672"/>
        <v>2.23505308251071</v>
      </c>
      <c r="DF277" s="173">
        <f t="shared" si="673"/>
        <v>1.0814250754144243</v>
      </c>
      <c r="DG277" s="173"/>
      <c r="DH277" s="173">
        <f t="shared" si="674"/>
        <v>0.71856287425149712</v>
      </c>
      <c r="DI277" s="545">
        <f t="shared" si="675"/>
        <v>1697.833333333333</v>
      </c>
      <c r="DJ277" s="528">
        <f t="shared" si="676"/>
        <v>0.125748502994012</v>
      </c>
      <c r="DL277" s="173">
        <f t="shared" si="677"/>
        <v>2.2866069685390684</v>
      </c>
      <c r="DM277" s="173">
        <f t="shared" si="678"/>
        <v>2.2866069685390684</v>
      </c>
      <c r="DN277" s="173">
        <f t="shared" si="679"/>
        <v>2.1530421989178286</v>
      </c>
      <c r="DP277" s="545">
        <f t="shared" si="680"/>
        <v>610</v>
      </c>
      <c r="DQ277" s="460">
        <f t="shared" si="681"/>
        <v>350</v>
      </c>
      <c r="DS277">
        <f t="shared" si="682"/>
        <v>610</v>
      </c>
      <c r="DT277">
        <f t="shared" si="683"/>
        <v>350</v>
      </c>
      <c r="DV277" s="5">
        <f t="shared" si="684"/>
        <v>2.8571428571428572</v>
      </c>
      <c r="DW277" s="5">
        <f t="shared" si="685"/>
        <v>0.45732139370781372</v>
      </c>
      <c r="DX277" s="5">
        <f t="shared" si="686"/>
        <v>2.3998214634350434</v>
      </c>
      <c r="DY277" s="173">
        <f t="shared" si="687"/>
        <v>0.1600624877977348</v>
      </c>
      <c r="EA277" s="5">
        <f t="shared" si="713"/>
        <v>1.7435378135110398</v>
      </c>
      <c r="EB277" s="5">
        <f t="shared" si="714"/>
        <v>0.87176890675551988</v>
      </c>
      <c r="EC277" s="5">
        <f t="shared" si="715"/>
        <v>0.32530913171008358</v>
      </c>
      <c r="ED277" s="5"/>
      <c r="EE277" s="173">
        <f t="shared" si="716"/>
        <v>0.5281723678514112</v>
      </c>
      <c r="EF277" s="173">
        <f t="shared" si="717"/>
        <v>1.2099136715879264</v>
      </c>
      <c r="EG277" s="173">
        <f t="shared" si="718"/>
        <v>0.29714056346350542</v>
      </c>
      <c r="EH277" s="173"/>
      <c r="EI277" s="528">
        <f t="shared" si="719"/>
        <v>5.5793210032353277E-3</v>
      </c>
      <c r="EJ277" s="528">
        <f t="shared" si="720"/>
        <v>1.1662953173381947</v>
      </c>
      <c r="EK277" s="528">
        <f t="shared" si="721"/>
        <v>4.0250000000000001E-2</v>
      </c>
      <c r="EL277" s="528">
        <f t="shared" si="722"/>
        <v>1.0140631637499999</v>
      </c>
      <c r="EM277">
        <f t="shared" si="723"/>
        <v>2.7E-2</v>
      </c>
      <c r="EN277" s="460">
        <f t="shared" si="724"/>
        <v>67.25</v>
      </c>
      <c r="EP277" s="460">
        <f t="shared" si="725"/>
        <v>2253.1878020914301</v>
      </c>
      <c r="EQ277" s="173">
        <f t="shared" si="726"/>
        <v>0.42699999999999999</v>
      </c>
      <c r="ER277" s="173">
        <f t="shared" si="772"/>
        <v>6.7671874999999992E-2</v>
      </c>
      <c r="ES277" s="528"/>
      <c r="EU277" s="460">
        <f t="shared" si="727"/>
        <v>494.671875</v>
      </c>
      <c r="EV277" s="528">
        <f t="shared" si="728"/>
        <v>8.368981504852992E-3</v>
      </c>
      <c r="EW277" s="528">
        <f t="shared" si="729"/>
        <v>4.3916732780861292E-2</v>
      </c>
      <c r="EX277" s="528">
        <f t="shared" si="730"/>
        <v>4.4146257227704747E-4</v>
      </c>
      <c r="EY277" s="528">
        <f t="shared" si="731"/>
        <v>0.90598064969515535</v>
      </c>
      <c r="EZ277" s="528"/>
      <c r="FA277" s="625">
        <f t="shared" si="732"/>
        <v>9.1500000000000001E-3</v>
      </c>
      <c r="FB277" s="460">
        <f t="shared" si="733"/>
        <v>967.85782655314665</v>
      </c>
      <c r="FC277" s="173">
        <f t="shared" si="734"/>
        <v>3.7157175036445764</v>
      </c>
      <c r="FD277" s="5">
        <f t="shared" si="735"/>
        <v>10.98</v>
      </c>
      <c r="FE277" s="173">
        <f t="shared" si="736"/>
        <v>0.747156441818981</v>
      </c>
      <c r="FF277" s="5">
        <f t="shared" si="737"/>
        <v>74.715644181898099</v>
      </c>
      <c r="FG277">
        <f t="shared" si="738"/>
        <v>61</v>
      </c>
      <c r="FI277" s="562">
        <f t="shared" si="689"/>
        <v>-50</v>
      </c>
    </row>
    <row r="278" spans="5:165">
      <c r="E278" s="170">
        <v>62</v>
      </c>
      <c r="F278" s="217">
        <f t="shared" si="773"/>
        <v>0.62</v>
      </c>
      <c r="G278" s="217">
        <f t="shared" si="742"/>
        <v>0.155</v>
      </c>
      <c r="H278" s="217">
        <f t="shared" si="743"/>
        <v>9.92</v>
      </c>
      <c r="I278" s="217">
        <f t="shared" si="744"/>
        <v>1.24</v>
      </c>
      <c r="J278" s="541">
        <f t="shared" si="745"/>
        <v>59.926453571374928</v>
      </c>
      <c r="K278" s="443">
        <f t="shared" si="746"/>
        <v>16.732601489887077</v>
      </c>
      <c r="L278" s="172">
        <f t="shared" si="747"/>
        <v>76.659055061262009</v>
      </c>
      <c r="M278" s="443"/>
      <c r="N278" s="217">
        <f t="shared" si="748"/>
        <v>0.21827299431900427</v>
      </c>
      <c r="O278" s="172">
        <f t="shared" si="749"/>
        <v>29.067392133206209</v>
      </c>
      <c r="P278" s="172">
        <f t="shared" si="750"/>
        <v>4.0876020187321229</v>
      </c>
      <c r="Q278" s="217">
        <f t="shared" si="626"/>
        <v>1.816712008325388</v>
      </c>
      <c r="R278" s="217">
        <f t="shared" si="751"/>
        <v>3.6334240166507761</v>
      </c>
      <c r="S278" s="217">
        <f t="shared" si="752"/>
        <v>16</v>
      </c>
      <c r="T278" s="217">
        <f t="shared" si="753"/>
        <v>1.7063794293172112</v>
      </c>
      <c r="U278" s="217">
        <f t="shared" si="630"/>
        <v>0.34169472631011105</v>
      </c>
      <c r="V278" s="217">
        <f t="shared" si="631"/>
        <v>1.2237519171290994</v>
      </c>
      <c r="W278" s="197">
        <f t="shared" si="632"/>
        <v>350</v>
      </c>
      <c r="X278" s="443">
        <f t="shared" si="691"/>
        <v>350</v>
      </c>
      <c r="Z278" s="217">
        <f t="shared" si="633"/>
        <v>3.1143634428435218</v>
      </c>
      <c r="AA278" s="173">
        <f t="shared" si="634"/>
        <v>2.2335057305171309</v>
      </c>
      <c r="AB278" s="173">
        <f t="shared" si="754"/>
        <v>1.0820364483450771</v>
      </c>
      <c r="AC278" s="173"/>
      <c r="AD278" s="173">
        <f t="shared" si="636"/>
        <v>0.71716283969666117</v>
      </c>
      <c r="AE278" s="545">
        <f t="shared" si="755"/>
        <v>1729.0354872883313</v>
      </c>
      <c r="AF278" s="528">
        <f t="shared" si="756"/>
        <v>0.1255034969469157</v>
      </c>
      <c r="AH278" s="173">
        <f t="shared" si="757"/>
        <v>2.3052734575936351</v>
      </c>
      <c r="AI278" s="173">
        <f t="shared" si="758"/>
        <v>2.3052734575936351</v>
      </c>
      <c r="AJ278" s="173">
        <f t="shared" si="759"/>
        <v>2.1668692278471369</v>
      </c>
      <c r="AL278" s="545">
        <f t="shared" si="760"/>
        <v>620</v>
      </c>
      <c r="AM278" s="460">
        <f t="shared" si="761"/>
        <v>350</v>
      </c>
      <c r="AO278">
        <f t="shared" si="644"/>
        <v>620</v>
      </c>
      <c r="AP278">
        <f t="shared" si="645"/>
        <v>350</v>
      </c>
      <c r="AR278" s="5">
        <f t="shared" si="774"/>
        <v>2.8571428571428572</v>
      </c>
      <c r="AS278" s="5">
        <f t="shared" si="739"/>
        <v>0.46162053387950769</v>
      </c>
      <c r="AT278" s="5">
        <f t="shared" si="740"/>
        <v>2.3955223232633496</v>
      </c>
      <c r="AU278" s="173">
        <f t="shared" si="741"/>
        <v>0.1615671868578277</v>
      </c>
      <c r="BA278" s="173">
        <f t="shared" si="692"/>
        <v>0.53498105667892082</v>
      </c>
      <c r="BB278" s="173">
        <f t="shared" si="693"/>
        <v>1.2186976000728305</v>
      </c>
      <c r="BC278" s="173">
        <f t="shared" si="694"/>
        <v>0.29929779295906278</v>
      </c>
      <c r="BD278" s="173"/>
      <c r="BE278" s="528">
        <f t="shared" si="695"/>
        <v>5.7240946201058945E-3</v>
      </c>
      <c r="BF278" s="528">
        <f t="shared" si="762"/>
        <v>1.1287995424069308</v>
      </c>
      <c r="BG278" s="528">
        <f t="shared" si="763"/>
        <v>0.4824079512495682</v>
      </c>
      <c r="BH278" s="528">
        <f t="shared" si="696"/>
        <v>1.0129807733574054</v>
      </c>
      <c r="BI278">
        <f t="shared" si="697"/>
        <v>2.6966904107118717E-2</v>
      </c>
      <c r="BJ278" s="460">
        <f t="shared" si="698"/>
        <v>509.37485535668691</v>
      </c>
      <c r="BK278">
        <f t="shared" si="764"/>
        <v>2.1519767008294513</v>
      </c>
      <c r="BL278" s="460">
        <f t="shared" si="699"/>
        <v>2656.8792657411291</v>
      </c>
      <c r="BM278" s="173">
        <f t="shared" si="765"/>
        <v>0.38517499999999999</v>
      </c>
      <c r="BN278" s="173">
        <f t="shared" si="766"/>
        <v>6.8781250000000002E-2</v>
      </c>
      <c r="BQ278" s="460">
        <f t="shared" si="700"/>
        <v>453.95625000000001</v>
      </c>
      <c r="BR278" s="528">
        <f t="shared" si="701"/>
        <v>8.5861419301588408E-3</v>
      </c>
      <c r="BS278" s="528">
        <f t="shared" si="702"/>
        <v>4.45567152126983E-2</v>
      </c>
      <c r="BT278" s="528">
        <f t="shared" si="703"/>
        <v>4.4789584435083005E-4</v>
      </c>
      <c r="BU278" s="528">
        <f t="shared" si="704"/>
        <v>0.92458371553171548</v>
      </c>
      <c r="BV278" s="528"/>
      <c r="BW278" s="625">
        <f t="shared" si="705"/>
        <v>9.2999999999999992E-3</v>
      </c>
      <c r="BX278" s="460">
        <f t="shared" si="706"/>
        <v>987.47446851892335</v>
      </c>
      <c r="BY278" s="173">
        <f t="shared" si="707"/>
        <v>4.0983099842600526</v>
      </c>
      <c r="BZ278" s="5">
        <f t="shared" si="708"/>
        <v>11.16</v>
      </c>
      <c r="CA278" s="173">
        <f t="shared" si="709"/>
        <v>0.73140472382015265</v>
      </c>
      <c r="CB278" s="5">
        <f t="shared" si="710"/>
        <v>73.140472382015261</v>
      </c>
      <c r="CC278">
        <f t="shared" si="711"/>
        <v>62</v>
      </c>
      <c r="CE278" s="562">
        <f t="shared" si="767"/>
        <v>-50</v>
      </c>
      <c r="CG278" s="173">
        <f t="shared" si="768"/>
        <v>0.57052607302383651</v>
      </c>
      <c r="CH278" s="173">
        <f t="shared" si="769"/>
        <v>0.20533498611799597</v>
      </c>
      <c r="CI278" s="170">
        <v>62</v>
      </c>
      <c r="CJ278" s="217">
        <f t="shared" si="712"/>
        <v>0.62</v>
      </c>
      <c r="CK278" s="217">
        <f t="shared" si="654"/>
        <v>0.155</v>
      </c>
      <c r="CL278" s="217">
        <f t="shared" si="655"/>
        <v>9.92</v>
      </c>
      <c r="CM278" s="217">
        <f t="shared" si="656"/>
        <v>1.24</v>
      </c>
      <c r="CN278" s="541">
        <f t="shared" si="657"/>
        <v>60</v>
      </c>
      <c r="CO278" s="443">
        <f t="shared" si="770"/>
        <v>16.7</v>
      </c>
      <c r="CP278" s="443">
        <f t="shared" si="771"/>
        <v>76.7</v>
      </c>
      <c r="CQ278" s="443"/>
      <c r="CR278" s="217">
        <f t="shared" si="660"/>
        <v>0.21465968586387432</v>
      </c>
      <c r="CS278" s="172">
        <f t="shared" si="661"/>
        <v>28.621291448516576</v>
      </c>
      <c r="CT278" s="172">
        <f t="shared" si="662"/>
        <v>4.0248691099476437</v>
      </c>
      <c r="CU278" s="217">
        <f t="shared" si="663"/>
        <v>1.788830715532286</v>
      </c>
      <c r="CV278" s="217">
        <f t="shared" si="664"/>
        <v>3.577661431064572</v>
      </c>
      <c r="CW278" s="217">
        <f t="shared" si="665"/>
        <v>16</v>
      </c>
      <c r="CX278" s="217">
        <f t="shared" si="666"/>
        <v>1.7329756097560978</v>
      </c>
      <c r="CY278" s="217">
        <f t="shared" si="667"/>
        <v>0.34659512195121955</v>
      </c>
      <c r="CZ278" s="217">
        <f t="shared" si="668"/>
        <v>1.2452519351540823</v>
      </c>
      <c r="DA278" s="197">
        <f t="shared" si="669"/>
        <v>350</v>
      </c>
      <c r="DB278" s="443">
        <f t="shared" si="670"/>
        <v>350</v>
      </c>
      <c r="DD278" s="217">
        <f t="shared" si="671"/>
        <v>3.1104488731607378</v>
      </c>
      <c r="DE278" s="173">
        <f t="shared" si="672"/>
        <v>2.23505308251071</v>
      </c>
      <c r="DF278" s="173">
        <f t="shared" si="673"/>
        <v>1.0814250754144243</v>
      </c>
      <c r="DG278" s="173"/>
      <c r="DH278" s="173">
        <f t="shared" si="674"/>
        <v>0.71856287425149712</v>
      </c>
      <c r="DI278" s="545">
        <f t="shared" si="675"/>
        <v>1725.6666666666665</v>
      </c>
      <c r="DJ278" s="528">
        <f t="shared" si="676"/>
        <v>0.125748502994012</v>
      </c>
      <c r="DL278" s="173">
        <f t="shared" si="677"/>
        <v>2.3052734575936351</v>
      </c>
      <c r="DM278" s="173">
        <f t="shared" si="678"/>
        <v>2.3052734575936351</v>
      </c>
      <c r="DN278" s="173">
        <f t="shared" si="679"/>
        <v>2.1668692278471369</v>
      </c>
      <c r="DP278" s="545">
        <f t="shared" si="680"/>
        <v>620</v>
      </c>
      <c r="DQ278" s="460">
        <f t="shared" si="681"/>
        <v>350</v>
      </c>
      <c r="DS278">
        <f t="shared" si="682"/>
        <v>620</v>
      </c>
      <c r="DT278">
        <f t="shared" si="683"/>
        <v>350</v>
      </c>
      <c r="DV278" s="5">
        <f t="shared" si="684"/>
        <v>2.8571428571428572</v>
      </c>
      <c r="DW278" s="5">
        <f t="shared" si="685"/>
        <v>0.46105469151872702</v>
      </c>
      <c r="DX278" s="5">
        <f t="shared" si="686"/>
        <v>2.3960881656241302</v>
      </c>
      <c r="DY278" s="173">
        <f t="shared" si="687"/>
        <v>0.16136914203155445</v>
      </c>
      <c r="EA278" s="5">
        <f t="shared" si="713"/>
        <v>1.7865869296350672</v>
      </c>
      <c r="EB278" s="5">
        <f t="shared" si="714"/>
        <v>0.89329346481753358</v>
      </c>
      <c r="EC278" s="5">
        <f t="shared" si="715"/>
        <v>0.33012770281932458</v>
      </c>
      <c r="ED278" s="5"/>
      <c r="EE278" s="173">
        <f t="shared" si="716"/>
        <v>0.53465307325555578</v>
      </c>
      <c r="EF278" s="173">
        <f t="shared" si="717"/>
        <v>1.2188415248451951</v>
      </c>
      <c r="EG278" s="173">
        <f t="shared" si="718"/>
        <v>0.29933313918992288</v>
      </c>
      <c r="EH278" s="173"/>
      <c r="EI278" s="528">
        <f t="shared" si="719"/>
        <v>5.7170781748322142E-3</v>
      </c>
      <c r="EJ278" s="528">
        <f t="shared" si="720"/>
        <v>1.1758162534129217</v>
      </c>
      <c r="EK278" s="528">
        <f t="shared" si="721"/>
        <v>4.0250000000000001E-2</v>
      </c>
      <c r="EL278" s="528">
        <f t="shared" si="722"/>
        <v>1.0140631637499999</v>
      </c>
      <c r="EM278">
        <f t="shared" si="723"/>
        <v>2.7E-2</v>
      </c>
      <c r="EN278" s="460">
        <f t="shared" si="724"/>
        <v>67.25</v>
      </c>
      <c r="EP278" s="460">
        <f t="shared" si="725"/>
        <v>2262.8464953377538</v>
      </c>
      <c r="EQ278" s="173">
        <f t="shared" si="726"/>
        <v>0.434</v>
      </c>
      <c r="ER278" s="173">
        <f t="shared" si="772"/>
        <v>6.8781250000000002E-2</v>
      </c>
      <c r="ES278" s="528"/>
      <c r="EU278" s="460">
        <f t="shared" si="727"/>
        <v>502.78124999999994</v>
      </c>
      <c r="EV278" s="528">
        <f t="shared" si="728"/>
        <v>8.5756172622483209E-3</v>
      </c>
      <c r="EW278" s="528">
        <f t="shared" si="729"/>
        <v>4.456723988060881E-2</v>
      </c>
      <c r="EX278" s="528">
        <f t="shared" si="730"/>
        <v>4.4800164108646875E-4</v>
      </c>
      <c r="EY278" s="528">
        <f t="shared" si="731"/>
        <v>0.92458371553171548</v>
      </c>
      <c r="EZ278" s="528"/>
      <c r="FA278" s="625">
        <f t="shared" si="732"/>
        <v>9.2999999999999992E-3</v>
      </c>
      <c r="FB278" s="460">
        <f t="shared" si="733"/>
        <v>987.47457431565908</v>
      </c>
      <c r="FC278" s="173">
        <f t="shared" si="734"/>
        <v>3.7531023196534128</v>
      </c>
      <c r="FD278" s="5">
        <f t="shared" si="735"/>
        <v>11.16</v>
      </c>
      <c r="FE278" s="173">
        <f t="shared" si="736"/>
        <v>0.74833523976380545</v>
      </c>
      <c r="FF278" s="5">
        <f t="shared" si="737"/>
        <v>74.833523976380548</v>
      </c>
      <c r="FG278">
        <f t="shared" si="738"/>
        <v>62</v>
      </c>
      <c r="FI278" s="562">
        <f t="shared" si="689"/>
        <v>-50</v>
      </c>
    </row>
    <row r="279" spans="5:165">
      <c r="E279" s="170">
        <v>63</v>
      </c>
      <c r="F279" s="217">
        <f t="shared" si="773"/>
        <v>0.63</v>
      </c>
      <c r="G279" s="217">
        <f t="shared" si="742"/>
        <v>0.1575</v>
      </c>
      <c r="H279" s="217">
        <f t="shared" si="743"/>
        <v>10.08</v>
      </c>
      <c r="I279" s="217">
        <f t="shared" si="744"/>
        <v>1.26</v>
      </c>
      <c r="J279" s="541">
        <f t="shared" si="745"/>
        <v>59.925862827518444</v>
      </c>
      <c r="K279" s="443">
        <f t="shared" si="746"/>
        <v>16.732863353450309</v>
      </c>
      <c r="L279" s="172">
        <f t="shared" si="747"/>
        <v>76.658726180968756</v>
      </c>
      <c r="M279" s="443"/>
      <c r="N279" s="217">
        <f t="shared" si="748"/>
        <v>0.21827734671652291</v>
      </c>
      <c r="O279" s="172">
        <f t="shared" si="749"/>
        <v>29.067685194864524</v>
      </c>
      <c r="P279" s="172">
        <f t="shared" si="750"/>
        <v>4.0876432305278234</v>
      </c>
      <c r="Q279" s="217">
        <f t="shared" si="626"/>
        <v>1.8167303246790327</v>
      </c>
      <c r="R279" s="217">
        <f t="shared" si="751"/>
        <v>3.6334606493580655</v>
      </c>
      <c r="S279" s="217">
        <f t="shared" si="752"/>
        <v>16</v>
      </c>
      <c r="T279" s="217">
        <f t="shared" si="753"/>
        <v>1.733884196905515</v>
      </c>
      <c r="U279" s="217">
        <f t="shared" si="630"/>
        <v>0.34720585371883234</v>
      </c>
      <c r="V279" s="217">
        <f t="shared" si="631"/>
        <v>1.2434578543651267</v>
      </c>
      <c r="W279" s="197">
        <f t="shared" si="632"/>
        <v>350</v>
      </c>
      <c r="X279" s="443">
        <f t="shared" si="691"/>
        <v>350</v>
      </c>
      <c r="Z279" s="217">
        <f t="shared" si="633"/>
        <v>3.114394842306913</v>
      </c>
      <c r="AA279" s="173">
        <f t="shared" si="634"/>
        <v>2.233493295095649</v>
      </c>
      <c r="AB279" s="173">
        <f t="shared" si="754"/>
        <v>1.0820413331113494</v>
      </c>
      <c r="AC279" s="173"/>
      <c r="AD279" s="173">
        <f t="shared" si="636"/>
        <v>0.71715161634458735</v>
      </c>
      <c r="AE279" s="545">
        <f t="shared" si="755"/>
        <v>1756.9506521122823</v>
      </c>
      <c r="AF279" s="528">
        <f t="shared" si="756"/>
        <v>0.1255015328603028</v>
      </c>
      <c r="AH279" s="173">
        <f t="shared" si="757"/>
        <v>2.3237900077244502</v>
      </c>
      <c r="AI279" s="173">
        <f t="shared" si="758"/>
        <v>2.3237900077244502</v>
      </c>
      <c r="AJ279" s="173">
        <f t="shared" si="759"/>
        <v>2.1805851909070002</v>
      </c>
      <c r="AL279" s="545">
        <f t="shared" si="760"/>
        <v>630</v>
      </c>
      <c r="AM279" s="460">
        <f t="shared" si="761"/>
        <v>350</v>
      </c>
      <c r="AO279">
        <f t="shared" si="644"/>
        <v>630</v>
      </c>
      <c r="AP279">
        <f t="shared" si="645"/>
        <v>350</v>
      </c>
      <c r="AR279" s="5">
        <f t="shared" si="774"/>
        <v>2.8571428571428572</v>
      </c>
      <c r="AS279" s="5">
        <f t="shared" si="739"/>
        <v>0.46533297606335278</v>
      </c>
      <c r="AT279" s="5">
        <f t="shared" si="740"/>
        <v>2.3918098810795043</v>
      </c>
      <c r="AU279" s="173">
        <f t="shared" si="741"/>
        <v>0.16286654162217346</v>
      </c>
      <c r="BA279" s="173">
        <f t="shared" si="692"/>
        <v>0.54144230987235586</v>
      </c>
      <c r="BB279" s="173">
        <f t="shared" si="693"/>
        <v>1.2275342052586917</v>
      </c>
      <c r="BC279" s="173">
        <f t="shared" si="694"/>
        <v>0.30146795923264924</v>
      </c>
      <c r="BD279" s="173"/>
      <c r="BE279" s="528">
        <f t="shared" si="695"/>
        <v>5.8631954983982453E-3</v>
      </c>
      <c r="BF279" s="528">
        <f t="shared" si="762"/>
        <v>1.1378614694132048</v>
      </c>
      <c r="BG279" s="528">
        <f t="shared" si="763"/>
        <v>0.48240319576152346</v>
      </c>
      <c r="BH279" s="528">
        <f t="shared" si="696"/>
        <v>1.0129720816588472</v>
      </c>
      <c r="BI279">
        <f t="shared" si="697"/>
        <v>2.6966638272383298E-2</v>
      </c>
      <c r="BJ279" s="460">
        <f t="shared" si="698"/>
        <v>509.36983403390678</v>
      </c>
      <c r="BK279">
        <f t="shared" si="764"/>
        <v>2.1612906931544269</v>
      </c>
      <c r="BL279" s="460">
        <f t="shared" si="699"/>
        <v>2666.0665806043567</v>
      </c>
      <c r="BM279" s="173">
        <f t="shared" si="765"/>
        <v>0.39138749999999994</v>
      </c>
      <c r="BN279" s="173">
        <f t="shared" si="766"/>
        <v>6.9890624999999998E-2</v>
      </c>
      <c r="BQ279" s="460">
        <f t="shared" si="700"/>
        <v>461.27812499999993</v>
      </c>
      <c r="BR279" s="528">
        <f t="shared" si="701"/>
        <v>8.7947932475973666E-3</v>
      </c>
      <c r="BS279" s="528">
        <f t="shared" si="702"/>
        <v>4.5205206752402631E-2</v>
      </c>
      <c r="BT279" s="528">
        <f t="shared" si="703"/>
        <v>4.5441465221949135E-4</v>
      </c>
      <c r="BU279" s="528">
        <f t="shared" si="704"/>
        <v>0.94326194802617347</v>
      </c>
      <c r="BV279" s="528"/>
      <c r="BW279" s="625">
        <f t="shared" si="705"/>
        <v>9.4500000000000018E-3</v>
      </c>
      <c r="BX279" s="460">
        <f t="shared" si="706"/>
        <v>1007.1663626783928</v>
      </c>
      <c r="BY279" s="173">
        <f t="shared" si="707"/>
        <v>4.1345110682827499</v>
      </c>
      <c r="BZ279" s="5">
        <f t="shared" si="708"/>
        <v>11.34</v>
      </c>
      <c r="CA279" s="173">
        <f t="shared" si="709"/>
        <v>0.73281798371277596</v>
      </c>
      <c r="CB279" s="5">
        <f t="shared" si="710"/>
        <v>73.281798371277603</v>
      </c>
      <c r="CC279">
        <f t="shared" si="711"/>
        <v>63</v>
      </c>
      <c r="CE279" s="562">
        <f t="shared" si="767"/>
        <v>-50</v>
      </c>
      <c r="CG279" s="173">
        <f t="shared" si="768"/>
        <v>0.57510868538042448</v>
      </c>
      <c r="CH279" s="173">
        <f t="shared" si="769"/>
        <v>0.20698428961018681</v>
      </c>
      <c r="CI279" s="170">
        <v>63</v>
      </c>
      <c r="CJ279" s="217">
        <f t="shared" si="712"/>
        <v>0.63</v>
      </c>
      <c r="CK279" s="217">
        <f t="shared" si="654"/>
        <v>0.1575</v>
      </c>
      <c r="CL279" s="217">
        <f t="shared" si="655"/>
        <v>10.08</v>
      </c>
      <c r="CM279" s="217">
        <f t="shared" si="656"/>
        <v>1.26</v>
      </c>
      <c r="CN279" s="541">
        <f t="shared" si="657"/>
        <v>60</v>
      </c>
      <c r="CO279" s="443">
        <f t="shared" si="770"/>
        <v>16.7</v>
      </c>
      <c r="CP279" s="443">
        <f t="shared" si="771"/>
        <v>76.7</v>
      </c>
      <c r="CQ279" s="443"/>
      <c r="CR279" s="217">
        <f t="shared" si="660"/>
        <v>0.21465968586387432</v>
      </c>
      <c r="CS279" s="172">
        <f t="shared" si="661"/>
        <v>28.621291448516576</v>
      </c>
      <c r="CT279" s="172">
        <f t="shared" si="662"/>
        <v>4.0248691099476437</v>
      </c>
      <c r="CU279" s="217">
        <f t="shared" si="663"/>
        <v>1.788830715532286</v>
      </c>
      <c r="CV279" s="217">
        <f t="shared" si="664"/>
        <v>3.577661431064572</v>
      </c>
      <c r="CW279" s="217">
        <f t="shared" si="665"/>
        <v>16</v>
      </c>
      <c r="CX279" s="217">
        <f t="shared" si="666"/>
        <v>1.7609268292682929</v>
      </c>
      <c r="CY279" s="217">
        <f t="shared" si="667"/>
        <v>0.35218536585365862</v>
      </c>
      <c r="CZ279" s="217">
        <f t="shared" si="668"/>
        <v>1.2653366437855997</v>
      </c>
      <c r="DA279" s="197">
        <f t="shared" si="669"/>
        <v>350</v>
      </c>
      <c r="DB279" s="443">
        <f t="shared" si="670"/>
        <v>350</v>
      </c>
      <c r="DD279" s="217">
        <f t="shared" si="671"/>
        <v>3.1104488731607378</v>
      </c>
      <c r="DE279" s="173">
        <f t="shared" si="672"/>
        <v>2.23505308251071</v>
      </c>
      <c r="DF279" s="173">
        <f t="shared" si="673"/>
        <v>1.0814250754144243</v>
      </c>
      <c r="DG279" s="173"/>
      <c r="DH279" s="173">
        <f t="shared" si="674"/>
        <v>0.71856287425149712</v>
      </c>
      <c r="DI279" s="545">
        <f t="shared" si="675"/>
        <v>1753.4999999999998</v>
      </c>
      <c r="DJ279" s="528">
        <f t="shared" si="676"/>
        <v>0.125748502994012</v>
      </c>
      <c r="DL279" s="173">
        <f t="shared" si="677"/>
        <v>2.3237900077244502</v>
      </c>
      <c r="DM279" s="173">
        <f t="shared" si="678"/>
        <v>2.3237900077244502</v>
      </c>
      <c r="DN279" s="173">
        <f t="shared" si="679"/>
        <v>2.1805851909070002</v>
      </c>
      <c r="DP279" s="545">
        <f t="shared" si="680"/>
        <v>630</v>
      </c>
      <c r="DQ279" s="460">
        <f t="shared" si="681"/>
        <v>350</v>
      </c>
      <c r="DS279">
        <f t="shared" si="682"/>
        <v>630</v>
      </c>
      <c r="DT279">
        <f t="shared" si="683"/>
        <v>350</v>
      </c>
      <c r="DV279" s="5">
        <f t="shared" si="684"/>
        <v>2.8571428571428572</v>
      </c>
      <c r="DW279" s="5">
        <f t="shared" si="685"/>
        <v>0.46475800154489005</v>
      </c>
      <c r="DX279" s="5">
        <f t="shared" si="686"/>
        <v>2.392384855597967</v>
      </c>
      <c r="DY279" s="173">
        <f t="shared" si="687"/>
        <v>0.16266530054071152</v>
      </c>
      <c r="EA279" s="5">
        <f t="shared" si="713"/>
        <v>1.8299846310830046</v>
      </c>
      <c r="EB279" s="5">
        <f t="shared" si="714"/>
        <v>0.91499231554150229</v>
      </c>
      <c r="EC279" s="5">
        <f t="shared" si="715"/>
        <v>0.33493387978371536</v>
      </c>
      <c r="ED279" s="5"/>
      <c r="EE279" s="173">
        <f t="shared" si="716"/>
        <v>0.54110769812790571</v>
      </c>
      <c r="EF279" s="173">
        <f t="shared" si="717"/>
        <v>1.2276817417501651</v>
      </c>
      <c r="EG279" s="173">
        <f t="shared" si="718"/>
        <v>0.30150419245923171</v>
      </c>
      <c r="EH279" s="173"/>
      <c r="EI279" s="528">
        <f t="shared" si="719"/>
        <v>5.8559508194656155E-3</v>
      </c>
      <c r="EJ279" s="528">
        <f t="shared" si="720"/>
        <v>1.1852607123898946</v>
      </c>
      <c r="EK279" s="528">
        <f t="shared" si="721"/>
        <v>4.0250000000000001E-2</v>
      </c>
      <c r="EL279" s="528">
        <f t="shared" si="722"/>
        <v>1.0140631637499999</v>
      </c>
      <c r="EM279">
        <f t="shared" si="723"/>
        <v>2.7E-2</v>
      </c>
      <c r="EN279" s="460">
        <f t="shared" si="724"/>
        <v>67.25</v>
      </c>
      <c r="EP279" s="460">
        <f t="shared" si="725"/>
        <v>2272.4298269593605</v>
      </c>
      <c r="EQ279" s="173">
        <f t="shared" si="726"/>
        <v>0.44099999999999995</v>
      </c>
      <c r="ER279" s="173">
        <f t="shared" si="772"/>
        <v>6.9890624999999998E-2</v>
      </c>
      <c r="ES279" s="528"/>
      <c r="EU279" s="460">
        <f t="shared" si="727"/>
        <v>510.89062499999994</v>
      </c>
      <c r="EV279" s="528">
        <f t="shared" si="728"/>
        <v>8.7839262291984216E-3</v>
      </c>
      <c r="EW279" s="528">
        <f t="shared" si="729"/>
        <v>4.5216073770801571E-2</v>
      </c>
      <c r="EX279" s="528">
        <f t="shared" si="730"/>
        <v>4.5452389035246718E-4</v>
      </c>
      <c r="EY279" s="528">
        <f t="shared" si="731"/>
        <v>0.94326194802617347</v>
      </c>
      <c r="EZ279" s="528"/>
      <c r="FA279" s="625">
        <f t="shared" si="732"/>
        <v>9.4500000000000018E-3</v>
      </c>
      <c r="FB279" s="460">
        <f t="shared" si="733"/>
        <v>1007.1664719165259</v>
      </c>
      <c r="FC279" s="173">
        <f t="shared" si="734"/>
        <v>3.7904869238758865</v>
      </c>
      <c r="FD279" s="5">
        <f t="shared" si="735"/>
        <v>11.34</v>
      </c>
      <c r="FE279" s="173">
        <f t="shared" si="736"/>
        <v>0.74948017582338988</v>
      </c>
      <c r="FF279" s="5">
        <f t="shared" si="737"/>
        <v>74.948017582338991</v>
      </c>
      <c r="FG279">
        <f t="shared" si="738"/>
        <v>63</v>
      </c>
      <c r="FI279" s="562">
        <f t="shared" si="689"/>
        <v>-50</v>
      </c>
    </row>
    <row r="280" spans="5:165">
      <c r="E280" s="170">
        <v>64</v>
      </c>
      <c r="F280" s="217">
        <f t="shared" si="773"/>
        <v>0.64</v>
      </c>
      <c r="G280" s="217">
        <f t="shared" ref="G280:G316" si="775">IF(PLOT_TYPE=1, E280/100*Iout2, min_I*EXP(Q280*rr/100))</f>
        <v>0.16</v>
      </c>
      <c r="H280" s="217">
        <f t="shared" ref="H280:H316" si="776">F280*Vout</f>
        <v>10.24</v>
      </c>
      <c r="I280" s="217">
        <f t="shared" ref="I280:I316" si="777">Vout2*G280</f>
        <v>1.28</v>
      </c>
      <c r="J280" s="541">
        <f t="shared" ref="J280:J316" si="778">VIN_max-(F280/CG280/Nps+G280/CH280/(Nps/Nsec1sec2))*(Rdcr_pri+RON/1000)</f>
        <v>59.925276753793639</v>
      </c>
      <c r="K280" s="443">
        <f t="shared" ref="K280:K316" si="779">MAX((S280+Vfwd2+Rdcr_sec*F280/CG280)*Nps,(Vout2+Vfwd22+Rdcr_sec2*G280/CH280)*Nps/Nsec1sec2)</f>
        <v>16.733123146848431</v>
      </c>
      <c r="L280" s="172">
        <f t="shared" ref="L280:L316" si="780">MAX((Vout+Vfwd2+F280/CG280*Rdcr_sec)*Nps+J280, (Vout2+Vfwd22+G280/CH280*Rdcr_sec2)*Nps/Nsec1sec2+J280)</f>
        <v>76.658399900642067</v>
      </c>
      <c r="M280" s="443"/>
      <c r="N280" s="217">
        <f t="shared" ref="N280:N316" si="781">MAX((Vout+Vfwd2+F280/CG280*Rdcr_sec)*Nps/((Vout+Vfwd2+F280/CG280*Rdcr_sec)*Nps+J280), (Vout2+Vfwd22+G280/CH280*Rdcr_sec2)*Nps/Nsec1sec2/((Vout2+Vfwd22+G280/CH280*Rdcr_sec2)*Nps/Nsec1sec2+J280))</f>
        <v>0.2182816647430216</v>
      </c>
      <c r="O280" s="172">
        <f t="shared" ref="O280:O311" si="782">N280*J280*Isw_max*0.5*Efficiency*Pout/(Pout+Pout2)</f>
        <v>29.067975933343046</v>
      </c>
      <c r="P280" s="172">
        <f t="shared" ref="P280:P316" si="783">N280*J280*Isw_max*0.5*Efficiency*(Pout2/Pout_total)</f>
        <v>4.0876841156263657</v>
      </c>
      <c r="Q280" s="217">
        <f t="shared" ref="Q280:Q316" si="784">O280/Vout</f>
        <v>1.8167484958339404</v>
      </c>
      <c r="R280" s="217">
        <f t="shared" ref="R280:R316" si="785">O280/Vout2</f>
        <v>3.6334969916678808</v>
      </c>
      <c r="S280" s="217">
        <f t="shared" ref="S280:S316" si="786">MIN(Vout,O280/F280)</f>
        <v>16</v>
      </c>
      <c r="T280" s="217">
        <f t="shared" ref="T280:T316" si="787">MIN(2*(Vout*F280+Vout2*G280)/(Efficiency*J280*N280), Isw_max)</f>
        <v>1.7613885506651306</v>
      </c>
      <c r="U280" s="217">
        <f t="shared" ref="U280:U316" si="788">L*T280/J280*1000000</f>
        <v>0.35271697942794206</v>
      </c>
      <c r="V280" s="217">
        <f t="shared" ref="V280:V316" si="789">L*T280/K280*1000000</f>
        <v>1.2631630343294586</v>
      </c>
      <c r="W280" s="197">
        <f t="shared" ref="W280:W316" si="790">IF(1/((350000*L)*(1/J280+1/K280))&gt;Isw_min, 350, 0.001/((Isw_min*L)*(1/J280+1/K280)))</f>
        <v>350</v>
      </c>
      <c r="X280" s="443">
        <f t="shared" si="691"/>
        <v>350</v>
      </c>
      <c r="Z280" s="217">
        <f t="shared" ref="Z280:Z316" si="791">1/((W280*1000*L)*(1/J280+1/K280))</f>
        <v>3.114425992858183</v>
      </c>
      <c r="AA280" s="173">
        <f t="shared" ref="AA280:AA316" si="792">L*Z280/K280*1000000</f>
        <v>2.2334809578770818</v>
      </c>
      <c r="AB280" s="173">
        <f t="shared" ref="AB280:AB311" si="793">0.5*AA280*Z280*Nps*W280/1000*(Pout/(Pout+Pout2))</f>
        <v>1.0820461788525162</v>
      </c>
      <c r="AC280" s="173"/>
      <c r="AD280" s="173">
        <f t="shared" ref="AD280:AD316" si="794">L*Isw_min/K280*1000000</f>
        <v>0.71714048206596259</v>
      </c>
      <c r="AE280" s="545">
        <f t="shared" ref="AE280:AE311" si="795">MAX(10, F280/(0.5*AD280/1000000*Isw_min*Nps)/1000*Pout_total/Pout)</f>
        <v>1784.8664689971661</v>
      </c>
      <c r="AF280" s="528">
        <f t="shared" ref="AF280:AF316" si="796">0.5*AD280/1000000*Isw_min*Nps*W280*1000*(Pout/Pout_total)</f>
        <v>0.12549958436154346</v>
      </c>
      <c r="AH280" s="173">
        <f t="shared" ref="AH280:AH315" si="797">SQRT((H280+I280)/(0.5*L*Fsw_DCM))</f>
        <v>2.3421601750764793</v>
      </c>
      <c r="AI280" s="173">
        <f t="shared" ref="AI280:AI311" si="798">MAX(IF(F280&gt;AB280,T280,AH280),Isw_min)</f>
        <v>2.3421601750764793</v>
      </c>
      <c r="AJ280" s="173">
        <f t="shared" ref="AJ280:AJ311" si="799">IF(F280&gt;AF280, (AI280-Isw_min)/1.08*0.8+1.2, AE280*0.2/350+1)</f>
        <v>2.1941927222788733</v>
      </c>
      <c r="AL280" s="545">
        <f t="shared" ref="AL280:AL316" si="800">F280*1000</f>
        <v>640</v>
      </c>
      <c r="AM280" s="460">
        <f t="shared" ref="AM280:AM316" si="801">IF(F280&gt;AF280, X280, AE280)</f>
        <v>350</v>
      </c>
      <c r="AO280">
        <f t="shared" ref="AO280:AO316" si="802">IF(H280&gt;O280, "",AL280)</f>
        <v>640</v>
      </c>
      <c r="AP280">
        <f t="shared" ref="AP280:AP316" si="803">IF(H280&gt;O280, "",AM280)</f>
        <v>350</v>
      </c>
      <c r="AR280" s="5">
        <f t="shared" si="774"/>
        <v>2.8571428571428572</v>
      </c>
      <c r="AS280" s="5">
        <f t="shared" si="739"/>
        <v>0.46901614182596957</v>
      </c>
      <c r="AT280" s="5">
        <f t="shared" si="740"/>
        <v>2.3881267153168877</v>
      </c>
      <c r="AU280" s="173">
        <f t="shared" si="741"/>
        <v>0.16415564963908935</v>
      </c>
      <c r="BA280" s="173">
        <f t="shared" si="692"/>
        <v>0.54787802544783681</v>
      </c>
      <c r="BB280" s="173">
        <f t="shared" si="693"/>
        <v>1.2362852008346648</v>
      </c>
      <c r="BC280" s="173">
        <f t="shared" si="694"/>
        <v>0.30361710079321913</v>
      </c>
      <c r="BD280" s="173"/>
      <c r="BE280" s="528">
        <f t="shared" si="695"/>
        <v>6.0034066153724112E-3</v>
      </c>
      <c r="BF280" s="528">
        <f t="shared" ref="BF280:BF316" si="804">0.5*L280*AI280*AM280*1000*Tfall</f>
        <v>1.1468516803855173</v>
      </c>
      <c r="BG280" s="528">
        <f t="shared" ref="BG280:BG316" si="805">Qg*Vdd*AM280*1000*0+Qg*J280*AM280*1000</f>
        <v>0.48239847786803886</v>
      </c>
      <c r="BH280" s="528">
        <f t="shared" si="696"/>
        <v>1.0129634587094503</v>
      </c>
      <c r="BI280">
        <f t="shared" si="697"/>
        <v>2.6966374539207139E-2</v>
      </c>
      <c r="BJ280" s="460">
        <f t="shared" si="698"/>
        <v>509.36485240724608</v>
      </c>
      <c r="BK280">
        <f t="shared" ref="BK280:BK316" si="806">(BF280+BG280*0+BH280+BI280*0+BE280*(1+RdsonTC*(Ta-25)))/(1-BE280*RdsonTC*ThetaJA)</f>
        <v>2.1705355378163054</v>
      </c>
      <c r="BL280" s="460">
        <f t="shared" si="699"/>
        <v>2675.183398117586</v>
      </c>
      <c r="BM280" s="173">
        <f t="shared" ref="BM280:BM316" si="807">Vfwd2*F280*(1+Diode_TC/1000*(Ta-25))</f>
        <v>0.39759999999999995</v>
      </c>
      <c r="BN280" s="173">
        <f t="shared" ref="BN280:BN316" si="808">Vfwd22*G280*(1+Diode_TC/1000*(Ta-25))</f>
        <v>7.0999999999999994E-2</v>
      </c>
      <c r="BQ280" s="460">
        <f t="shared" si="700"/>
        <v>468.59999999999997</v>
      </c>
      <c r="BR280" s="528">
        <f t="shared" si="701"/>
        <v>9.0051099230586164E-3</v>
      </c>
      <c r="BS280" s="528">
        <f t="shared" si="702"/>
        <v>4.5852032934084221E-2</v>
      </c>
      <c r="BT280" s="528">
        <f t="shared" si="703"/>
        <v>4.6091671947039891E-4</v>
      </c>
      <c r="BU280" s="528">
        <f t="shared" si="704"/>
        <v>0.96201445048347201</v>
      </c>
      <c r="BV280" s="528"/>
      <c r="BW280" s="625">
        <f t="shared" si="705"/>
        <v>9.5999999999999957E-3</v>
      </c>
      <c r="BX280" s="460">
        <f t="shared" si="706"/>
        <v>1026.9325100600852</v>
      </c>
      <c r="BY280" s="173">
        <f t="shared" si="707"/>
        <v>4.1707159081776721</v>
      </c>
      <c r="BZ280" s="5">
        <f t="shared" si="708"/>
        <v>11.52</v>
      </c>
      <c r="CA280" s="173">
        <f t="shared" si="709"/>
        <v>0.73419212146948731</v>
      </c>
      <c r="CB280" s="5">
        <f t="shared" si="710"/>
        <v>73.419212146948738</v>
      </c>
      <c r="CC280">
        <f t="shared" si="711"/>
        <v>64</v>
      </c>
      <c r="CE280" s="562">
        <f t="shared" ref="CE280:CE316" si="809">IF(ABS(F280-Ioutmax_Vinmax)&lt;Iout/200, AM280, -50)</f>
        <v>-50</v>
      </c>
      <c r="CG280" s="173">
        <f t="shared" ref="CG280:CG316" si="810">MIN(SQRT(2*DT280*1000*Ls1_*CL280)/CW280, 1-DY280)</f>
        <v>0.57965506984757753</v>
      </c>
      <c r="CH280" s="173">
        <f t="shared" ref="CH280:CH316" si="811">MIN(SQRT(2*DT280*1000*Ls2_*CM280)/Vout2, 1-DY280)</f>
        <v>0.20862055451654274</v>
      </c>
      <c r="CI280" s="170">
        <v>64</v>
      </c>
      <c r="CJ280" s="217">
        <f t="shared" si="712"/>
        <v>0.64</v>
      </c>
      <c r="CK280" s="217">
        <f t="shared" ref="CK280:CK316" si="812">IF(PLOT_TYPE=1, CI280/100*Iout2, min_I*EXP(CU280*rr/100))</f>
        <v>0.16</v>
      </c>
      <c r="CL280" s="217">
        <f t="shared" ref="CL280:CL316" si="813">CJ280*Vout</f>
        <v>10.24</v>
      </c>
      <c r="CM280" s="217">
        <f t="shared" ref="CM280:CM316" si="814">Vout2*CK280</f>
        <v>1.28</v>
      </c>
      <c r="CN280" s="541">
        <f t="shared" ref="CN280:CN316" si="815">VIN_max</f>
        <v>60</v>
      </c>
      <c r="CO280" s="443">
        <f t="shared" ref="CO280:CO316" si="816">(CW280+Vfwd2)*Nps</f>
        <v>16.7</v>
      </c>
      <c r="CP280" s="443">
        <f t="shared" ref="CP280:CP316" si="817">(Vout+Vfwd2)*Nps+CN280</f>
        <v>76.7</v>
      </c>
      <c r="CQ280" s="443"/>
      <c r="CR280" s="217">
        <f t="shared" ref="CR280:CR316" si="818">(Vout+Vfwd1)*Nps/((Vout+Vfwd1)*Nps+CN280)</f>
        <v>0.21465968586387432</v>
      </c>
      <c r="CS280" s="172">
        <f t="shared" ref="CS280:CS316" si="819">CR280*CN280*Isw_max*0.5*Efficiency*Pout/(Pout+Pout2)</f>
        <v>28.621291448516576</v>
      </c>
      <c r="CT280" s="172">
        <f t="shared" ref="CT280:CT316" si="820">CR280*CN280*Isw_max*0.5*Efficiency*(Pout2/Pout_total)</f>
        <v>4.0248691099476437</v>
      </c>
      <c r="CU280" s="217">
        <f t="shared" ref="CU280:CU316" si="821">CS280/Vout</f>
        <v>1.788830715532286</v>
      </c>
      <c r="CV280" s="217">
        <f t="shared" ref="CV280:CV316" si="822">CS280/Vout2</f>
        <v>3.577661431064572</v>
      </c>
      <c r="CW280" s="217">
        <f t="shared" ref="CW280:CW316" si="823">MIN(Vout,CS280/CJ280)</f>
        <v>16</v>
      </c>
      <c r="CX280" s="217">
        <f t="shared" ref="CX280:CX316" si="824">MIN(2*(Vout*CJ280+Vout2*CK280)/(Efficiency*CN280*CR280), Isw_max)</f>
        <v>1.7888780487804878</v>
      </c>
      <c r="CY280" s="217">
        <f t="shared" ref="CY280:CY316" si="825">L*CX280/CN280*1000000</f>
        <v>0.35777560975609757</v>
      </c>
      <c r="CZ280" s="217">
        <f t="shared" ref="CZ280:CZ316" si="826">L*CX280/CO280*1000000</f>
        <v>1.2854213524171172</v>
      </c>
      <c r="DA280" s="197">
        <f t="shared" ref="DA280:DA316" si="827">IF(1/((350000*L)*(1/CN280+1/CO280))&gt;Isw_min, 350, 0.001/((Isw_min*L)*(1/CN280+1/CO280)))</f>
        <v>350</v>
      </c>
      <c r="DB280" s="443">
        <f t="shared" ref="DB280:DB316" si="828">MIN(1/(CY280+CZ280)*1000, 350)</f>
        <v>350</v>
      </c>
      <c r="DD280" s="217">
        <f t="shared" ref="DD280:DD316" si="829">1/((DA280*1000*L)*(1/CN280+1/CO280))</f>
        <v>3.1104488731607378</v>
      </c>
      <c r="DE280" s="173">
        <f t="shared" ref="DE280:DE316" si="830">L*DD280/CO280*1000000</f>
        <v>2.23505308251071</v>
      </c>
      <c r="DF280" s="173">
        <f t="shared" ref="DF280:DF316" si="831">0.5*DE280*DD280*Nps*DA280/1000*(Pout/(Pout+Pout2))</f>
        <v>1.0814250754144243</v>
      </c>
      <c r="DG280" s="173"/>
      <c r="DH280" s="173">
        <f t="shared" ref="DH280:DH316" si="832">L*Isw_min/CO280*1000000</f>
        <v>0.71856287425149712</v>
      </c>
      <c r="DI280" s="545">
        <f t="shared" ref="DI280:DI316" si="833">MAX(10, CJ280/(0.5*DH280/1000000*Isw_min*Nps)/1000*Pout_total/Pout)</f>
        <v>1781.3333333333333</v>
      </c>
      <c r="DJ280" s="528">
        <f t="shared" ref="DJ280:DJ316" si="834">0.5*DH280/1000000*Isw_min*Nps*DA280*1000*(Pout/Pout_total)</f>
        <v>0.125748502994012</v>
      </c>
      <c r="DL280" s="173">
        <f t="shared" ref="DL280:DL316" si="835">SQRT((CL280+CM280)/(0.5*L*Fsw_DCM))</f>
        <v>2.3421601750764793</v>
      </c>
      <c r="DM280" s="173">
        <f t="shared" ref="DM280:DM316" si="836">MAX(IF(CJ280&gt;DF280,CX280,DL280),Isw_min)</f>
        <v>2.3421601750764793</v>
      </c>
      <c r="DN280" s="173">
        <f t="shared" ref="DN280:DN316" si="837">IF(CJ280&gt;DJ280, (DM280-Isw_min)/1.08*0.8+1.2, DI280*0.2/350+1)</f>
        <v>2.1941927222788733</v>
      </c>
      <c r="DP280" s="545">
        <f t="shared" ref="DP280:DP316" si="838">CJ280*1000</f>
        <v>640</v>
      </c>
      <c r="DQ280" s="460">
        <f t="shared" ref="DQ280:DQ316" si="839">IF(CJ280&gt;DJ280, DB280, DI280)</f>
        <v>350</v>
      </c>
      <c r="DS280">
        <f t="shared" ref="DS280:DS316" si="840">IF(CL280&gt;CS280, "",DP280)</f>
        <v>640</v>
      </c>
      <c r="DT280">
        <f t="shared" ref="DT280:DT316" si="841">IF(CL280&gt;CS280, "",DQ280)</f>
        <v>350</v>
      </c>
      <c r="DV280" s="5">
        <f t="shared" si="684"/>
        <v>2.8571428571428572</v>
      </c>
      <c r="DW280" s="5">
        <f t="shared" ref="DW280:DW316" si="842">L*DM280/CN280*1000000</f>
        <v>0.46843203501529584</v>
      </c>
      <c r="DX280" s="5">
        <f t="shared" ref="DX280:DX316" si="843">DV280-DW280</f>
        <v>2.3887108221275613</v>
      </c>
      <c r="DY280" s="173">
        <f t="shared" ref="DY280:DY316" si="844">DW280/DV280</f>
        <v>0.16395121225535353</v>
      </c>
      <c r="EA280" s="5">
        <f t="shared" si="713"/>
        <v>1.8737281400611834</v>
      </c>
      <c r="EB280" s="5">
        <f t="shared" si="714"/>
        <v>0.93686407003059169</v>
      </c>
      <c r="EC280" s="5">
        <f t="shared" si="715"/>
        <v>0.33972776136925309</v>
      </c>
      <c r="ED280" s="5"/>
      <c r="EE280" s="173">
        <f t="shared" si="716"/>
        <v>0.54753675895759657</v>
      </c>
      <c r="EF280" s="173">
        <f t="shared" si="717"/>
        <v>1.2364363817688473</v>
      </c>
      <c r="EG280" s="173">
        <f t="shared" si="718"/>
        <v>0.30365422905205514</v>
      </c>
      <c r="EH280" s="173"/>
      <c r="EI280" s="528">
        <f t="shared" si="719"/>
        <v>5.9959300481957842E-3</v>
      </c>
      <c r="EJ280" s="528">
        <f t="shared" si="720"/>
        <v>1.1946305080986339</v>
      </c>
      <c r="EK280" s="528">
        <f t="shared" si="721"/>
        <v>4.0250000000000001E-2</v>
      </c>
      <c r="EL280" s="528">
        <f t="shared" si="722"/>
        <v>1.0140631637499999</v>
      </c>
      <c r="EM280">
        <f t="shared" si="723"/>
        <v>2.7E-2</v>
      </c>
      <c r="EN280" s="460">
        <f t="shared" si="724"/>
        <v>67.25</v>
      </c>
      <c r="EP280" s="460">
        <f t="shared" si="725"/>
        <v>2281.9396018968296</v>
      </c>
      <c r="EQ280" s="173">
        <f t="shared" si="726"/>
        <v>0.44799999999999995</v>
      </c>
      <c r="ER280" s="173">
        <f t="shared" ref="ER280:ER316" si="845">Vfwd22*CK280*(1+Diode_TC/1000*(Ta-25))</f>
        <v>7.0999999999999994E-2</v>
      </c>
      <c r="ES280" s="528"/>
      <c r="EU280" s="460">
        <f t="shared" si="727"/>
        <v>518.99999999999989</v>
      </c>
      <c r="EV280" s="528">
        <f t="shared" si="728"/>
        <v>8.9938950722936763E-3</v>
      </c>
      <c r="EW280" s="528">
        <f t="shared" si="729"/>
        <v>4.5863247784849161E-2</v>
      </c>
      <c r="EX280" s="528">
        <f t="shared" si="730"/>
        <v>4.6102945410598985E-4</v>
      </c>
      <c r="EY280" s="528">
        <f t="shared" si="731"/>
        <v>0.96201445048347201</v>
      </c>
      <c r="EZ280" s="528"/>
      <c r="FA280" s="625">
        <f t="shared" si="732"/>
        <v>9.5999999999999957E-3</v>
      </c>
      <c r="FB280" s="460">
        <f t="shared" si="733"/>
        <v>1026.9326227947208</v>
      </c>
      <c r="FC280" s="173">
        <f t="shared" si="734"/>
        <v>3.8278722246915509</v>
      </c>
      <c r="FD280" s="5">
        <f t="shared" si="735"/>
        <v>11.52</v>
      </c>
      <c r="FE280" s="173">
        <f t="shared" si="736"/>
        <v>0.75059264446225349</v>
      </c>
      <c r="FF280" s="5">
        <f t="shared" si="737"/>
        <v>75.059264446225342</v>
      </c>
      <c r="FG280">
        <f t="shared" si="738"/>
        <v>64</v>
      </c>
      <c r="FI280" s="562">
        <f t="shared" ref="FI280:FI316" si="846">IF(ABS(CJ280-Ioutmax_Vinmax)&lt;Iout/200, DQ280, -50)</f>
        <v>-50</v>
      </c>
    </row>
    <row r="281" spans="5:165">
      <c r="E281" s="170">
        <v>65</v>
      </c>
      <c r="F281" s="217">
        <f t="shared" ref="F281:F312" si="847">IF(PLOT_TYPE=1, E281/100*Iout_max, min_I*EXP(O281*rr/100))</f>
        <v>0.65</v>
      </c>
      <c r="G281" s="217">
        <f t="shared" si="775"/>
        <v>0.16250000000000001</v>
      </c>
      <c r="H281" s="217">
        <f t="shared" si="776"/>
        <v>10.4</v>
      </c>
      <c r="I281" s="217">
        <f t="shared" si="777"/>
        <v>1.3</v>
      </c>
      <c r="J281" s="541">
        <f t="shared" si="778"/>
        <v>59.924695241161842</v>
      </c>
      <c r="K281" s="443">
        <f t="shared" si="779"/>
        <v>16.73338091841585</v>
      </c>
      <c r="L281" s="172">
        <f t="shared" si="780"/>
        <v>76.658076159577689</v>
      </c>
      <c r="M281" s="443"/>
      <c r="N281" s="217">
        <f t="shared" si="781"/>
        <v>0.2182859492009985</v>
      </c>
      <c r="O281" s="172">
        <f t="shared" si="782"/>
        <v>29.068264402883489</v>
      </c>
      <c r="P281" s="172">
        <f t="shared" si="783"/>
        <v>4.0877246816554909</v>
      </c>
      <c r="Q281" s="217">
        <f t="shared" si="784"/>
        <v>1.8167665251802181</v>
      </c>
      <c r="R281" s="217">
        <f t="shared" si="785"/>
        <v>3.6335330503604362</v>
      </c>
      <c r="S281" s="217">
        <f t="shared" si="786"/>
        <v>16</v>
      </c>
      <c r="T281" s="217">
        <f t="shared" si="787"/>
        <v>1.7888924938649502</v>
      </c>
      <c r="U281" s="217">
        <f t="shared" si="788"/>
        <v>0.3582281034553193</v>
      </c>
      <c r="V281" s="217">
        <f t="shared" si="789"/>
        <v>1.2828674630094812</v>
      </c>
      <c r="W281" s="197">
        <f t="shared" si="790"/>
        <v>350</v>
      </c>
      <c r="X281" s="443">
        <f t="shared" ref="X281:X316" si="848">MIN(1/(U281+V281+0.2)*1000, 350)</f>
        <v>350</v>
      </c>
      <c r="Z281" s="217">
        <f t="shared" si="791"/>
        <v>3.1144569003089448</v>
      </c>
      <c r="AA281" s="173">
        <f t="shared" si="792"/>
        <v>2.2334687165685754</v>
      </c>
      <c r="AB281" s="173">
        <f t="shared" si="793"/>
        <v>1.0820509864797363</v>
      </c>
      <c r="AC281" s="173"/>
      <c r="AD281" s="173">
        <f t="shared" si="794"/>
        <v>0.71712943478107594</v>
      </c>
      <c r="AE281" s="545">
        <f t="shared" si="795"/>
        <v>1812.782932828384</v>
      </c>
      <c r="AF281" s="528">
        <f t="shared" si="796"/>
        <v>0.12549765108668828</v>
      </c>
      <c r="AH281" s="173">
        <f t="shared" si="797"/>
        <v>2.3603873774083297</v>
      </c>
      <c r="AI281" s="173">
        <f t="shared" si="798"/>
        <v>2.3603873774083297</v>
      </c>
      <c r="AJ281" s="173">
        <f t="shared" si="799"/>
        <v>2.2076943536357998</v>
      </c>
      <c r="AL281" s="545">
        <f t="shared" si="800"/>
        <v>650</v>
      </c>
      <c r="AM281" s="460">
        <f t="shared" si="801"/>
        <v>350</v>
      </c>
      <c r="AO281">
        <f t="shared" si="802"/>
        <v>650</v>
      </c>
      <c r="AP281">
        <f t="shared" si="803"/>
        <v>350</v>
      </c>
      <c r="AR281" s="5">
        <f t="shared" si="774"/>
        <v>2.8571428571428572</v>
      </c>
      <c r="AS281" s="5">
        <f t="shared" si="739"/>
        <v>0.47267071471802763</v>
      </c>
      <c r="AT281" s="5">
        <f t="shared" si="740"/>
        <v>2.3844721424248294</v>
      </c>
      <c r="AU281" s="173">
        <f t="shared" si="741"/>
        <v>0.16543475015130968</v>
      </c>
      <c r="BA281" s="173">
        <f t="shared" ref="BA281:BA316" si="849">AI281*SQRT(AU281/3)</f>
        <v>0.55428870146045561</v>
      </c>
      <c r="BB281" s="173">
        <f t="shared" ref="BB281:BB316" si="850">AI281*Npri_sec1*SQRT((1-AU281)/3)*(Pout/Pout_total)</f>
        <v>1.2449525663960614</v>
      </c>
      <c r="BC281" s="173">
        <f t="shared" ref="BC281:BC316" si="851">AI281*Npri_sec2*SQRT((1-AU281)/3)*(Pout2/Pout_total)</f>
        <v>0.30574570380609156</v>
      </c>
      <c r="BD281" s="173"/>
      <c r="BE281" s="528">
        <f t="shared" ref="BE281:BE315" si="852">Rdson*BA281^2</f>
        <v>6.1447192913343619E-3</v>
      </c>
      <c r="BF281" s="528">
        <f t="shared" si="804"/>
        <v>1.1557718497564378</v>
      </c>
      <c r="BG281" s="528">
        <f t="shared" si="805"/>
        <v>0.48239379669135285</v>
      </c>
      <c r="BH281" s="528">
        <f t="shared" ref="BH281:BH316" si="853">0.5*(Coss+Csw)*L281^2*AM281*1000</f>
        <v>1.0129549029040523</v>
      </c>
      <c r="BI281">
        <f t="shared" ref="BI281:BI316" si="854">J281*IQ</f>
        <v>2.696611285852283E-2</v>
      </c>
      <c r="BJ281" s="460">
        <f t="shared" ref="BJ281:BJ316" si="855">(BG281+BI281)*1000</f>
        <v>509.35990954987562</v>
      </c>
      <c r="BK281">
        <f t="shared" si="806"/>
        <v>2.1797128949532296</v>
      </c>
      <c r="BL281" s="460">
        <f t="shared" ref="BL281:BL316" si="856">SUM(BE281:BI281)*1000</f>
        <v>2684.2313815017005</v>
      </c>
      <c r="BM281" s="173">
        <f t="shared" si="807"/>
        <v>0.40381249999999996</v>
      </c>
      <c r="BN281" s="173">
        <f t="shared" si="808"/>
        <v>7.2109375000000003E-2</v>
      </c>
      <c r="BQ281" s="460">
        <f t="shared" ref="BQ281:BQ316" si="857">SUM(BM281:BP281)*1000</f>
        <v>475.92187499999994</v>
      </c>
      <c r="BR281" s="528">
        <f t="shared" ref="BR281:BR316" si="858">Rdcr_pri*BA281^2</f>
        <v>9.2170789370015424E-3</v>
      </c>
      <c r="BS281" s="528">
        <f t="shared" ref="BS281:BS316" si="859">Rdcr_sec*BB281^2</f>
        <v>4.6497206777284188E-2</v>
      </c>
      <c r="BT281" s="528">
        <f t="shared" ref="BT281:BT316" si="860">Rdcr_sec2*BC281^2</f>
        <v>4.6740217697941139E-4</v>
      </c>
      <c r="BU281" s="528">
        <f t="shared" ref="BU281:BU316" si="861">AI281^2.5*AM281^2.5*k_core</f>
        <v>0.98084035077869214</v>
      </c>
      <c r="BV281" s="528"/>
      <c r="BW281" s="625">
        <f t="shared" ref="BW281:BW316" si="862">0.5*Lleak*0.000000001*AI281^2*AM281*1000</f>
        <v>9.7500000000000035E-3</v>
      </c>
      <c r="BX281" s="460">
        <f t="shared" ref="BX281:BX316" si="863">SUM(BR281:BW281)*1000</f>
        <v>1046.7720386699573</v>
      </c>
      <c r="BY281" s="173">
        <f t="shared" ref="BY281:BY315" si="864">SUM(BE281:BI281,BM281:BP281,BR281:BW281)</f>
        <v>4.2069252951716578</v>
      </c>
      <c r="BZ281" s="5">
        <f t="shared" ref="BZ281:BZ316" si="865">MIN(H281+I281,O281+P281)</f>
        <v>11.700000000000001</v>
      </c>
      <c r="CA281" s="173">
        <f t="shared" ref="CA281:CA316" si="866">BZ281/(BZ281+BY281)</f>
        <v>0.73552869475984684</v>
      </c>
      <c r="CB281" s="5">
        <f t="shared" ref="CB281:CB316" si="867">CA281*100</f>
        <v>73.552869475984679</v>
      </c>
      <c r="CC281">
        <f t="shared" ref="CC281:CC316" si="868">F281/Iout*100</f>
        <v>65</v>
      </c>
      <c r="CE281" s="562">
        <f t="shared" si="809"/>
        <v>-50</v>
      </c>
      <c r="CG281" s="173">
        <f t="shared" si="810"/>
        <v>0.58416607227739614</v>
      </c>
      <c r="CH281" s="173">
        <f t="shared" si="811"/>
        <v>0.2102440852631671</v>
      </c>
      <c r="CI281" s="170">
        <v>65</v>
      </c>
      <c r="CJ281" s="217">
        <f t="shared" ref="CJ281:CJ316" si="869">IF(PLOT_TYPE=1, CI281/100*Iout_max, min_I*EXP(CS281*rr/100))</f>
        <v>0.65</v>
      </c>
      <c r="CK281" s="217">
        <f t="shared" si="812"/>
        <v>0.16250000000000001</v>
      </c>
      <c r="CL281" s="217">
        <f t="shared" si="813"/>
        <v>10.4</v>
      </c>
      <c r="CM281" s="217">
        <f t="shared" si="814"/>
        <v>1.3</v>
      </c>
      <c r="CN281" s="541">
        <f t="shared" si="815"/>
        <v>60</v>
      </c>
      <c r="CO281" s="443">
        <f t="shared" si="816"/>
        <v>16.7</v>
      </c>
      <c r="CP281" s="443">
        <f t="shared" si="817"/>
        <v>76.7</v>
      </c>
      <c r="CQ281" s="443"/>
      <c r="CR281" s="217">
        <f t="shared" si="818"/>
        <v>0.21465968586387432</v>
      </c>
      <c r="CS281" s="172">
        <f t="shared" si="819"/>
        <v>28.621291448516576</v>
      </c>
      <c r="CT281" s="172">
        <f t="shared" si="820"/>
        <v>4.0248691099476437</v>
      </c>
      <c r="CU281" s="217">
        <f t="shared" si="821"/>
        <v>1.788830715532286</v>
      </c>
      <c r="CV281" s="217">
        <f t="shared" si="822"/>
        <v>3.577661431064572</v>
      </c>
      <c r="CW281" s="217">
        <f t="shared" si="823"/>
        <v>16</v>
      </c>
      <c r="CX281" s="217">
        <f t="shared" si="824"/>
        <v>1.8168292682926832</v>
      </c>
      <c r="CY281" s="217">
        <f t="shared" si="825"/>
        <v>0.36336585365853663</v>
      </c>
      <c r="CZ281" s="217">
        <f t="shared" si="826"/>
        <v>1.3055060610486346</v>
      </c>
      <c r="DA281" s="197">
        <f t="shared" si="827"/>
        <v>350</v>
      </c>
      <c r="DB281" s="443">
        <f t="shared" si="828"/>
        <v>350</v>
      </c>
      <c r="DD281" s="217">
        <f t="shared" si="829"/>
        <v>3.1104488731607378</v>
      </c>
      <c r="DE281" s="173">
        <f t="shared" si="830"/>
        <v>2.23505308251071</v>
      </c>
      <c r="DF281" s="173">
        <f t="shared" si="831"/>
        <v>1.0814250754144243</v>
      </c>
      <c r="DG281" s="173"/>
      <c r="DH281" s="173">
        <f t="shared" si="832"/>
        <v>0.71856287425149712</v>
      </c>
      <c r="DI281" s="545">
        <f t="shared" si="833"/>
        <v>1809.1666666666665</v>
      </c>
      <c r="DJ281" s="528">
        <f t="shared" si="834"/>
        <v>0.125748502994012</v>
      </c>
      <c r="DL281" s="173">
        <f t="shared" si="835"/>
        <v>2.3603873774083297</v>
      </c>
      <c r="DM281" s="173">
        <f t="shared" si="836"/>
        <v>2.3603873774083297</v>
      </c>
      <c r="DN281" s="173">
        <f t="shared" si="837"/>
        <v>2.2076943536357998</v>
      </c>
      <c r="DP281" s="545">
        <f t="shared" si="838"/>
        <v>650</v>
      </c>
      <c r="DQ281" s="460">
        <f t="shared" si="839"/>
        <v>350</v>
      </c>
      <c r="DS281">
        <f t="shared" si="840"/>
        <v>650</v>
      </c>
      <c r="DT281">
        <f t="shared" si="841"/>
        <v>350</v>
      </c>
      <c r="DV281" s="5">
        <f t="shared" ref="DV281:DV316" si="870">1/DQ281*1000</f>
        <v>2.8571428571428572</v>
      </c>
      <c r="DW281" s="5">
        <f t="shared" si="842"/>
        <v>0.47207747548166595</v>
      </c>
      <c r="DX281" s="5">
        <f t="shared" si="843"/>
        <v>2.3850653816611911</v>
      </c>
      <c r="DY281" s="173">
        <f t="shared" si="844"/>
        <v>0.16522711641858309</v>
      </c>
      <c r="EA281" s="5">
        <f t="shared" ref="EA281:EA316" si="871">CJ281*DW281/Vout_ripple*1000</f>
        <v>1.9178147441442681</v>
      </c>
      <c r="EB281" s="5">
        <f t="shared" ref="EB281:EB316" si="872">CK281*DW281/Vout_ripple2*1000</f>
        <v>0.95890737207213406</v>
      </c>
      <c r="EC281" s="5">
        <f t="shared" ref="EC281:EC316" si="873">CL281/Efficiency/CN281*DX281/Vinripple1</f>
        <v>0.34450944401772754</v>
      </c>
      <c r="ED281" s="5"/>
      <c r="EE281" s="173">
        <f t="shared" ref="EE281:EE316" si="874">DM281*SQRT(DY281/3)</f>
        <v>0.55394075410921251</v>
      </c>
      <c r="EF281" s="173">
        <f t="shared" ref="EF281:EF316" si="875">DM281*Npri_sec1*SQRT((1-DY281)/3)*(Pout/Pout_total)</f>
        <v>1.2451074243131695</v>
      </c>
      <c r="EG281" s="173">
        <f t="shared" ref="EG281:EG316" si="876">DM281*Npri_sec2*SQRT((1-DY281)/3)*(Pout2/Pout_total)</f>
        <v>0.30578373508867546</v>
      </c>
      <c r="EH281" s="173"/>
      <c r="EI281" s="528">
        <f t="shared" ref="EI281:EI316" si="877">Rdson*EE281^2</f>
        <v>6.1370071812616609E-3</v>
      </c>
      <c r="EJ281" s="528">
        <f t="shared" ref="EJ281:EJ316" si="878">0.5*CP281*DM281*DQ281*1000*Trise</f>
        <v>1.2039273837840057</v>
      </c>
      <c r="EK281" s="528">
        <f t="shared" ref="EK281:EK316" si="879">Qg*Vdd*DQ281*1000</f>
        <v>4.0250000000000001E-2</v>
      </c>
      <c r="EL281" s="528">
        <f t="shared" ref="EL281:EL316" si="880">0.5*(Coss+Csw)*CP281^2*DQ281*1000</f>
        <v>1.0140631637499999</v>
      </c>
      <c r="EM281">
        <f t="shared" ref="EM281:EM316" si="881">CN281*IQ</f>
        <v>2.7E-2</v>
      </c>
      <c r="EN281" s="460">
        <f t="shared" ref="EN281:EN316" si="882">(EK281+EM281)*1000</f>
        <v>67.25</v>
      </c>
      <c r="EP281" s="460">
        <f t="shared" ref="EP281:EP316" si="883">SUM(EI281:EM281)*1000</f>
        <v>2291.3775547152673</v>
      </c>
      <c r="EQ281" s="173">
        <f t="shared" ref="EQ281:EQ316" si="884">Vfwd2*CJ281</f>
        <v>0.45499999999999996</v>
      </c>
      <c r="ER281" s="173">
        <f t="shared" si="845"/>
        <v>7.2109375000000003E-2</v>
      </c>
      <c r="ES281" s="528"/>
      <c r="EU281" s="460">
        <f t="shared" ref="EU281:EU316" si="885">SUM(EQ281:ET281)*1000</f>
        <v>527.109375</v>
      </c>
      <c r="EV281" s="528">
        <f t="shared" ref="EV281:EV316" si="886">Rdcr_pri*EE281^2</f>
        <v>9.205510771892491E-3</v>
      </c>
      <c r="EW281" s="528">
        <f t="shared" ref="EW281:EW316" si="887">Rdcr_sec*EF281^2</f>
        <v>4.6508774942393249E-2</v>
      </c>
      <c r="EX281" s="528">
        <f t="shared" ref="EX281:EX316" si="888">Rdcr_sec2*EG281^2</f>
        <v>4.6751846322390627E-4</v>
      </c>
      <c r="EY281" s="528">
        <f t="shared" ref="EY281:EY316" si="889">DM281^2.5*DQ281^2.5*k_core</f>
        <v>0.98084035077869214</v>
      </c>
      <c r="EZ281" s="528"/>
      <c r="FA281" s="625">
        <f t="shared" ref="FA281:FA316" si="890">0.5*Lleak*0.000000001*DM281^2*DQ281*1000</f>
        <v>9.7500000000000035E-3</v>
      </c>
      <c r="FB281" s="460">
        <f t="shared" ref="FB281:FB316" si="891">SUM(EV281:FA281)*1000</f>
        <v>1046.7721549562016</v>
      </c>
      <c r="FC281" s="173">
        <f t="shared" ref="FC281:FC316" si="892">SUM(EI281:EM281,EQ281:ET281,EV281:FA281)</f>
        <v>3.8652590846714689</v>
      </c>
      <c r="FD281" s="5">
        <f t="shared" ref="FD281:FD316" si="893">MIN(CL281+CM281,CS281+CT281)</f>
        <v>11.700000000000001</v>
      </c>
      <c r="FE281" s="173">
        <f t="shared" ref="FE281:FE316" si="894">FD281/(FD281+FC281)</f>
        <v>0.75167396420160182</v>
      </c>
      <c r="FF281" s="5">
        <f t="shared" ref="FF281:FF316" si="895">FE281*100</f>
        <v>75.167396420160188</v>
      </c>
      <c r="FG281">
        <f t="shared" ref="FG281:FG316" si="896">CJ281/Iout*100</f>
        <v>65</v>
      </c>
      <c r="FI281" s="562">
        <f t="shared" si="846"/>
        <v>-50</v>
      </c>
    </row>
    <row r="282" spans="5:165">
      <c r="E282" s="170">
        <v>66</v>
      </c>
      <c r="F282" s="217">
        <f t="shared" si="847"/>
        <v>0.66</v>
      </c>
      <c r="G282" s="217">
        <f t="shared" si="775"/>
        <v>0.16500000000000001</v>
      </c>
      <c r="H282" s="217">
        <f t="shared" si="776"/>
        <v>10.56</v>
      </c>
      <c r="I282" s="217">
        <f t="shared" si="777"/>
        <v>1.32</v>
      </c>
      <c r="J282" s="541">
        <f t="shared" si="778"/>
        <v>59.924118184762555</v>
      </c>
      <c r="K282" s="443">
        <f t="shared" si="779"/>
        <v>16.733636714634883</v>
      </c>
      <c r="L282" s="172">
        <f t="shared" si="780"/>
        <v>76.657754899397446</v>
      </c>
      <c r="M282" s="443"/>
      <c r="N282" s="217">
        <f t="shared" si="781"/>
        <v>0.21829020086220155</v>
      </c>
      <c r="O282" s="172">
        <f t="shared" si="782"/>
        <v>29.068550655649162</v>
      </c>
      <c r="P282" s="172">
        <f t="shared" si="783"/>
        <v>4.0877649359506636</v>
      </c>
      <c r="Q282" s="217">
        <f t="shared" si="784"/>
        <v>1.8167844159780726</v>
      </c>
      <c r="R282" s="217">
        <f t="shared" si="785"/>
        <v>3.6335688319561452</v>
      </c>
      <c r="S282" s="217">
        <f t="shared" si="786"/>
        <v>16</v>
      </c>
      <c r="T282" s="217">
        <f t="shared" si="787"/>
        <v>1.8163960296981263</v>
      </c>
      <c r="U282" s="217">
        <f t="shared" si="788"/>
        <v>0.36373922581842799</v>
      </c>
      <c r="V282" s="217">
        <f t="shared" si="789"/>
        <v>1.3025711462538527</v>
      </c>
      <c r="W282" s="197">
        <f t="shared" si="790"/>
        <v>350</v>
      </c>
      <c r="X282" s="443">
        <f t="shared" si="848"/>
        <v>350</v>
      </c>
      <c r="Z282" s="217">
        <f t="shared" si="791"/>
        <v>3.1144875702481243</v>
      </c>
      <c r="AA282" s="173">
        <f t="shared" si="792"/>
        <v>2.233456568965138</v>
      </c>
      <c r="AB282" s="173">
        <f t="shared" si="793"/>
        <v>1.0820557568692581</v>
      </c>
      <c r="AC282" s="173"/>
      <c r="AD282" s="173">
        <f t="shared" si="794"/>
        <v>0.71711847248990745</v>
      </c>
      <c r="AE282" s="545">
        <f t="shared" si="795"/>
        <v>1840.7000386098373</v>
      </c>
      <c r="AF282" s="528">
        <f t="shared" si="796"/>
        <v>0.1254957326857338</v>
      </c>
      <c r="AH282" s="173">
        <f t="shared" si="797"/>
        <v>2.3784749015162756</v>
      </c>
      <c r="AI282" s="173">
        <f t="shared" si="798"/>
        <v>2.3784749015162756</v>
      </c>
      <c r="AJ282" s="173">
        <f t="shared" si="799"/>
        <v>2.2210925196416857</v>
      </c>
      <c r="AL282" s="545">
        <f t="shared" si="800"/>
        <v>660</v>
      </c>
      <c r="AM282" s="460">
        <f t="shared" si="801"/>
        <v>350</v>
      </c>
      <c r="AO282">
        <f t="shared" si="802"/>
        <v>660</v>
      </c>
      <c r="AP282">
        <f t="shared" si="803"/>
        <v>350</v>
      </c>
      <c r="AR282" s="5">
        <f t="shared" si="774"/>
        <v>2.8571428571428572</v>
      </c>
      <c r="AS282" s="5">
        <f t="shared" si="739"/>
        <v>0.47629735209775459</v>
      </c>
      <c r="AT282" s="5">
        <f t="shared" si="740"/>
        <v>2.3808455050451025</v>
      </c>
      <c r="AU282" s="173">
        <f t="shared" si="741"/>
        <v>0.1667040732342141</v>
      </c>
      <c r="BA282" s="173">
        <f t="shared" si="849"/>
        <v>0.56067481875372116</v>
      </c>
      <c r="BB282" s="173">
        <f t="shared" si="850"/>
        <v>1.2535382057718734</v>
      </c>
      <c r="BC282" s="173">
        <f t="shared" si="851"/>
        <v>0.30785423582926885</v>
      </c>
      <c r="BD282" s="173"/>
      <c r="BE282" s="528">
        <f t="shared" si="852"/>
        <v>6.2871250476903623E-3</v>
      </c>
      <c r="BF282" s="528">
        <f t="shared" si="804"/>
        <v>1.1646235877973052</v>
      </c>
      <c r="BG282" s="528">
        <f t="shared" si="805"/>
        <v>0.48238915138733857</v>
      </c>
      <c r="BH282" s="528">
        <f t="shared" si="853"/>
        <v>1.0129464126989989</v>
      </c>
      <c r="BI282">
        <f t="shared" si="854"/>
        <v>2.6965853183143148E-2</v>
      </c>
      <c r="BJ282" s="460">
        <f t="shared" si="855"/>
        <v>509.35500457048164</v>
      </c>
      <c r="BK282">
        <f t="shared" si="806"/>
        <v>2.188824360908427</v>
      </c>
      <c r="BL282" s="460">
        <f t="shared" si="856"/>
        <v>2693.2121301144762</v>
      </c>
      <c r="BM282" s="173">
        <f t="shared" si="807"/>
        <v>0.41002499999999997</v>
      </c>
      <c r="BN282" s="173">
        <f t="shared" si="808"/>
        <v>7.3218749999999999E-2</v>
      </c>
      <c r="BQ282" s="460">
        <f t="shared" si="857"/>
        <v>483.24374999999998</v>
      </c>
      <c r="BR282" s="528">
        <f t="shared" si="858"/>
        <v>9.4306875715355429E-3</v>
      </c>
      <c r="BS282" s="528">
        <f t="shared" si="859"/>
        <v>4.7140740999893023E-2</v>
      </c>
      <c r="BT282" s="528">
        <f t="shared" si="860"/>
        <v>4.7387115259011541E-4</v>
      </c>
      <c r="BU282" s="528">
        <f t="shared" si="861"/>
        <v>0.99973880031536255</v>
      </c>
      <c r="BV282" s="528"/>
      <c r="BW282" s="625">
        <f t="shared" si="862"/>
        <v>9.8999999999999991E-3</v>
      </c>
      <c r="BX282" s="460">
        <f t="shared" si="863"/>
        <v>1066.6841000393813</v>
      </c>
      <c r="BY282" s="173">
        <f t="shared" si="864"/>
        <v>4.2431399801538578</v>
      </c>
      <c r="BZ282" s="5">
        <f t="shared" si="865"/>
        <v>11.88</v>
      </c>
      <c r="CA282" s="173">
        <f t="shared" si="866"/>
        <v>0.73682917934243686</v>
      </c>
      <c r="CB282" s="5">
        <f t="shared" si="867"/>
        <v>73.68291793424369</v>
      </c>
      <c r="CC282">
        <f t="shared" si="868"/>
        <v>66</v>
      </c>
      <c r="CE282" s="562">
        <f t="shared" si="809"/>
        <v>-50</v>
      </c>
      <c r="CG282" s="173">
        <f t="shared" si="810"/>
        <v>0.58864250611045754</v>
      </c>
      <c r="CH282" s="173">
        <f t="shared" si="811"/>
        <v>0.2118551746111054</v>
      </c>
      <c r="CI282" s="170">
        <v>66</v>
      </c>
      <c r="CJ282" s="217">
        <f t="shared" si="869"/>
        <v>0.66</v>
      </c>
      <c r="CK282" s="217">
        <f t="shared" si="812"/>
        <v>0.16500000000000001</v>
      </c>
      <c r="CL282" s="217">
        <f t="shared" si="813"/>
        <v>10.56</v>
      </c>
      <c r="CM282" s="217">
        <f t="shared" si="814"/>
        <v>1.32</v>
      </c>
      <c r="CN282" s="541">
        <f t="shared" si="815"/>
        <v>60</v>
      </c>
      <c r="CO282" s="443">
        <f t="shared" si="816"/>
        <v>16.7</v>
      </c>
      <c r="CP282" s="443">
        <f t="shared" si="817"/>
        <v>76.7</v>
      </c>
      <c r="CQ282" s="443"/>
      <c r="CR282" s="217">
        <f t="shared" si="818"/>
        <v>0.21465968586387432</v>
      </c>
      <c r="CS282" s="172">
        <f t="shared" si="819"/>
        <v>28.621291448516576</v>
      </c>
      <c r="CT282" s="172">
        <f t="shared" si="820"/>
        <v>4.0248691099476437</v>
      </c>
      <c r="CU282" s="217">
        <f t="shared" si="821"/>
        <v>1.788830715532286</v>
      </c>
      <c r="CV282" s="217">
        <f t="shared" si="822"/>
        <v>3.577661431064572</v>
      </c>
      <c r="CW282" s="217">
        <f t="shared" si="823"/>
        <v>16</v>
      </c>
      <c r="CX282" s="217">
        <f t="shared" si="824"/>
        <v>1.8447804878048784</v>
      </c>
      <c r="CY282" s="217">
        <f t="shared" si="825"/>
        <v>0.36895609756097569</v>
      </c>
      <c r="CZ282" s="217">
        <f t="shared" si="826"/>
        <v>1.3255907696801521</v>
      </c>
      <c r="DA282" s="197">
        <f t="shared" si="827"/>
        <v>350</v>
      </c>
      <c r="DB282" s="443">
        <f t="shared" si="828"/>
        <v>350</v>
      </c>
      <c r="DD282" s="217">
        <f t="shared" si="829"/>
        <v>3.1104488731607378</v>
      </c>
      <c r="DE282" s="173">
        <f t="shared" si="830"/>
        <v>2.23505308251071</v>
      </c>
      <c r="DF282" s="173">
        <f t="shared" si="831"/>
        <v>1.0814250754144243</v>
      </c>
      <c r="DG282" s="173"/>
      <c r="DH282" s="173">
        <f t="shared" si="832"/>
        <v>0.71856287425149712</v>
      </c>
      <c r="DI282" s="545">
        <f t="shared" si="833"/>
        <v>1836.9999999999998</v>
      </c>
      <c r="DJ282" s="528">
        <f t="shared" si="834"/>
        <v>0.125748502994012</v>
      </c>
      <c r="DL282" s="173">
        <f t="shared" si="835"/>
        <v>2.3784749015162756</v>
      </c>
      <c r="DM282" s="173">
        <f t="shared" si="836"/>
        <v>2.3784749015162756</v>
      </c>
      <c r="DN282" s="173">
        <f t="shared" si="837"/>
        <v>2.2210925196416857</v>
      </c>
      <c r="DP282" s="545">
        <f t="shared" si="838"/>
        <v>660</v>
      </c>
      <c r="DQ282" s="460">
        <f t="shared" si="839"/>
        <v>350</v>
      </c>
      <c r="DS282">
        <f t="shared" si="840"/>
        <v>660</v>
      </c>
      <c r="DT282">
        <f t="shared" si="841"/>
        <v>350</v>
      </c>
      <c r="DV282" s="5">
        <f t="shared" si="870"/>
        <v>2.8571428571428572</v>
      </c>
      <c r="DW282" s="5">
        <f t="shared" si="842"/>
        <v>0.47569498030325513</v>
      </c>
      <c r="DX282" s="5">
        <f t="shared" si="843"/>
        <v>2.3814478768396019</v>
      </c>
      <c r="DY282" s="173">
        <f t="shared" si="844"/>
        <v>0.1664932431061393</v>
      </c>
      <c r="EA282" s="5">
        <f t="shared" si="871"/>
        <v>1.9622417937509273</v>
      </c>
      <c r="EB282" s="5">
        <f t="shared" si="872"/>
        <v>0.98112089687546367</v>
      </c>
      <c r="EC282" s="5">
        <f t="shared" si="873"/>
        <v>0.34927902193647492</v>
      </c>
      <c r="ED282" s="5"/>
      <c r="EE282" s="173">
        <f t="shared" si="874"/>
        <v>0.56032016472740687</v>
      </c>
      <c r="EF282" s="173">
        <f t="shared" si="875"/>
        <v>1.2536967730333111</v>
      </c>
      <c r="EG282" s="173">
        <f t="shared" si="876"/>
        <v>0.30789317808318079</v>
      </c>
      <c r="EH282" s="173"/>
      <c r="EI282" s="528">
        <f t="shared" si="877"/>
        <v>6.2791737400029668E-3</v>
      </c>
      <c r="EJ282" s="528">
        <f t="shared" si="878"/>
        <v>1.213153015892884</v>
      </c>
      <c r="EK282" s="528">
        <f t="shared" si="879"/>
        <v>4.0250000000000001E-2</v>
      </c>
      <c r="EL282" s="528">
        <f t="shared" si="880"/>
        <v>1.0140631637499999</v>
      </c>
      <c r="EM282">
        <f t="shared" si="881"/>
        <v>2.7E-2</v>
      </c>
      <c r="EN282" s="460">
        <f t="shared" si="882"/>
        <v>67.25</v>
      </c>
      <c r="EP282" s="460">
        <f t="shared" si="883"/>
        <v>2300.7453533828871</v>
      </c>
      <c r="EQ282" s="173">
        <f t="shared" si="884"/>
        <v>0.46199999999999997</v>
      </c>
      <c r="ER282" s="173">
        <f t="shared" si="845"/>
        <v>7.3218749999999999E-2</v>
      </c>
      <c r="ES282" s="528"/>
      <c r="EU282" s="460">
        <f t="shared" si="885"/>
        <v>535.21875</v>
      </c>
      <c r="EV282" s="528">
        <f t="shared" si="886"/>
        <v>9.4187606100044497E-3</v>
      </c>
      <c r="EW282" s="528">
        <f t="shared" si="887"/>
        <v>4.7152667961424123E-2</v>
      </c>
      <c r="EX282" s="528">
        <f t="shared" si="888"/>
        <v>4.739910455508064E-4</v>
      </c>
      <c r="EY282" s="528">
        <f t="shared" si="889"/>
        <v>0.99973880031536255</v>
      </c>
      <c r="EZ282" s="528"/>
      <c r="FA282" s="625">
        <f t="shared" si="890"/>
        <v>9.8999999999999991E-3</v>
      </c>
      <c r="FB282" s="460">
        <f t="shared" si="891"/>
        <v>1066.6842199323419</v>
      </c>
      <c r="FC282" s="173">
        <f t="shared" si="892"/>
        <v>3.9026483233152294</v>
      </c>
      <c r="FD282" s="5">
        <f t="shared" si="893"/>
        <v>11.88</v>
      </c>
      <c r="FE282" s="173">
        <f t="shared" si="894"/>
        <v>0.75272538275151424</v>
      </c>
      <c r="FF282" s="5">
        <f t="shared" si="895"/>
        <v>75.272538275151419</v>
      </c>
      <c r="FG282">
        <f t="shared" si="896"/>
        <v>66</v>
      </c>
      <c r="FI282" s="562">
        <f t="shared" si="846"/>
        <v>-50</v>
      </c>
    </row>
    <row r="283" spans="5:165">
      <c r="E283" s="170">
        <v>67</v>
      </c>
      <c r="F283" s="217">
        <f t="shared" si="847"/>
        <v>0.67</v>
      </c>
      <c r="G283" s="217">
        <f t="shared" si="775"/>
        <v>0.16750000000000001</v>
      </c>
      <c r="H283" s="217">
        <f t="shared" si="776"/>
        <v>10.72</v>
      </c>
      <c r="I283" s="217">
        <f t="shared" si="777"/>
        <v>1.34</v>
      </c>
      <c r="J283" s="541">
        <f t="shared" si="778"/>
        <v>59.923545483692685</v>
      </c>
      <c r="K283" s="443">
        <f t="shared" si="779"/>
        <v>16.73389058023362</v>
      </c>
      <c r="L283" s="172">
        <f t="shared" si="780"/>
        <v>76.657436063926298</v>
      </c>
      <c r="M283" s="443"/>
      <c r="N283" s="217">
        <f t="shared" si="781"/>
        <v>0.21829442046925318</v>
      </c>
      <c r="O283" s="172">
        <f t="shared" si="782"/>
        <v>29.068834741834728</v>
      </c>
      <c r="P283" s="172">
        <f t="shared" si="783"/>
        <v>4.0878048855705087</v>
      </c>
      <c r="Q283" s="217">
        <f t="shared" si="784"/>
        <v>1.8168021713646705</v>
      </c>
      <c r="R283" s="217">
        <f t="shared" si="785"/>
        <v>3.633604342729341</v>
      </c>
      <c r="S283" s="217">
        <f t="shared" si="786"/>
        <v>16</v>
      </c>
      <c r="T283" s="217">
        <f t="shared" si="787"/>
        <v>1.8438991612849542</v>
      </c>
      <c r="U283" s="217">
        <f t="shared" si="788"/>
        <v>0.36925034653433403</v>
      </c>
      <c r="V283" s="217">
        <f t="shared" si="789"/>
        <v>1.3222740897777845</v>
      </c>
      <c r="W283" s="197">
        <f t="shared" si="790"/>
        <v>350</v>
      </c>
      <c r="X283" s="443">
        <f t="shared" si="848"/>
        <v>350</v>
      </c>
      <c r="Z283" s="217">
        <f t="shared" si="791"/>
        <v>3.1145180080537211</v>
      </c>
      <c r="AA283" s="173">
        <f t="shared" si="792"/>
        <v>2.2334445129449914</v>
      </c>
      <c r="AB283" s="173">
        <f t="shared" si="793"/>
        <v>1.0820604908642586</v>
      </c>
      <c r="AC283" s="173"/>
      <c r="AD283" s="173">
        <f t="shared" si="794"/>
        <v>0.71710759326791718</v>
      </c>
      <c r="AE283" s="545">
        <f t="shared" si="795"/>
        <v>1868.6177814594209</v>
      </c>
      <c r="AF283" s="528">
        <f t="shared" si="796"/>
        <v>0.12549382882188551</v>
      </c>
      <c r="AH283" s="173">
        <f t="shared" si="797"/>
        <v>2.3964259101539405</v>
      </c>
      <c r="AI283" s="173">
        <f t="shared" si="798"/>
        <v>2.3964259101539405</v>
      </c>
      <c r="AJ283" s="173">
        <f t="shared" si="799"/>
        <v>2.2343895630769928</v>
      </c>
      <c r="AL283" s="545">
        <f t="shared" si="800"/>
        <v>670</v>
      </c>
      <c r="AM283" s="460">
        <f t="shared" si="801"/>
        <v>350</v>
      </c>
      <c r="AO283">
        <f t="shared" si="802"/>
        <v>670</v>
      </c>
      <c r="AP283">
        <f t="shared" si="803"/>
        <v>350</v>
      </c>
      <c r="AR283" s="5">
        <f t="shared" si="774"/>
        <v>2.8571428571428572</v>
      </c>
      <c r="AS283" s="5">
        <f t="shared" si="739"/>
        <v>0.47989668651487111</v>
      </c>
      <c r="AT283" s="5">
        <f t="shared" si="740"/>
        <v>2.3772461706279859</v>
      </c>
      <c r="AU283" s="173">
        <f t="shared" si="741"/>
        <v>0.16796384028020489</v>
      </c>
      <c r="BA283" s="173">
        <f t="shared" si="849"/>
        <v>0.56703684180568337</v>
      </c>
      <c r="BB283" s="173">
        <f t="shared" si="850"/>
        <v>1.2620439510257757</v>
      </c>
      <c r="BC283" s="173">
        <f t="shared" si="851"/>
        <v>0.30994314679603613</v>
      </c>
      <c r="BD283" s="173"/>
      <c r="BE283" s="528">
        <f t="shared" si="852"/>
        <v>6.4306155992992723E-3</v>
      </c>
      <c r="BF283" s="528">
        <f t="shared" si="804"/>
        <v>1.1734084440083279</v>
      </c>
      <c r="BG283" s="528">
        <f t="shared" si="805"/>
        <v>0.48238454114372609</v>
      </c>
      <c r="BH283" s="528">
        <f t="shared" si="853"/>
        <v>1.0129379866088919</v>
      </c>
      <c r="BI283">
        <f t="shared" si="854"/>
        <v>2.6965595467661706E-2</v>
      </c>
      <c r="BJ283" s="460">
        <f t="shared" si="855"/>
        <v>509.35013661138782</v>
      </c>
      <c r="BK283">
        <f t="shared" si="806"/>
        <v>2.1978714716054948</v>
      </c>
      <c r="BL283" s="460">
        <f t="shared" si="856"/>
        <v>2702.1271828279064</v>
      </c>
      <c r="BM283" s="173">
        <f t="shared" si="807"/>
        <v>0.41623749999999993</v>
      </c>
      <c r="BN283" s="173">
        <f t="shared" si="808"/>
        <v>7.4328124999999995E-2</v>
      </c>
      <c r="BQ283" s="460">
        <f t="shared" si="857"/>
        <v>490.5656249999999</v>
      </c>
      <c r="BR283" s="528">
        <f t="shared" si="858"/>
        <v>9.6459233989489076E-3</v>
      </c>
      <c r="BS283" s="528">
        <f t="shared" si="859"/>
        <v>4.7782648029622517E-2</v>
      </c>
      <c r="BT283" s="528">
        <f t="shared" si="860"/>
        <v>4.8032377122914603E-4</v>
      </c>
      <c r="BU283" s="528">
        <f t="shared" si="861"/>
        <v>1.0187089730430905</v>
      </c>
      <c r="BV283" s="528"/>
      <c r="BW283" s="625">
        <f t="shared" si="862"/>
        <v>1.0049999999999998E-2</v>
      </c>
      <c r="BX283" s="460">
        <f t="shared" si="863"/>
        <v>1086.667868242891</v>
      </c>
      <c r="BY283" s="173">
        <f t="shared" si="864"/>
        <v>4.2793606760707972</v>
      </c>
      <c r="BZ283" s="5">
        <f t="shared" si="865"/>
        <v>12.06</v>
      </c>
      <c r="CA283" s="173">
        <f t="shared" si="866"/>
        <v>0.73809497440508953</v>
      </c>
      <c r="CB283" s="5">
        <f t="shared" si="867"/>
        <v>73.809497440508949</v>
      </c>
      <c r="CC283">
        <f t="shared" si="868"/>
        <v>67</v>
      </c>
      <c r="CE283" s="562">
        <f t="shared" si="809"/>
        <v>-50</v>
      </c>
      <c r="CG283" s="173">
        <f t="shared" si="810"/>
        <v>0.5930851540883485</v>
      </c>
      <c r="CH283" s="173">
        <f t="shared" si="811"/>
        <v>0.21345410427269382</v>
      </c>
      <c r="CI283" s="170">
        <v>67</v>
      </c>
      <c r="CJ283" s="217">
        <f t="shared" si="869"/>
        <v>0.67</v>
      </c>
      <c r="CK283" s="217">
        <f t="shared" si="812"/>
        <v>0.16750000000000001</v>
      </c>
      <c r="CL283" s="217">
        <f t="shared" si="813"/>
        <v>10.72</v>
      </c>
      <c r="CM283" s="217">
        <f t="shared" si="814"/>
        <v>1.34</v>
      </c>
      <c r="CN283" s="541">
        <f t="shared" si="815"/>
        <v>60</v>
      </c>
      <c r="CO283" s="443">
        <f t="shared" si="816"/>
        <v>16.7</v>
      </c>
      <c r="CP283" s="443">
        <f t="shared" si="817"/>
        <v>76.7</v>
      </c>
      <c r="CQ283" s="443"/>
      <c r="CR283" s="217">
        <f t="shared" si="818"/>
        <v>0.21465968586387432</v>
      </c>
      <c r="CS283" s="172">
        <f t="shared" si="819"/>
        <v>28.621291448516576</v>
      </c>
      <c r="CT283" s="172">
        <f t="shared" si="820"/>
        <v>4.0248691099476437</v>
      </c>
      <c r="CU283" s="217">
        <f t="shared" si="821"/>
        <v>1.788830715532286</v>
      </c>
      <c r="CV283" s="217">
        <f t="shared" si="822"/>
        <v>3.577661431064572</v>
      </c>
      <c r="CW283" s="217">
        <f t="shared" si="823"/>
        <v>16</v>
      </c>
      <c r="CX283" s="217">
        <f t="shared" si="824"/>
        <v>1.8727317073170735</v>
      </c>
      <c r="CY283" s="217">
        <f t="shared" si="825"/>
        <v>0.37454634146341476</v>
      </c>
      <c r="CZ283" s="217">
        <f t="shared" si="826"/>
        <v>1.3456754783116696</v>
      </c>
      <c r="DA283" s="197">
        <f t="shared" si="827"/>
        <v>350</v>
      </c>
      <c r="DB283" s="443">
        <f t="shared" si="828"/>
        <v>350</v>
      </c>
      <c r="DD283" s="217">
        <f t="shared" si="829"/>
        <v>3.1104488731607378</v>
      </c>
      <c r="DE283" s="173">
        <f t="shared" si="830"/>
        <v>2.23505308251071</v>
      </c>
      <c r="DF283" s="173">
        <f t="shared" si="831"/>
        <v>1.0814250754144243</v>
      </c>
      <c r="DG283" s="173"/>
      <c r="DH283" s="173">
        <f t="shared" si="832"/>
        <v>0.71856287425149712</v>
      </c>
      <c r="DI283" s="545">
        <f t="shared" si="833"/>
        <v>1864.8333333333333</v>
      </c>
      <c r="DJ283" s="528">
        <f t="shared" si="834"/>
        <v>0.125748502994012</v>
      </c>
      <c r="DL283" s="173">
        <f t="shared" si="835"/>
        <v>2.3964259101539405</v>
      </c>
      <c r="DM283" s="173">
        <f t="shared" si="836"/>
        <v>2.3964259101539405</v>
      </c>
      <c r="DN283" s="173">
        <f t="shared" si="837"/>
        <v>2.2343895630769928</v>
      </c>
      <c r="DP283" s="545">
        <f t="shared" si="838"/>
        <v>670</v>
      </c>
      <c r="DQ283" s="460">
        <f t="shared" si="839"/>
        <v>350</v>
      </c>
      <c r="DS283">
        <f t="shared" si="840"/>
        <v>670</v>
      </c>
      <c r="DT283">
        <f t="shared" si="841"/>
        <v>350</v>
      </c>
      <c r="DV283" s="5">
        <f t="shared" si="870"/>
        <v>2.8571428571428572</v>
      </c>
      <c r="DW283" s="5">
        <f t="shared" si="842"/>
        <v>0.47928518203078813</v>
      </c>
      <c r="DX283" s="5">
        <f t="shared" si="843"/>
        <v>2.377857675112069</v>
      </c>
      <c r="DY283" s="173">
        <f t="shared" si="844"/>
        <v>0.16774981371077585</v>
      </c>
      <c r="EA283" s="5">
        <f t="shared" si="871"/>
        <v>2.0070066997539255</v>
      </c>
      <c r="EB283" s="5">
        <f t="shared" si="872"/>
        <v>1.0035033498769628</v>
      </c>
      <c r="EC283" s="5">
        <f t="shared" si="873"/>
        <v>0.35403658718335246</v>
      </c>
      <c r="ED283" s="5"/>
      <c r="EE283" s="173">
        <f t="shared" si="874"/>
        <v>0.56667545558337717</v>
      </c>
      <c r="EF283" s="173">
        <f t="shared" si="875"/>
        <v>1.2622062598185315</v>
      </c>
      <c r="EG283" s="173">
        <f t="shared" si="876"/>
        <v>0.30998300792602168</v>
      </c>
      <c r="EH283" s="173"/>
      <c r="EI283" s="528">
        <f t="shared" si="877"/>
        <v>6.4224214392125615E-3</v>
      </c>
      <c r="EJ283" s="528">
        <f t="shared" si="878"/>
        <v>1.2223090176035682</v>
      </c>
      <c r="EK283" s="528">
        <f t="shared" si="879"/>
        <v>4.0250000000000001E-2</v>
      </c>
      <c r="EL283" s="528">
        <f t="shared" si="880"/>
        <v>1.0140631637499999</v>
      </c>
      <c r="EM283">
        <f t="shared" si="881"/>
        <v>2.7E-2</v>
      </c>
      <c r="EN283" s="460">
        <f t="shared" si="882"/>
        <v>67.25</v>
      </c>
      <c r="EP283" s="460">
        <f t="shared" si="883"/>
        <v>2310.0446027927806</v>
      </c>
      <c r="EQ283" s="173">
        <f t="shared" si="884"/>
        <v>0.46899999999999997</v>
      </c>
      <c r="ER283" s="173">
        <f t="shared" si="845"/>
        <v>7.4328124999999995E-2</v>
      </c>
      <c r="ES283" s="528"/>
      <c r="EU283" s="460">
        <f t="shared" si="885"/>
        <v>543.32812499999989</v>
      </c>
      <c r="EV283" s="528">
        <f t="shared" si="886"/>
        <v>9.6336321588188414E-3</v>
      </c>
      <c r="EW283" s="528">
        <f t="shared" si="887"/>
        <v>4.7794939269752583E-2</v>
      </c>
      <c r="EX283" s="528">
        <f t="shared" si="888"/>
        <v>4.8044732601432009E-4</v>
      </c>
      <c r="EY283" s="528">
        <f t="shared" si="889"/>
        <v>1.0187089730430905</v>
      </c>
      <c r="EZ283" s="528"/>
      <c r="FA283" s="625">
        <f t="shared" si="890"/>
        <v>1.0049999999999998E-2</v>
      </c>
      <c r="FB283" s="460">
        <f t="shared" si="891"/>
        <v>1086.667991797676</v>
      </c>
      <c r="FC283" s="173">
        <f t="shared" si="892"/>
        <v>3.9400407195904568</v>
      </c>
      <c r="FD283" s="5">
        <f t="shared" si="893"/>
        <v>12.06</v>
      </c>
      <c r="FE283" s="173">
        <f t="shared" si="894"/>
        <v>0.75374808173042518</v>
      </c>
      <c r="FF283" s="5">
        <f t="shared" si="895"/>
        <v>75.374808173042524</v>
      </c>
      <c r="FG283">
        <f t="shared" si="896"/>
        <v>67</v>
      </c>
      <c r="FI283" s="562">
        <f t="shared" si="846"/>
        <v>-50</v>
      </c>
    </row>
    <row r="284" spans="5:165">
      <c r="E284" s="170">
        <v>68</v>
      </c>
      <c r="F284" s="217">
        <f t="shared" si="847"/>
        <v>0.68</v>
      </c>
      <c r="G284" s="217">
        <f t="shared" si="775"/>
        <v>0.17</v>
      </c>
      <c r="H284" s="217">
        <f t="shared" si="776"/>
        <v>10.88</v>
      </c>
      <c r="I284" s="217">
        <f t="shared" si="777"/>
        <v>1.36</v>
      </c>
      <c r="J284" s="541">
        <f t="shared" si="778"/>
        <v>59.922977040800539</v>
      </c>
      <c r="K284" s="443">
        <f t="shared" si="779"/>
        <v>16.734142558277235</v>
      </c>
      <c r="L284" s="172">
        <f t="shared" si="780"/>
        <v>76.657119599077774</v>
      </c>
      <c r="M284" s="443"/>
      <c r="N284" s="217">
        <f t="shared" si="781"/>
        <v>0.21829860873716622</v>
      </c>
      <c r="O284" s="172">
        <f t="shared" si="782"/>
        <v>29.069116709768689</v>
      </c>
      <c r="P284" s="172">
        <f t="shared" si="783"/>
        <v>4.0878445373112218</v>
      </c>
      <c r="Q284" s="217">
        <f t="shared" si="784"/>
        <v>1.8168197943605431</v>
      </c>
      <c r="R284" s="217">
        <f t="shared" si="785"/>
        <v>3.6336395887210862</v>
      </c>
      <c r="S284" s="217">
        <f t="shared" si="786"/>
        <v>16</v>
      </c>
      <c r="T284" s="217">
        <f t="shared" si="787"/>
        <v>1.8714018916756028</v>
      </c>
      <c r="U284" s="217">
        <f t="shared" si="788"/>
        <v>0.37476146561971985</v>
      </c>
      <c r="V284" s="217">
        <f t="shared" si="789"/>
        <v>1.3419762991680373</v>
      </c>
      <c r="W284" s="197">
        <f t="shared" si="790"/>
        <v>350</v>
      </c>
      <c r="X284" s="443">
        <f t="shared" si="848"/>
        <v>350</v>
      </c>
      <c r="Z284" s="217">
        <f t="shared" si="791"/>
        <v>3.1145482189037885</v>
      </c>
      <c r="AA284" s="173">
        <f t="shared" si="792"/>
        <v>2.2334325464652398</v>
      </c>
      <c r="AB284" s="173">
        <f t="shared" si="793"/>
        <v>1.0820651892765656</v>
      </c>
      <c r="AC284" s="173"/>
      <c r="AD284" s="173">
        <f t="shared" si="794"/>
        <v>0.71709679526211645</v>
      </c>
      <c r="AE284" s="545">
        <f t="shared" si="795"/>
        <v>1896.5361566047534</v>
      </c>
      <c r="AF284" s="528">
        <f t="shared" si="796"/>
        <v>0.1254919391708704</v>
      </c>
      <c r="AH284" s="173">
        <f t="shared" si="797"/>
        <v>2.4142434484888695</v>
      </c>
      <c r="AI284" s="173">
        <f t="shared" si="798"/>
        <v>2.4142434484888695</v>
      </c>
      <c r="AJ284" s="173">
        <f t="shared" si="799"/>
        <v>2.2475877396213848</v>
      </c>
      <c r="AL284" s="545">
        <f t="shared" si="800"/>
        <v>680</v>
      </c>
      <c r="AM284" s="460">
        <f t="shared" si="801"/>
        <v>350</v>
      </c>
      <c r="AO284">
        <f t="shared" si="802"/>
        <v>680</v>
      </c>
      <c r="AP284">
        <f t="shared" si="803"/>
        <v>350</v>
      </c>
      <c r="AR284" s="5">
        <f t="shared" si="774"/>
        <v>2.8571428571428572</v>
      </c>
      <c r="AS284" s="5">
        <f t="shared" si="739"/>
        <v>0.48346932700190487</v>
      </c>
      <c r="AT284" s="5">
        <f t="shared" si="740"/>
        <v>2.3736735301409522</v>
      </c>
      <c r="AU284" s="173">
        <f t="shared" si="741"/>
        <v>0.1692142644506667</v>
      </c>
      <c r="BA284" s="173">
        <f t="shared" si="849"/>
        <v>0.57337521952147119</v>
      </c>
      <c r="BB284" s="173">
        <f t="shared" si="850"/>
        <v>1.2704715661894397</v>
      </c>
      <c r="BC284" s="173">
        <f t="shared" si="851"/>
        <v>0.31201286993181826</v>
      </c>
      <c r="BD284" s="173"/>
      <c r="BE284" s="528">
        <f t="shared" si="852"/>
        <v>6.5751828472259055E-3</v>
      </c>
      <c r="BF284" s="528">
        <f t="shared" si="804"/>
        <v>1.1821279102817968</v>
      </c>
      <c r="BG284" s="528">
        <f t="shared" si="805"/>
        <v>0.48237996517844434</v>
      </c>
      <c r="BH284" s="528">
        <f t="shared" si="853"/>
        <v>1.0129296232035583</v>
      </c>
      <c r="BI284">
        <f t="shared" si="854"/>
        <v>2.6965339668360244E-2</v>
      </c>
      <c r="BJ284" s="460">
        <f t="shared" si="855"/>
        <v>509.34530484680465</v>
      </c>
      <c r="BK284">
        <f t="shared" si="806"/>
        <v>2.2068557056976315</v>
      </c>
      <c r="BL284" s="460">
        <f t="shared" si="856"/>
        <v>2710.9780211793859</v>
      </c>
      <c r="BM284" s="173">
        <f t="shared" si="807"/>
        <v>0.42244999999999994</v>
      </c>
      <c r="BN284" s="173">
        <f t="shared" si="808"/>
        <v>7.5437500000000005E-2</v>
      </c>
      <c r="BQ284" s="460">
        <f t="shared" si="857"/>
        <v>497.88749999999993</v>
      </c>
      <c r="BR284" s="528">
        <f t="shared" si="858"/>
        <v>9.8627742708388578E-3</v>
      </c>
      <c r="BS284" s="528">
        <f t="shared" si="859"/>
        <v>4.8422940014875432E-2</v>
      </c>
      <c r="BT284" s="528">
        <f t="shared" si="860"/>
        <v>4.867601550154487E-4</v>
      </c>
      <c r="BU284" s="528">
        <f t="shared" si="861"/>
        <v>1.0377500645302797</v>
      </c>
      <c r="BV284" s="528"/>
      <c r="BW284" s="625">
        <f t="shared" si="862"/>
        <v>1.0200000000000002E-2</v>
      </c>
      <c r="BX284" s="460">
        <f t="shared" si="863"/>
        <v>1106.7225389710093</v>
      </c>
      <c r="BY284" s="173">
        <f t="shared" si="864"/>
        <v>4.3155880601503958</v>
      </c>
      <c r="BZ284" s="5">
        <f t="shared" si="865"/>
        <v>12.24</v>
      </c>
      <c r="CA284" s="173">
        <f t="shared" si="866"/>
        <v>0.73932740749100334</v>
      </c>
      <c r="CB284" s="5">
        <f t="shared" si="867"/>
        <v>73.932740749100333</v>
      </c>
      <c r="CC284">
        <f t="shared" si="868"/>
        <v>68</v>
      </c>
      <c r="CE284" s="562">
        <f t="shared" si="809"/>
        <v>-50</v>
      </c>
      <c r="CG284" s="173">
        <f t="shared" si="810"/>
        <v>0.59749476985158623</v>
      </c>
      <c r="CH284" s="173">
        <f t="shared" si="811"/>
        <v>0.21504114548665829</v>
      </c>
      <c r="CI284" s="170">
        <v>68</v>
      </c>
      <c r="CJ284" s="217">
        <f t="shared" si="869"/>
        <v>0.68</v>
      </c>
      <c r="CK284" s="217">
        <f t="shared" si="812"/>
        <v>0.17</v>
      </c>
      <c r="CL284" s="217">
        <f t="shared" si="813"/>
        <v>10.88</v>
      </c>
      <c r="CM284" s="217">
        <f t="shared" si="814"/>
        <v>1.36</v>
      </c>
      <c r="CN284" s="541">
        <f t="shared" si="815"/>
        <v>60</v>
      </c>
      <c r="CO284" s="443">
        <f t="shared" si="816"/>
        <v>16.7</v>
      </c>
      <c r="CP284" s="443">
        <f t="shared" si="817"/>
        <v>76.7</v>
      </c>
      <c r="CQ284" s="443"/>
      <c r="CR284" s="217">
        <f t="shared" si="818"/>
        <v>0.21465968586387432</v>
      </c>
      <c r="CS284" s="172">
        <f t="shared" si="819"/>
        <v>28.621291448516576</v>
      </c>
      <c r="CT284" s="172">
        <f t="shared" si="820"/>
        <v>4.0248691099476437</v>
      </c>
      <c r="CU284" s="217">
        <f t="shared" si="821"/>
        <v>1.788830715532286</v>
      </c>
      <c r="CV284" s="217">
        <f t="shared" si="822"/>
        <v>3.577661431064572</v>
      </c>
      <c r="CW284" s="217">
        <f t="shared" si="823"/>
        <v>16</v>
      </c>
      <c r="CX284" s="217">
        <f t="shared" si="824"/>
        <v>1.9006829268292684</v>
      </c>
      <c r="CY284" s="217">
        <f t="shared" si="825"/>
        <v>0.38013658536585371</v>
      </c>
      <c r="CZ284" s="217">
        <f t="shared" si="826"/>
        <v>1.365760186943187</v>
      </c>
      <c r="DA284" s="197">
        <f t="shared" si="827"/>
        <v>350</v>
      </c>
      <c r="DB284" s="443">
        <f t="shared" si="828"/>
        <v>350</v>
      </c>
      <c r="DD284" s="217">
        <f t="shared" si="829"/>
        <v>3.1104488731607378</v>
      </c>
      <c r="DE284" s="173">
        <f t="shared" si="830"/>
        <v>2.23505308251071</v>
      </c>
      <c r="DF284" s="173">
        <f t="shared" si="831"/>
        <v>1.0814250754144243</v>
      </c>
      <c r="DG284" s="173"/>
      <c r="DH284" s="173">
        <f t="shared" si="832"/>
        <v>0.71856287425149712</v>
      </c>
      <c r="DI284" s="545">
        <f t="shared" si="833"/>
        <v>1892.6666666666665</v>
      </c>
      <c r="DJ284" s="528">
        <f t="shared" si="834"/>
        <v>0.125748502994012</v>
      </c>
      <c r="DL284" s="173">
        <f t="shared" si="835"/>
        <v>2.4142434484888695</v>
      </c>
      <c r="DM284" s="173">
        <f t="shared" si="836"/>
        <v>2.4142434484888695</v>
      </c>
      <c r="DN284" s="173">
        <f t="shared" si="837"/>
        <v>2.2475877396213848</v>
      </c>
      <c r="DP284" s="545">
        <f t="shared" si="838"/>
        <v>680</v>
      </c>
      <c r="DQ284" s="460">
        <f t="shared" si="839"/>
        <v>350</v>
      </c>
      <c r="DS284">
        <f t="shared" si="840"/>
        <v>680</v>
      </c>
      <c r="DT284">
        <f t="shared" si="841"/>
        <v>350</v>
      </c>
      <c r="DV284" s="5">
        <f t="shared" si="870"/>
        <v>2.8571428571428572</v>
      </c>
      <c r="DW284" s="5">
        <f t="shared" si="842"/>
        <v>0.48284868969777395</v>
      </c>
      <c r="DX284" s="5">
        <f t="shared" si="843"/>
        <v>2.3742941674450835</v>
      </c>
      <c r="DY284" s="173">
        <f t="shared" si="844"/>
        <v>0.16899704139422086</v>
      </c>
      <c r="EA284" s="5">
        <f t="shared" si="871"/>
        <v>2.0521069312155391</v>
      </c>
      <c r="EB284" s="5">
        <f t="shared" si="872"/>
        <v>1.0260534656077696</v>
      </c>
      <c r="EC284" s="5">
        <f t="shared" si="873"/>
        <v>0.35878222974725704</v>
      </c>
      <c r="ED284" s="5"/>
      <c r="EE284" s="173">
        <f t="shared" si="874"/>
        <v>0.57300707586772981</v>
      </c>
      <c r="EF284" s="173">
        <f t="shared" si="875"/>
        <v>1.2706376485303181</v>
      </c>
      <c r="EG284" s="173">
        <f t="shared" si="876"/>
        <v>0.31205365780082811</v>
      </c>
      <c r="EH284" s="173"/>
      <c r="EI284" s="528">
        <f t="shared" si="877"/>
        <v>6.5667421798897251E-3</v>
      </c>
      <c r="EJ284" s="528">
        <f t="shared" si="878"/>
        <v>1.2313969421189905</v>
      </c>
      <c r="EK284" s="528">
        <f t="shared" si="879"/>
        <v>4.0250000000000001E-2</v>
      </c>
      <c r="EL284" s="528">
        <f t="shared" si="880"/>
        <v>1.0140631637499999</v>
      </c>
      <c r="EM284">
        <f t="shared" si="881"/>
        <v>2.7E-2</v>
      </c>
      <c r="EN284" s="460">
        <f t="shared" si="882"/>
        <v>67.25</v>
      </c>
      <c r="EP284" s="460">
        <f t="shared" si="883"/>
        <v>2319.2768480488803</v>
      </c>
      <c r="EQ284" s="173">
        <f t="shared" si="884"/>
        <v>0.47599999999999998</v>
      </c>
      <c r="ER284" s="173">
        <f t="shared" si="845"/>
        <v>7.5437500000000005E-2</v>
      </c>
      <c r="ES284" s="528"/>
      <c r="EU284" s="460">
        <f t="shared" si="885"/>
        <v>551.4375</v>
      </c>
      <c r="EV284" s="528">
        <f t="shared" si="886"/>
        <v>9.8501132698345876E-3</v>
      </c>
      <c r="EW284" s="528">
        <f t="shared" si="887"/>
        <v>4.8435601015879681E-2</v>
      </c>
      <c r="EX284" s="528">
        <f t="shared" si="888"/>
        <v>4.8688742673438169E-4</v>
      </c>
      <c r="EY284" s="528">
        <f t="shared" si="889"/>
        <v>1.0377500645302797</v>
      </c>
      <c r="EZ284" s="528"/>
      <c r="FA284" s="625">
        <f t="shared" si="890"/>
        <v>1.0200000000000002E-2</v>
      </c>
      <c r="FB284" s="460">
        <f t="shared" si="891"/>
        <v>1106.7226662427283</v>
      </c>
      <c r="FC284" s="173">
        <f t="shared" si="892"/>
        <v>3.9774370142916089</v>
      </c>
      <c r="FD284" s="5">
        <f t="shared" si="893"/>
        <v>12.24</v>
      </c>
      <c r="FE284" s="173">
        <f t="shared" si="894"/>
        <v>0.75474318101026117</v>
      </c>
      <c r="FF284" s="5">
        <f t="shared" si="895"/>
        <v>75.474318101026114</v>
      </c>
      <c r="FG284">
        <f t="shared" si="896"/>
        <v>68</v>
      </c>
      <c r="FI284" s="562">
        <f t="shared" si="846"/>
        <v>-50</v>
      </c>
    </row>
    <row r="285" spans="5:165">
      <c r="E285" s="170">
        <v>69</v>
      </c>
      <c r="F285" s="217">
        <f t="shared" si="847"/>
        <v>0.69</v>
      </c>
      <c r="G285" s="217">
        <f t="shared" si="775"/>
        <v>0.17249999999999999</v>
      </c>
      <c r="H285" s="217">
        <f t="shared" si="776"/>
        <v>11.04</v>
      </c>
      <c r="I285" s="217">
        <f t="shared" si="777"/>
        <v>1.38</v>
      </c>
      <c r="J285" s="541">
        <f t="shared" si="778"/>
        <v>59.922412762493444</v>
      </c>
      <c r="K285" s="443">
        <f t="shared" si="779"/>
        <v>16.734392690253266</v>
      </c>
      <c r="L285" s="172">
        <f t="shared" si="780"/>
        <v>76.65680545274671</v>
      </c>
      <c r="M285" s="443"/>
      <c r="N285" s="217">
        <f t="shared" si="781"/>
        <v>0.21830276635476012</v>
      </c>
      <c r="O285" s="172">
        <f t="shared" si="782"/>
        <v>29.069396606009118</v>
      </c>
      <c r="P285" s="172">
        <f t="shared" si="783"/>
        <v>4.0878838977200322</v>
      </c>
      <c r="Q285" s="217">
        <f t="shared" si="784"/>
        <v>1.8168372878755699</v>
      </c>
      <c r="R285" s="217">
        <f t="shared" si="785"/>
        <v>3.6336745757511397</v>
      </c>
      <c r="S285" s="217">
        <f t="shared" si="786"/>
        <v>16</v>
      </c>
      <c r="T285" s="217">
        <f t="shared" si="787"/>
        <v>1.8989042238526979</v>
      </c>
      <c r="U285" s="217">
        <f t="shared" si="788"/>
        <v>0.38027258309089801</v>
      </c>
      <c r="V285" s="217">
        <f t="shared" si="789"/>
        <v>1.3616777798876614</v>
      </c>
      <c r="W285" s="197">
        <f t="shared" si="790"/>
        <v>350</v>
      </c>
      <c r="X285" s="443">
        <f t="shared" si="848"/>
        <v>350</v>
      </c>
      <c r="Z285" s="217">
        <f t="shared" si="791"/>
        <v>3.1145782077866908</v>
      </c>
      <c r="AA285" s="173">
        <f t="shared" si="792"/>
        <v>2.2334206675578283</v>
      </c>
      <c r="AB285" s="173">
        <f t="shared" si="793"/>
        <v>1.0820698528882691</v>
      </c>
      <c r="AC285" s="173"/>
      <c r="AD285" s="173">
        <f t="shared" si="794"/>
        <v>0.71708607668739888</v>
      </c>
      <c r="AE285" s="545">
        <f t="shared" si="795"/>
        <v>1924.4551593791252</v>
      </c>
      <c r="AF285" s="528">
        <f t="shared" si="796"/>
        <v>0.12549006342029481</v>
      </c>
      <c r="AH285" s="173">
        <f t="shared" si="797"/>
        <v>2.4319304501333323</v>
      </c>
      <c r="AI285" s="173">
        <f t="shared" si="798"/>
        <v>2.4319304501333323</v>
      </c>
      <c r="AJ285" s="173">
        <f t="shared" si="799"/>
        <v>2.2606892223209867</v>
      </c>
      <c r="AL285" s="545">
        <f t="shared" si="800"/>
        <v>690</v>
      </c>
      <c r="AM285" s="460">
        <f t="shared" si="801"/>
        <v>350</v>
      </c>
      <c r="AO285">
        <f t="shared" si="802"/>
        <v>690</v>
      </c>
      <c r="AP285">
        <f t="shared" si="803"/>
        <v>350</v>
      </c>
      <c r="AR285" s="5">
        <f t="shared" si="774"/>
        <v>2.8571428571428572</v>
      </c>
      <c r="AS285" s="5">
        <f t="shared" si="739"/>
        <v>0.48701586028035032</v>
      </c>
      <c r="AT285" s="5">
        <f t="shared" si="740"/>
        <v>2.3701269968625067</v>
      </c>
      <c r="AU285" s="173">
        <f t="shared" si="741"/>
        <v>0.1704555510981226</v>
      </c>
      <c r="BA285" s="173">
        <f t="shared" si="849"/>
        <v>0.57969038597637756</v>
      </c>
      <c r="BB285" s="173">
        <f t="shared" si="850"/>
        <v>1.2788227507497389</v>
      </c>
      <c r="BC285" s="173">
        <f t="shared" si="851"/>
        <v>0.31406382261059768</v>
      </c>
      <c r="BD285" s="173"/>
      <c r="BE285" s="528">
        <f t="shared" si="852"/>
        <v>6.7208188718688323E-3</v>
      </c>
      <c r="BF285" s="528">
        <f t="shared" si="804"/>
        <v>1.1907834238567014</v>
      </c>
      <c r="BG285" s="528">
        <f t="shared" si="805"/>
        <v>0.48237542273807221</v>
      </c>
      <c r="BH285" s="528">
        <f t="shared" si="853"/>
        <v>1.012921321105217</v>
      </c>
      <c r="BI285">
        <f t="shared" si="854"/>
        <v>2.696508574312205E-2</v>
      </c>
      <c r="BJ285" s="460">
        <f t="shared" si="855"/>
        <v>509.34050848119426</v>
      </c>
      <c r="BK285">
        <f t="shared" si="806"/>
        <v>2.2157784875090281</v>
      </c>
      <c r="BL285" s="460">
        <f t="shared" si="856"/>
        <v>2719.7660723149816</v>
      </c>
      <c r="BM285" s="173">
        <f t="shared" si="807"/>
        <v>0.42866249999999989</v>
      </c>
      <c r="BN285" s="173">
        <f t="shared" si="808"/>
        <v>7.6546874999999986E-2</v>
      </c>
      <c r="BQ285" s="460">
        <f t="shared" si="857"/>
        <v>505.20937499999985</v>
      </c>
      <c r="BR285" s="528">
        <f t="shared" si="858"/>
        <v>1.0081228307803248E-2</v>
      </c>
      <c r="BS285" s="528">
        <f t="shared" si="859"/>
        <v>4.9061628835053862E-2</v>
      </c>
      <c r="BT285" s="528">
        <f t="shared" si="860"/>
        <v>4.9318042336390488E-4</v>
      </c>
      <c r="BU285" s="528">
        <f t="shared" si="861"/>
        <v>1.0568612910880948</v>
      </c>
      <c r="BV285" s="528"/>
      <c r="BW285" s="625">
        <f t="shared" si="862"/>
        <v>1.0349999999999996E-2</v>
      </c>
      <c r="BX285" s="460">
        <f t="shared" si="863"/>
        <v>1126.847328654316</v>
      </c>
      <c r="BY285" s="173">
        <f t="shared" si="864"/>
        <v>4.3518227759692971</v>
      </c>
      <c r="BZ285" s="5">
        <f t="shared" si="865"/>
        <v>12.419999999999998</v>
      </c>
      <c r="CA285" s="173">
        <f t="shared" si="866"/>
        <v>0.74052773904786318</v>
      </c>
      <c r="CB285" s="5">
        <f t="shared" si="867"/>
        <v>74.052773904786321</v>
      </c>
      <c r="CC285">
        <f t="shared" si="868"/>
        <v>69</v>
      </c>
      <c r="CE285" s="562">
        <f t="shared" si="809"/>
        <v>-50</v>
      </c>
      <c r="CG285" s="173">
        <f t="shared" si="810"/>
        <v>0.60187207943216636</v>
      </c>
      <c r="CH285" s="173">
        <f t="shared" si="811"/>
        <v>0.21661655955528936</v>
      </c>
      <c r="CI285" s="170">
        <v>69</v>
      </c>
      <c r="CJ285" s="217">
        <f t="shared" si="869"/>
        <v>0.69</v>
      </c>
      <c r="CK285" s="217">
        <f t="shared" si="812"/>
        <v>0.17249999999999999</v>
      </c>
      <c r="CL285" s="217">
        <f t="shared" si="813"/>
        <v>11.04</v>
      </c>
      <c r="CM285" s="217">
        <f t="shared" si="814"/>
        <v>1.38</v>
      </c>
      <c r="CN285" s="541">
        <f t="shared" si="815"/>
        <v>60</v>
      </c>
      <c r="CO285" s="443">
        <f t="shared" si="816"/>
        <v>16.7</v>
      </c>
      <c r="CP285" s="443">
        <f t="shared" si="817"/>
        <v>76.7</v>
      </c>
      <c r="CQ285" s="443"/>
      <c r="CR285" s="217">
        <f t="shared" si="818"/>
        <v>0.21465968586387432</v>
      </c>
      <c r="CS285" s="172">
        <f t="shared" si="819"/>
        <v>28.621291448516576</v>
      </c>
      <c r="CT285" s="172">
        <f t="shared" si="820"/>
        <v>4.0248691099476437</v>
      </c>
      <c r="CU285" s="217">
        <f t="shared" si="821"/>
        <v>1.788830715532286</v>
      </c>
      <c r="CV285" s="217">
        <f t="shared" si="822"/>
        <v>3.577661431064572</v>
      </c>
      <c r="CW285" s="217">
        <f t="shared" si="823"/>
        <v>16</v>
      </c>
      <c r="CX285" s="217">
        <f t="shared" si="824"/>
        <v>1.9286341463414634</v>
      </c>
      <c r="CY285" s="217">
        <f t="shared" si="825"/>
        <v>0.38572682926829271</v>
      </c>
      <c r="CZ285" s="217">
        <f t="shared" si="826"/>
        <v>1.3858448955747042</v>
      </c>
      <c r="DA285" s="197">
        <f t="shared" si="827"/>
        <v>350</v>
      </c>
      <c r="DB285" s="443">
        <f t="shared" si="828"/>
        <v>350</v>
      </c>
      <c r="DD285" s="217">
        <f t="shared" si="829"/>
        <v>3.1104488731607378</v>
      </c>
      <c r="DE285" s="173">
        <f t="shared" si="830"/>
        <v>2.23505308251071</v>
      </c>
      <c r="DF285" s="173">
        <f t="shared" si="831"/>
        <v>1.0814250754144243</v>
      </c>
      <c r="DG285" s="173"/>
      <c r="DH285" s="173">
        <f t="shared" si="832"/>
        <v>0.71856287425149712</v>
      </c>
      <c r="DI285" s="545">
        <f t="shared" si="833"/>
        <v>1920.4999999999995</v>
      </c>
      <c r="DJ285" s="528">
        <f t="shared" si="834"/>
        <v>0.125748502994012</v>
      </c>
      <c r="DL285" s="173">
        <f t="shared" si="835"/>
        <v>2.4319304501333323</v>
      </c>
      <c r="DM285" s="173">
        <f t="shared" si="836"/>
        <v>2.4319304501333323</v>
      </c>
      <c r="DN285" s="173">
        <f t="shared" si="837"/>
        <v>2.2606892223209867</v>
      </c>
      <c r="DP285" s="545">
        <f t="shared" si="838"/>
        <v>690</v>
      </c>
      <c r="DQ285" s="460">
        <f t="shared" si="839"/>
        <v>350</v>
      </c>
      <c r="DS285">
        <f t="shared" si="840"/>
        <v>690</v>
      </c>
      <c r="DT285">
        <f t="shared" si="841"/>
        <v>350</v>
      </c>
      <c r="DV285" s="5">
        <f t="shared" si="870"/>
        <v>2.8571428571428572</v>
      </c>
      <c r="DW285" s="5">
        <f t="shared" si="842"/>
        <v>0.48638609002666644</v>
      </c>
      <c r="DX285" s="5">
        <f t="shared" si="843"/>
        <v>2.3707567671161907</v>
      </c>
      <c r="DY285" s="173">
        <f t="shared" si="844"/>
        <v>0.17023513150933325</v>
      </c>
      <c r="EA285" s="5">
        <f t="shared" si="871"/>
        <v>2.0975400132399988</v>
      </c>
      <c r="EB285" s="5">
        <f t="shared" si="872"/>
        <v>1.0487700066199994</v>
      </c>
      <c r="EC285" s="5">
        <f t="shared" si="873"/>
        <v>0.36351603762448254</v>
      </c>
      <c r="ED285" s="5"/>
      <c r="EE285" s="173">
        <f t="shared" si="874"/>
        <v>0.57931545993387723</v>
      </c>
      <c r="EF285" s="173">
        <f t="shared" si="875"/>
        <v>1.2789926384894368</v>
      </c>
      <c r="EG285" s="173">
        <f t="shared" si="876"/>
        <v>0.31410554504078819</v>
      </c>
      <c r="EH285" s="173"/>
      <c r="EI285" s="528">
        <f t="shared" si="877"/>
        <v>6.712128042367994E-3</v>
      </c>
      <c r="EJ285" s="528">
        <f t="shared" si="878"/>
        <v>1.240418285742757</v>
      </c>
      <c r="EK285" s="528">
        <f t="shared" si="879"/>
        <v>4.0250000000000001E-2</v>
      </c>
      <c r="EL285" s="528">
        <f t="shared" si="880"/>
        <v>1.0140631637499999</v>
      </c>
      <c r="EM285">
        <f t="shared" si="881"/>
        <v>2.7E-2</v>
      </c>
      <c r="EN285" s="460">
        <f t="shared" si="882"/>
        <v>67.25</v>
      </c>
      <c r="EP285" s="460">
        <f t="shared" si="883"/>
        <v>2328.4435775351253</v>
      </c>
      <c r="EQ285" s="173">
        <f t="shared" si="884"/>
        <v>0.48299999999999993</v>
      </c>
      <c r="ER285" s="173">
        <f t="shared" si="845"/>
        <v>7.6546874999999986E-2</v>
      </c>
      <c r="ES285" s="528"/>
      <c r="EU285" s="460">
        <f t="shared" si="885"/>
        <v>559.54687499999989</v>
      </c>
      <c r="EV285" s="528">
        <f t="shared" si="886"/>
        <v>1.006819206355199E-2</v>
      </c>
      <c r="EW285" s="528">
        <f t="shared" si="887"/>
        <v>4.9074665079305128E-2</v>
      </c>
      <c r="EX285" s="528">
        <f t="shared" si="888"/>
        <v>4.9331146712685312E-4</v>
      </c>
      <c r="EY285" s="528">
        <f t="shared" si="889"/>
        <v>1.0568612910880948</v>
      </c>
      <c r="EZ285" s="528"/>
      <c r="FA285" s="625">
        <f t="shared" si="890"/>
        <v>1.0349999999999996E-2</v>
      </c>
      <c r="FB285" s="460">
        <f t="shared" si="891"/>
        <v>1126.8474596980789</v>
      </c>
      <c r="FC285" s="173">
        <f t="shared" si="892"/>
        <v>4.0148379122332036</v>
      </c>
      <c r="FD285" s="5">
        <f t="shared" si="893"/>
        <v>12.419999999999998</v>
      </c>
      <c r="FE285" s="173">
        <f t="shared" si="894"/>
        <v>0.75571174272155273</v>
      </c>
      <c r="FF285" s="5">
        <f t="shared" si="895"/>
        <v>75.571174272155275</v>
      </c>
      <c r="FG285">
        <f t="shared" si="896"/>
        <v>69</v>
      </c>
      <c r="FI285" s="562">
        <f t="shared" si="846"/>
        <v>-50</v>
      </c>
    </row>
    <row r="286" spans="5:165">
      <c r="E286" s="170">
        <v>70</v>
      </c>
      <c r="F286" s="217">
        <f t="shared" si="847"/>
        <v>0.7</v>
      </c>
      <c r="G286" s="217">
        <f t="shared" si="775"/>
        <v>0.17499999999999999</v>
      </c>
      <c r="H286" s="217">
        <f t="shared" si="776"/>
        <v>11.2</v>
      </c>
      <c r="I286" s="217">
        <f t="shared" si="777"/>
        <v>1.4</v>
      </c>
      <c r="J286" s="541">
        <f t="shared" si="778"/>
        <v>59.921852558557845</v>
      </c>
      <c r="K286" s="443">
        <f t="shared" si="779"/>
        <v>16.734641016151375</v>
      </c>
      <c r="L286" s="172">
        <f t="shared" si="780"/>
        <v>76.656493574709216</v>
      </c>
      <c r="M286" s="443"/>
      <c r="N286" s="217">
        <f t="shared" si="781"/>
        <v>0.21830689398598488</v>
      </c>
      <c r="O286" s="172">
        <f t="shared" si="782"/>
        <v>29.069674475433121</v>
      </c>
      <c r="P286" s="172">
        <f t="shared" si="783"/>
        <v>4.0879229731077826</v>
      </c>
      <c r="Q286" s="217">
        <f t="shared" si="784"/>
        <v>1.8168546547145701</v>
      </c>
      <c r="R286" s="217">
        <f t="shared" si="785"/>
        <v>3.6337093094291402</v>
      </c>
      <c r="S286" s="217">
        <f t="shared" si="786"/>
        <v>16</v>
      </c>
      <c r="T286" s="217">
        <f t="shared" si="787"/>
        <v>1.9264061607337841</v>
      </c>
      <c r="U286" s="217">
        <f t="shared" si="788"/>
        <v>0.38578369896382542</v>
      </c>
      <c r="V286" s="217">
        <f t="shared" si="789"/>
        <v>1.3813785372804979</v>
      </c>
      <c r="W286" s="197">
        <f t="shared" si="790"/>
        <v>350</v>
      </c>
      <c r="X286" s="443">
        <f t="shared" si="848"/>
        <v>350</v>
      </c>
      <c r="Z286" s="217">
        <f t="shared" si="791"/>
        <v>3.1146079795106911</v>
      </c>
      <c r="AA286" s="173">
        <f t="shared" si="792"/>
        <v>2.2334088743257579</v>
      </c>
      <c r="AB286" s="173">
        <f t="shared" si="793"/>
        <v>1.0820744824532214</v>
      </c>
      <c r="AC286" s="173"/>
      <c r="AD286" s="173">
        <f t="shared" si="794"/>
        <v>0.71707543582310773</v>
      </c>
      <c r="AE286" s="545">
        <f t="shared" si="795"/>
        <v>1952.3747852176598</v>
      </c>
      <c r="AF286" s="528">
        <f t="shared" si="796"/>
        <v>0.12548820126904386</v>
      </c>
      <c r="AH286" s="173">
        <f t="shared" si="797"/>
        <v>2.4494897427831779</v>
      </c>
      <c r="AI286" s="173">
        <f t="shared" si="798"/>
        <v>2.4494897427831779</v>
      </c>
      <c r="AJ286" s="173">
        <f t="shared" si="799"/>
        <v>2.2736961057653167</v>
      </c>
      <c r="AL286" s="545">
        <f t="shared" si="800"/>
        <v>700</v>
      </c>
      <c r="AM286" s="460">
        <f t="shared" si="801"/>
        <v>350</v>
      </c>
      <c r="AO286">
        <f t="shared" si="802"/>
        <v>700</v>
      </c>
      <c r="AP286">
        <f t="shared" si="803"/>
        <v>350</v>
      </c>
      <c r="AR286" s="5">
        <f t="shared" si="774"/>
        <v>2.8571428571428572</v>
      </c>
      <c r="AS286" s="5">
        <f t="shared" si="739"/>
        <v>0.49053685188843843</v>
      </c>
      <c r="AT286" s="5">
        <f t="shared" si="740"/>
        <v>2.3666060052544187</v>
      </c>
      <c r="AU286" s="173">
        <f t="shared" si="741"/>
        <v>0.17168789816095345</v>
      </c>
      <c r="BA286" s="173">
        <f t="shared" si="849"/>
        <v>0.58598276111324887</v>
      </c>
      <c r="BB286" s="173">
        <f t="shared" si="850"/>
        <v>1.2870991429093925</v>
      </c>
      <c r="BC286" s="173">
        <f t="shared" si="851"/>
        <v>0.31609640715568904</v>
      </c>
      <c r="BD286" s="173"/>
      <c r="BE286" s="528">
        <f t="shared" si="852"/>
        <v>6.8675159264381383E-3</v>
      </c>
      <c r="BF286" s="528">
        <f t="shared" si="804"/>
        <v>1.1993763700813267</v>
      </c>
      <c r="BG286" s="528">
        <f t="shared" si="805"/>
        <v>0.48237091309639063</v>
      </c>
      <c r="BH286" s="528">
        <f t="shared" si="853"/>
        <v>1.0129130789858316</v>
      </c>
      <c r="BI286">
        <f t="shared" si="854"/>
        <v>2.6964833651351029E-2</v>
      </c>
      <c r="BJ286" s="460">
        <f t="shared" si="855"/>
        <v>509.33574674774161</v>
      </c>
      <c r="BK286">
        <f t="shared" si="806"/>
        <v>2.2246411897849612</v>
      </c>
      <c r="BL286" s="460">
        <f t="shared" si="856"/>
        <v>2728.4927117413381</v>
      </c>
      <c r="BM286" s="173">
        <f t="shared" si="807"/>
        <v>0.4348749999999999</v>
      </c>
      <c r="BN286" s="173">
        <f t="shared" si="808"/>
        <v>7.7656249999999996E-2</v>
      </c>
      <c r="BQ286" s="460">
        <f t="shared" si="857"/>
        <v>512.53124999999989</v>
      </c>
      <c r="BR286" s="528">
        <f t="shared" si="858"/>
        <v>1.0301273889657207E-2</v>
      </c>
      <c r="BS286" s="528">
        <f t="shared" si="859"/>
        <v>4.9698726110342789E-2</v>
      </c>
      <c r="BT286" s="528">
        <f t="shared" si="860"/>
        <v>4.995846930836757E-4</v>
      </c>
      <c r="BU286" s="528">
        <f t="shared" si="861"/>
        <v>1.076041888942135</v>
      </c>
      <c r="BV286" s="528"/>
      <c r="BW286" s="625">
        <f t="shared" si="862"/>
        <v>1.0499999999999999E-2</v>
      </c>
      <c r="BX286" s="460">
        <f t="shared" si="863"/>
        <v>1147.0414736352186</v>
      </c>
      <c r="BY286" s="173">
        <f t="shared" si="864"/>
        <v>4.3880654353765571</v>
      </c>
      <c r="BZ286" s="5">
        <f t="shared" si="865"/>
        <v>12.6</v>
      </c>
      <c r="CA286" s="173">
        <f t="shared" si="866"/>
        <v>0.74169716663330654</v>
      </c>
      <c r="CB286" s="5">
        <f t="shared" si="867"/>
        <v>74.169716663330661</v>
      </c>
      <c r="CC286">
        <f t="shared" si="868"/>
        <v>70</v>
      </c>
      <c r="CE286" s="562">
        <f t="shared" si="809"/>
        <v>-50</v>
      </c>
      <c r="CG286" s="173">
        <f t="shared" si="810"/>
        <v>0.60621778264910708</v>
      </c>
      <c r="CH286" s="173">
        <f t="shared" si="811"/>
        <v>0.21818059834670525</v>
      </c>
      <c r="CI286" s="170">
        <v>70</v>
      </c>
      <c r="CJ286" s="217">
        <f t="shared" si="869"/>
        <v>0.7</v>
      </c>
      <c r="CK286" s="217">
        <f t="shared" si="812"/>
        <v>0.17499999999999999</v>
      </c>
      <c r="CL286" s="217">
        <f t="shared" si="813"/>
        <v>11.2</v>
      </c>
      <c r="CM286" s="217">
        <f t="shared" si="814"/>
        <v>1.4</v>
      </c>
      <c r="CN286" s="541">
        <f t="shared" si="815"/>
        <v>60</v>
      </c>
      <c r="CO286" s="443">
        <f t="shared" si="816"/>
        <v>16.7</v>
      </c>
      <c r="CP286" s="443">
        <f t="shared" si="817"/>
        <v>76.7</v>
      </c>
      <c r="CQ286" s="443"/>
      <c r="CR286" s="217">
        <f t="shared" si="818"/>
        <v>0.21465968586387432</v>
      </c>
      <c r="CS286" s="172">
        <f t="shared" si="819"/>
        <v>28.621291448516576</v>
      </c>
      <c r="CT286" s="172">
        <f t="shared" si="820"/>
        <v>4.0248691099476437</v>
      </c>
      <c r="CU286" s="217">
        <f t="shared" si="821"/>
        <v>1.788830715532286</v>
      </c>
      <c r="CV286" s="217">
        <f t="shared" si="822"/>
        <v>3.577661431064572</v>
      </c>
      <c r="CW286" s="217">
        <f t="shared" si="823"/>
        <v>16</v>
      </c>
      <c r="CX286" s="217">
        <f t="shared" si="824"/>
        <v>1.9565853658536587</v>
      </c>
      <c r="CY286" s="217">
        <f t="shared" si="825"/>
        <v>0.39131707317073172</v>
      </c>
      <c r="CZ286" s="217">
        <f t="shared" si="826"/>
        <v>1.4059296042062217</v>
      </c>
      <c r="DA286" s="197">
        <f t="shared" si="827"/>
        <v>350</v>
      </c>
      <c r="DB286" s="443">
        <f t="shared" si="828"/>
        <v>350</v>
      </c>
      <c r="DD286" s="217">
        <f t="shared" si="829"/>
        <v>3.1104488731607378</v>
      </c>
      <c r="DE286" s="173">
        <f t="shared" si="830"/>
        <v>2.23505308251071</v>
      </c>
      <c r="DF286" s="173">
        <f t="shared" si="831"/>
        <v>1.0814250754144243</v>
      </c>
      <c r="DG286" s="173"/>
      <c r="DH286" s="173">
        <f t="shared" si="832"/>
        <v>0.71856287425149712</v>
      </c>
      <c r="DI286" s="545">
        <f t="shared" si="833"/>
        <v>1948.333333333333</v>
      </c>
      <c r="DJ286" s="528">
        <f t="shared" si="834"/>
        <v>0.125748502994012</v>
      </c>
      <c r="DL286" s="173">
        <f t="shared" si="835"/>
        <v>2.4494897427831779</v>
      </c>
      <c r="DM286" s="173">
        <f t="shared" si="836"/>
        <v>2.4494897427831779</v>
      </c>
      <c r="DN286" s="173">
        <f t="shared" si="837"/>
        <v>2.2736961057653167</v>
      </c>
      <c r="DP286" s="545">
        <f t="shared" si="838"/>
        <v>700</v>
      </c>
      <c r="DQ286" s="460">
        <f t="shared" si="839"/>
        <v>350</v>
      </c>
      <c r="DS286">
        <f t="shared" si="840"/>
        <v>700</v>
      </c>
      <c r="DT286">
        <f t="shared" si="841"/>
        <v>350</v>
      </c>
      <c r="DV286" s="5">
        <f t="shared" si="870"/>
        <v>2.8571428571428572</v>
      </c>
      <c r="DW286" s="5">
        <f t="shared" si="842"/>
        <v>0.48989794855663554</v>
      </c>
      <c r="DX286" s="5">
        <f t="shared" si="843"/>
        <v>2.3672449085862217</v>
      </c>
      <c r="DY286" s="173">
        <f t="shared" si="844"/>
        <v>0.17146428199482244</v>
      </c>
      <c r="EA286" s="5">
        <f t="shared" si="871"/>
        <v>2.1433035249352805</v>
      </c>
      <c r="EB286" s="5">
        <f t="shared" si="872"/>
        <v>1.0716517624676403</v>
      </c>
      <c r="EC286" s="5">
        <f t="shared" si="873"/>
        <v>0.36823809689118997</v>
      </c>
      <c r="ED286" s="5"/>
      <c r="EE286" s="173">
        <f t="shared" si="874"/>
        <v>0.58560102799572067</v>
      </c>
      <c r="EF286" s="173">
        <f t="shared" si="875"/>
        <v>1.2872728677364231</v>
      </c>
      <c r="EG286" s="173">
        <f t="shared" si="876"/>
        <v>0.31613907192938628</v>
      </c>
      <c r="EH286" s="173"/>
      <c r="EI286" s="528">
        <f t="shared" si="877"/>
        <v>6.8585712797928971E-3</v>
      </c>
      <c r="EJ286" s="528">
        <f t="shared" si="878"/>
        <v>1.249374490755274</v>
      </c>
      <c r="EK286" s="528">
        <f t="shared" si="879"/>
        <v>4.0250000000000001E-2</v>
      </c>
      <c r="EL286" s="528">
        <f t="shared" si="880"/>
        <v>1.0140631637499999</v>
      </c>
      <c r="EM286">
        <f t="shared" si="881"/>
        <v>2.7E-2</v>
      </c>
      <c r="EN286" s="460">
        <f t="shared" si="882"/>
        <v>67.25</v>
      </c>
      <c r="EP286" s="460">
        <f t="shared" si="883"/>
        <v>2337.5462257850668</v>
      </c>
      <c r="EQ286" s="173">
        <f t="shared" si="884"/>
        <v>0.48999999999999994</v>
      </c>
      <c r="ER286" s="173">
        <f t="shared" si="845"/>
        <v>7.7656249999999996E-2</v>
      </c>
      <c r="ES286" s="528"/>
      <c r="EU286" s="460">
        <f t="shared" si="885"/>
        <v>567.65625</v>
      </c>
      <c r="EV286" s="528">
        <f t="shared" si="886"/>
        <v>1.0287856919689345E-2</v>
      </c>
      <c r="EW286" s="528">
        <f t="shared" si="887"/>
        <v>4.971214308031064E-2</v>
      </c>
      <c r="EX286" s="528">
        <f t="shared" si="888"/>
        <v>4.9971956400186846E-4</v>
      </c>
      <c r="EY286" s="528">
        <f t="shared" si="889"/>
        <v>1.076041888942135</v>
      </c>
      <c r="EZ286" s="528"/>
      <c r="FA286" s="625">
        <f t="shared" si="890"/>
        <v>1.0499999999999999E-2</v>
      </c>
      <c r="FB286" s="460">
        <f t="shared" si="891"/>
        <v>1147.0416085061368</v>
      </c>
      <c r="FC286" s="173">
        <f t="shared" si="892"/>
        <v>4.0522440842912033</v>
      </c>
      <c r="FD286" s="5">
        <f t="shared" si="893"/>
        <v>12.6</v>
      </c>
      <c r="FE286" s="173">
        <f t="shared" si="894"/>
        <v>0.75665477494928957</v>
      </c>
      <c r="FF286" s="5">
        <f t="shared" si="895"/>
        <v>75.66547749492895</v>
      </c>
      <c r="FG286">
        <f t="shared" si="896"/>
        <v>70</v>
      </c>
      <c r="FI286" s="562">
        <f t="shared" si="846"/>
        <v>-50</v>
      </c>
    </row>
    <row r="287" spans="5:165">
      <c r="E287" s="170">
        <v>71</v>
      </c>
      <c r="F287" s="217">
        <f t="shared" si="847"/>
        <v>0.71</v>
      </c>
      <c r="G287" s="217">
        <f t="shared" si="775"/>
        <v>0.17749999999999999</v>
      </c>
      <c r="H287" s="217">
        <f t="shared" si="776"/>
        <v>11.36</v>
      </c>
      <c r="I287" s="217">
        <f t="shared" si="777"/>
        <v>1.42</v>
      </c>
      <c r="J287" s="541">
        <f t="shared" si="778"/>
        <v>59.92129634199091</v>
      </c>
      <c r="K287" s="443">
        <f t="shared" si="779"/>
        <v>16.734887574537975</v>
      </c>
      <c r="L287" s="172">
        <f t="shared" si="780"/>
        <v>76.656183916528889</v>
      </c>
      <c r="M287" s="443"/>
      <c r="N287" s="217">
        <f t="shared" si="781"/>
        <v>0.21831099227116021</v>
      </c>
      <c r="O287" s="172">
        <f t="shared" si="782"/>
        <v>29.069950361320618</v>
      </c>
      <c r="P287" s="172">
        <f t="shared" si="783"/>
        <v>4.087961769560712</v>
      </c>
      <c r="Q287" s="217">
        <f t="shared" si="784"/>
        <v>1.8168718975825386</v>
      </c>
      <c r="R287" s="217">
        <f t="shared" si="785"/>
        <v>3.6337437951650773</v>
      </c>
      <c r="S287" s="217">
        <f t="shared" si="786"/>
        <v>16</v>
      </c>
      <c r="T287" s="217">
        <f t="shared" si="787"/>
        <v>1.953907705173654</v>
      </c>
      <c r="U287" s="217">
        <f t="shared" si="788"/>
        <v>0.39129481325411547</v>
      </c>
      <c r="V287" s="217">
        <f t="shared" si="789"/>
        <v>1.4010785765754499</v>
      </c>
      <c r="W287" s="197">
        <f t="shared" si="790"/>
        <v>350</v>
      </c>
      <c r="X287" s="443">
        <f t="shared" si="848"/>
        <v>350</v>
      </c>
      <c r="Z287" s="217">
        <f t="shared" si="791"/>
        <v>3.1146375387129241</v>
      </c>
      <c r="AA287" s="173">
        <f t="shared" si="792"/>
        <v>2.2333971649395425</v>
      </c>
      <c r="AB287" s="173">
        <f t="shared" si="793"/>
        <v>1.0820790786984453</v>
      </c>
      <c r="AC287" s="173"/>
      <c r="AD287" s="173">
        <f t="shared" si="794"/>
        <v>0.7170648710098253</v>
      </c>
      <c r="AE287" s="545">
        <f t="shared" si="795"/>
        <v>1980.2950296536601</v>
      </c>
      <c r="AF287" s="528">
        <f t="shared" si="796"/>
        <v>0.12548635242671943</v>
      </c>
      <c r="AH287" s="173">
        <f t="shared" si="797"/>
        <v>2.4669240534954224</v>
      </c>
      <c r="AI287" s="173">
        <f t="shared" si="798"/>
        <v>2.4669240534954224</v>
      </c>
      <c r="AJ287" s="173">
        <f t="shared" si="799"/>
        <v>2.2866104099966091</v>
      </c>
      <c r="AL287" s="545">
        <f t="shared" si="800"/>
        <v>710</v>
      </c>
      <c r="AM287" s="460">
        <f t="shared" si="801"/>
        <v>350</v>
      </c>
      <c r="AO287">
        <f t="shared" si="802"/>
        <v>710</v>
      </c>
      <c r="AP287">
        <f t="shared" si="803"/>
        <v>350</v>
      </c>
      <c r="AR287" s="5">
        <f t="shared" si="774"/>
        <v>2.8571428571428572</v>
      </c>
      <c r="AS287" s="5">
        <f t="shared" si="739"/>
        <v>0.49403284723665403</v>
      </c>
      <c r="AT287" s="5">
        <f t="shared" si="740"/>
        <v>2.3631100099062032</v>
      </c>
      <c r="AU287" s="173">
        <f t="shared" si="741"/>
        <v>0.17291149653282892</v>
      </c>
      <c r="BA287" s="173">
        <f t="shared" si="849"/>
        <v>0.59225275139759748</v>
      </c>
      <c r="BB287" s="173">
        <f t="shared" si="850"/>
        <v>1.2953023226387745</v>
      </c>
      <c r="BC287" s="173">
        <f t="shared" si="851"/>
        <v>0.31811101158922844</v>
      </c>
      <c r="BD287" s="173"/>
      <c r="BE287" s="528">
        <f t="shared" si="852"/>
        <v>7.0152664307604889E-3</v>
      </c>
      <c r="BF287" s="528">
        <f t="shared" si="804"/>
        <v>1.207908084998855</v>
      </c>
      <c r="BG287" s="528">
        <f t="shared" si="805"/>
        <v>0.48236643555302683</v>
      </c>
      <c r="BH287" s="528">
        <f t="shared" si="853"/>
        <v>1.0129048955646307</v>
      </c>
      <c r="BI287">
        <f t="shared" si="854"/>
        <v>2.6964583353895909E-2</v>
      </c>
      <c r="BJ287" s="460">
        <f t="shared" si="855"/>
        <v>509.33101890692279</v>
      </c>
      <c r="BK287">
        <f t="shared" si="806"/>
        <v>2.2334451362655505</v>
      </c>
      <c r="BL287" s="460">
        <f t="shared" si="856"/>
        <v>2737.1592659011694</v>
      </c>
      <c r="BM287" s="173">
        <f t="shared" si="807"/>
        <v>0.44108749999999991</v>
      </c>
      <c r="BN287" s="173">
        <f t="shared" si="808"/>
        <v>7.8765624999999992E-2</v>
      </c>
      <c r="BQ287" s="460">
        <f t="shared" si="857"/>
        <v>519.85312499999986</v>
      </c>
      <c r="BR287" s="528">
        <f t="shared" si="858"/>
        <v>1.0522899646140732E-2</v>
      </c>
      <c r="BS287" s="528">
        <f t="shared" si="859"/>
        <v>5.0334243211002112E-2</v>
      </c>
      <c r="BT287" s="528">
        <f t="shared" si="860"/>
        <v>5.059730784716111E-4</v>
      </c>
      <c r="BU287" s="528">
        <f t="shared" si="861"/>
        <v>1.0952911134485617</v>
      </c>
      <c r="BV287" s="528"/>
      <c r="BW287" s="625">
        <f t="shared" si="862"/>
        <v>1.065E-2</v>
      </c>
      <c r="BX287" s="460">
        <f t="shared" si="863"/>
        <v>1167.3042293841763</v>
      </c>
      <c r="BY287" s="173">
        <f t="shared" si="864"/>
        <v>4.4243166202853459</v>
      </c>
      <c r="BZ287" s="5">
        <f t="shared" si="865"/>
        <v>12.78</v>
      </c>
      <c r="CA287" s="173">
        <f t="shared" si="866"/>
        <v>0.74283682880674817</v>
      </c>
      <c r="CB287" s="5">
        <f t="shared" si="867"/>
        <v>74.283682880674817</v>
      </c>
      <c r="CC287">
        <f t="shared" si="868"/>
        <v>71</v>
      </c>
      <c r="CE287" s="562">
        <f t="shared" si="809"/>
        <v>-50</v>
      </c>
      <c r="CG287" s="173">
        <f t="shared" si="810"/>
        <v>0.61053255441458643</v>
      </c>
      <c r="CH287" s="173">
        <f t="shared" si="811"/>
        <v>0.21973350476493658</v>
      </c>
      <c r="CI287" s="170">
        <v>71</v>
      </c>
      <c r="CJ287" s="217">
        <f t="shared" si="869"/>
        <v>0.71</v>
      </c>
      <c r="CK287" s="217">
        <f t="shared" si="812"/>
        <v>0.17749999999999999</v>
      </c>
      <c r="CL287" s="217">
        <f t="shared" si="813"/>
        <v>11.36</v>
      </c>
      <c r="CM287" s="217">
        <f t="shared" si="814"/>
        <v>1.42</v>
      </c>
      <c r="CN287" s="541">
        <f t="shared" si="815"/>
        <v>60</v>
      </c>
      <c r="CO287" s="443">
        <f t="shared" si="816"/>
        <v>16.7</v>
      </c>
      <c r="CP287" s="443">
        <f t="shared" si="817"/>
        <v>76.7</v>
      </c>
      <c r="CQ287" s="443"/>
      <c r="CR287" s="217">
        <f t="shared" si="818"/>
        <v>0.21465968586387432</v>
      </c>
      <c r="CS287" s="172">
        <f t="shared" si="819"/>
        <v>28.621291448516576</v>
      </c>
      <c r="CT287" s="172">
        <f t="shared" si="820"/>
        <v>4.0248691099476437</v>
      </c>
      <c r="CU287" s="217">
        <f t="shared" si="821"/>
        <v>1.788830715532286</v>
      </c>
      <c r="CV287" s="217">
        <f t="shared" si="822"/>
        <v>3.577661431064572</v>
      </c>
      <c r="CW287" s="217">
        <f t="shared" si="823"/>
        <v>16</v>
      </c>
      <c r="CX287" s="217">
        <f t="shared" si="824"/>
        <v>1.9845365853658539</v>
      </c>
      <c r="CY287" s="217">
        <f t="shared" si="825"/>
        <v>0.39690731707317078</v>
      </c>
      <c r="CZ287" s="217">
        <f t="shared" si="826"/>
        <v>1.4260143128377394</v>
      </c>
      <c r="DA287" s="197">
        <f t="shared" si="827"/>
        <v>350</v>
      </c>
      <c r="DB287" s="443">
        <f t="shared" si="828"/>
        <v>350</v>
      </c>
      <c r="DD287" s="217">
        <f t="shared" si="829"/>
        <v>3.1104488731607378</v>
      </c>
      <c r="DE287" s="173">
        <f t="shared" si="830"/>
        <v>2.23505308251071</v>
      </c>
      <c r="DF287" s="173">
        <f t="shared" si="831"/>
        <v>1.0814250754144243</v>
      </c>
      <c r="DG287" s="173"/>
      <c r="DH287" s="173">
        <f t="shared" si="832"/>
        <v>0.71856287425149712</v>
      </c>
      <c r="DI287" s="545">
        <f t="shared" si="833"/>
        <v>1976.1666666666663</v>
      </c>
      <c r="DJ287" s="528">
        <f t="shared" si="834"/>
        <v>0.125748502994012</v>
      </c>
      <c r="DL287" s="173">
        <f t="shared" si="835"/>
        <v>2.4669240534954224</v>
      </c>
      <c r="DM287" s="173">
        <f t="shared" si="836"/>
        <v>2.4669240534954224</v>
      </c>
      <c r="DN287" s="173">
        <f t="shared" si="837"/>
        <v>2.2866104099966091</v>
      </c>
      <c r="DP287" s="545">
        <f t="shared" si="838"/>
        <v>710</v>
      </c>
      <c r="DQ287" s="460">
        <f t="shared" si="839"/>
        <v>350</v>
      </c>
      <c r="DS287">
        <f t="shared" si="840"/>
        <v>710</v>
      </c>
      <c r="DT287">
        <f t="shared" si="841"/>
        <v>350</v>
      </c>
      <c r="DV287" s="5">
        <f t="shared" si="870"/>
        <v>2.8571428571428572</v>
      </c>
      <c r="DW287" s="5">
        <f t="shared" si="842"/>
        <v>0.49338481069908452</v>
      </c>
      <c r="DX287" s="5">
        <f t="shared" si="843"/>
        <v>2.3637580464437726</v>
      </c>
      <c r="DY287" s="173">
        <f t="shared" si="844"/>
        <v>0.17268468374467957</v>
      </c>
      <c r="EA287" s="5">
        <f t="shared" si="871"/>
        <v>2.189395097477187</v>
      </c>
      <c r="EB287" s="5">
        <f t="shared" si="872"/>
        <v>1.0946975487385935</v>
      </c>
      <c r="EC287" s="5">
        <f t="shared" si="873"/>
        <v>0.3729484917722396</v>
      </c>
      <c r="ED287" s="5"/>
      <c r="EE287" s="173">
        <f t="shared" si="874"/>
        <v>0.59186418678304065</v>
      </c>
      <c r="EF287" s="173">
        <f t="shared" si="875"/>
        <v>1.2954799160832553</v>
      </c>
      <c r="EG287" s="173">
        <f t="shared" si="876"/>
        <v>0.31815462644985826</v>
      </c>
      <c r="EH287" s="173"/>
      <c r="EI287" s="528">
        <f t="shared" si="877"/>
        <v>7.0060643119270009E-3</v>
      </c>
      <c r="EJ287" s="528">
        <f t="shared" si="878"/>
        <v>1.2582669481056079</v>
      </c>
      <c r="EK287" s="528">
        <f t="shared" si="879"/>
        <v>4.0250000000000001E-2</v>
      </c>
      <c r="EL287" s="528">
        <f t="shared" si="880"/>
        <v>1.0140631637499999</v>
      </c>
      <c r="EM287">
        <f t="shared" si="881"/>
        <v>2.7E-2</v>
      </c>
      <c r="EN287" s="460">
        <f t="shared" si="882"/>
        <v>67.25</v>
      </c>
      <c r="EP287" s="460">
        <f t="shared" si="883"/>
        <v>2346.5861761675351</v>
      </c>
      <c r="EQ287" s="173">
        <f t="shared" si="884"/>
        <v>0.49699999999999994</v>
      </c>
      <c r="ER287" s="173">
        <f t="shared" si="845"/>
        <v>7.8765624999999992E-2</v>
      </c>
      <c r="ES287" s="528"/>
      <c r="EU287" s="460">
        <f t="shared" si="885"/>
        <v>575.765625</v>
      </c>
      <c r="EV287" s="528">
        <f t="shared" si="886"/>
        <v>1.05090964678905E-2</v>
      </c>
      <c r="EW287" s="528">
        <f t="shared" si="887"/>
        <v>5.0348046389252339E-2</v>
      </c>
      <c r="EX287" s="528">
        <f t="shared" si="888"/>
        <v>5.0611183165724422E-4</v>
      </c>
      <c r="EY287" s="528">
        <f t="shared" si="889"/>
        <v>1.0952911134485617</v>
      </c>
      <c r="EZ287" s="528"/>
      <c r="FA287" s="625">
        <f t="shared" si="890"/>
        <v>1.065E-2</v>
      </c>
      <c r="FB287" s="460">
        <f t="shared" si="891"/>
        <v>1167.3043681373617</v>
      </c>
      <c r="FC287" s="173">
        <f t="shared" si="892"/>
        <v>4.0896561693048969</v>
      </c>
      <c r="FD287" s="5">
        <f t="shared" si="893"/>
        <v>12.78</v>
      </c>
      <c r="FE287" s="173">
        <f t="shared" si="894"/>
        <v>0.75757323514712693</v>
      </c>
      <c r="FF287" s="5">
        <f t="shared" si="895"/>
        <v>75.757323514712695</v>
      </c>
      <c r="FG287">
        <f t="shared" si="896"/>
        <v>71</v>
      </c>
      <c r="FI287" s="562">
        <f t="shared" si="846"/>
        <v>-50</v>
      </c>
    </row>
    <row r="288" spans="5:165">
      <c r="E288" s="170">
        <v>72</v>
      </c>
      <c r="F288" s="217">
        <f t="shared" si="847"/>
        <v>0.72</v>
      </c>
      <c r="G288" s="217">
        <f t="shared" si="775"/>
        <v>0.18</v>
      </c>
      <c r="H288" s="217">
        <f t="shared" si="776"/>
        <v>11.52</v>
      </c>
      <c r="I288" s="217">
        <f t="shared" si="777"/>
        <v>1.44</v>
      </c>
      <c r="J288" s="541">
        <f t="shared" si="778"/>
        <v>59.920744028842819</v>
      </c>
      <c r="K288" s="443">
        <f t="shared" si="779"/>
        <v>16.735132402626146</v>
      </c>
      <c r="L288" s="172">
        <f t="shared" si="780"/>
        <v>76.655876431468968</v>
      </c>
      <c r="M288" s="443"/>
      <c r="N288" s="217">
        <f t="shared" si="781"/>
        <v>0.21831506182813659</v>
      </c>
      <c r="O288" s="172">
        <f t="shared" si="782"/>
        <v>29.070224305432816</v>
      </c>
      <c r="P288" s="172">
        <f t="shared" si="783"/>
        <v>4.0880002929514898</v>
      </c>
      <c r="Q288" s="217">
        <f t="shared" si="784"/>
        <v>1.816889019089551</v>
      </c>
      <c r="R288" s="217">
        <f t="shared" si="785"/>
        <v>3.6337780381791021</v>
      </c>
      <c r="S288" s="217">
        <f t="shared" si="786"/>
        <v>16</v>
      </c>
      <c r="T288" s="217">
        <f t="shared" si="787"/>
        <v>1.981408859966566</v>
      </c>
      <c r="U288" s="217">
        <f t="shared" si="788"/>
        <v>0.39680592597705044</v>
      </c>
      <c r="V288" s="217">
        <f t="shared" si="789"/>
        <v>1.4207779028905456</v>
      </c>
      <c r="W288" s="197">
        <f t="shared" si="790"/>
        <v>350</v>
      </c>
      <c r="X288" s="443">
        <f t="shared" si="848"/>
        <v>350</v>
      </c>
      <c r="Z288" s="217">
        <f t="shared" si="791"/>
        <v>3.1146668898678014</v>
      </c>
      <c r="AA288" s="173">
        <f t="shared" si="792"/>
        <v>2.2333855376338954</v>
      </c>
      <c r="AB288" s="173">
        <f t="shared" si="793"/>
        <v>1.0820836423254498</v>
      </c>
      <c r="AC288" s="173"/>
      <c r="AD288" s="173">
        <f t="shared" si="794"/>
        <v>0.71705438064636473</v>
      </c>
      <c r="AE288" s="545">
        <f t="shared" si="795"/>
        <v>2008.2158883151374</v>
      </c>
      <c r="AF288" s="528">
        <f t="shared" si="796"/>
        <v>0.1254845166131138</v>
      </c>
      <c r="AH288" s="173">
        <f t="shared" si="797"/>
        <v>2.4842360136324753</v>
      </c>
      <c r="AI288" s="173">
        <f t="shared" si="798"/>
        <v>2.4842360136324753</v>
      </c>
      <c r="AJ288" s="173">
        <f t="shared" si="799"/>
        <v>2.2994340841722041</v>
      </c>
      <c r="AL288" s="545">
        <f t="shared" si="800"/>
        <v>720</v>
      </c>
      <c r="AM288" s="460">
        <f t="shared" si="801"/>
        <v>350</v>
      </c>
      <c r="AO288">
        <f t="shared" si="802"/>
        <v>720</v>
      </c>
      <c r="AP288">
        <f t="shared" si="803"/>
        <v>350</v>
      </c>
      <c r="AR288" s="5">
        <f t="shared" si="774"/>
        <v>2.8571428571428572</v>
      </c>
      <c r="AS288" s="5">
        <f t="shared" si="739"/>
        <v>0.49750437259657981</v>
      </c>
      <c r="AT288" s="5">
        <f t="shared" si="740"/>
        <v>2.3596384845462772</v>
      </c>
      <c r="AU288" s="173">
        <f t="shared" si="741"/>
        <v>0.17412653040880294</v>
      </c>
      <c r="BA288" s="173">
        <f t="shared" si="849"/>
        <v>0.59850075043356255</v>
      </c>
      <c r="BB288" s="173">
        <f t="shared" si="850"/>
        <v>1.3034338145350226</v>
      </c>
      <c r="BC288" s="173">
        <f t="shared" si="851"/>
        <v>0.32010801033433645</v>
      </c>
      <c r="BD288" s="173"/>
      <c r="BE288" s="528">
        <f t="shared" si="852"/>
        <v>7.1640629653907505E-3</v>
      </c>
      <c r="BF288" s="528">
        <f t="shared" si="804"/>
        <v>1.2163798577696479</v>
      </c>
      <c r="BG288" s="528">
        <f t="shared" si="805"/>
        <v>0.48236198943218472</v>
      </c>
      <c r="BH288" s="528">
        <f t="shared" si="853"/>
        <v>1.0128967696057858</v>
      </c>
      <c r="BI288">
        <f t="shared" si="854"/>
        <v>2.6964334812979267E-2</v>
      </c>
      <c r="BJ288" s="460">
        <f t="shared" si="855"/>
        <v>509.32632424516402</v>
      </c>
      <c r="BK288">
        <f t="shared" si="806"/>
        <v>2.2421916040968157</v>
      </c>
      <c r="BL288" s="460">
        <f t="shared" si="856"/>
        <v>2745.7670145859884</v>
      </c>
      <c r="BM288" s="173">
        <f t="shared" si="807"/>
        <v>0.44729999999999998</v>
      </c>
      <c r="BN288" s="173">
        <f t="shared" si="808"/>
        <v>7.9874999999999988E-2</v>
      </c>
      <c r="BQ288" s="460">
        <f t="shared" si="857"/>
        <v>527.17499999999995</v>
      </c>
      <c r="BR288" s="528">
        <f t="shared" si="858"/>
        <v>1.0746094448086125E-2</v>
      </c>
      <c r="BS288" s="528">
        <f t="shared" si="859"/>
        <v>5.0968191266199593E-2</v>
      </c>
      <c r="BT288" s="528">
        <f t="shared" si="860"/>
        <v>5.123456914010383E-4</v>
      </c>
      <c r="BU288" s="528">
        <f t="shared" si="861"/>
        <v>1.114608238351716</v>
      </c>
      <c r="BV288" s="528"/>
      <c r="BW288" s="625">
        <f t="shared" si="862"/>
        <v>1.0800000000000001E-2</v>
      </c>
      <c r="BX288" s="460">
        <f t="shared" si="863"/>
        <v>1187.6348697574026</v>
      </c>
      <c r="BY288" s="173">
        <f t="shared" si="864"/>
        <v>4.4605768843433902</v>
      </c>
      <c r="BZ288" s="5">
        <f t="shared" si="865"/>
        <v>12.959999999999999</v>
      </c>
      <c r="CA288" s="173">
        <f t="shared" si="866"/>
        <v>0.7439478087346062</v>
      </c>
      <c r="CB288" s="5">
        <f t="shared" si="867"/>
        <v>74.394780873460618</v>
      </c>
      <c r="CC288">
        <f t="shared" si="868"/>
        <v>72</v>
      </c>
      <c r="CE288" s="562">
        <f t="shared" si="809"/>
        <v>-50</v>
      </c>
      <c r="CG288" s="173">
        <f t="shared" si="810"/>
        <v>0.61481704595757591</v>
      </c>
      <c r="CH288" s="173">
        <f t="shared" si="811"/>
        <v>0.22127551319031777</v>
      </c>
      <c r="CI288" s="170">
        <v>72</v>
      </c>
      <c r="CJ288" s="217">
        <f t="shared" si="869"/>
        <v>0.72</v>
      </c>
      <c r="CK288" s="217">
        <f t="shared" si="812"/>
        <v>0.18</v>
      </c>
      <c r="CL288" s="217">
        <f t="shared" si="813"/>
        <v>11.52</v>
      </c>
      <c r="CM288" s="217">
        <f t="shared" si="814"/>
        <v>1.44</v>
      </c>
      <c r="CN288" s="541">
        <f t="shared" si="815"/>
        <v>60</v>
      </c>
      <c r="CO288" s="443">
        <f t="shared" si="816"/>
        <v>16.7</v>
      </c>
      <c r="CP288" s="443">
        <f t="shared" si="817"/>
        <v>76.7</v>
      </c>
      <c r="CQ288" s="443"/>
      <c r="CR288" s="217">
        <f t="shared" si="818"/>
        <v>0.21465968586387432</v>
      </c>
      <c r="CS288" s="172">
        <f t="shared" si="819"/>
        <v>28.621291448516576</v>
      </c>
      <c r="CT288" s="172">
        <f t="shared" si="820"/>
        <v>4.0248691099476437</v>
      </c>
      <c r="CU288" s="217">
        <f t="shared" si="821"/>
        <v>1.788830715532286</v>
      </c>
      <c r="CV288" s="217">
        <f t="shared" si="822"/>
        <v>3.577661431064572</v>
      </c>
      <c r="CW288" s="217">
        <f t="shared" si="823"/>
        <v>16</v>
      </c>
      <c r="CX288" s="217">
        <f t="shared" si="824"/>
        <v>2.0124878048780488</v>
      </c>
      <c r="CY288" s="217">
        <f t="shared" si="825"/>
        <v>0.40249756097560974</v>
      </c>
      <c r="CZ288" s="217">
        <f t="shared" si="826"/>
        <v>1.4460990214692566</v>
      </c>
      <c r="DA288" s="197">
        <f t="shared" si="827"/>
        <v>350</v>
      </c>
      <c r="DB288" s="443">
        <f t="shared" si="828"/>
        <v>350</v>
      </c>
      <c r="DD288" s="217">
        <f t="shared" si="829"/>
        <v>3.1104488731607378</v>
      </c>
      <c r="DE288" s="173">
        <f t="shared" si="830"/>
        <v>2.23505308251071</v>
      </c>
      <c r="DF288" s="173">
        <f t="shared" si="831"/>
        <v>1.0814250754144243</v>
      </c>
      <c r="DG288" s="173"/>
      <c r="DH288" s="173">
        <f t="shared" si="832"/>
        <v>0.71856287425149712</v>
      </c>
      <c r="DI288" s="545">
        <f t="shared" si="833"/>
        <v>2003.9999999999998</v>
      </c>
      <c r="DJ288" s="528">
        <f t="shared" si="834"/>
        <v>0.125748502994012</v>
      </c>
      <c r="DL288" s="173">
        <f t="shared" si="835"/>
        <v>2.4842360136324753</v>
      </c>
      <c r="DM288" s="173">
        <f t="shared" si="836"/>
        <v>2.4842360136324753</v>
      </c>
      <c r="DN288" s="173">
        <f t="shared" si="837"/>
        <v>2.2994340841722041</v>
      </c>
      <c r="DP288" s="545">
        <f t="shared" si="838"/>
        <v>720</v>
      </c>
      <c r="DQ288" s="460">
        <f t="shared" si="839"/>
        <v>350</v>
      </c>
      <c r="DS288">
        <f t="shared" si="840"/>
        <v>720</v>
      </c>
      <c r="DT288">
        <f t="shared" si="841"/>
        <v>350</v>
      </c>
      <c r="DV288" s="5">
        <f t="shared" si="870"/>
        <v>2.8571428571428572</v>
      </c>
      <c r="DW288" s="5">
        <f t="shared" si="842"/>
        <v>0.49684720272649502</v>
      </c>
      <c r="DX288" s="5">
        <f t="shared" si="843"/>
        <v>2.3602956544163622</v>
      </c>
      <c r="DY288" s="173">
        <f t="shared" si="844"/>
        <v>0.17389652095427324</v>
      </c>
      <c r="EA288" s="5">
        <f t="shared" si="871"/>
        <v>2.2358124122692278</v>
      </c>
      <c r="EB288" s="5">
        <f t="shared" si="872"/>
        <v>1.1179062061346139</v>
      </c>
      <c r="EC288" s="5">
        <f t="shared" si="873"/>
        <v>0.37764730470661789</v>
      </c>
      <c r="ED288" s="5"/>
      <c r="EE288" s="173">
        <f t="shared" si="874"/>
        <v>0.59810533015772094</v>
      </c>
      <c r="EF288" s="173">
        <f t="shared" si="875"/>
        <v>1.3036153079723254</v>
      </c>
      <c r="EG288" s="173">
        <f t="shared" si="876"/>
        <v>0.32015258298732113</v>
      </c>
      <c r="EH288" s="173"/>
      <c r="EI288" s="528">
        <f t="shared" si="877"/>
        <v>7.1545997192615273E-3</v>
      </c>
      <c r="EJ288" s="528">
        <f t="shared" si="878"/>
        <v>1.2670969999333124</v>
      </c>
      <c r="EK288" s="528">
        <f t="shared" si="879"/>
        <v>4.0250000000000001E-2</v>
      </c>
      <c r="EL288" s="528">
        <f t="shared" si="880"/>
        <v>1.0140631637499999</v>
      </c>
      <c r="EM288">
        <f t="shared" si="881"/>
        <v>2.7E-2</v>
      </c>
      <c r="EN288" s="460">
        <f t="shared" si="882"/>
        <v>67.25</v>
      </c>
      <c r="EP288" s="460">
        <f t="shared" si="883"/>
        <v>2355.5647634025736</v>
      </c>
      <c r="EQ288" s="173">
        <f t="shared" si="884"/>
        <v>0.504</v>
      </c>
      <c r="ER288" s="173">
        <f t="shared" si="845"/>
        <v>7.9874999999999988E-2</v>
      </c>
      <c r="ES288" s="528"/>
      <c r="EU288" s="460">
        <f t="shared" si="885"/>
        <v>583.875</v>
      </c>
      <c r="EV288" s="528">
        <f t="shared" si="886"/>
        <v>1.0731899578892291E-2</v>
      </c>
      <c r="EW288" s="528">
        <f t="shared" si="887"/>
        <v>5.0982386135393416E-2</v>
      </c>
      <c r="EX288" s="528">
        <f t="shared" si="888"/>
        <v>5.1248838196726767E-4</v>
      </c>
      <c r="EY288" s="528">
        <f t="shared" si="889"/>
        <v>1.114608238351716</v>
      </c>
      <c r="EZ288" s="528"/>
      <c r="FA288" s="625">
        <f t="shared" si="890"/>
        <v>1.0800000000000001E-2</v>
      </c>
      <c r="FB288" s="460">
        <f t="shared" si="891"/>
        <v>1187.6350124479688</v>
      </c>
      <c r="FC288" s="173">
        <f t="shared" si="892"/>
        <v>4.1270747758505424</v>
      </c>
      <c r="FD288" s="5">
        <f t="shared" si="893"/>
        <v>12.959999999999999</v>
      </c>
      <c r="FE288" s="173">
        <f t="shared" si="894"/>
        <v>0.75846803329476797</v>
      </c>
      <c r="FF288" s="5">
        <f t="shared" si="895"/>
        <v>75.846803329476799</v>
      </c>
      <c r="FG288">
        <f t="shared" si="896"/>
        <v>72</v>
      </c>
      <c r="FI288" s="562">
        <f t="shared" si="846"/>
        <v>-50</v>
      </c>
    </row>
    <row r="289" spans="5:165">
      <c r="E289" s="170">
        <v>73</v>
      </c>
      <c r="F289" s="217">
        <f t="shared" si="847"/>
        <v>0.73</v>
      </c>
      <c r="G289" s="217">
        <f t="shared" si="775"/>
        <v>0.1825</v>
      </c>
      <c r="H289" s="217">
        <f t="shared" si="776"/>
        <v>11.68</v>
      </c>
      <c r="I289" s="217">
        <f t="shared" si="777"/>
        <v>1.46</v>
      </c>
      <c r="J289" s="541">
        <f t="shared" si="778"/>
        <v>59.920195538068825</v>
      </c>
      <c r="K289" s="443">
        <f t="shared" si="779"/>
        <v>16.735375536341213</v>
      </c>
      <c r="L289" s="172">
        <f t="shared" si="780"/>
        <v>76.655571074410034</v>
      </c>
      <c r="M289" s="443"/>
      <c r="N289" s="217">
        <f t="shared" si="781"/>
        <v>0.21831910325338363</v>
      </c>
      <c r="O289" s="172">
        <f t="shared" si="782"/>
        <v>29.070496348085744</v>
      </c>
      <c r="P289" s="172">
        <f t="shared" si="783"/>
        <v>4.0880385489495579</v>
      </c>
      <c r="Q289" s="217">
        <f t="shared" si="784"/>
        <v>1.816906021755359</v>
      </c>
      <c r="R289" s="217">
        <f t="shared" si="785"/>
        <v>3.633812043510718</v>
      </c>
      <c r="S289" s="217">
        <f t="shared" si="786"/>
        <v>16</v>
      </c>
      <c r="T289" s="217">
        <f t="shared" si="787"/>
        <v>2.0089096278483587</v>
      </c>
      <c r="U289" s="217">
        <f t="shared" si="788"/>
        <v>0.40231703714759354</v>
      </c>
      <c r="V289" s="217">
        <f t="shared" si="789"/>
        <v>1.440476521236804</v>
      </c>
      <c r="W289" s="197">
        <f t="shared" si="790"/>
        <v>350</v>
      </c>
      <c r="X289" s="443">
        <f t="shared" si="848"/>
        <v>350</v>
      </c>
      <c r="Z289" s="217">
        <f t="shared" si="791"/>
        <v>3.1146960372949013</v>
      </c>
      <c r="AA289" s="173">
        <f t="shared" si="792"/>
        <v>2.2333739907046182</v>
      </c>
      <c r="AB289" s="173">
        <f t="shared" si="793"/>
        <v>1.0820881740114714</v>
      </c>
      <c r="AC289" s="173"/>
      <c r="AD289" s="173">
        <f t="shared" si="794"/>
        <v>0.71704396318694807</v>
      </c>
      <c r="AE289" s="545">
        <f t="shared" si="795"/>
        <v>2036.1373569215141</v>
      </c>
      <c r="AF289" s="528">
        <f t="shared" si="796"/>
        <v>0.12548269355771594</v>
      </c>
      <c r="AH289" s="173">
        <f t="shared" si="797"/>
        <v>2.5014281634983759</v>
      </c>
      <c r="AI289" s="173">
        <f t="shared" si="798"/>
        <v>2.5014281634983759</v>
      </c>
      <c r="AJ289" s="173">
        <f t="shared" si="799"/>
        <v>2.3121690099987968</v>
      </c>
      <c r="AL289" s="545">
        <f t="shared" si="800"/>
        <v>730</v>
      </c>
      <c r="AM289" s="460">
        <f t="shared" si="801"/>
        <v>350</v>
      </c>
      <c r="AO289">
        <f t="shared" si="802"/>
        <v>730</v>
      </c>
      <c r="AP289">
        <f t="shared" si="803"/>
        <v>350</v>
      </c>
      <c r="AR289" s="5">
        <f t="shared" si="774"/>
        <v>2.8571428571428572</v>
      </c>
      <c r="AS289" s="5">
        <f t="shared" si="739"/>
        <v>0.50095193602814359</v>
      </c>
      <c r="AT289" s="5">
        <f t="shared" si="740"/>
        <v>2.3561909211147136</v>
      </c>
      <c r="AU289" s="173">
        <f t="shared" si="741"/>
        <v>0.17533317760985026</v>
      </c>
      <c r="BA289" s="173">
        <f t="shared" si="849"/>
        <v>0.60472713954356716</v>
      </c>
      <c r="BB289" s="173">
        <f t="shared" si="850"/>
        <v>1.3114950905031026</v>
      </c>
      <c r="BC289" s="173">
        <f t="shared" si="851"/>
        <v>0.32208776487355606</v>
      </c>
      <c r="BD289" s="173"/>
      <c r="BE289" s="528">
        <f t="shared" si="852"/>
        <v>7.3138982660108992E-3</v>
      </c>
      <c r="BF289" s="528">
        <f t="shared" si="804"/>
        <v>1.2247929329426344</v>
      </c>
      <c r="BG289" s="528">
        <f t="shared" si="805"/>
        <v>0.48235757408145402</v>
      </c>
      <c r="BH289" s="528">
        <f t="shared" si="853"/>
        <v>1.0128886999162345</v>
      </c>
      <c r="BI289">
        <f t="shared" si="854"/>
        <v>2.6964087992130969E-2</v>
      </c>
      <c r="BJ289" s="460">
        <f t="shared" si="855"/>
        <v>509.321662073585</v>
      </c>
      <c r="BK289">
        <f t="shared" si="806"/>
        <v>2.2508818260914221</v>
      </c>
      <c r="BL289" s="460">
        <f t="shared" si="856"/>
        <v>2754.3171931984648</v>
      </c>
      <c r="BM289" s="173">
        <f t="shared" si="807"/>
        <v>0.45351249999999999</v>
      </c>
      <c r="BN289" s="173">
        <f t="shared" si="808"/>
        <v>8.0984374999999997E-2</v>
      </c>
      <c r="BQ289" s="460">
        <f t="shared" si="857"/>
        <v>534.49687499999993</v>
      </c>
      <c r="BR289" s="528">
        <f t="shared" si="858"/>
        <v>1.0970847399016348E-2</v>
      </c>
      <c r="BS289" s="528">
        <f t="shared" si="859"/>
        <v>5.1600581172412237E-2</v>
      </c>
      <c r="BT289" s="528">
        <f t="shared" si="860"/>
        <v>5.1870264140621569E-4</v>
      </c>
      <c r="BU289" s="528">
        <f t="shared" si="861"/>
        <v>1.1339925550804724</v>
      </c>
      <c r="BV289" s="528"/>
      <c r="BW289" s="625">
        <f t="shared" si="862"/>
        <v>1.0950000000000001E-2</v>
      </c>
      <c r="BX289" s="460">
        <f t="shared" si="863"/>
        <v>1208.0326862933071</v>
      </c>
      <c r="BY289" s="173">
        <f t="shared" si="864"/>
        <v>4.4968467544917718</v>
      </c>
      <c r="BZ289" s="5">
        <f t="shared" si="865"/>
        <v>13.14</v>
      </c>
      <c r="CA289" s="173">
        <f t="shared" si="866"/>
        <v>0.74503113753332872</v>
      </c>
      <c r="CB289" s="5">
        <f t="shared" si="867"/>
        <v>74.503113753332869</v>
      </c>
      <c r="CC289">
        <f t="shared" si="868"/>
        <v>73</v>
      </c>
      <c r="CE289" s="562">
        <f t="shared" si="809"/>
        <v>-50</v>
      </c>
      <c r="CG289" s="173">
        <f t="shared" si="810"/>
        <v>0.61907188597124974</v>
      </c>
      <c r="CH289" s="173">
        <f t="shared" si="811"/>
        <v>0.22280684989244515</v>
      </c>
      <c r="CI289" s="170">
        <v>73</v>
      </c>
      <c r="CJ289" s="217">
        <f t="shared" si="869"/>
        <v>0.73</v>
      </c>
      <c r="CK289" s="217">
        <f t="shared" si="812"/>
        <v>0.1825</v>
      </c>
      <c r="CL289" s="217">
        <f t="shared" si="813"/>
        <v>11.68</v>
      </c>
      <c r="CM289" s="217">
        <f t="shared" si="814"/>
        <v>1.46</v>
      </c>
      <c r="CN289" s="541">
        <f t="shared" si="815"/>
        <v>60</v>
      </c>
      <c r="CO289" s="443">
        <f t="shared" si="816"/>
        <v>16.7</v>
      </c>
      <c r="CP289" s="443">
        <f t="shared" si="817"/>
        <v>76.7</v>
      </c>
      <c r="CQ289" s="443"/>
      <c r="CR289" s="217">
        <f t="shared" si="818"/>
        <v>0.21465968586387432</v>
      </c>
      <c r="CS289" s="172">
        <f t="shared" si="819"/>
        <v>28.621291448516576</v>
      </c>
      <c r="CT289" s="172">
        <f t="shared" si="820"/>
        <v>4.0248691099476437</v>
      </c>
      <c r="CU289" s="217">
        <f t="shared" si="821"/>
        <v>1.788830715532286</v>
      </c>
      <c r="CV289" s="217">
        <f t="shared" si="822"/>
        <v>3.577661431064572</v>
      </c>
      <c r="CW289" s="217">
        <f t="shared" si="823"/>
        <v>16</v>
      </c>
      <c r="CX289" s="217">
        <f t="shared" si="824"/>
        <v>2.0404390243902442</v>
      </c>
      <c r="CY289" s="217">
        <f t="shared" si="825"/>
        <v>0.40808780487804885</v>
      </c>
      <c r="CZ289" s="217">
        <f t="shared" si="826"/>
        <v>1.4661837301007743</v>
      </c>
      <c r="DA289" s="197">
        <f t="shared" si="827"/>
        <v>350</v>
      </c>
      <c r="DB289" s="443">
        <f t="shared" si="828"/>
        <v>350</v>
      </c>
      <c r="DD289" s="217">
        <f t="shared" si="829"/>
        <v>3.1104488731607378</v>
      </c>
      <c r="DE289" s="173">
        <f t="shared" si="830"/>
        <v>2.23505308251071</v>
      </c>
      <c r="DF289" s="173">
        <f t="shared" si="831"/>
        <v>1.0814250754144243</v>
      </c>
      <c r="DG289" s="173"/>
      <c r="DH289" s="173">
        <f t="shared" si="832"/>
        <v>0.71856287425149712</v>
      </c>
      <c r="DI289" s="545">
        <f t="shared" si="833"/>
        <v>2031.833333333333</v>
      </c>
      <c r="DJ289" s="528">
        <f t="shared" si="834"/>
        <v>0.125748502994012</v>
      </c>
      <c r="DL289" s="173">
        <f t="shared" si="835"/>
        <v>2.5014281634983759</v>
      </c>
      <c r="DM289" s="173">
        <f t="shared" si="836"/>
        <v>2.5014281634983759</v>
      </c>
      <c r="DN289" s="173">
        <f t="shared" si="837"/>
        <v>2.3121690099987968</v>
      </c>
      <c r="DP289" s="545">
        <f t="shared" si="838"/>
        <v>730</v>
      </c>
      <c r="DQ289" s="460">
        <f t="shared" si="839"/>
        <v>350</v>
      </c>
      <c r="DS289">
        <f t="shared" si="840"/>
        <v>730</v>
      </c>
      <c r="DT289">
        <f t="shared" si="841"/>
        <v>350</v>
      </c>
      <c r="DV289" s="5">
        <f t="shared" si="870"/>
        <v>2.8571428571428572</v>
      </c>
      <c r="DW289" s="5">
        <f t="shared" si="842"/>
        <v>0.50028563269967519</v>
      </c>
      <c r="DX289" s="5">
        <f t="shared" si="843"/>
        <v>2.356857224443182</v>
      </c>
      <c r="DY289" s="173">
        <f t="shared" si="844"/>
        <v>0.17509997144488632</v>
      </c>
      <c r="EA289" s="5">
        <f t="shared" si="871"/>
        <v>2.2825531991922676</v>
      </c>
      <c r="EB289" s="5">
        <f t="shared" si="872"/>
        <v>1.1412765995961338</v>
      </c>
      <c r="EC289" s="5">
        <f t="shared" si="873"/>
        <v>0.3823346164096717</v>
      </c>
      <c r="ED289" s="5"/>
      <c r="EE289" s="173">
        <f t="shared" si="874"/>
        <v>0.60432483969365591</v>
      </c>
      <c r="EF289" s="173">
        <f t="shared" si="875"/>
        <v>1.3116805151573774</v>
      </c>
      <c r="EG289" s="173">
        <f t="shared" si="876"/>
        <v>0.3221333029871794</v>
      </c>
      <c r="EH289" s="173"/>
      <c r="EI289" s="528">
        <f t="shared" si="877"/>
        <v>7.3041702374152589E-3</v>
      </c>
      <c r="EJ289" s="528">
        <f t="shared" si="878"/>
        <v>1.2758659419331642</v>
      </c>
      <c r="EK289" s="528">
        <f t="shared" si="879"/>
        <v>4.0250000000000001E-2</v>
      </c>
      <c r="EL289" s="528">
        <f t="shared" si="880"/>
        <v>1.0140631637499999</v>
      </c>
      <c r="EM289">
        <f t="shared" si="881"/>
        <v>2.7E-2</v>
      </c>
      <c r="EN289" s="460">
        <f t="shared" si="882"/>
        <v>67.25</v>
      </c>
      <c r="EP289" s="460">
        <f t="shared" si="883"/>
        <v>2364.4832759205797</v>
      </c>
      <c r="EQ289" s="173">
        <f t="shared" si="884"/>
        <v>0.51100000000000001</v>
      </c>
      <c r="ER289" s="173">
        <f t="shared" si="845"/>
        <v>8.0984374999999997E-2</v>
      </c>
      <c r="ES289" s="528"/>
      <c r="EU289" s="460">
        <f t="shared" si="885"/>
        <v>591.984375</v>
      </c>
      <c r="EV289" s="528">
        <f t="shared" si="886"/>
        <v>1.0956255356122888E-2</v>
      </c>
      <c r="EW289" s="528">
        <f t="shared" si="887"/>
        <v>5.161517321530569E-2</v>
      </c>
      <c r="EX289" s="528">
        <f t="shared" si="888"/>
        <v>5.188493244671497E-4</v>
      </c>
      <c r="EY289" s="528">
        <f t="shared" si="889"/>
        <v>1.1339925550804724</v>
      </c>
      <c r="EZ289" s="528"/>
      <c r="FA289" s="625">
        <f t="shared" si="890"/>
        <v>1.0950000000000001E-2</v>
      </c>
      <c r="FB289" s="460">
        <f t="shared" si="891"/>
        <v>1208.0328329763681</v>
      </c>
      <c r="FC289" s="173">
        <f t="shared" si="892"/>
        <v>4.1645004838969486</v>
      </c>
      <c r="FD289" s="5">
        <f t="shared" si="893"/>
        <v>13.14</v>
      </c>
      <c r="FE289" s="173">
        <f t="shared" si="894"/>
        <v>0.75934003482086598</v>
      </c>
      <c r="FF289" s="5">
        <f t="shared" si="895"/>
        <v>75.934003482086595</v>
      </c>
      <c r="FG289">
        <f t="shared" si="896"/>
        <v>73</v>
      </c>
      <c r="FI289" s="562">
        <f t="shared" si="846"/>
        <v>-50</v>
      </c>
    </row>
    <row r="290" spans="5:165">
      <c r="E290" s="170">
        <v>74</v>
      </c>
      <c r="F290" s="217">
        <f t="shared" si="847"/>
        <v>0.74</v>
      </c>
      <c r="G290" s="217">
        <f t="shared" si="775"/>
        <v>0.185</v>
      </c>
      <c r="H290" s="217">
        <f t="shared" si="776"/>
        <v>11.84</v>
      </c>
      <c r="I290" s="217">
        <f t="shared" si="777"/>
        <v>1.48</v>
      </c>
      <c r="J290" s="541">
        <f t="shared" si="778"/>
        <v>59.919650791390445</v>
      </c>
      <c r="K290" s="443">
        <f t="shared" si="779"/>
        <v>16.735617010382278</v>
      </c>
      <c r="L290" s="172">
        <f t="shared" si="780"/>
        <v>76.655267801772723</v>
      </c>
      <c r="M290" s="443"/>
      <c r="N290" s="217">
        <f t="shared" si="781"/>
        <v>0.218323117123012</v>
      </c>
      <c r="O290" s="172">
        <f t="shared" si="782"/>
        <v>29.070766528219369</v>
      </c>
      <c r="P290" s="172">
        <f t="shared" si="783"/>
        <v>4.0880765430308488</v>
      </c>
      <c r="Q290" s="217">
        <f t="shared" si="784"/>
        <v>1.8169229080137106</v>
      </c>
      <c r="R290" s="217">
        <f t="shared" si="785"/>
        <v>3.6338458160274212</v>
      </c>
      <c r="S290" s="217">
        <f t="shared" si="786"/>
        <v>16</v>
      </c>
      <c r="T290" s="217">
        <f t="shared" si="787"/>
        <v>2.0364100114984516</v>
      </c>
      <c r="U290" s="217">
        <f t="shared" si="788"/>
        <v>0.4078281467803988</v>
      </c>
      <c r="V290" s="217">
        <f t="shared" si="789"/>
        <v>1.4601744365219091</v>
      </c>
      <c r="W290" s="197">
        <f t="shared" si="790"/>
        <v>350</v>
      </c>
      <c r="X290" s="443">
        <f t="shared" si="848"/>
        <v>350</v>
      </c>
      <c r="Z290" s="217">
        <f t="shared" si="791"/>
        <v>3.1147249851663603</v>
      </c>
      <c r="AA290" s="173">
        <f t="shared" si="792"/>
        <v>2.2333625225056792</v>
      </c>
      <c r="AB290" s="173">
        <f t="shared" si="793"/>
        <v>1.0820926744106276</v>
      </c>
      <c r="AC290" s="173"/>
      <c r="AD290" s="173">
        <f t="shared" si="794"/>
        <v>0.71703361713855895</v>
      </c>
      <c r="AE290" s="545">
        <f t="shared" si="795"/>
        <v>2064.0594312804806</v>
      </c>
      <c r="AF290" s="528">
        <f t="shared" si="796"/>
        <v>0.12548088299924784</v>
      </c>
      <c r="AH290" s="173">
        <f t="shared" si="797"/>
        <v>2.5185029566901727</v>
      </c>
      <c r="AI290" s="173">
        <f t="shared" si="798"/>
        <v>2.5185029566901727</v>
      </c>
      <c r="AJ290" s="173">
        <f t="shared" si="799"/>
        <v>2.3248170049556833</v>
      </c>
      <c r="AL290" s="545">
        <f t="shared" si="800"/>
        <v>740</v>
      </c>
      <c r="AM290" s="460">
        <f t="shared" si="801"/>
        <v>350</v>
      </c>
      <c r="AO290">
        <f t="shared" si="802"/>
        <v>740</v>
      </c>
      <c r="AP290">
        <f t="shared" si="803"/>
        <v>350</v>
      </c>
      <c r="AR290" s="5">
        <f t="shared" si="774"/>
        <v>2.8571428571428572</v>
      </c>
      <c r="AS290" s="5">
        <f t="shared" si="739"/>
        <v>0.50437602824989303</v>
      </c>
      <c r="AT290" s="5">
        <f t="shared" si="740"/>
        <v>2.352766828892964</v>
      </c>
      <c r="AU290" s="173">
        <f t="shared" si="741"/>
        <v>0.17653160988746255</v>
      </c>
      <c r="BA290" s="173">
        <f t="shared" si="849"/>
        <v>0.61093228831427859</v>
      </c>
      <c r="BB290" s="173">
        <f t="shared" si="850"/>
        <v>1.3194875722722035</v>
      </c>
      <c r="BC290" s="173">
        <f t="shared" si="851"/>
        <v>0.32405062436684995</v>
      </c>
      <c r="BD290" s="173"/>
      <c r="BE290" s="528">
        <f t="shared" si="852"/>
        <v>7.4647652180984169E-3</v>
      </c>
      <c r="BF290" s="528">
        <f t="shared" si="804"/>
        <v>1.233148512587148</v>
      </c>
      <c r="BG290" s="528">
        <f t="shared" si="805"/>
        <v>0.48235318887069312</v>
      </c>
      <c r="BH290" s="528">
        <f t="shared" si="853"/>
        <v>1.0128806853436376</v>
      </c>
      <c r="BI290">
        <f t="shared" si="854"/>
        <v>2.69638428561257E-2</v>
      </c>
      <c r="BJ290" s="460">
        <f t="shared" si="855"/>
        <v>509.31703172681887</v>
      </c>
      <c r="BK290">
        <f t="shared" si="806"/>
        <v>2.2595169928504153</v>
      </c>
      <c r="BL290" s="460">
        <f t="shared" si="856"/>
        <v>2762.8109948757028</v>
      </c>
      <c r="BM290" s="173">
        <f t="shared" si="807"/>
        <v>0.45972499999999999</v>
      </c>
      <c r="BN290" s="173">
        <f t="shared" si="808"/>
        <v>8.2093749999999993E-2</v>
      </c>
      <c r="BQ290" s="460">
        <f t="shared" si="857"/>
        <v>541.81875000000002</v>
      </c>
      <c r="BR290" s="528">
        <f t="shared" si="858"/>
        <v>1.1197147827147626E-2</v>
      </c>
      <c r="BS290" s="528">
        <f t="shared" si="859"/>
        <v>5.2231423601423799E-2</v>
      </c>
      <c r="BT290" s="528">
        <f t="shared" si="860"/>
        <v>5.2504403576272645E-4</v>
      </c>
      <c r="BU290" s="528">
        <f t="shared" si="861"/>
        <v>1.1534433720808086</v>
      </c>
      <c r="BV290" s="528"/>
      <c r="BW290" s="625">
        <f t="shared" si="862"/>
        <v>1.1099999999999999E-2</v>
      </c>
      <c r="BX290" s="460">
        <f t="shared" si="863"/>
        <v>1228.4969875451427</v>
      </c>
      <c r="BY290" s="173">
        <f t="shared" si="864"/>
        <v>4.5331267324208451</v>
      </c>
      <c r="BZ290" s="5">
        <f t="shared" si="865"/>
        <v>13.32</v>
      </c>
      <c r="CA290" s="173">
        <f t="shared" si="866"/>
        <v>0.74608779737227771</v>
      </c>
      <c r="CB290" s="5">
        <f t="shared" si="867"/>
        <v>74.608779737227763</v>
      </c>
      <c r="CC290">
        <f t="shared" si="868"/>
        <v>74</v>
      </c>
      <c r="CE290" s="562">
        <f t="shared" si="809"/>
        <v>-50</v>
      </c>
      <c r="CG290" s="173">
        <f t="shared" si="810"/>
        <v>0.62329768168989685</v>
      </c>
      <c r="CH290" s="173">
        <f t="shared" si="811"/>
        <v>0.22432773341776241</v>
      </c>
      <c r="CI290" s="170">
        <v>74</v>
      </c>
      <c r="CJ290" s="217">
        <f t="shared" si="869"/>
        <v>0.74</v>
      </c>
      <c r="CK290" s="217">
        <f t="shared" si="812"/>
        <v>0.185</v>
      </c>
      <c r="CL290" s="217">
        <f t="shared" si="813"/>
        <v>11.84</v>
      </c>
      <c r="CM290" s="217">
        <f t="shared" si="814"/>
        <v>1.48</v>
      </c>
      <c r="CN290" s="541">
        <f t="shared" si="815"/>
        <v>60</v>
      </c>
      <c r="CO290" s="443">
        <f t="shared" si="816"/>
        <v>16.7</v>
      </c>
      <c r="CP290" s="443">
        <f t="shared" si="817"/>
        <v>76.7</v>
      </c>
      <c r="CQ290" s="443"/>
      <c r="CR290" s="217">
        <f t="shared" si="818"/>
        <v>0.21465968586387432</v>
      </c>
      <c r="CS290" s="172">
        <f t="shared" si="819"/>
        <v>28.621291448516576</v>
      </c>
      <c r="CT290" s="172">
        <f t="shared" si="820"/>
        <v>4.0248691099476437</v>
      </c>
      <c r="CU290" s="217">
        <f t="shared" si="821"/>
        <v>1.788830715532286</v>
      </c>
      <c r="CV290" s="217">
        <f t="shared" si="822"/>
        <v>3.577661431064572</v>
      </c>
      <c r="CW290" s="217">
        <f t="shared" si="823"/>
        <v>16</v>
      </c>
      <c r="CX290" s="217">
        <f t="shared" si="824"/>
        <v>2.0683902439024391</v>
      </c>
      <c r="CY290" s="217">
        <f t="shared" si="825"/>
        <v>0.41367804878048781</v>
      </c>
      <c r="CZ290" s="217">
        <f t="shared" si="826"/>
        <v>1.4862684387322918</v>
      </c>
      <c r="DA290" s="197">
        <f t="shared" si="827"/>
        <v>350</v>
      </c>
      <c r="DB290" s="443">
        <f t="shared" si="828"/>
        <v>350</v>
      </c>
      <c r="DD290" s="217">
        <f t="shared" si="829"/>
        <v>3.1104488731607378</v>
      </c>
      <c r="DE290" s="173">
        <f t="shared" si="830"/>
        <v>2.23505308251071</v>
      </c>
      <c r="DF290" s="173">
        <f t="shared" si="831"/>
        <v>1.0814250754144243</v>
      </c>
      <c r="DG290" s="173"/>
      <c r="DH290" s="173">
        <f t="shared" si="832"/>
        <v>0.71856287425149712</v>
      </c>
      <c r="DI290" s="545">
        <f t="shared" si="833"/>
        <v>2059.6666666666661</v>
      </c>
      <c r="DJ290" s="528">
        <f t="shared" si="834"/>
        <v>0.125748502994012</v>
      </c>
      <c r="DL290" s="173">
        <f t="shared" si="835"/>
        <v>2.5185029566901727</v>
      </c>
      <c r="DM290" s="173">
        <f t="shared" si="836"/>
        <v>2.5185029566901727</v>
      </c>
      <c r="DN290" s="173">
        <f t="shared" si="837"/>
        <v>2.3248170049556833</v>
      </c>
      <c r="DP290" s="545">
        <f t="shared" si="838"/>
        <v>740</v>
      </c>
      <c r="DQ290" s="460">
        <f t="shared" si="839"/>
        <v>350</v>
      </c>
      <c r="DS290">
        <f t="shared" si="840"/>
        <v>740</v>
      </c>
      <c r="DT290">
        <f t="shared" si="841"/>
        <v>350</v>
      </c>
      <c r="DV290" s="5">
        <f t="shared" si="870"/>
        <v>2.8571428571428572</v>
      </c>
      <c r="DW290" s="5">
        <f t="shared" si="842"/>
        <v>0.50370059133803446</v>
      </c>
      <c r="DX290" s="5">
        <f t="shared" si="843"/>
        <v>2.3534422658048229</v>
      </c>
      <c r="DY290" s="173">
        <f t="shared" si="844"/>
        <v>0.17629520696831205</v>
      </c>
      <c r="EA290" s="5">
        <f t="shared" si="871"/>
        <v>2.3296152349384096</v>
      </c>
      <c r="EB290" s="5">
        <f t="shared" si="872"/>
        <v>1.1648076174692048</v>
      </c>
      <c r="EC290" s="5">
        <f t="shared" si="873"/>
        <v>0.38701050593234859</v>
      </c>
      <c r="ED290" s="5"/>
      <c r="EE290" s="173">
        <f t="shared" si="874"/>
        <v>0.61052308522294663</v>
      </c>
      <c r="EF290" s="173">
        <f t="shared" si="875"/>
        <v>1.3196769592197812</v>
      </c>
      <c r="EG290" s="173">
        <f t="shared" si="876"/>
        <v>0.32409713557309333</v>
      </c>
      <c r="EH290" s="173"/>
      <c r="EI290" s="528">
        <f t="shared" si="877"/>
        <v>7.4547687518029069E-3</v>
      </c>
      <c r="EJ290" s="528">
        <f t="shared" si="878"/>
        <v>1.284575025574606</v>
      </c>
      <c r="EK290" s="528">
        <f t="shared" si="879"/>
        <v>4.0250000000000001E-2</v>
      </c>
      <c r="EL290" s="528">
        <f t="shared" si="880"/>
        <v>1.0140631637499999</v>
      </c>
      <c r="EM290">
        <f t="shared" si="881"/>
        <v>2.7E-2</v>
      </c>
      <c r="EN290" s="460">
        <f t="shared" si="882"/>
        <v>67.25</v>
      </c>
      <c r="EP290" s="460">
        <f t="shared" si="883"/>
        <v>2373.3429580764091</v>
      </c>
      <c r="EQ290" s="173">
        <f t="shared" si="884"/>
        <v>0.51800000000000002</v>
      </c>
      <c r="ER290" s="173">
        <f t="shared" si="845"/>
        <v>8.2093749999999993E-2</v>
      </c>
      <c r="ES290" s="528"/>
      <c r="EU290" s="460">
        <f t="shared" si="885"/>
        <v>600.09375</v>
      </c>
      <c r="EV290" s="528">
        <f t="shared" si="886"/>
        <v>1.1182153127704359E-2</v>
      </c>
      <c r="EW290" s="528">
        <f t="shared" si="887"/>
        <v>5.2246418300867042E-2</v>
      </c>
      <c r="EX290" s="528">
        <f t="shared" si="888"/>
        <v>5.2519476643342019E-4</v>
      </c>
      <c r="EY290" s="528">
        <f t="shared" si="889"/>
        <v>1.1534433720808086</v>
      </c>
      <c r="EZ290" s="528"/>
      <c r="FA290" s="625">
        <f t="shared" si="890"/>
        <v>1.1099999999999999E-2</v>
      </c>
      <c r="FB290" s="460">
        <f t="shared" si="891"/>
        <v>1228.4971382758133</v>
      </c>
      <c r="FC290" s="173">
        <f t="shared" si="892"/>
        <v>4.2019338463522224</v>
      </c>
      <c r="FD290" s="5">
        <f t="shared" si="893"/>
        <v>13.32</v>
      </c>
      <c r="FE290" s="173">
        <f t="shared" si="894"/>
        <v>0.76019006331159067</v>
      </c>
      <c r="FF290" s="5">
        <f t="shared" si="895"/>
        <v>76.019006331159062</v>
      </c>
      <c r="FG290">
        <f t="shared" si="896"/>
        <v>74</v>
      </c>
      <c r="FI290" s="562">
        <f t="shared" si="846"/>
        <v>-50</v>
      </c>
    </row>
    <row r="291" spans="5:165">
      <c r="E291" s="170">
        <v>75</v>
      </c>
      <c r="F291" s="217">
        <f t="shared" si="847"/>
        <v>0.75</v>
      </c>
      <c r="G291" s="217">
        <f t="shared" si="775"/>
        <v>0.1875</v>
      </c>
      <c r="H291" s="217">
        <f t="shared" si="776"/>
        <v>12</v>
      </c>
      <c r="I291" s="217">
        <f t="shared" si="777"/>
        <v>1.5</v>
      </c>
      <c r="J291" s="541">
        <f t="shared" si="778"/>
        <v>59.919109713165071</v>
      </c>
      <c r="K291" s="443">
        <f t="shared" si="779"/>
        <v>16.73585685828003</v>
      </c>
      <c r="L291" s="172">
        <f t="shared" si="780"/>
        <v>76.654966571445101</v>
      </c>
      <c r="M291" s="443"/>
      <c r="N291" s="217">
        <f t="shared" si="781"/>
        <v>0.21832710399373312</v>
      </c>
      <c r="O291" s="172">
        <f t="shared" si="782"/>
        <v>29.071034883462435</v>
      </c>
      <c r="P291" s="172">
        <f t="shared" si="783"/>
        <v>4.0881142804869048</v>
      </c>
      <c r="Q291" s="217">
        <f t="shared" si="784"/>
        <v>1.8169396802164022</v>
      </c>
      <c r="R291" s="217">
        <f t="shared" si="785"/>
        <v>3.6338793604328044</v>
      </c>
      <c r="S291" s="217">
        <f t="shared" si="786"/>
        <v>16</v>
      </c>
      <c r="T291" s="217">
        <f t="shared" si="787"/>
        <v>2.0639100135417623</v>
      </c>
      <c r="U291" s="217">
        <f t="shared" si="788"/>
        <v>0.41333925488982204</v>
      </c>
      <c r="V291" s="217">
        <f t="shared" si="789"/>
        <v>1.4798716535537149</v>
      </c>
      <c r="W291" s="197">
        <f t="shared" si="790"/>
        <v>350</v>
      </c>
      <c r="X291" s="443">
        <f t="shared" si="848"/>
        <v>350</v>
      </c>
      <c r="Z291" s="217">
        <f t="shared" si="791"/>
        <v>3.1147537375138321</v>
      </c>
      <c r="AA291" s="173">
        <f t="shared" si="792"/>
        <v>2.2333511314464771</v>
      </c>
      <c r="AB291" s="173">
        <f t="shared" si="793"/>
        <v>1.0820971441550138</v>
      </c>
      <c r="AC291" s="173"/>
      <c r="AD291" s="173">
        <f t="shared" si="794"/>
        <v>0.71702334105845478</v>
      </c>
      <c r="AE291" s="545">
        <f t="shared" si="795"/>
        <v>2091.9821072850036</v>
      </c>
      <c r="AF291" s="528">
        <f t="shared" si="796"/>
        <v>0.12547908468522956</v>
      </c>
      <c r="AH291" s="173">
        <f t="shared" si="797"/>
        <v>2.5354627641855494</v>
      </c>
      <c r="AI291" s="173">
        <f t="shared" si="798"/>
        <v>2.5354627641855494</v>
      </c>
      <c r="AJ291" s="173">
        <f t="shared" si="799"/>
        <v>2.3373798253226292</v>
      </c>
      <c r="AL291" s="545">
        <f t="shared" si="800"/>
        <v>750</v>
      </c>
      <c r="AM291" s="460">
        <f t="shared" si="801"/>
        <v>350</v>
      </c>
      <c r="AO291">
        <f t="shared" si="802"/>
        <v>750</v>
      </c>
      <c r="AP291">
        <f t="shared" si="803"/>
        <v>350</v>
      </c>
      <c r="AR291" s="5">
        <f t="shared" si="774"/>
        <v>2.8571428571428572</v>
      </c>
      <c r="AS291" s="5">
        <f t="shared" si="739"/>
        <v>0.50777712345652015</v>
      </c>
      <c r="AT291" s="5">
        <f t="shared" si="740"/>
        <v>2.3493657336863372</v>
      </c>
      <c r="AU291" s="173">
        <f t="shared" si="741"/>
        <v>0.17772199320978205</v>
      </c>
      <c r="BA291" s="173">
        <f t="shared" si="849"/>
        <v>0.61711655511126096</v>
      </c>
      <c r="BB291" s="173">
        <f t="shared" si="850"/>
        <v>1.3274126337596583</v>
      </c>
      <c r="BC291" s="173">
        <f t="shared" si="851"/>
        <v>0.32599692623215137</v>
      </c>
      <c r="BD291" s="173"/>
      <c r="BE291" s="528">
        <f t="shared" si="852"/>
        <v>7.6166568518478001E-3</v>
      </c>
      <c r="BF291" s="528">
        <f t="shared" si="804"/>
        <v>1.2414477582955399</v>
      </c>
      <c r="BG291" s="528">
        <f t="shared" si="805"/>
        <v>0.48234883319097882</v>
      </c>
      <c r="BH291" s="528">
        <f t="shared" si="853"/>
        <v>1.0128727247744569</v>
      </c>
      <c r="BI291">
        <f t="shared" si="854"/>
        <v>2.6963599370924282E-2</v>
      </c>
      <c r="BJ291" s="460">
        <f t="shared" si="855"/>
        <v>509.31243256190305</v>
      </c>
      <c r="BK291">
        <f t="shared" si="806"/>
        <v>2.2680982547562336</v>
      </c>
      <c r="BL291" s="460">
        <f t="shared" si="856"/>
        <v>2771.2495724837481</v>
      </c>
      <c r="BM291" s="173">
        <f t="shared" si="807"/>
        <v>0.46593749999999989</v>
      </c>
      <c r="BN291" s="173">
        <f t="shared" si="808"/>
        <v>8.3203124999999989E-2</v>
      </c>
      <c r="BQ291" s="460">
        <f t="shared" si="857"/>
        <v>549.14062499999989</v>
      </c>
      <c r="BR291" s="528">
        <f t="shared" si="858"/>
        <v>1.1424985277771698E-2</v>
      </c>
      <c r="BS291" s="528">
        <f t="shared" si="859"/>
        <v>5.2860729007942586E-2</v>
      </c>
      <c r="BT291" s="528">
        <f t="shared" si="860"/>
        <v>5.3136997956405375E-4</v>
      </c>
      <c r="BU291" s="528">
        <f t="shared" si="861"/>
        <v>1.1729600141822596</v>
      </c>
      <c r="BV291" s="528"/>
      <c r="BW291" s="625">
        <f t="shared" si="862"/>
        <v>1.125E-2</v>
      </c>
      <c r="BX291" s="460">
        <f t="shared" si="863"/>
        <v>1249.027098447538</v>
      </c>
      <c r="BY291" s="173">
        <f t="shared" si="864"/>
        <v>4.5694172959312862</v>
      </c>
      <c r="BZ291" s="5">
        <f t="shared" si="865"/>
        <v>13.5</v>
      </c>
      <c r="CA291" s="173">
        <f t="shared" si="866"/>
        <v>0.74711872435641913</v>
      </c>
      <c r="CB291" s="5">
        <f t="shared" si="867"/>
        <v>74.711872435641908</v>
      </c>
      <c r="CC291">
        <f t="shared" si="868"/>
        <v>75</v>
      </c>
      <c r="CE291" s="562">
        <f t="shared" si="809"/>
        <v>-50</v>
      </c>
      <c r="CG291" s="173">
        <f t="shared" si="810"/>
        <v>0.62749501990055667</v>
      </c>
      <c r="CH291" s="173">
        <f t="shared" si="811"/>
        <v>0.22583837495365303</v>
      </c>
      <c r="CI291" s="170">
        <v>75</v>
      </c>
      <c r="CJ291" s="217">
        <f t="shared" si="869"/>
        <v>0.75</v>
      </c>
      <c r="CK291" s="217">
        <f t="shared" si="812"/>
        <v>0.1875</v>
      </c>
      <c r="CL291" s="217">
        <f t="shared" si="813"/>
        <v>12</v>
      </c>
      <c r="CM291" s="217">
        <f t="shared" si="814"/>
        <v>1.5</v>
      </c>
      <c r="CN291" s="541">
        <f t="shared" si="815"/>
        <v>60</v>
      </c>
      <c r="CO291" s="443">
        <f t="shared" si="816"/>
        <v>16.7</v>
      </c>
      <c r="CP291" s="443">
        <f t="shared" si="817"/>
        <v>76.7</v>
      </c>
      <c r="CQ291" s="443"/>
      <c r="CR291" s="217">
        <f t="shared" si="818"/>
        <v>0.21465968586387432</v>
      </c>
      <c r="CS291" s="172">
        <f t="shared" si="819"/>
        <v>28.621291448516576</v>
      </c>
      <c r="CT291" s="172">
        <f t="shared" si="820"/>
        <v>4.0248691099476437</v>
      </c>
      <c r="CU291" s="217">
        <f t="shared" si="821"/>
        <v>1.788830715532286</v>
      </c>
      <c r="CV291" s="217">
        <f t="shared" si="822"/>
        <v>3.577661431064572</v>
      </c>
      <c r="CW291" s="217">
        <f t="shared" si="823"/>
        <v>16</v>
      </c>
      <c r="CX291" s="217">
        <f t="shared" si="824"/>
        <v>2.0963414634146345</v>
      </c>
      <c r="CY291" s="217">
        <f t="shared" si="825"/>
        <v>0.41926829268292692</v>
      </c>
      <c r="CZ291" s="217">
        <f t="shared" si="826"/>
        <v>1.5063531473638092</v>
      </c>
      <c r="DA291" s="197">
        <f t="shared" si="827"/>
        <v>350</v>
      </c>
      <c r="DB291" s="443">
        <f t="shared" si="828"/>
        <v>350</v>
      </c>
      <c r="DD291" s="217">
        <f t="shared" si="829"/>
        <v>3.1104488731607378</v>
      </c>
      <c r="DE291" s="173">
        <f t="shared" si="830"/>
        <v>2.23505308251071</v>
      </c>
      <c r="DF291" s="173">
        <f t="shared" si="831"/>
        <v>1.0814250754144243</v>
      </c>
      <c r="DG291" s="173"/>
      <c r="DH291" s="173">
        <f t="shared" si="832"/>
        <v>0.71856287425149712</v>
      </c>
      <c r="DI291" s="545">
        <f t="shared" si="833"/>
        <v>2087.4999999999995</v>
      </c>
      <c r="DJ291" s="528">
        <f t="shared" si="834"/>
        <v>0.125748502994012</v>
      </c>
      <c r="DL291" s="173">
        <f t="shared" si="835"/>
        <v>2.5354627641855494</v>
      </c>
      <c r="DM291" s="173">
        <f t="shared" si="836"/>
        <v>2.5354627641855494</v>
      </c>
      <c r="DN291" s="173">
        <f t="shared" si="837"/>
        <v>2.3373798253226292</v>
      </c>
      <c r="DP291" s="545">
        <f t="shared" si="838"/>
        <v>750</v>
      </c>
      <c r="DQ291" s="460">
        <f t="shared" si="839"/>
        <v>350</v>
      </c>
      <c r="DS291">
        <f t="shared" si="840"/>
        <v>750</v>
      </c>
      <c r="DT291">
        <f t="shared" si="841"/>
        <v>350</v>
      </c>
      <c r="DV291" s="5">
        <f t="shared" si="870"/>
        <v>2.8571428571428572</v>
      </c>
      <c r="DW291" s="5">
        <f t="shared" si="842"/>
        <v>0.50709255283710997</v>
      </c>
      <c r="DX291" s="5">
        <f t="shared" si="843"/>
        <v>2.3500503043057472</v>
      </c>
      <c r="DY291" s="173">
        <f t="shared" si="844"/>
        <v>0.17748239349298847</v>
      </c>
      <c r="EA291" s="5">
        <f t="shared" si="871"/>
        <v>2.3769963414239532</v>
      </c>
      <c r="EB291" s="5">
        <f t="shared" si="872"/>
        <v>1.1884981707119766</v>
      </c>
      <c r="EC291" s="5">
        <f t="shared" si="873"/>
        <v>0.39167505071762454</v>
      </c>
      <c r="ED291" s="5"/>
      <c r="EE291" s="173">
        <f t="shared" si="874"/>
        <v>0.61670042535077951</v>
      </c>
      <c r="EF291" s="173">
        <f t="shared" si="875"/>
        <v>1.3276060139323373</v>
      </c>
      <c r="EG291" s="173">
        <f t="shared" si="876"/>
        <v>0.32604441812750051</v>
      </c>
      <c r="EH291" s="173"/>
      <c r="EI291" s="528">
        <f t="shared" si="877"/>
        <v>7.6063882925566477E-3</v>
      </c>
      <c r="EJ291" s="528">
        <f t="shared" si="878"/>
        <v>1.2932254601866608</v>
      </c>
      <c r="EK291" s="528">
        <f t="shared" si="879"/>
        <v>4.0250000000000001E-2</v>
      </c>
      <c r="EL291" s="528">
        <f t="shared" si="880"/>
        <v>1.0140631637499999</v>
      </c>
      <c r="EM291">
        <f t="shared" si="881"/>
        <v>2.7E-2</v>
      </c>
      <c r="EN291" s="460">
        <f t="shared" si="882"/>
        <v>67.25</v>
      </c>
      <c r="EP291" s="460">
        <f t="shared" si="883"/>
        <v>2382.1450122292172</v>
      </c>
      <c r="EQ291" s="173">
        <f t="shared" si="884"/>
        <v>0.52499999999999991</v>
      </c>
      <c r="ER291" s="173">
        <f t="shared" si="845"/>
        <v>8.3203124999999989E-2</v>
      </c>
      <c r="ES291" s="528"/>
      <c r="EU291" s="460">
        <f t="shared" si="885"/>
        <v>608.203125</v>
      </c>
      <c r="EV291" s="528">
        <f t="shared" si="886"/>
        <v>1.140958243883497E-2</v>
      </c>
      <c r="EW291" s="528">
        <f t="shared" si="887"/>
        <v>5.2876131846879282E-2</v>
      </c>
      <c r="EX291" s="528">
        <f t="shared" si="888"/>
        <v>5.3152481296050199E-4</v>
      </c>
      <c r="EY291" s="528">
        <f t="shared" si="889"/>
        <v>1.1729600141822596</v>
      </c>
      <c r="EZ291" s="528"/>
      <c r="FA291" s="625">
        <f t="shared" si="890"/>
        <v>1.125E-2</v>
      </c>
      <c r="FB291" s="460">
        <f t="shared" si="891"/>
        <v>1249.0272532809342</v>
      </c>
      <c r="FC291" s="173">
        <f t="shared" si="892"/>
        <v>4.2393753905101512</v>
      </c>
      <c r="FD291" s="5">
        <f t="shared" si="893"/>
        <v>13.5</v>
      </c>
      <c r="FE291" s="173">
        <f t="shared" si="894"/>
        <v>0.76101890302304298</v>
      </c>
      <c r="FF291" s="5">
        <f t="shared" si="895"/>
        <v>76.101890302304298</v>
      </c>
      <c r="FG291">
        <f t="shared" si="896"/>
        <v>75</v>
      </c>
      <c r="FI291" s="562">
        <f t="shared" si="846"/>
        <v>-50</v>
      </c>
    </row>
    <row r="292" spans="5:165">
      <c r="E292" s="170">
        <v>76</v>
      </c>
      <c r="F292" s="217">
        <f t="shared" si="847"/>
        <v>0.76</v>
      </c>
      <c r="G292" s="217">
        <f t="shared" si="775"/>
        <v>0.19</v>
      </c>
      <c r="H292" s="217">
        <f t="shared" si="776"/>
        <v>12.16</v>
      </c>
      <c r="I292" s="217">
        <f t="shared" si="777"/>
        <v>1.52</v>
      </c>
      <c r="J292" s="541">
        <f t="shared" si="778"/>
        <v>59.918572230263294</v>
      </c>
      <c r="K292" s="443">
        <f t="shared" si="779"/>
        <v>16.736095112451093</v>
      </c>
      <c r="L292" s="172">
        <f t="shared" si="780"/>
        <v>76.65466734271439</v>
      </c>
      <c r="M292" s="443"/>
      <c r="N292" s="217">
        <f t="shared" si="781"/>
        <v>0.21833106440376154</v>
      </c>
      <c r="O292" s="172">
        <f t="shared" si="782"/>
        <v>29.071301450193452</v>
      </c>
      <c r="P292" s="172">
        <f t="shared" si="783"/>
        <v>4.0881517664334543</v>
      </c>
      <c r="Q292" s="217">
        <f t="shared" si="784"/>
        <v>1.8169563406370908</v>
      </c>
      <c r="R292" s="217">
        <f t="shared" si="785"/>
        <v>3.6339126812741815</v>
      </c>
      <c r="S292" s="217">
        <f t="shared" si="786"/>
        <v>16</v>
      </c>
      <c r="T292" s="217">
        <f t="shared" si="787"/>
        <v>2.0914096365505306</v>
      </c>
      <c r="U292" s="217">
        <f t="shared" si="788"/>
        <v>0.41885036148993177</v>
      </c>
      <c r="V292" s="217">
        <f t="shared" si="789"/>
        <v>1.4995681770435867</v>
      </c>
      <c r="W292" s="197">
        <f t="shared" si="790"/>
        <v>350</v>
      </c>
      <c r="X292" s="443">
        <f t="shared" si="848"/>
        <v>350</v>
      </c>
      <c r="Z292" s="217">
        <f t="shared" si="791"/>
        <v>3.1147822982350126</v>
      </c>
      <c r="AA292" s="173">
        <f t="shared" si="792"/>
        <v>2.2333398159892521</v>
      </c>
      <c r="AB292" s="173">
        <f t="shared" si="793"/>
        <v>1.0821015838557186</v>
      </c>
      <c r="AC292" s="173"/>
      <c r="AD292" s="173">
        <f t="shared" si="794"/>
        <v>0.71701313355182861</v>
      </c>
      <c r="AE292" s="545">
        <f t="shared" si="795"/>
        <v>2119.9053809104716</v>
      </c>
      <c r="AF292" s="528">
        <f t="shared" si="796"/>
        <v>0.12547729837156998</v>
      </c>
      <c r="AH292" s="173">
        <f t="shared" si="797"/>
        <v>2.5523098781859765</v>
      </c>
      <c r="AI292" s="173">
        <f t="shared" si="798"/>
        <v>2.5523098781859765</v>
      </c>
      <c r="AJ292" s="173">
        <f t="shared" si="799"/>
        <v>2.349859169026649</v>
      </c>
      <c r="AL292" s="545">
        <f t="shared" si="800"/>
        <v>760</v>
      </c>
      <c r="AM292" s="460">
        <f t="shared" si="801"/>
        <v>350</v>
      </c>
      <c r="AO292">
        <f t="shared" si="802"/>
        <v>760</v>
      </c>
      <c r="AP292">
        <f t="shared" si="803"/>
        <v>350</v>
      </c>
      <c r="AR292" s="5">
        <f t="shared" si="774"/>
        <v>2.8571428571428572</v>
      </c>
      <c r="AS292" s="5">
        <f t="shared" si="739"/>
        <v>0.51115568008749157</v>
      </c>
      <c r="AT292" s="5">
        <f t="shared" si="740"/>
        <v>2.3459871770553655</v>
      </c>
      <c r="AU292" s="173">
        <f t="shared" si="741"/>
        <v>0.17890448803062203</v>
      </c>
      <c r="BA292" s="173">
        <f t="shared" si="849"/>
        <v>0.62328028756450626</v>
      </c>
      <c r="BB292" s="173">
        <f t="shared" si="850"/>
        <v>1.3352716032935315</v>
      </c>
      <c r="BC292" s="173">
        <f t="shared" si="851"/>
        <v>0.32792699669120551</v>
      </c>
      <c r="BD292" s="173"/>
      <c r="BE292" s="528">
        <f t="shared" si="852"/>
        <v>7.7695663373298727E-3</v>
      </c>
      <c r="BF292" s="528">
        <f t="shared" si="804"/>
        <v>1.249691793066019</v>
      </c>
      <c r="BG292" s="528">
        <f t="shared" si="805"/>
        <v>0.48234450645361948</v>
      </c>
      <c r="BH292" s="528">
        <f t="shared" si="853"/>
        <v>1.0128648171321526</v>
      </c>
      <c r="BI292">
        <f t="shared" si="854"/>
        <v>2.6963357503618481E-2</v>
      </c>
      <c r="BJ292" s="460">
        <f t="shared" si="855"/>
        <v>509.30786395723794</v>
      </c>
      <c r="BK292">
        <f t="shared" si="806"/>
        <v>2.2766267238464288</v>
      </c>
      <c r="BL292" s="460">
        <f t="shared" si="856"/>
        <v>2779.6340404927396</v>
      </c>
      <c r="BM292" s="173">
        <f t="shared" si="807"/>
        <v>0.4721499999999999</v>
      </c>
      <c r="BN292" s="173">
        <f t="shared" si="808"/>
        <v>8.4312499999999999E-2</v>
      </c>
      <c r="BQ292" s="460">
        <f t="shared" si="857"/>
        <v>556.46249999999986</v>
      </c>
      <c r="BR292" s="528">
        <f t="shared" si="858"/>
        <v>1.1654349505994808E-2</v>
      </c>
      <c r="BS292" s="528">
        <f t="shared" si="859"/>
        <v>5.3488507636862338E-2</v>
      </c>
      <c r="BT292" s="528">
        <f t="shared" si="860"/>
        <v>5.3768057579456959E-4</v>
      </c>
      <c r="BU292" s="528">
        <f t="shared" si="861"/>
        <v>1.1925418219961073</v>
      </c>
      <c r="BV292" s="528"/>
      <c r="BW292" s="625">
        <f t="shared" si="862"/>
        <v>1.14E-2</v>
      </c>
      <c r="BX292" s="460">
        <f t="shared" si="863"/>
        <v>1269.6223597147591</v>
      </c>
      <c r="BY292" s="173">
        <f t="shared" si="864"/>
        <v>4.6057189002074983</v>
      </c>
      <c r="BZ292" s="5">
        <f t="shared" si="865"/>
        <v>13.68</v>
      </c>
      <c r="CA292" s="173">
        <f t="shared" si="866"/>
        <v>0.74812481120689023</v>
      </c>
      <c r="CB292" s="5">
        <f t="shared" si="867"/>
        <v>74.812481120689029</v>
      </c>
      <c r="CC292">
        <f t="shared" si="868"/>
        <v>76</v>
      </c>
      <c r="CE292" s="562">
        <f t="shared" si="809"/>
        <v>-50</v>
      </c>
      <c r="CG292" s="173">
        <f t="shared" si="810"/>
        <v>0.63166446789415032</v>
      </c>
      <c r="CH292" s="173">
        <f t="shared" si="811"/>
        <v>0.22733897867075689</v>
      </c>
      <c r="CI292" s="170">
        <v>76</v>
      </c>
      <c r="CJ292" s="217">
        <f t="shared" si="869"/>
        <v>0.76</v>
      </c>
      <c r="CK292" s="217">
        <f t="shared" si="812"/>
        <v>0.19</v>
      </c>
      <c r="CL292" s="217">
        <f t="shared" si="813"/>
        <v>12.16</v>
      </c>
      <c r="CM292" s="217">
        <f t="shared" si="814"/>
        <v>1.52</v>
      </c>
      <c r="CN292" s="541">
        <f t="shared" si="815"/>
        <v>60</v>
      </c>
      <c r="CO292" s="443">
        <f t="shared" si="816"/>
        <v>16.7</v>
      </c>
      <c r="CP292" s="443">
        <f t="shared" si="817"/>
        <v>76.7</v>
      </c>
      <c r="CQ292" s="443"/>
      <c r="CR292" s="217">
        <f t="shared" si="818"/>
        <v>0.21465968586387432</v>
      </c>
      <c r="CS292" s="172">
        <f t="shared" si="819"/>
        <v>28.621291448516576</v>
      </c>
      <c r="CT292" s="172">
        <f t="shared" si="820"/>
        <v>4.0248691099476437</v>
      </c>
      <c r="CU292" s="217">
        <f t="shared" si="821"/>
        <v>1.788830715532286</v>
      </c>
      <c r="CV292" s="217">
        <f t="shared" si="822"/>
        <v>3.577661431064572</v>
      </c>
      <c r="CW292" s="217">
        <f t="shared" si="823"/>
        <v>16</v>
      </c>
      <c r="CX292" s="217">
        <f t="shared" si="824"/>
        <v>2.1242926829268294</v>
      </c>
      <c r="CY292" s="217">
        <f t="shared" si="825"/>
        <v>0.42485853658536588</v>
      </c>
      <c r="CZ292" s="217">
        <f t="shared" si="826"/>
        <v>1.5264378559953264</v>
      </c>
      <c r="DA292" s="197">
        <f t="shared" si="827"/>
        <v>350</v>
      </c>
      <c r="DB292" s="443">
        <f t="shared" si="828"/>
        <v>350</v>
      </c>
      <c r="DD292" s="217">
        <f t="shared" si="829"/>
        <v>3.1104488731607378</v>
      </c>
      <c r="DE292" s="173">
        <f t="shared" si="830"/>
        <v>2.23505308251071</v>
      </c>
      <c r="DF292" s="173">
        <f t="shared" si="831"/>
        <v>1.0814250754144243</v>
      </c>
      <c r="DG292" s="173"/>
      <c r="DH292" s="173">
        <f t="shared" si="832"/>
        <v>0.71856287425149712</v>
      </c>
      <c r="DI292" s="545">
        <f t="shared" si="833"/>
        <v>2115.333333333333</v>
      </c>
      <c r="DJ292" s="528">
        <f t="shared" si="834"/>
        <v>0.125748502994012</v>
      </c>
      <c r="DL292" s="173">
        <f t="shared" si="835"/>
        <v>2.5523098781859765</v>
      </c>
      <c r="DM292" s="173">
        <f t="shared" si="836"/>
        <v>2.5523098781859765</v>
      </c>
      <c r="DN292" s="173">
        <f t="shared" si="837"/>
        <v>2.349859169026649</v>
      </c>
      <c r="DP292" s="545">
        <f t="shared" si="838"/>
        <v>760</v>
      </c>
      <c r="DQ292" s="460">
        <f t="shared" si="839"/>
        <v>350</v>
      </c>
      <c r="DS292">
        <f t="shared" si="840"/>
        <v>760</v>
      </c>
      <c r="DT292">
        <f t="shared" si="841"/>
        <v>350</v>
      </c>
      <c r="DV292" s="5">
        <f t="shared" si="870"/>
        <v>2.8571428571428572</v>
      </c>
      <c r="DW292" s="5">
        <f t="shared" si="842"/>
        <v>0.51046197563719531</v>
      </c>
      <c r="DX292" s="5">
        <f t="shared" si="843"/>
        <v>2.3466808815056619</v>
      </c>
      <c r="DY292" s="173">
        <f t="shared" si="844"/>
        <v>0.17866169147301836</v>
      </c>
      <c r="EA292" s="5">
        <f t="shared" si="871"/>
        <v>2.4246943842766777</v>
      </c>
      <c r="EB292" s="5">
        <f t="shared" si="872"/>
        <v>1.2123471921383389</v>
      </c>
      <c r="EC292" s="5">
        <f t="shared" si="873"/>
        <v>0.39632832665428946</v>
      </c>
      <c r="ED292" s="5"/>
      <c r="EE292" s="173">
        <f t="shared" si="874"/>
        <v>0.62285720794116883</v>
      </c>
      <c r="EF292" s="173">
        <f t="shared" si="875"/>
        <v>1.3354690074817546</v>
      </c>
      <c r="EG292" s="173">
        <f t="shared" si="876"/>
        <v>0.32797547683743089</v>
      </c>
      <c r="EH292" s="173"/>
      <c r="EI292" s="528">
        <f t="shared" si="877"/>
        <v>7.7590220296853687E-3</v>
      </c>
      <c r="EJ292" s="528">
        <f t="shared" si="878"/>
        <v>1.3018184149181484</v>
      </c>
      <c r="EK292" s="528">
        <f t="shared" si="879"/>
        <v>4.0250000000000001E-2</v>
      </c>
      <c r="EL292" s="528">
        <f t="shared" si="880"/>
        <v>1.0140631637499999</v>
      </c>
      <c r="EM292">
        <f t="shared" si="881"/>
        <v>2.7E-2</v>
      </c>
      <c r="EN292" s="460">
        <f t="shared" si="882"/>
        <v>67.25</v>
      </c>
      <c r="EP292" s="460">
        <f t="shared" si="883"/>
        <v>2390.8906006978336</v>
      </c>
      <c r="EQ292" s="173">
        <f t="shared" si="884"/>
        <v>0.53199999999999992</v>
      </c>
      <c r="ER292" s="173">
        <f t="shared" si="845"/>
        <v>8.4312499999999999E-2</v>
      </c>
      <c r="ES292" s="528"/>
      <c r="EU292" s="460">
        <f t="shared" si="885"/>
        <v>616.31249999999989</v>
      </c>
      <c r="EV292" s="528">
        <f t="shared" si="886"/>
        <v>1.1638533044528053E-2</v>
      </c>
      <c r="EW292" s="528">
        <f t="shared" si="887"/>
        <v>5.3504324098329073E-2</v>
      </c>
      <c r="EX292" s="528">
        <f t="shared" si="888"/>
        <v>5.3783956703370083E-4</v>
      </c>
      <c r="EY292" s="528">
        <f t="shared" si="889"/>
        <v>1.1925418219961073</v>
      </c>
      <c r="EZ292" s="528"/>
      <c r="FA292" s="625">
        <f t="shared" si="890"/>
        <v>1.14E-2</v>
      </c>
      <c r="FB292" s="460">
        <f t="shared" si="891"/>
        <v>1269.6225187059981</v>
      </c>
      <c r="FC292" s="173">
        <f t="shared" si="892"/>
        <v>4.2768256194038319</v>
      </c>
      <c r="FD292" s="5">
        <f t="shared" si="893"/>
        <v>13.68</v>
      </c>
      <c r="FE292" s="173">
        <f t="shared" si="894"/>
        <v>0.76182730121395359</v>
      </c>
      <c r="FF292" s="5">
        <f t="shared" si="895"/>
        <v>76.182730121395366</v>
      </c>
      <c r="FG292">
        <f t="shared" si="896"/>
        <v>76</v>
      </c>
      <c r="FI292" s="562">
        <f t="shared" si="846"/>
        <v>-50</v>
      </c>
    </row>
    <row r="293" spans="5:165">
      <c r="E293" s="170">
        <v>77</v>
      </c>
      <c r="F293" s="217">
        <f t="shared" si="847"/>
        <v>0.77</v>
      </c>
      <c r="G293" s="217">
        <f t="shared" si="775"/>
        <v>0.1925</v>
      </c>
      <c r="H293" s="217">
        <f t="shared" si="776"/>
        <v>12.32</v>
      </c>
      <c r="I293" s="217">
        <f t="shared" si="777"/>
        <v>1.54</v>
      </c>
      <c r="J293" s="541">
        <f t="shared" si="778"/>
        <v>59.918038271953606</v>
      </c>
      <c r="K293" s="443">
        <f t="shared" si="779"/>
        <v>16.736331804249168</v>
      </c>
      <c r="L293" s="172">
        <f t="shared" si="780"/>
        <v>76.654370076202781</v>
      </c>
      <c r="M293" s="443"/>
      <c r="N293" s="217">
        <f t="shared" si="781"/>
        <v>0.21833499887366414</v>
      </c>
      <c r="O293" s="172">
        <f t="shared" si="782"/>
        <v>29.071566263598122</v>
      </c>
      <c r="P293" s="172">
        <f t="shared" si="783"/>
        <v>4.088189005818486</v>
      </c>
      <c r="Q293" s="217">
        <f t="shared" si="784"/>
        <v>1.8169728914748826</v>
      </c>
      <c r="R293" s="217">
        <f t="shared" si="785"/>
        <v>3.6339457829497652</v>
      </c>
      <c r="S293" s="217">
        <f t="shared" si="786"/>
        <v>16</v>
      </c>
      <c r="T293" s="217">
        <f t="shared" si="787"/>
        <v>2.1189088830460525</v>
      </c>
      <c r="U293" s="217">
        <f t="shared" si="788"/>
        <v>0.42436146659451701</v>
      </c>
      <c r="V293" s="217">
        <f t="shared" si="789"/>
        <v>1.5192640116095824</v>
      </c>
      <c r="W293" s="197">
        <f t="shared" si="790"/>
        <v>350</v>
      </c>
      <c r="X293" s="443">
        <f t="shared" si="848"/>
        <v>350</v>
      </c>
      <c r="Z293" s="217">
        <f t="shared" si="791"/>
        <v>3.1148106710997991</v>
      </c>
      <c r="AA293" s="173">
        <f t="shared" si="792"/>
        <v>2.2333285746466736</v>
      </c>
      <c r="AB293" s="173">
        <f t="shared" si="793"/>
        <v>1.0821059941037985</v>
      </c>
      <c r="AC293" s="173"/>
      <c r="AD293" s="173">
        <f t="shared" si="794"/>
        <v>0.71700299326960837</v>
      </c>
      <c r="AE293" s="545">
        <f t="shared" si="795"/>
        <v>2147.8292482119764</v>
      </c>
      <c r="AF293" s="528">
        <f t="shared" si="796"/>
        <v>0.12547552382218147</v>
      </c>
      <c r="AH293" s="173">
        <f t="shared" si="797"/>
        <v>2.5690465157330258</v>
      </c>
      <c r="AI293" s="173">
        <f t="shared" si="798"/>
        <v>2.5690465157330258</v>
      </c>
      <c r="AJ293" s="173">
        <f t="shared" si="799"/>
        <v>2.3622566783207599</v>
      </c>
      <c r="AL293" s="545">
        <f t="shared" si="800"/>
        <v>770</v>
      </c>
      <c r="AM293" s="460">
        <f t="shared" si="801"/>
        <v>350</v>
      </c>
      <c r="AO293">
        <f t="shared" si="802"/>
        <v>770</v>
      </c>
      <c r="AP293">
        <f t="shared" si="803"/>
        <v>350</v>
      </c>
      <c r="AR293" s="5">
        <f t="shared" si="774"/>
        <v>2.8571428571428572</v>
      </c>
      <c r="AS293" s="5">
        <f t="shared" si="739"/>
        <v>0.51451214155031044</v>
      </c>
      <c r="AT293" s="5">
        <f t="shared" si="740"/>
        <v>2.3426307155925468</v>
      </c>
      <c r="AU293" s="173">
        <f t="shared" si="741"/>
        <v>0.18007924954260865</v>
      </c>
      <c r="BA293" s="173">
        <f t="shared" si="849"/>
        <v>0.62942382302685285</v>
      </c>
      <c r="BB293" s="173">
        <f t="shared" si="850"/>
        <v>1.3430657657040703</v>
      </c>
      <c r="BC293" s="173">
        <f t="shared" si="851"/>
        <v>0.32984115128320546</v>
      </c>
      <c r="BD293" s="173"/>
      <c r="BE293" s="528">
        <f t="shared" si="852"/>
        <v>7.9234869798747807E-3</v>
      </c>
      <c r="BF293" s="528">
        <f t="shared" si="804"/>
        <v>1.2578817030743639</v>
      </c>
      <c r="BG293" s="528">
        <f t="shared" si="805"/>
        <v>0.48234020808922651</v>
      </c>
      <c r="BH293" s="528">
        <f t="shared" si="853"/>
        <v>1.012856961375483</v>
      </c>
      <c r="BI293">
        <f t="shared" si="854"/>
        <v>2.696311722237912E-2</v>
      </c>
      <c r="BJ293" s="460">
        <f t="shared" si="855"/>
        <v>509.30332531160559</v>
      </c>
      <c r="BK293">
        <f t="shared" si="806"/>
        <v>2.2851034755766961</v>
      </c>
      <c r="BL293" s="460">
        <f t="shared" si="856"/>
        <v>2787.9654767413276</v>
      </c>
      <c r="BM293" s="173">
        <f t="shared" si="807"/>
        <v>0.47836249999999991</v>
      </c>
      <c r="BN293" s="173">
        <f t="shared" si="808"/>
        <v>8.5421874999999994E-2</v>
      </c>
      <c r="BQ293" s="460">
        <f t="shared" si="857"/>
        <v>563.78437499999984</v>
      </c>
      <c r="BR293" s="528">
        <f t="shared" si="858"/>
        <v>1.1885230469812168E-2</v>
      </c>
      <c r="BS293" s="528">
        <f t="shared" si="859"/>
        <v>5.4114769530187817E-2</v>
      </c>
      <c r="BT293" s="528">
        <f t="shared" si="860"/>
        <v>5.439759253991522E-4</v>
      </c>
      <c r="BU293" s="528">
        <f t="shared" si="861"/>
        <v>1.2121881513433173</v>
      </c>
      <c r="BV293" s="528"/>
      <c r="BW293" s="625">
        <f t="shared" si="862"/>
        <v>1.155E-2</v>
      </c>
      <c r="BX293" s="460">
        <f t="shared" si="863"/>
        <v>1290.2821272687163</v>
      </c>
      <c r="BY293" s="173">
        <f t="shared" si="864"/>
        <v>4.6420319790100439</v>
      </c>
      <c r="BZ293" s="5">
        <f t="shared" si="865"/>
        <v>13.86</v>
      </c>
      <c r="CA293" s="173">
        <f t="shared" si="866"/>
        <v>0.74910690975584315</v>
      </c>
      <c r="CB293" s="5">
        <f t="shared" si="867"/>
        <v>74.910690975584316</v>
      </c>
      <c r="CC293">
        <f t="shared" si="868"/>
        <v>77</v>
      </c>
      <c r="CE293" s="562">
        <f t="shared" si="809"/>
        <v>-50</v>
      </c>
      <c r="CG293" s="173">
        <f t="shared" si="810"/>
        <v>0.63580657436047328</v>
      </c>
      <c r="CH293" s="173">
        <f t="shared" si="811"/>
        <v>0.22882974204508241</v>
      </c>
      <c r="CI293" s="170">
        <v>77</v>
      </c>
      <c r="CJ293" s="217">
        <f t="shared" si="869"/>
        <v>0.77</v>
      </c>
      <c r="CK293" s="217">
        <f t="shared" si="812"/>
        <v>0.1925</v>
      </c>
      <c r="CL293" s="217">
        <f t="shared" si="813"/>
        <v>12.32</v>
      </c>
      <c r="CM293" s="217">
        <f t="shared" si="814"/>
        <v>1.54</v>
      </c>
      <c r="CN293" s="541">
        <f t="shared" si="815"/>
        <v>60</v>
      </c>
      <c r="CO293" s="443">
        <f t="shared" si="816"/>
        <v>16.7</v>
      </c>
      <c r="CP293" s="443">
        <f t="shared" si="817"/>
        <v>76.7</v>
      </c>
      <c r="CQ293" s="443"/>
      <c r="CR293" s="217">
        <f t="shared" si="818"/>
        <v>0.21465968586387432</v>
      </c>
      <c r="CS293" s="172">
        <f t="shared" si="819"/>
        <v>28.621291448516576</v>
      </c>
      <c r="CT293" s="172">
        <f t="shared" si="820"/>
        <v>4.0248691099476437</v>
      </c>
      <c r="CU293" s="217">
        <f t="shared" si="821"/>
        <v>1.788830715532286</v>
      </c>
      <c r="CV293" s="217">
        <f t="shared" si="822"/>
        <v>3.577661431064572</v>
      </c>
      <c r="CW293" s="217">
        <f t="shared" si="823"/>
        <v>16</v>
      </c>
      <c r="CX293" s="217">
        <f t="shared" si="824"/>
        <v>2.1522439024390243</v>
      </c>
      <c r="CY293" s="217">
        <f t="shared" si="825"/>
        <v>0.43044878048780488</v>
      </c>
      <c r="CZ293" s="217">
        <f t="shared" si="826"/>
        <v>1.5465225646268439</v>
      </c>
      <c r="DA293" s="197">
        <f t="shared" si="827"/>
        <v>350</v>
      </c>
      <c r="DB293" s="443">
        <f t="shared" si="828"/>
        <v>350</v>
      </c>
      <c r="DD293" s="217">
        <f t="shared" si="829"/>
        <v>3.1104488731607378</v>
      </c>
      <c r="DE293" s="173">
        <f t="shared" si="830"/>
        <v>2.23505308251071</v>
      </c>
      <c r="DF293" s="173">
        <f t="shared" si="831"/>
        <v>1.0814250754144243</v>
      </c>
      <c r="DG293" s="173"/>
      <c r="DH293" s="173">
        <f t="shared" si="832"/>
        <v>0.71856287425149712</v>
      </c>
      <c r="DI293" s="545">
        <f t="shared" si="833"/>
        <v>2143.1666666666665</v>
      </c>
      <c r="DJ293" s="528">
        <f t="shared" si="834"/>
        <v>0.125748502994012</v>
      </c>
      <c r="DL293" s="173">
        <f t="shared" si="835"/>
        <v>2.5690465157330258</v>
      </c>
      <c r="DM293" s="173">
        <f t="shared" si="836"/>
        <v>2.5690465157330258</v>
      </c>
      <c r="DN293" s="173">
        <f t="shared" si="837"/>
        <v>2.3622566783207599</v>
      </c>
      <c r="DP293" s="545">
        <f t="shared" si="838"/>
        <v>770</v>
      </c>
      <c r="DQ293" s="460">
        <f t="shared" si="839"/>
        <v>350</v>
      </c>
      <c r="DS293">
        <f t="shared" si="840"/>
        <v>770</v>
      </c>
      <c r="DT293">
        <f t="shared" si="841"/>
        <v>350</v>
      </c>
      <c r="DV293" s="5">
        <f t="shared" si="870"/>
        <v>2.8571428571428572</v>
      </c>
      <c r="DW293" s="5">
        <f t="shared" si="842"/>
        <v>0.51380930314660511</v>
      </c>
      <c r="DX293" s="5">
        <f t="shared" si="843"/>
        <v>2.3433335539962519</v>
      </c>
      <c r="DY293" s="173">
        <f t="shared" si="844"/>
        <v>0.17983325610131179</v>
      </c>
      <c r="EA293" s="5">
        <f t="shared" si="871"/>
        <v>2.4727072713930371</v>
      </c>
      <c r="EB293" s="5">
        <f t="shared" si="872"/>
        <v>1.2363536356965186</v>
      </c>
      <c r="EC293" s="5">
        <f t="shared" si="873"/>
        <v>0.40097040812824752</v>
      </c>
      <c r="ED293" s="5"/>
      <c r="EE293" s="173">
        <f t="shared" si="874"/>
        <v>0.62899377057558037</v>
      </c>
      <c r="EF293" s="173">
        <f t="shared" si="875"/>
        <v>1.3432672245599957</v>
      </c>
      <c r="EG293" s="173">
        <f t="shared" si="876"/>
        <v>0.32989062720811657</v>
      </c>
      <c r="EH293" s="173"/>
      <c r="EI293" s="528">
        <f t="shared" si="877"/>
        <v>7.9126632684577165E-3</v>
      </c>
      <c r="EJ293" s="528">
        <f t="shared" si="878"/>
        <v>1.3103550205822088</v>
      </c>
      <c r="EK293" s="528">
        <f t="shared" si="879"/>
        <v>4.0250000000000001E-2</v>
      </c>
      <c r="EL293" s="528">
        <f t="shared" si="880"/>
        <v>1.0140631637499999</v>
      </c>
      <c r="EM293">
        <f t="shared" si="881"/>
        <v>2.7E-2</v>
      </c>
      <c r="EN293" s="460">
        <f t="shared" si="882"/>
        <v>67.25</v>
      </c>
      <c r="EP293" s="460">
        <f t="shared" si="883"/>
        <v>2399.5808476006664</v>
      </c>
      <c r="EQ293" s="173">
        <f t="shared" si="884"/>
        <v>0.53899999999999992</v>
      </c>
      <c r="ER293" s="173">
        <f t="shared" si="845"/>
        <v>8.5421874999999994E-2</v>
      </c>
      <c r="ES293" s="528"/>
      <c r="EU293" s="460">
        <f t="shared" si="885"/>
        <v>624.42187499999989</v>
      </c>
      <c r="EV293" s="528">
        <f t="shared" si="886"/>
        <v>1.1868994902686576E-2</v>
      </c>
      <c r="EW293" s="528">
        <f t="shared" si="887"/>
        <v>5.4131005097313417E-2</v>
      </c>
      <c r="EX293" s="528">
        <f t="shared" si="888"/>
        <v>5.4413912959882279E-4</v>
      </c>
      <c r="EY293" s="528">
        <f t="shared" si="889"/>
        <v>1.2121881513433173</v>
      </c>
      <c r="EZ293" s="528"/>
      <c r="FA293" s="625">
        <f t="shared" si="890"/>
        <v>1.155E-2</v>
      </c>
      <c r="FB293" s="460">
        <f t="shared" si="891"/>
        <v>1290.2822904729162</v>
      </c>
      <c r="FC293" s="173">
        <f t="shared" si="892"/>
        <v>4.3142850130735821</v>
      </c>
      <c r="FD293" s="5">
        <f t="shared" si="893"/>
        <v>13.86</v>
      </c>
      <c r="FE293" s="173">
        <f t="shared" si="894"/>
        <v>0.76261597031354333</v>
      </c>
      <c r="FF293" s="5">
        <f t="shared" si="895"/>
        <v>76.261597031354327</v>
      </c>
      <c r="FG293">
        <f t="shared" si="896"/>
        <v>77</v>
      </c>
      <c r="FI293" s="562">
        <f t="shared" si="846"/>
        <v>-50</v>
      </c>
    </row>
    <row r="294" spans="5:165">
      <c r="E294" s="170">
        <v>78</v>
      </c>
      <c r="F294" s="217">
        <f t="shared" si="847"/>
        <v>0.78</v>
      </c>
      <c r="G294" s="217">
        <f t="shared" si="775"/>
        <v>0.19500000000000001</v>
      </c>
      <c r="H294" s="217">
        <f t="shared" si="776"/>
        <v>12.48</v>
      </c>
      <c r="I294" s="217">
        <f t="shared" si="777"/>
        <v>1.56</v>
      </c>
      <c r="J294" s="541">
        <f t="shared" si="778"/>
        <v>59.917507769793716</v>
      </c>
      <c r="K294" s="443">
        <f t="shared" si="779"/>
        <v>16.736566964013203</v>
      </c>
      <c r="L294" s="172">
        <f t="shared" si="780"/>
        <v>76.654074733806922</v>
      </c>
      <c r="M294" s="443"/>
      <c r="N294" s="217">
        <f t="shared" si="781"/>
        <v>0.21833890790715965</v>
      </c>
      <c r="O294" s="172">
        <f t="shared" si="782"/>
        <v>29.071829357723363</v>
      </c>
      <c r="P294" s="172">
        <f t="shared" si="783"/>
        <v>4.0882260034298481</v>
      </c>
      <c r="Q294" s="217">
        <f t="shared" si="784"/>
        <v>1.8169893348577102</v>
      </c>
      <c r="R294" s="217">
        <f t="shared" si="785"/>
        <v>3.6339786697154204</v>
      </c>
      <c r="S294" s="217">
        <f t="shared" si="786"/>
        <v>16</v>
      </c>
      <c r="T294" s="217">
        <f t="shared" si="787"/>
        <v>2.1464077555003436</v>
      </c>
      <c r="U294" s="217">
        <f t="shared" si="788"/>
        <v>0.42987257021709735</v>
      </c>
      <c r="V294" s="217">
        <f t="shared" si="789"/>
        <v>1.5389591617794935</v>
      </c>
      <c r="W294" s="197">
        <f t="shared" si="790"/>
        <v>350</v>
      </c>
      <c r="X294" s="443">
        <f t="shared" si="848"/>
        <v>350</v>
      </c>
      <c r="Z294" s="217">
        <f t="shared" si="791"/>
        <v>3.1148388597560746</v>
      </c>
      <c r="AA294" s="173">
        <f t="shared" si="792"/>
        <v>2.2333174059795438</v>
      </c>
      <c r="AB294" s="173">
        <f t="shared" si="793"/>
        <v>1.0821103754711781</v>
      </c>
      <c r="AC294" s="173"/>
      <c r="AD294" s="173">
        <f t="shared" si="794"/>
        <v>0.71699291890638495</v>
      </c>
      <c r="AE294" s="545">
        <f t="shared" si="795"/>
        <v>2175.7537053217166</v>
      </c>
      <c r="AF294" s="528">
        <f t="shared" si="796"/>
        <v>0.12547376080861739</v>
      </c>
      <c r="AH294" s="173">
        <f t="shared" si="797"/>
        <v>2.585674822114004</v>
      </c>
      <c r="AI294" s="173">
        <f t="shared" si="798"/>
        <v>2.585674822114004</v>
      </c>
      <c r="AJ294" s="173">
        <f t="shared" si="799"/>
        <v>2.3745739423066694</v>
      </c>
      <c r="AL294" s="545">
        <f t="shared" si="800"/>
        <v>780</v>
      </c>
      <c r="AM294" s="460">
        <f t="shared" si="801"/>
        <v>350</v>
      </c>
      <c r="AO294">
        <f t="shared" si="802"/>
        <v>780</v>
      </c>
      <c r="AP294">
        <f t="shared" si="803"/>
        <v>350</v>
      </c>
      <c r="AR294" s="5">
        <f t="shared" si="774"/>
        <v>2.8571428571428572</v>
      </c>
      <c r="AS294" s="5">
        <f t="shared" si="739"/>
        <v>0.51784693690164263</v>
      </c>
      <c r="AT294" s="5">
        <f t="shared" si="740"/>
        <v>2.3392959202412147</v>
      </c>
      <c r="AU294" s="173">
        <f t="shared" si="741"/>
        <v>0.18124642791557491</v>
      </c>
      <c r="BA294" s="173">
        <f t="shared" si="849"/>
        <v>0.63554748900714042</v>
      </c>
      <c r="BB294" s="173">
        <f t="shared" si="850"/>
        <v>1.3507963642933556</v>
      </c>
      <c r="BC294" s="173">
        <f t="shared" si="851"/>
        <v>0.33173969534851527</v>
      </c>
      <c r="BD294" s="173"/>
      <c r="BE294" s="528">
        <f t="shared" si="852"/>
        <v>8.0784122156656261E-3</v>
      </c>
      <c r="BF294" s="528">
        <f t="shared" si="804"/>
        <v>1.266018539342413</v>
      </c>
      <c r="BG294" s="528">
        <f t="shared" si="805"/>
        <v>0.4823359375468394</v>
      </c>
      <c r="BH294" s="528">
        <f t="shared" si="853"/>
        <v>1.0128491564969078</v>
      </c>
      <c r="BI294">
        <f t="shared" si="854"/>
        <v>2.6962878496407171E-2</v>
      </c>
      <c r="BJ294" s="460">
        <f t="shared" si="855"/>
        <v>509.29881604324657</v>
      </c>
      <c r="BK294">
        <f t="shared" si="806"/>
        <v>2.2935295504811091</v>
      </c>
      <c r="BL294" s="460">
        <f t="shared" si="856"/>
        <v>2796.2449240982332</v>
      </c>
      <c r="BM294" s="173">
        <f t="shared" si="807"/>
        <v>0.48457499999999992</v>
      </c>
      <c r="BN294" s="173">
        <f t="shared" si="808"/>
        <v>8.6531250000000004E-2</v>
      </c>
      <c r="BQ294" s="460">
        <f t="shared" si="857"/>
        <v>571.10624999999993</v>
      </c>
      <c r="BR294" s="528">
        <f t="shared" si="858"/>
        <v>1.2117618323498438E-2</v>
      </c>
      <c r="BS294" s="528">
        <f t="shared" si="859"/>
        <v>5.4739524533644432E-2</v>
      </c>
      <c r="BT294" s="528">
        <f t="shared" si="860"/>
        <v>5.5025612734962862E-4</v>
      </c>
      <c r="BU294" s="528">
        <f t="shared" si="861"/>
        <v>1.2318983727103889</v>
      </c>
      <c r="BV294" s="528"/>
      <c r="BW294" s="625">
        <f t="shared" si="862"/>
        <v>1.17E-2</v>
      </c>
      <c r="BX294" s="460">
        <f t="shared" si="863"/>
        <v>1311.0057716948816</v>
      </c>
      <c r="BY294" s="173">
        <f t="shared" si="864"/>
        <v>4.6783569457931149</v>
      </c>
      <c r="BZ294" s="5">
        <f t="shared" si="865"/>
        <v>14.040000000000001</v>
      </c>
      <c r="CA294" s="173">
        <f t="shared" si="866"/>
        <v>0.75006583327044851</v>
      </c>
      <c r="CB294" s="5">
        <f t="shared" si="867"/>
        <v>75.006583327044851</v>
      </c>
      <c r="CC294">
        <f t="shared" si="868"/>
        <v>78</v>
      </c>
      <c r="CE294" s="562">
        <f t="shared" si="809"/>
        <v>-50</v>
      </c>
      <c r="CG294" s="173">
        <f t="shared" si="810"/>
        <v>0.6399218702310463</v>
      </c>
      <c r="CH294" s="173">
        <f t="shared" si="811"/>
        <v>0.23031085616135216</v>
      </c>
      <c r="CI294" s="170">
        <v>78</v>
      </c>
      <c r="CJ294" s="217">
        <f t="shared" si="869"/>
        <v>0.78</v>
      </c>
      <c r="CK294" s="217">
        <f t="shared" si="812"/>
        <v>0.19500000000000001</v>
      </c>
      <c r="CL294" s="217">
        <f t="shared" si="813"/>
        <v>12.48</v>
      </c>
      <c r="CM294" s="217">
        <f t="shared" si="814"/>
        <v>1.56</v>
      </c>
      <c r="CN294" s="541">
        <f t="shared" si="815"/>
        <v>60</v>
      </c>
      <c r="CO294" s="443">
        <f t="shared" si="816"/>
        <v>16.7</v>
      </c>
      <c r="CP294" s="443">
        <f t="shared" si="817"/>
        <v>76.7</v>
      </c>
      <c r="CQ294" s="443"/>
      <c r="CR294" s="217">
        <f t="shared" si="818"/>
        <v>0.21465968586387432</v>
      </c>
      <c r="CS294" s="172">
        <f t="shared" si="819"/>
        <v>28.621291448516576</v>
      </c>
      <c r="CT294" s="172">
        <f t="shared" si="820"/>
        <v>4.0248691099476437</v>
      </c>
      <c r="CU294" s="217">
        <f t="shared" si="821"/>
        <v>1.788830715532286</v>
      </c>
      <c r="CV294" s="217">
        <f t="shared" si="822"/>
        <v>3.577661431064572</v>
      </c>
      <c r="CW294" s="217">
        <f t="shared" si="823"/>
        <v>16</v>
      </c>
      <c r="CX294" s="217">
        <f t="shared" si="824"/>
        <v>2.1801951219512197</v>
      </c>
      <c r="CY294" s="217">
        <f t="shared" si="825"/>
        <v>0.43603902439024395</v>
      </c>
      <c r="CZ294" s="217">
        <f t="shared" si="826"/>
        <v>1.5666072732583616</v>
      </c>
      <c r="DA294" s="197">
        <f t="shared" si="827"/>
        <v>350</v>
      </c>
      <c r="DB294" s="443">
        <f t="shared" si="828"/>
        <v>350</v>
      </c>
      <c r="DD294" s="217">
        <f t="shared" si="829"/>
        <v>3.1104488731607378</v>
      </c>
      <c r="DE294" s="173">
        <f t="shared" si="830"/>
        <v>2.23505308251071</v>
      </c>
      <c r="DF294" s="173">
        <f t="shared" si="831"/>
        <v>1.0814250754144243</v>
      </c>
      <c r="DG294" s="173"/>
      <c r="DH294" s="173">
        <f t="shared" si="832"/>
        <v>0.71856287425149712</v>
      </c>
      <c r="DI294" s="545">
        <f t="shared" si="833"/>
        <v>2171</v>
      </c>
      <c r="DJ294" s="528">
        <f t="shared" si="834"/>
        <v>0.125748502994012</v>
      </c>
      <c r="DL294" s="173">
        <f t="shared" si="835"/>
        <v>2.585674822114004</v>
      </c>
      <c r="DM294" s="173">
        <f t="shared" si="836"/>
        <v>2.585674822114004</v>
      </c>
      <c r="DN294" s="173">
        <f t="shared" si="837"/>
        <v>2.3745739423066694</v>
      </c>
      <c r="DP294" s="545">
        <f t="shared" si="838"/>
        <v>780</v>
      </c>
      <c r="DQ294" s="460">
        <f t="shared" si="839"/>
        <v>350</v>
      </c>
      <c r="DS294">
        <f t="shared" si="840"/>
        <v>780</v>
      </c>
      <c r="DT294">
        <f t="shared" si="841"/>
        <v>350</v>
      </c>
      <c r="DV294" s="5">
        <f t="shared" si="870"/>
        <v>2.8571428571428572</v>
      </c>
      <c r="DW294" s="5">
        <f t="shared" si="842"/>
        <v>0.51713496442280082</v>
      </c>
      <c r="DX294" s="5">
        <f t="shared" si="843"/>
        <v>2.3400078927200565</v>
      </c>
      <c r="DY294" s="173">
        <f t="shared" si="844"/>
        <v>0.18099723754798028</v>
      </c>
      <c r="EA294" s="5">
        <f t="shared" si="871"/>
        <v>2.5210329515611538</v>
      </c>
      <c r="EB294" s="5">
        <f t="shared" si="872"/>
        <v>1.2605164757805769</v>
      </c>
      <c r="EC294" s="5">
        <f t="shared" si="873"/>
        <v>0.40560136807147645</v>
      </c>
      <c r="ED294" s="5"/>
      <c r="EE294" s="173">
        <f t="shared" si="874"/>
        <v>0.63511044098627811</v>
      </c>
      <c r="EF294" s="173">
        <f t="shared" si="875"/>
        <v>1.3510019083338276</v>
      </c>
      <c r="EG294" s="173">
        <f t="shared" si="876"/>
        <v>0.33179017454668996</v>
      </c>
      <c r="EH294" s="173"/>
      <c r="EI294" s="528">
        <f t="shared" si="877"/>
        <v>8.0673054449956934E-3</v>
      </c>
      <c r="EJ294" s="528">
        <f t="shared" si="878"/>
        <v>1.3188363713933584</v>
      </c>
      <c r="EK294" s="528">
        <f t="shared" si="879"/>
        <v>4.0250000000000001E-2</v>
      </c>
      <c r="EL294" s="528">
        <f t="shared" si="880"/>
        <v>1.0140631637499999</v>
      </c>
      <c r="EM294">
        <f t="shared" si="881"/>
        <v>2.7E-2</v>
      </c>
      <c r="EN294" s="460">
        <f t="shared" si="882"/>
        <v>67.25</v>
      </c>
      <c r="EP294" s="460">
        <f t="shared" si="883"/>
        <v>2408.216840588354</v>
      </c>
      <c r="EQ294" s="173">
        <f t="shared" si="884"/>
        <v>0.54599999999999993</v>
      </c>
      <c r="ER294" s="173">
        <f t="shared" si="845"/>
        <v>8.6531250000000004E-2</v>
      </c>
      <c r="ES294" s="528"/>
      <c r="EU294" s="460">
        <f t="shared" si="885"/>
        <v>632.53125</v>
      </c>
      <c r="EV294" s="528">
        <f t="shared" si="886"/>
        <v>1.2100958167493538E-2</v>
      </c>
      <c r="EW294" s="528">
        <f t="shared" si="887"/>
        <v>5.4756184689649316E-2</v>
      </c>
      <c r="EX294" s="528">
        <f t="shared" si="888"/>
        <v>5.5042359962861496E-4</v>
      </c>
      <c r="EY294" s="528">
        <f t="shared" si="889"/>
        <v>1.2318983727103889</v>
      </c>
      <c r="EZ294" s="528"/>
      <c r="FA294" s="625">
        <f t="shared" si="890"/>
        <v>1.17E-2</v>
      </c>
      <c r="FB294" s="460">
        <f t="shared" si="891"/>
        <v>1311.0059391671605</v>
      </c>
      <c r="FC294" s="173">
        <f t="shared" si="892"/>
        <v>4.3517540297555142</v>
      </c>
      <c r="FD294" s="5">
        <f t="shared" si="893"/>
        <v>14.040000000000001</v>
      </c>
      <c r="FE294" s="173">
        <f t="shared" si="894"/>
        <v>0.76338558993802708</v>
      </c>
      <c r="FF294" s="5">
        <f t="shared" si="895"/>
        <v>76.338558993802707</v>
      </c>
      <c r="FG294">
        <f t="shared" si="896"/>
        <v>78</v>
      </c>
      <c r="FI294" s="562">
        <f t="shared" si="846"/>
        <v>-50</v>
      </c>
    </row>
    <row r="295" spans="5:165">
      <c r="E295" s="170">
        <v>79</v>
      </c>
      <c r="F295" s="217">
        <f t="shared" si="847"/>
        <v>0.79</v>
      </c>
      <c r="G295" s="217">
        <f t="shared" si="775"/>
        <v>0.19750000000000001</v>
      </c>
      <c r="H295" s="217">
        <f t="shared" si="776"/>
        <v>12.64</v>
      </c>
      <c r="I295" s="217">
        <f t="shared" si="777"/>
        <v>1.58</v>
      </c>
      <c r="J295" s="541">
        <f t="shared" si="778"/>
        <v>59.916980657528114</v>
      </c>
      <c r="K295" s="443">
        <f t="shared" si="779"/>
        <v>16.736800621112771</v>
      </c>
      <c r="L295" s="172">
        <f t="shared" si="780"/>
        <v>76.653781278640878</v>
      </c>
      <c r="M295" s="443"/>
      <c r="N295" s="217">
        <f t="shared" si="781"/>
        <v>0.21834279199187243</v>
      </c>
      <c r="O295" s="172">
        <f t="shared" si="782"/>
        <v>29.07209076552823</v>
      </c>
      <c r="P295" s="172">
        <f t="shared" si="783"/>
        <v>4.0882627639024074</v>
      </c>
      <c r="Q295" s="217">
        <f t="shared" si="784"/>
        <v>1.8170056728455144</v>
      </c>
      <c r="R295" s="217">
        <f t="shared" si="785"/>
        <v>3.6340113456910288</v>
      </c>
      <c r="S295" s="217">
        <f t="shared" si="786"/>
        <v>16</v>
      </c>
      <c r="T295" s="217">
        <f t="shared" si="787"/>
        <v>2.1739062563377241</v>
      </c>
      <c r="U295" s="217">
        <f t="shared" si="788"/>
        <v>0.43538367237093201</v>
      </c>
      <c r="V295" s="217">
        <f t="shared" si="789"/>
        <v>1.5586536319937512</v>
      </c>
      <c r="W295" s="197">
        <f t="shared" si="790"/>
        <v>350</v>
      </c>
      <c r="X295" s="443">
        <f t="shared" si="848"/>
        <v>350</v>
      </c>
      <c r="Z295" s="217">
        <f t="shared" si="791"/>
        <v>3.1148668677351674</v>
      </c>
      <c r="AA295" s="173">
        <f t="shared" si="792"/>
        <v>2.2333063085946505</v>
      </c>
      <c r="AB295" s="173">
        <f t="shared" si="793"/>
        <v>1.082114728511508</v>
      </c>
      <c r="AC295" s="173"/>
      <c r="AD295" s="173">
        <f t="shared" si="794"/>
        <v>0.71698290919845842</v>
      </c>
      <c r="AE295" s="545">
        <f t="shared" si="795"/>
        <v>2203.6787484465149</v>
      </c>
      <c r="AF295" s="528">
        <f t="shared" si="796"/>
        <v>0.12547200910973022</v>
      </c>
      <c r="AH295" s="173">
        <f t="shared" si="797"/>
        <v>2.6021968740717085</v>
      </c>
      <c r="AI295" s="173">
        <f t="shared" si="798"/>
        <v>2.6021968740717085</v>
      </c>
      <c r="AJ295" s="173">
        <f t="shared" si="799"/>
        <v>2.3868124993123767</v>
      </c>
      <c r="AL295" s="545">
        <f t="shared" si="800"/>
        <v>790</v>
      </c>
      <c r="AM295" s="460">
        <f t="shared" si="801"/>
        <v>350</v>
      </c>
      <c r="AO295">
        <f t="shared" si="802"/>
        <v>790</v>
      </c>
      <c r="AP295">
        <f t="shared" si="803"/>
        <v>350</v>
      </c>
      <c r="AR295" s="5">
        <f t="shared" si="774"/>
        <v>2.8571428571428572</v>
      </c>
      <c r="AS295" s="5">
        <f t="shared" si="739"/>
        <v>0.52116048148926797</v>
      </c>
      <c r="AT295" s="5">
        <f t="shared" si="740"/>
        <v>2.3359823756535891</v>
      </c>
      <c r="AU295" s="173">
        <f t="shared" si="741"/>
        <v>0.18240616852124378</v>
      </c>
      <c r="BA295" s="173">
        <f t="shared" si="849"/>
        <v>0.64165160357979445</v>
      </c>
      <c r="BB295" s="173">
        <f t="shared" si="850"/>
        <v>1.3584646026917064</v>
      </c>
      <c r="BC295" s="173">
        <f t="shared" si="851"/>
        <v>0.33362292448458081</v>
      </c>
      <c r="BD295" s="173"/>
      <c r="BE295" s="528">
        <f t="shared" si="852"/>
        <v>8.2343356075304346E-3</v>
      </c>
      <c r="BF295" s="528">
        <f t="shared" si="804"/>
        <v>1.274103319310594</v>
      </c>
      <c r="BG295" s="528">
        <f t="shared" si="805"/>
        <v>0.4823316942931013</v>
      </c>
      <c r="BH295" s="528">
        <f t="shared" si="853"/>
        <v>1.0128414015210765</v>
      </c>
      <c r="BI295">
        <f t="shared" si="854"/>
        <v>2.696264129588765E-2</v>
      </c>
      <c r="BJ295" s="460">
        <f t="shared" si="855"/>
        <v>509.29433558898893</v>
      </c>
      <c r="BK295">
        <f t="shared" si="806"/>
        <v>2.3019059557367729</v>
      </c>
      <c r="BL295" s="460">
        <f t="shared" si="856"/>
        <v>2804.4733920281901</v>
      </c>
      <c r="BM295" s="173">
        <f t="shared" si="807"/>
        <v>0.49078749999999993</v>
      </c>
      <c r="BN295" s="173">
        <f t="shared" si="808"/>
        <v>8.7640625E-2</v>
      </c>
      <c r="BQ295" s="460">
        <f t="shared" si="857"/>
        <v>578.42812499999991</v>
      </c>
      <c r="BR295" s="528">
        <f t="shared" si="858"/>
        <v>1.235150341129565E-2</v>
      </c>
      <c r="BS295" s="528">
        <f t="shared" si="859"/>
        <v>5.536278230299007E-2</v>
      </c>
      <c r="BT295" s="528">
        <f t="shared" si="860"/>
        <v>5.5652127870822157E-4</v>
      </c>
      <c r="BU295" s="528">
        <f t="shared" si="861"/>
        <v>1.2516718707314101</v>
      </c>
      <c r="BV295" s="528"/>
      <c r="BW295" s="625">
        <f t="shared" si="862"/>
        <v>1.1849999999999999E-2</v>
      </c>
      <c r="BX295" s="460">
        <f t="shared" si="863"/>
        <v>1331.792677724404</v>
      </c>
      <c r="BY295" s="173">
        <f t="shared" si="864"/>
        <v>4.7146941947525933</v>
      </c>
      <c r="BZ295" s="5">
        <f t="shared" si="865"/>
        <v>14.22</v>
      </c>
      <c r="CA295" s="173">
        <f t="shared" si="866"/>
        <v>0.75100235861959763</v>
      </c>
      <c r="CB295" s="5">
        <f t="shared" si="867"/>
        <v>75.10023586195976</v>
      </c>
      <c r="CC295">
        <f t="shared" si="868"/>
        <v>79</v>
      </c>
      <c r="CE295" s="562">
        <f t="shared" si="809"/>
        <v>-50</v>
      </c>
      <c r="CG295" s="173">
        <f t="shared" si="810"/>
        <v>0.64401086947348962</v>
      </c>
      <c r="CH295" s="173">
        <f t="shared" si="811"/>
        <v>0.23178250599890218</v>
      </c>
      <c r="CI295" s="170">
        <v>79</v>
      </c>
      <c r="CJ295" s="217">
        <f t="shared" si="869"/>
        <v>0.79</v>
      </c>
      <c r="CK295" s="217">
        <f t="shared" si="812"/>
        <v>0.19750000000000001</v>
      </c>
      <c r="CL295" s="217">
        <f t="shared" si="813"/>
        <v>12.64</v>
      </c>
      <c r="CM295" s="217">
        <f t="shared" si="814"/>
        <v>1.58</v>
      </c>
      <c r="CN295" s="541">
        <f t="shared" si="815"/>
        <v>60</v>
      </c>
      <c r="CO295" s="443">
        <f t="shared" si="816"/>
        <v>16.7</v>
      </c>
      <c r="CP295" s="443">
        <f t="shared" si="817"/>
        <v>76.7</v>
      </c>
      <c r="CQ295" s="443"/>
      <c r="CR295" s="217">
        <f t="shared" si="818"/>
        <v>0.21465968586387432</v>
      </c>
      <c r="CS295" s="172">
        <f t="shared" si="819"/>
        <v>28.621291448516576</v>
      </c>
      <c r="CT295" s="172">
        <f t="shared" si="820"/>
        <v>4.0248691099476437</v>
      </c>
      <c r="CU295" s="217">
        <f t="shared" si="821"/>
        <v>1.788830715532286</v>
      </c>
      <c r="CV295" s="217">
        <f t="shared" si="822"/>
        <v>3.577661431064572</v>
      </c>
      <c r="CW295" s="217">
        <f t="shared" si="823"/>
        <v>16</v>
      </c>
      <c r="CX295" s="217">
        <f t="shared" si="824"/>
        <v>2.208146341463415</v>
      </c>
      <c r="CY295" s="217">
        <f t="shared" si="825"/>
        <v>0.44162926829268301</v>
      </c>
      <c r="CZ295" s="217">
        <f t="shared" si="826"/>
        <v>1.5866919818898793</v>
      </c>
      <c r="DA295" s="197">
        <f t="shared" si="827"/>
        <v>350</v>
      </c>
      <c r="DB295" s="443">
        <f t="shared" si="828"/>
        <v>350</v>
      </c>
      <c r="DD295" s="217">
        <f t="shared" si="829"/>
        <v>3.1104488731607378</v>
      </c>
      <c r="DE295" s="173">
        <f t="shared" si="830"/>
        <v>2.23505308251071</v>
      </c>
      <c r="DF295" s="173">
        <f t="shared" si="831"/>
        <v>1.0814250754144243</v>
      </c>
      <c r="DG295" s="173"/>
      <c r="DH295" s="173">
        <f t="shared" si="832"/>
        <v>0.71856287425149712</v>
      </c>
      <c r="DI295" s="545">
        <f t="shared" si="833"/>
        <v>2198.833333333333</v>
      </c>
      <c r="DJ295" s="528">
        <f t="shared" si="834"/>
        <v>0.125748502994012</v>
      </c>
      <c r="DL295" s="173">
        <f t="shared" si="835"/>
        <v>2.6021968740717085</v>
      </c>
      <c r="DM295" s="173">
        <f t="shared" si="836"/>
        <v>2.6021968740717085</v>
      </c>
      <c r="DN295" s="173">
        <f t="shared" si="837"/>
        <v>2.3868124993123767</v>
      </c>
      <c r="DP295" s="545">
        <f t="shared" si="838"/>
        <v>790</v>
      </c>
      <c r="DQ295" s="460">
        <f t="shared" si="839"/>
        <v>350</v>
      </c>
      <c r="DS295">
        <f t="shared" si="840"/>
        <v>790</v>
      </c>
      <c r="DT295">
        <f t="shared" si="841"/>
        <v>350</v>
      </c>
      <c r="DV295" s="5">
        <f t="shared" si="870"/>
        <v>2.8571428571428572</v>
      </c>
      <c r="DW295" s="5">
        <f t="shared" si="842"/>
        <v>0.52043937481434177</v>
      </c>
      <c r="DX295" s="5">
        <f t="shared" si="843"/>
        <v>2.3367034823285153</v>
      </c>
      <c r="DY295" s="173">
        <f t="shared" si="844"/>
        <v>0.18215378118501963</v>
      </c>
      <c r="EA295" s="5">
        <f t="shared" si="871"/>
        <v>2.5696694131458124</v>
      </c>
      <c r="EB295" s="5">
        <f t="shared" si="872"/>
        <v>1.2848347065729062</v>
      </c>
      <c r="EC295" s="5">
        <f t="shared" si="873"/>
        <v>0.41022127800878372</v>
      </c>
      <c r="ED295" s="5"/>
      <c r="EE295" s="173">
        <f t="shared" si="874"/>
        <v>0.64120753746609216</v>
      </c>
      <c r="EF295" s="173">
        <f t="shared" si="875"/>
        <v>1.3586742623011325</v>
      </c>
      <c r="EG295" s="173">
        <f t="shared" si="876"/>
        <v>0.33367441441807227</v>
      </c>
      <c r="EH295" s="173"/>
      <c r="EI295" s="528">
        <f t="shared" si="877"/>
        <v>8.2229421220666003E-3</v>
      </c>
      <c r="EJ295" s="528">
        <f t="shared" si="878"/>
        <v>1.3272635266046453</v>
      </c>
      <c r="EK295" s="528">
        <f t="shared" si="879"/>
        <v>4.0250000000000001E-2</v>
      </c>
      <c r="EL295" s="528">
        <f t="shared" si="880"/>
        <v>1.0140631637499999</v>
      </c>
      <c r="EM295">
        <f t="shared" si="881"/>
        <v>2.7E-2</v>
      </c>
      <c r="EN295" s="460">
        <f t="shared" si="882"/>
        <v>67.25</v>
      </c>
      <c r="EP295" s="460">
        <f t="shared" si="883"/>
        <v>2416.7996324767118</v>
      </c>
      <c r="EQ295" s="173">
        <f t="shared" si="884"/>
        <v>0.55299999999999994</v>
      </c>
      <c r="ER295" s="173">
        <f t="shared" si="845"/>
        <v>8.7640625E-2</v>
      </c>
      <c r="ES295" s="528"/>
      <c r="EU295" s="460">
        <f t="shared" si="885"/>
        <v>640.640625</v>
      </c>
      <c r="EV295" s="528">
        <f t="shared" si="886"/>
        <v>1.2334413183099899E-2</v>
      </c>
      <c r="EW295" s="528">
        <f t="shared" si="887"/>
        <v>5.5379872531185793E-2</v>
      </c>
      <c r="EX295" s="528">
        <f t="shared" si="888"/>
        <v>5.5669307418621721E-4</v>
      </c>
      <c r="EY295" s="528">
        <f t="shared" si="889"/>
        <v>1.2516718707314101</v>
      </c>
      <c r="EZ295" s="528"/>
      <c r="FA295" s="625">
        <f t="shared" si="890"/>
        <v>1.1849999999999999E-2</v>
      </c>
      <c r="FB295" s="460">
        <f t="shared" si="891"/>
        <v>1331.7928495198819</v>
      </c>
      <c r="FC295" s="173">
        <f t="shared" si="892"/>
        <v>4.3892331069965937</v>
      </c>
      <c r="FD295" s="5">
        <f t="shared" si="893"/>
        <v>14.22</v>
      </c>
      <c r="FE295" s="173">
        <f t="shared" si="894"/>
        <v>0.76413680876798973</v>
      </c>
      <c r="FF295" s="5">
        <f t="shared" si="895"/>
        <v>76.413680876798978</v>
      </c>
      <c r="FG295">
        <f t="shared" si="896"/>
        <v>79</v>
      </c>
      <c r="FI295" s="562">
        <f t="shared" si="846"/>
        <v>-50</v>
      </c>
    </row>
    <row r="296" spans="5:165">
      <c r="E296" s="170">
        <v>80</v>
      </c>
      <c r="F296" s="217">
        <f t="shared" si="847"/>
        <v>0.8</v>
      </c>
      <c r="G296" s="217">
        <f t="shared" si="775"/>
        <v>0.2</v>
      </c>
      <c r="H296" s="217">
        <f t="shared" si="776"/>
        <v>12.8</v>
      </c>
      <c r="I296" s="217">
        <f t="shared" si="777"/>
        <v>1.6</v>
      </c>
      <c r="J296" s="541">
        <f t="shared" si="778"/>
        <v>59.916456870991567</v>
      </c>
      <c r="K296" s="443">
        <f t="shared" si="779"/>
        <v>16.7370328039909</v>
      </c>
      <c r="L296" s="172">
        <f t="shared" si="780"/>
        <v>76.653489674982467</v>
      </c>
      <c r="M296" s="443"/>
      <c r="N296" s="217">
        <f t="shared" si="781"/>
        <v>0.21834665160004313</v>
      </c>
      <c r="O296" s="172">
        <f t="shared" si="782"/>
        <v>29.072350518932012</v>
      </c>
      <c r="P296" s="172">
        <f t="shared" si="783"/>
        <v>4.0882992917248142</v>
      </c>
      <c r="Q296" s="217">
        <f t="shared" si="784"/>
        <v>1.8170219074332508</v>
      </c>
      <c r="R296" s="217">
        <f t="shared" si="785"/>
        <v>3.6340438148665015</v>
      </c>
      <c r="S296" s="217">
        <f t="shared" si="786"/>
        <v>16</v>
      </c>
      <c r="T296" s="217">
        <f t="shared" si="787"/>
        <v>2.2014043879363308</v>
      </c>
      <c r="U296" s="217">
        <f t="shared" si="788"/>
        <v>0.44089477306902697</v>
      </c>
      <c r="V296" s="217">
        <f t="shared" si="789"/>
        <v>1.5783474266081945</v>
      </c>
      <c r="W296" s="197">
        <f t="shared" si="790"/>
        <v>350</v>
      </c>
      <c r="X296" s="443">
        <f t="shared" si="848"/>
        <v>350</v>
      </c>
      <c r="Z296" s="217">
        <f t="shared" si="791"/>
        <v>3.1148946984570012</v>
      </c>
      <c r="AA296" s="173">
        <f t="shared" si="792"/>
        <v>2.233295281142734</v>
      </c>
      <c r="AB296" s="173">
        <f t="shared" si="793"/>
        <v>1.0821190537609726</v>
      </c>
      <c r="AC296" s="173"/>
      <c r="AD296" s="173">
        <f t="shared" si="794"/>
        <v>0.71697296292199619</v>
      </c>
      <c r="AE296" s="545">
        <f t="shared" si="795"/>
        <v>2231.6043738654535</v>
      </c>
      <c r="AF296" s="528">
        <f t="shared" si="796"/>
        <v>0.12547026851134935</v>
      </c>
      <c r="AH296" s="173">
        <f t="shared" si="797"/>
        <v>2.6186146828319083</v>
      </c>
      <c r="AI296" s="173">
        <f t="shared" si="798"/>
        <v>2.6186146828319083</v>
      </c>
      <c r="AJ296" s="173">
        <f t="shared" si="799"/>
        <v>2.3989738391347468</v>
      </c>
      <c r="AL296" s="545">
        <f t="shared" si="800"/>
        <v>800</v>
      </c>
      <c r="AM296" s="460">
        <f t="shared" si="801"/>
        <v>350</v>
      </c>
      <c r="AO296">
        <f t="shared" si="802"/>
        <v>800</v>
      </c>
      <c r="AP296">
        <f t="shared" si="803"/>
        <v>350</v>
      </c>
      <c r="AR296" s="5">
        <f t="shared" si="774"/>
        <v>2.8571428571428572</v>
      </c>
      <c r="AS296" s="5">
        <f t="shared" si="739"/>
        <v>0.52445317755757459</v>
      </c>
      <c r="AT296" s="5">
        <f t="shared" si="740"/>
        <v>2.3326896795852825</v>
      </c>
      <c r="AU296" s="173">
        <f t="shared" si="741"/>
        <v>0.1835586121451511</v>
      </c>
      <c r="BA296" s="173">
        <f t="shared" si="849"/>
        <v>0.64773647577240823</v>
      </c>
      <c r="BB296" s="173">
        <f t="shared" si="850"/>
        <v>1.3660716466087075</v>
      </c>
      <c r="BC296" s="173">
        <f t="shared" si="851"/>
        <v>0.33549112497596201</v>
      </c>
      <c r="BD296" s="173"/>
      <c r="BE296" s="528">
        <f t="shared" si="852"/>
        <v>8.3912508409211915E-3</v>
      </c>
      <c r="BF296" s="528">
        <f t="shared" si="804"/>
        <v>1.2821370283211493</v>
      </c>
      <c r="BG296" s="528">
        <f t="shared" si="805"/>
        <v>0.48232747781148216</v>
      </c>
      <c r="BH296" s="528">
        <f t="shared" si="853"/>
        <v>1.0128336955034118</v>
      </c>
      <c r="BI296">
        <f t="shared" si="854"/>
        <v>2.6962405591946206E-2</v>
      </c>
      <c r="BJ296" s="460">
        <f t="shared" si="855"/>
        <v>509.28988340342841</v>
      </c>
      <c r="BK296">
        <f t="shared" si="806"/>
        <v>2.3102336666395553</v>
      </c>
      <c r="BL296" s="460">
        <f t="shared" si="856"/>
        <v>2812.6518580689108</v>
      </c>
      <c r="BM296" s="173">
        <f t="shared" si="807"/>
        <v>0.49699999999999994</v>
      </c>
      <c r="BN296" s="173">
        <f t="shared" si="808"/>
        <v>8.8749999999999996E-2</v>
      </c>
      <c r="BQ296" s="460">
        <f t="shared" si="857"/>
        <v>585.75</v>
      </c>
      <c r="BR296" s="528">
        <f t="shared" si="858"/>
        <v>1.2586876261381786E-2</v>
      </c>
      <c r="BS296" s="528">
        <f t="shared" si="859"/>
        <v>5.5984552310046759E-2</v>
      </c>
      <c r="BT296" s="528">
        <f t="shared" si="860"/>
        <v>5.6277147468818285E-4</v>
      </c>
      <c r="BU296" s="528">
        <f t="shared" si="861"/>
        <v>1.2715080436947361</v>
      </c>
      <c r="BV296" s="528"/>
      <c r="BW296" s="625">
        <f t="shared" si="862"/>
        <v>1.1999999999999999E-2</v>
      </c>
      <c r="BX296" s="460">
        <f t="shared" si="863"/>
        <v>1352.642243740853</v>
      </c>
      <c r="BY296" s="173">
        <f t="shared" si="864"/>
        <v>4.7510441018097636</v>
      </c>
      <c r="BZ296" s="5">
        <f t="shared" si="865"/>
        <v>14.4</v>
      </c>
      <c r="CA296" s="173">
        <f t="shared" si="866"/>
        <v>0.75191722829562113</v>
      </c>
      <c r="CB296" s="5">
        <f t="shared" si="867"/>
        <v>75.19172282956211</v>
      </c>
      <c r="CC296">
        <f t="shared" si="868"/>
        <v>80</v>
      </c>
      <c r="CE296" s="562">
        <f t="shared" si="809"/>
        <v>-50</v>
      </c>
      <c r="CG296" s="173">
        <f t="shared" si="810"/>
        <v>0.64807406984078608</v>
      </c>
      <c r="CH296" s="173">
        <f t="shared" si="811"/>
        <v>0.23324487070134517</v>
      </c>
      <c r="CI296" s="170">
        <v>80</v>
      </c>
      <c r="CJ296" s="217">
        <f t="shared" si="869"/>
        <v>0.8</v>
      </c>
      <c r="CK296" s="217">
        <f t="shared" si="812"/>
        <v>0.2</v>
      </c>
      <c r="CL296" s="217">
        <f t="shared" si="813"/>
        <v>12.8</v>
      </c>
      <c r="CM296" s="217">
        <f t="shared" si="814"/>
        <v>1.6</v>
      </c>
      <c r="CN296" s="541">
        <f t="shared" si="815"/>
        <v>60</v>
      </c>
      <c r="CO296" s="443">
        <f t="shared" si="816"/>
        <v>16.7</v>
      </c>
      <c r="CP296" s="443">
        <f t="shared" si="817"/>
        <v>76.7</v>
      </c>
      <c r="CQ296" s="443"/>
      <c r="CR296" s="217">
        <f t="shared" si="818"/>
        <v>0.21465968586387432</v>
      </c>
      <c r="CS296" s="172">
        <f t="shared" si="819"/>
        <v>28.621291448516576</v>
      </c>
      <c r="CT296" s="172">
        <f t="shared" si="820"/>
        <v>4.0248691099476437</v>
      </c>
      <c r="CU296" s="217">
        <f t="shared" si="821"/>
        <v>1.788830715532286</v>
      </c>
      <c r="CV296" s="217">
        <f t="shared" si="822"/>
        <v>3.577661431064572</v>
      </c>
      <c r="CW296" s="217">
        <f t="shared" si="823"/>
        <v>16</v>
      </c>
      <c r="CX296" s="217">
        <f t="shared" si="824"/>
        <v>2.23609756097561</v>
      </c>
      <c r="CY296" s="217">
        <f t="shared" si="825"/>
        <v>0.44721951219512202</v>
      </c>
      <c r="CZ296" s="217">
        <f t="shared" si="826"/>
        <v>1.6067766905213965</v>
      </c>
      <c r="DA296" s="197">
        <f t="shared" si="827"/>
        <v>350</v>
      </c>
      <c r="DB296" s="443">
        <f t="shared" si="828"/>
        <v>350</v>
      </c>
      <c r="DD296" s="217">
        <f t="shared" si="829"/>
        <v>3.1104488731607378</v>
      </c>
      <c r="DE296" s="173">
        <f t="shared" si="830"/>
        <v>2.23505308251071</v>
      </c>
      <c r="DF296" s="173">
        <f t="shared" si="831"/>
        <v>1.0814250754144243</v>
      </c>
      <c r="DG296" s="173"/>
      <c r="DH296" s="173">
        <f t="shared" si="832"/>
        <v>0.71856287425149712</v>
      </c>
      <c r="DI296" s="545">
        <f t="shared" si="833"/>
        <v>2226.6666666666665</v>
      </c>
      <c r="DJ296" s="528">
        <f t="shared" si="834"/>
        <v>0.125748502994012</v>
      </c>
      <c r="DL296" s="173">
        <f t="shared" si="835"/>
        <v>2.6186146828319083</v>
      </c>
      <c r="DM296" s="173">
        <f t="shared" si="836"/>
        <v>2.6186146828319083</v>
      </c>
      <c r="DN296" s="173">
        <f t="shared" si="837"/>
        <v>2.3989738391347468</v>
      </c>
      <c r="DP296" s="545">
        <f t="shared" si="838"/>
        <v>800</v>
      </c>
      <c r="DQ296" s="460">
        <f t="shared" si="839"/>
        <v>350</v>
      </c>
      <c r="DS296">
        <f t="shared" si="840"/>
        <v>800</v>
      </c>
      <c r="DT296">
        <f t="shared" si="841"/>
        <v>350</v>
      </c>
      <c r="DV296" s="5">
        <f t="shared" si="870"/>
        <v>2.8571428571428572</v>
      </c>
      <c r="DW296" s="5">
        <f t="shared" si="842"/>
        <v>0.52372293656638169</v>
      </c>
      <c r="DX296" s="5">
        <f t="shared" si="843"/>
        <v>2.3334199205764756</v>
      </c>
      <c r="DY296" s="173">
        <f t="shared" si="844"/>
        <v>0.1833030277982336</v>
      </c>
      <c r="EA296" s="5">
        <f t="shared" si="871"/>
        <v>2.6186146828319088</v>
      </c>
      <c r="EB296" s="5">
        <f t="shared" si="872"/>
        <v>1.3093073414159544</v>
      </c>
      <c r="EC296" s="5">
        <f t="shared" si="873"/>
        <v>0.4148302081024845</v>
      </c>
      <c r="ED296" s="5"/>
      <c r="EE296" s="173">
        <f t="shared" si="874"/>
        <v>0.64728536925617686</v>
      </c>
      <c r="EF296" s="173">
        <f t="shared" si="875"/>
        <v>1.3662854520418419</v>
      </c>
      <c r="EG296" s="173">
        <f t="shared" si="876"/>
        <v>0.33554363307498175</v>
      </c>
      <c r="EH296" s="173"/>
      <c r="EI296" s="528">
        <f t="shared" si="877"/>
        <v>8.3795669850621046E-3</v>
      </c>
      <c r="EJ296" s="528">
        <f t="shared" si="878"/>
        <v>1.3356375120518291</v>
      </c>
      <c r="EK296" s="528">
        <f t="shared" si="879"/>
        <v>4.0250000000000001E-2</v>
      </c>
      <c r="EL296" s="528">
        <f t="shared" si="880"/>
        <v>1.0140631637499999</v>
      </c>
      <c r="EM296">
        <f t="shared" si="881"/>
        <v>2.7E-2</v>
      </c>
      <c r="EN296" s="460">
        <f t="shared" si="882"/>
        <v>67.25</v>
      </c>
      <c r="EP296" s="460">
        <f t="shared" si="883"/>
        <v>2425.3302427868912</v>
      </c>
      <c r="EQ296" s="173">
        <f t="shared" si="884"/>
        <v>0.55999999999999994</v>
      </c>
      <c r="ER296" s="173">
        <f t="shared" si="845"/>
        <v>8.8749999999999996E-2</v>
      </c>
      <c r="ES296" s="528"/>
      <c r="EU296" s="460">
        <f t="shared" si="885"/>
        <v>648.74999999999989</v>
      </c>
      <c r="EV296" s="528">
        <f t="shared" si="886"/>
        <v>1.2569350477593156E-2</v>
      </c>
      <c r="EW296" s="528">
        <f t="shared" si="887"/>
        <v>5.6002078093835408E-2</v>
      </c>
      <c r="EX296" s="528">
        <f t="shared" si="888"/>
        <v>5.6294764848578997E-4</v>
      </c>
      <c r="EY296" s="528">
        <f t="shared" si="889"/>
        <v>1.2715080436947361</v>
      </c>
      <c r="EZ296" s="528"/>
      <c r="FA296" s="625">
        <f t="shared" si="890"/>
        <v>1.1999999999999999E-2</v>
      </c>
      <c r="FB296" s="460">
        <f t="shared" si="891"/>
        <v>1352.6424199146504</v>
      </c>
      <c r="FC296" s="173">
        <f t="shared" si="892"/>
        <v>4.4267226627015415</v>
      </c>
      <c r="FD296" s="5">
        <f t="shared" si="893"/>
        <v>14.4</v>
      </c>
      <c r="FE296" s="173">
        <f t="shared" si="894"/>
        <v>0.76487024629775213</v>
      </c>
      <c r="FF296" s="5">
        <f t="shared" si="895"/>
        <v>76.48702462977522</v>
      </c>
      <c r="FG296">
        <f t="shared" si="896"/>
        <v>80</v>
      </c>
      <c r="FI296" s="562">
        <f t="shared" si="846"/>
        <v>-50</v>
      </c>
    </row>
    <row r="297" spans="5:165">
      <c r="E297" s="170">
        <v>81</v>
      </c>
      <c r="F297" s="217">
        <f t="shared" si="847"/>
        <v>0.81</v>
      </c>
      <c r="G297" s="217">
        <f t="shared" si="775"/>
        <v>0.20250000000000001</v>
      </c>
      <c r="H297" s="217">
        <f t="shared" si="776"/>
        <v>12.96</v>
      </c>
      <c r="I297" s="217">
        <f t="shared" si="777"/>
        <v>1.62</v>
      </c>
      <c r="J297" s="541">
        <f t="shared" si="778"/>
        <v>59.915936348017844</v>
      </c>
      <c r="K297" s="443">
        <f t="shared" si="779"/>
        <v>16.737263540204488</v>
      </c>
      <c r="L297" s="172">
        <f t="shared" si="780"/>
        <v>76.653199888222332</v>
      </c>
      <c r="M297" s="443"/>
      <c r="N297" s="217">
        <f t="shared" si="781"/>
        <v>0.21835048718920014</v>
      </c>
      <c r="O297" s="172">
        <f t="shared" si="782"/>
        <v>29.072608648859557</v>
      </c>
      <c r="P297" s="172">
        <f t="shared" si="783"/>
        <v>4.0883355912458752</v>
      </c>
      <c r="Q297" s="217">
        <f t="shared" si="784"/>
        <v>1.8170380405537223</v>
      </c>
      <c r="R297" s="217">
        <f t="shared" si="785"/>
        <v>3.6340760811074446</v>
      </c>
      <c r="S297" s="217">
        <f t="shared" si="786"/>
        <v>16</v>
      </c>
      <c r="T297" s="217">
        <f t="shared" si="787"/>
        <v>2.228902152629566</v>
      </c>
      <c r="U297" s="217">
        <f t="shared" si="788"/>
        <v>0.44640587232414403</v>
      </c>
      <c r="V297" s="217">
        <f t="shared" si="789"/>
        <v>1.5980405498967254</v>
      </c>
      <c r="W297" s="197">
        <f t="shared" si="790"/>
        <v>350</v>
      </c>
      <c r="X297" s="443">
        <f t="shared" si="848"/>
        <v>350</v>
      </c>
      <c r="Z297" s="217">
        <f t="shared" si="791"/>
        <v>3.1149223552349525</v>
      </c>
      <c r="AA297" s="173">
        <f t="shared" si="792"/>
        <v>2.233284322316571</v>
      </c>
      <c r="AB297" s="173">
        <f t="shared" si="793"/>
        <v>1.0821233517390534</v>
      </c>
      <c r="AC297" s="173"/>
      <c r="AD297" s="173">
        <f t="shared" si="794"/>
        <v>0.71696307889129351</v>
      </c>
      <c r="AE297" s="545">
        <f t="shared" si="795"/>
        <v>2259.5305779276064</v>
      </c>
      <c r="AF297" s="528">
        <f t="shared" si="796"/>
        <v>0.12546853880597636</v>
      </c>
      <c r="AH297" s="173">
        <f t="shared" si="797"/>
        <v>2.6349301969610397</v>
      </c>
      <c r="AI297" s="173">
        <f t="shared" si="798"/>
        <v>2.6349301969610397</v>
      </c>
      <c r="AJ297" s="173">
        <f t="shared" si="799"/>
        <v>2.4110594051563257</v>
      </c>
      <c r="AL297" s="545">
        <f t="shared" si="800"/>
        <v>810</v>
      </c>
      <c r="AM297" s="460">
        <f t="shared" si="801"/>
        <v>350</v>
      </c>
      <c r="AO297">
        <f t="shared" si="802"/>
        <v>810</v>
      </c>
      <c r="AP297">
        <f t="shared" si="803"/>
        <v>350</v>
      </c>
      <c r="AR297" s="5">
        <f t="shared" si="774"/>
        <v>2.8571428571428572</v>
      </c>
      <c r="AS297" s="5">
        <f t="shared" si="739"/>
        <v>0.52772541481909951</v>
      </c>
      <c r="AT297" s="5">
        <f t="shared" si="740"/>
        <v>2.3294174423237575</v>
      </c>
      <c r="AU297" s="173">
        <f t="shared" si="741"/>
        <v>0.18470389518668481</v>
      </c>
      <c r="BA297" s="173">
        <f t="shared" si="849"/>
        <v>0.65380240593276395</v>
      </c>
      <c r="BB297" s="173">
        <f t="shared" si="850"/>
        <v>1.3736186254860712</v>
      </c>
      <c r="BC297" s="173">
        <f t="shared" si="851"/>
        <v>0.33734457420025571</v>
      </c>
      <c r="BD297" s="173"/>
      <c r="BE297" s="528">
        <f t="shared" si="852"/>
        <v>8.5491517200694134E-3</v>
      </c>
      <c r="BF297" s="528">
        <f t="shared" si="804"/>
        <v>1.2901206210181835</v>
      </c>
      <c r="BG297" s="528">
        <f t="shared" si="805"/>
        <v>0.48232328760154364</v>
      </c>
      <c r="BH297" s="528">
        <f t="shared" si="853"/>
        <v>1.0128260375287621</v>
      </c>
      <c r="BI297">
        <f t="shared" si="854"/>
        <v>2.6962171356608028E-2</v>
      </c>
      <c r="BJ297" s="460">
        <f t="shared" si="855"/>
        <v>509.28545895815171</v>
      </c>
      <c r="BK297">
        <f t="shared" si="806"/>
        <v>2.3185136279969742</v>
      </c>
      <c r="BL297" s="460">
        <f t="shared" si="856"/>
        <v>2820.7812692251669</v>
      </c>
      <c r="BM297" s="173">
        <f t="shared" si="807"/>
        <v>0.50321249999999995</v>
      </c>
      <c r="BN297" s="173">
        <f t="shared" si="808"/>
        <v>8.9859375000000005E-2</v>
      </c>
      <c r="BQ297" s="460">
        <f t="shared" si="857"/>
        <v>593.07187499999986</v>
      </c>
      <c r="BR297" s="528">
        <f t="shared" si="858"/>
        <v>1.2823727580104119E-2</v>
      </c>
      <c r="BS297" s="528">
        <f t="shared" si="859"/>
        <v>5.6604843848467298E-2</v>
      </c>
      <c r="BT297" s="528">
        <f t="shared" si="860"/>
        <v>5.6900680871175917E-4</v>
      </c>
      <c r="BU297" s="528">
        <f t="shared" si="861"/>
        <v>1.2914063030728453</v>
      </c>
      <c r="BV297" s="528"/>
      <c r="BW297" s="625">
        <f t="shared" si="862"/>
        <v>1.2150000000000001E-2</v>
      </c>
      <c r="BX297" s="460">
        <f t="shared" si="863"/>
        <v>1373.5538813101286</v>
      </c>
      <c r="BY297" s="173">
        <f t="shared" si="864"/>
        <v>4.7874070255352956</v>
      </c>
      <c r="BZ297" s="5">
        <f t="shared" si="865"/>
        <v>14.580000000000002</v>
      </c>
      <c r="CA297" s="173">
        <f t="shared" si="866"/>
        <v>0.75281115230225426</v>
      </c>
      <c r="CB297" s="5">
        <f t="shared" si="867"/>
        <v>75.281115230225424</v>
      </c>
      <c r="CC297">
        <f t="shared" si="868"/>
        <v>81</v>
      </c>
      <c r="CE297" s="562">
        <f t="shared" si="809"/>
        <v>-50</v>
      </c>
      <c r="CG297" s="173">
        <f t="shared" si="810"/>
        <v>0.65211195357852481</v>
      </c>
      <c r="CH297" s="173">
        <f t="shared" si="811"/>
        <v>0.23469812383111058</v>
      </c>
      <c r="CI297" s="170">
        <v>81</v>
      </c>
      <c r="CJ297" s="217">
        <f t="shared" si="869"/>
        <v>0.81</v>
      </c>
      <c r="CK297" s="217">
        <f t="shared" si="812"/>
        <v>0.20250000000000001</v>
      </c>
      <c r="CL297" s="217">
        <f t="shared" si="813"/>
        <v>12.96</v>
      </c>
      <c r="CM297" s="217">
        <f t="shared" si="814"/>
        <v>1.62</v>
      </c>
      <c r="CN297" s="541">
        <f t="shared" si="815"/>
        <v>60</v>
      </c>
      <c r="CO297" s="443">
        <f t="shared" si="816"/>
        <v>16.7</v>
      </c>
      <c r="CP297" s="443">
        <f t="shared" si="817"/>
        <v>76.7</v>
      </c>
      <c r="CQ297" s="443"/>
      <c r="CR297" s="217">
        <f t="shared" si="818"/>
        <v>0.21465968586387432</v>
      </c>
      <c r="CS297" s="172">
        <f t="shared" si="819"/>
        <v>28.621291448516576</v>
      </c>
      <c r="CT297" s="172">
        <f t="shared" si="820"/>
        <v>4.0248691099476437</v>
      </c>
      <c r="CU297" s="217">
        <f t="shared" si="821"/>
        <v>1.788830715532286</v>
      </c>
      <c r="CV297" s="217">
        <f t="shared" si="822"/>
        <v>3.577661431064572</v>
      </c>
      <c r="CW297" s="217">
        <f t="shared" si="823"/>
        <v>16</v>
      </c>
      <c r="CX297" s="217">
        <f t="shared" si="824"/>
        <v>2.2640487804878053</v>
      </c>
      <c r="CY297" s="217">
        <f t="shared" si="825"/>
        <v>0.45280975609756102</v>
      </c>
      <c r="CZ297" s="217">
        <f t="shared" si="826"/>
        <v>1.6268613991529142</v>
      </c>
      <c r="DA297" s="197">
        <f t="shared" si="827"/>
        <v>350</v>
      </c>
      <c r="DB297" s="443">
        <f t="shared" si="828"/>
        <v>350</v>
      </c>
      <c r="DD297" s="217">
        <f t="shared" si="829"/>
        <v>3.1104488731607378</v>
      </c>
      <c r="DE297" s="173">
        <f t="shared" si="830"/>
        <v>2.23505308251071</v>
      </c>
      <c r="DF297" s="173">
        <f t="shared" si="831"/>
        <v>1.0814250754144243</v>
      </c>
      <c r="DG297" s="173"/>
      <c r="DH297" s="173">
        <f t="shared" si="832"/>
        <v>0.71856287425149712</v>
      </c>
      <c r="DI297" s="545">
        <f t="shared" si="833"/>
        <v>2254.5</v>
      </c>
      <c r="DJ297" s="528">
        <f t="shared" si="834"/>
        <v>0.125748502994012</v>
      </c>
      <c r="DL297" s="173">
        <f t="shared" si="835"/>
        <v>2.6349301969610397</v>
      </c>
      <c r="DM297" s="173">
        <f t="shared" si="836"/>
        <v>2.6349301969610397</v>
      </c>
      <c r="DN297" s="173">
        <f t="shared" si="837"/>
        <v>2.4110594051563257</v>
      </c>
      <c r="DP297" s="545">
        <f t="shared" si="838"/>
        <v>810</v>
      </c>
      <c r="DQ297" s="460">
        <f t="shared" si="839"/>
        <v>350</v>
      </c>
      <c r="DS297">
        <f t="shared" si="840"/>
        <v>810</v>
      </c>
      <c r="DT297">
        <f t="shared" si="841"/>
        <v>350</v>
      </c>
      <c r="DV297" s="5">
        <f t="shared" si="870"/>
        <v>2.8571428571428572</v>
      </c>
      <c r="DW297" s="5">
        <f t="shared" si="842"/>
        <v>0.52698603939220801</v>
      </c>
      <c r="DX297" s="5">
        <f t="shared" si="843"/>
        <v>2.3301568177506491</v>
      </c>
      <c r="DY297" s="173">
        <f t="shared" si="844"/>
        <v>0.1844451137872728</v>
      </c>
      <c r="EA297" s="5">
        <f t="shared" si="871"/>
        <v>2.667866824423053</v>
      </c>
      <c r="EB297" s="5">
        <f t="shared" si="872"/>
        <v>1.3339334122115265</v>
      </c>
      <c r="EC297" s="5">
        <f t="shared" si="873"/>
        <v>0.41942822719511685</v>
      </c>
      <c r="ED297" s="5"/>
      <c r="EE297" s="173">
        <f t="shared" si="874"/>
        <v>0.65334423691319765</v>
      </c>
      <c r="EF297" s="173">
        <f t="shared" si="875"/>
        <v>1.3738366068707102</v>
      </c>
      <c r="EG297" s="173">
        <f t="shared" si="876"/>
        <v>0.33739810786383617</v>
      </c>
      <c r="EH297" s="173"/>
      <c r="EI297" s="528">
        <f t="shared" si="877"/>
        <v>8.5371738381537707E-3</v>
      </c>
      <c r="EJ297" s="528">
        <f t="shared" si="878"/>
        <v>1.3439593216109631</v>
      </c>
      <c r="EK297" s="528">
        <f t="shared" si="879"/>
        <v>4.0250000000000001E-2</v>
      </c>
      <c r="EL297" s="528">
        <f t="shared" si="880"/>
        <v>1.0140631637499999</v>
      </c>
      <c r="EM297">
        <f t="shared" si="881"/>
        <v>2.7E-2</v>
      </c>
      <c r="EN297" s="460">
        <f t="shared" si="882"/>
        <v>67.25</v>
      </c>
      <c r="EP297" s="460">
        <f t="shared" si="883"/>
        <v>2433.8096591991166</v>
      </c>
      <c r="EQ297" s="173">
        <f t="shared" si="884"/>
        <v>0.56699999999999995</v>
      </c>
      <c r="ER297" s="173">
        <f t="shared" si="845"/>
        <v>8.9859375000000005E-2</v>
      </c>
      <c r="ES297" s="528"/>
      <c r="EU297" s="460">
        <f t="shared" si="885"/>
        <v>656.85937499999989</v>
      </c>
      <c r="EV297" s="528">
        <f t="shared" si="886"/>
        <v>1.2805760757230656E-2</v>
      </c>
      <c r="EW297" s="528">
        <f t="shared" si="887"/>
        <v>5.6622810671340784E-2</v>
      </c>
      <c r="EX297" s="528">
        <f t="shared" si="888"/>
        <v>5.691874159504842E-4</v>
      </c>
      <c r="EY297" s="528">
        <f t="shared" si="889"/>
        <v>1.2914063030728453</v>
      </c>
      <c r="EZ297" s="528"/>
      <c r="FA297" s="625">
        <f t="shared" si="890"/>
        <v>1.2150000000000001E-2</v>
      </c>
      <c r="FB297" s="460">
        <f t="shared" si="891"/>
        <v>1373.5540619173673</v>
      </c>
      <c r="FC297" s="173">
        <f t="shared" si="892"/>
        <v>4.4642230961164842</v>
      </c>
      <c r="FD297" s="5">
        <f t="shared" si="893"/>
        <v>14.580000000000002</v>
      </c>
      <c r="FE297" s="173">
        <f t="shared" si="894"/>
        <v>0.76558649446682692</v>
      </c>
      <c r="FF297" s="5">
        <f t="shared" si="895"/>
        <v>76.558649446682693</v>
      </c>
      <c r="FG297">
        <f t="shared" si="896"/>
        <v>81</v>
      </c>
      <c r="FI297" s="562">
        <f t="shared" si="846"/>
        <v>-50</v>
      </c>
    </row>
    <row r="298" spans="5:165">
      <c r="E298" s="170">
        <v>82</v>
      </c>
      <c r="F298" s="217">
        <f t="shared" si="847"/>
        <v>0.82</v>
      </c>
      <c r="G298" s="217">
        <f t="shared" si="775"/>
        <v>0.20499999999999999</v>
      </c>
      <c r="H298" s="217">
        <f t="shared" si="776"/>
        <v>13.12</v>
      </c>
      <c r="I298" s="217">
        <f t="shared" si="777"/>
        <v>1.64</v>
      </c>
      <c r="J298" s="541">
        <f t="shared" si="778"/>
        <v>59.915419028353696</v>
      </c>
      <c r="K298" s="443">
        <f t="shared" si="779"/>
        <v>16.737492856462456</v>
      </c>
      <c r="L298" s="172">
        <f t="shared" si="780"/>
        <v>76.652911884816149</v>
      </c>
      <c r="M298" s="443"/>
      <c r="N298" s="217">
        <f t="shared" si="781"/>
        <v>0.21835429920279278</v>
      </c>
      <c r="O298" s="172">
        <f t="shared" si="782"/>
        <v>29.072865185284108</v>
      </c>
      <c r="P298" s="172">
        <f t="shared" si="783"/>
        <v>4.0883716666805778</v>
      </c>
      <c r="Q298" s="217">
        <f t="shared" si="784"/>
        <v>1.8170540740802568</v>
      </c>
      <c r="R298" s="217">
        <f t="shared" si="785"/>
        <v>3.6341081481605135</v>
      </c>
      <c r="S298" s="217">
        <f t="shared" si="786"/>
        <v>16</v>
      </c>
      <c r="T298" s="217">
        <f t="shared" si="787"/>
        <v>2.2563995527074825</v>
      </c>
      <c r="U298" s="217">
        <f t="shared" si="788"/>
        <v>0.45191697014880716</v>
      </c>
      <c r="V298" s="217">
        <f t="shared" si="789"/>
        <v>1.6177330060538464</v>
      </c>
      <c r="W298" s="197">
        <f t="shared" si="790"/>
        <v>350</v>
      </c>
      <c r="X298" s="443">
        <f t="shared" si="848"/>
        <v>350</v>
      </c>
      <c r="Z298" s="217">
        <f t="shared" si="791"/>
        <v>3.1149498412804397</v>
      </c>
      <c r="AA298" s="173">
        <f t="shared" si="792"/>
        <v>2.2332734308491635</v>
      </c>
      <c r="AB298" s="173">
        <f t="shared" si="793"/>
        <v>1.0821276229492438</v>
      </c>
      <c r="AC298" s="173"/>
      <c r="AD298" s="173">
        <f t="shared" si="794"/>
        <v>0.71695325595713233</v>
      </c>
      <c r="AE298" s="545">
        <f t="shared" si="795"/>
        <v>2287.4573570498683</v>
      </c>
      <c r="AF298" s="528">
        <f t="shared" si="796"/>
        <v>0.12546681979249816</v>
      </c>
      <c r="AH298" s="173">
        <f t="shared" si="797"/>
        <v>2.6511453050656102</v>
      </c>
      <c r="AI298" s="173">
        <f t="shared" si="798"/>
        <v>2.6511453050656102</v>
      </c>
      <c r="AJ298" s="173">
        <f t="shared" si="799"/>
        <v>2.4230705963448962</v>
      </c>
      <c r="AL298" s="545">
        <f t="shared" si="800"/>
        <v>820</v>
      </c>
      <c r="AM298" s="460">
        <f t="shared" si="801"/>
        <v>350</v>
      </c>
      <c r="AO298">
        <f t="shared" si="802"/>
        <v>820</v>
      </c>
      <c r="AP298">
        <f t="shared" si="803"/>
        <v>350</v>
      </c>
      <c r="AR298" s="5">
        <f t="shared" si="774"/>
        <v>2.8571428571428572</v>
      </c>
      <c r="AS298" s="5">
        <f t="shared" si="739"/>
        <v>0.53097757099440712</v>
      </c>
      <c r="AT298" s="5">
        <f t="shared" si="740"/>
        <v>2.3261652861484503</v>
      </c>
      <c r="AU298" s="173">
        <f t="shared" si="741"/>
        <v>0.18584214984804248</v>
      </c>
      <c r="BA298" s="173">
        <f t="shared" si="849"/>
        <v>0.65984968607661976</v>
      </c>
      <c r="BB298" s="173">
        <f t="shared" si="850"/>
        <v>1.3811066340589813</v>
      </c>
      <c r="BC298" s="173">
        <f t="shared" si="851"/>
        <v>0.33918354101154391</v>
      </c>
      <c r="BD298" s="173"/>
      <c r="BE298" s="528">
        <f t="shared" si="852"/>
        <v>8.7080321643082728E-3</v>
      </c>
      <c r="BF298" s="528">
        <f t="shared" si="804"/>
        <v>1.298055022670157</v>
      </c>
      <c r="BG298" s="528">
        <f t="shared" si="805"/>
        <v>0.48231912317824727</v>
      </c>
      <c r="BH298" s="528">
        <f t="shared" si="853"/>
        <v>1.012818426710137</v>
      </c>
      <c r="BI298">
        <f t="shared" si="854"/>
        <v>2.6961938562759163E-2</v>
      </c>
      <c r="BJ298" s="460">
        <f t="shared" si="855"/>
        <v>509.2810617410064</v>
      </c>
      <c r="BK298">
        <f t="shared" si="806"/>
        <v>2.3267467554438674</v>
      </c>
      <c r="BL298" s="460">
        <f t="shared" si="856"/>
        <v>2828.8625432856084</v>
      </c>
      <c r="BM298" s="173">
        <f t="shared" si="807"/>
        <v>0.50942499999999991</v>
      </c>
      <c r="BN298" s="173">
        <f t="shared" si="808"/>
        <v>9.0968749999999987E-2</v>
      </c>
      <c r="BQ298" s="460">
        <f t="shared" si="857"/>
        <v>600.39374999999984</v>
      </c>
      <c r="BR298" s="528">
        <f t="shared" si="858"/>
        <v>1.3062048246462407E-2</v>
      </c>
      <c r="BS298" s="528">
        <f t="shared" si="859"/>
        <v>5.7223666039251858E-2</v>
      </c>
      <c r="BT298" s="528">
        <f t="shared" si="860"/>
        <v>5.7522737246564848E-4</v>
      </c>
      <c r="BU298" s="528">
        <f t="shared" si="861"/>
        <v>1.3113660730739791</v>
      </c>
      <c r="BV298" s="528"/>
      <c r="BW298" s="625">
        <f t="shared" si="862"/>
        <v>1.2299999999999998E-2</v>
      </c>
      <c r="BX298" s="460">
        <f t="shared" si="863"/>
        <v>1394.5270147321592</v>
      </c>
      <c r="BY298" s="173">
        <f t="shared" si="864"/>
        <v>4.8237833080177674</v>
      </c>
      <c r="BZ298" s="5">
        <f t="shared" si="865"/>
        <v>14.76</v>
      </c>
      <c r="CA298" s="173">
        <f t="shared" si="866"/>
        <v>0.75368480991908904</v>
      </c>
      <c r="CB298" s="5">
        <f t="shared" si="867"/>
        <v>75.36848099190891</v>
      </c>
      <c r="CC298">
        <f t="shared" si="868"/>
        <v>82</v>
      </c>
      <c r="CE298" s="562">
        <f t="shared" si="809"/>
        <v>-50</v>
      </c>
      <c r="CG298" s="173">
        <f t="shared" si="810"/>
        <v>0.65612498809296993</v>
      </c>
      <c r="CH298" s="173">
        <f t="shared" si="811"/>
        <v>0.23614243360988596</v>
      </c>
      <c r="CI298" s="170">
        <v>82</v>
      </c>
      <c r="CJ298" s="217">
        <f t="shared" si="869"/>
        <v>0.82</v>
      </c>
      <c r="CK298" s="217">
        <f t="shared" si="812"/>
        <v>0.20499999999999999</v>
      </c>
      <c r="CL298" s="217">
        <f t="shared" si="813"/>
        <v>13.12</v>
      </c>
      <c r="CM298" s="217">
        <f t="shared" si="814"/>
        <v>1.64</v>
      </c>
      <c r="CN298" s="541">
        <f t="shared" si="815"/>
        <v>60</v>
      </c>
      <c r="CO298" s="443">
        <f t="shared" si="816"/>
        <v>16.7</v>
      </c>
      <c r="CP298" s="443">
        <f t="shared" si="817"/>
        <v>76.7</v>
      </c>
      <c r="CQ298" s="443"/>
      <c r="CR298" s="217">
        <f t="shared" si="818"/>
        <v>0.21465968586387432</v>
      </c>
      <c r="CS298" s="172">
        <f t="shared" si="819"/>
        <v>28.621291448516576</v>
      </c>
      <c r="CT298" s="172">
        <f t="shared" si="820"/>
        <v>4.0248691099476437</v>
      </c>
      <c r="CU298" s="217">
        <f t="shared" si="821"/>
        <v>1.788830715532286</v>
      </c>
      <c r="CV298" s="217">
        <f t="shared" si="822"/>
        <v>3.577661431064572</v>
      </c>
      <c r="CW298" s="217">
        <f t="shared" si="823"/>
        <v>16</v>
      </c>
      <c r="CX298" s="217">
        <f t="shared" si="824"/>
        <v>2.2920000000000003</v>
      </c>
      <c r="CY298" s="217">
        <f t="shared" si="825"/>
        <v>0.45840000000000003</v>
      </c>
      <c r="CZ298" s="217">
        <f t="shared" si="826"/>
        <v>1.6469461077844314</v>
      </c>
      <c r="DA298" s="197">
        <f t="shared" si="827"/>
        <v>350</v>
      </c>
      <c r="DB298" s="443">
        <f t="shared" si="828"/>
        <v>350</v>
      </c>
      <c r="DD298" s="217">
        <f t="shared" si="829"/>
        <v>3.1104488731607378</v>
      </c>
      <c r="DE298" s="173">
        <f t="shared" si="830"/>
        <v>2.23505308251071</v>
      </c>
      <c r="DF298" s="173">
        <f t="shared" si="831"/>
        <v>1.0814250754144243</v>
      </c>
      <c r="DG298" s="173"/>
      <c r="DH298" s="173">
        <f t="shared" si="832"/>
        <v>0.71856287425149712</v>
      </c>
      <c r="DI298" s="545">
        <f t="shared" si="833"/>
        <v>2282.333333333333</v>
      </c>
      <c r="DJ298" s="528">
        <f t="shared" si="834"/>
        <v>0.125748502994012</v>
      </c>
      <c r="DL298" s="173">
        <f t="shared" si="835"/>
        <v>2.6511453050656102</v>
      </c>
      <c r="DM298" s="173">
        <f t="shared" si="836"/>
        <v>2.6511453050656102</v>
      </c>
      <c r="DN298" s="173">
        <f t="shared" si="837"/>
        <v>2.4230705963448962</v>
      </c>
      <c r="DP298" s="545">
        <f t="shared" si="838"/>
        <v>820</v>
      </c>
      <c r="DQ298" s="460">
        <f t="shared" si="839"/>
        <v>350</v>
      </c>
      <c r="DS298">
        <f t="shared" si="840"/>
        <v>820</v>
      </c>
      <c r="DT298">
        <f t="shared" si="841"/>
        <v>350</v>
      </c>
      <c r="DV298" s="5">
        <f t="shared" si="870"/>
        <v>2.8571428571428572</v>
      </c>
      <c r="DW298" s="5">
        <f t="shared" si="842"/>
        <v>0.53022906101312206</v>
      </c>
      <c r="DX298" s="5">
        <f t="shared" si="843"/>
        <v>2.3269137961297353</v>
      </c>
      <c r="DY298" s="173">
        <f t="shared" si="844"/>
        <v>0.1855801713545927</v>
      </c>
      <c r="EA298" s="5">
        <f t="shared" si="871"/>
        <v>2.7174239376922502</v>
      </c>
      <c r="EB298" s="5">
        <f t="shared" si="872"/>
        <v>1.3587119688461251</v>
      </c>
      <c r="EC298" s="5">
        <f t="shared" si="873"/>
        <v>0.4240154028503072</v>
      </c>
      <c r="ED298" s="5"/>
      <c r="EE298" s="173">
        <f t="shared" si="874"/>
        <v>0.65938443265727775</v>
      </c>
      <c r="EF298" s="173">
        <f t="shared" si="875"/>
        <v>1.3813288213985773</v>
      </c>
      <c r="EG298" s="173">
        <f t="shared" si="876"/>
        <v>0.33923810760818002</v>
      </c>
      <c r="EH298" s="173"/>
      <c r="EI298" s="528">
        <f t="shared" si="877"/>
        <v>8.6957566006152006E-3</v>
      </c>
      <c r="EJ298" s="528">
        <f t="shared" si="878"/>
        <v>1.35222991857524</v>
      </c>
      <c r="EK298" s="528">
        <f t="shared" si="879"/>
        <v>4.0250000000000001E-2</v>
      </c>
      <c r="EL298" s="528">
        <f t="shared" si="880"/>
        <v>1.0140631637499999</v>
      </c>
      <c r="EM298">
        <f t="shared" si="881"/>
        <v>2.7E-2</v>
      </c>
      <c r="EN298" s="460">
        <f t="shared" si="882"/>
        <v>67.25</v>
      </c>
      <c r="EP298" s="460">
        <f t="shared" si="883"/>
        <v>2442.2388389258554</v>
      </c>
      <c r="EQ298" s="173">
        <f t="shared" si="884"/>
        <v>0.57399999999999995</v>
      </c>
      <c r="ER298" s="173">
        <f t="shared" si="845"/>
        <v>9.0968749999999987E-2</v>
      </c>
      <c r="ES298" s="528"/>
      <c r="EU298" s="460">
        <f t="shared" si="885"/>
        <v>664.96874999999989</v>
      </c>
      <c r="EV298" s="528">
        <f t="shared" si="886"/>
        <v>1.3043634900922802E-2</v>
      </c>
      <c r="EW298" s="528">
        <f t="shared" si="887"/>
        <v>5.7242079384791478E-2</v>
      </c>
      <c r="EX298" s="528">
        <f t="shared" si="888"/>
        <v>5.7541246826789568E-4</v>
      </c>
      <c r="EY298" s="528">
        <f t="shared" si="889"/>
        <v>1.3113660730739791</v>
      </c>
      <c r="EZ298" s="528"/>
      <c r="FA298" s="625">
        <f t="shared" si="890"/>
        <v>1.2299999999999998E-2</v>
      </c>
      <c r="FB298" s="460">
        <f t="shared" si="891"/>
        <v>1394.5271998279613</v>
      </c>
      <c r="FC298" s="173">
        <f t="shared" si="892"/>
        <v>4.5017347887538159</v>
      </c>
      <c r="FD298" s="5">
        <f t="shared" si="893"/>
        <v>14.76</v>
      </c>
      <c r="FE298" s="173">
        <f t="shared" si="894"/>
        <v>0.76628611918267064</v>
      </c>
      <c r="FF298" s="5">
        <f t="shared" si="895"/>
        <v>76.628611918267069</v>
      </c>
      <c r="FG298">
        <f t="shared" si="896"/>
        <v>82</v>
      </c>
      <c r="FI298" s="562">
        <f t="shared" si="846"/>
        <v>-50</v>
      </c>
    </row>
    <row r="299" spans="5:165">
      <c r="E299" s="170">
        <v>83</v>
      </c>
      <c r="F299" s="217">
        <f t="shared" si="847"/>
        <v>0.83</v>
      </c>
      <c r="G299" s="217">
        <f t="shared" si="775"/>
        <v>0.20749999999999999</v>
      </c>
      <c r="H299" s="217">
        <f t="shared" si="776"/>
        <v>13.28</v>
      </c>
      <c r="I299" s="217">
        <f t="shared" si="777"/>
        <v>1.66</v>
      </c>
      <c r="J299" s="541">
        <f t="shared" si="778"/>
        <v>59.914904853577362</v>
      </c>
      <c r="K299" s="443">
        <f t="shared" si="779"/>
        <v>16.73772077866186</v>
      </c>
      <c r="L299" s="172">
        <f t="shared" si="780"/>
        <v>76.652625632239221</v>
      </c>
      <c r="M299" s="443"/>
      <c r="N299" s="217">
        <f t="shared" si="781"/>
        <v>0.21835808807079096</v>
      </c>
      <c r="O299" s="172">
        <f t="shared" si="782"/>
        <v>29.073120157267795</v>
      </c>
      <c r="P299" s="172">
        <f t="shared" si="783"/>
        <v>4.0884075221157836</v>
      </c>
      <c r="Q299" s="217">
        <f t="shared" si="784"/>
        <v>1.8170700098292372</v>
      </c>
      <c r="R299" s="217">
        <f t="shared" si="785"/>
        <v>3.6341400196584743</v>
      </c>
      <c r="S299" s="217">
        <f t="shared" si="786"/>
        <v>16</v>
      </c>
      <c r="T299" s="217">
        <f t="shared" si="787"/>
        <v>2.2838965904181121</v>
      </c>
      <c r="U299" s="217">
        <f t="shared" si="788"/>
        <v>0.4574280665553116</v>
      </c>
      <c r="V299" s="217">
        <f t="shared" si="789"/>
        <v>1.6374247991970894</v>
      </c>
      <c r="W299" s="197">
        <f t="shared" si="790"/>
        <v>350</v>
      </c>
      <c r="X299" s="443">
        <f t="shared" si="848"/>
        <v>350</v>
      </c>
      <c r="Z299" s="217">
        <f t="shared" si="791"/>
        <v>3.1149771597072635</v>
      </c>
      <c r="AA299" s="173">
        <f t="shared" si="792"/>
        <v>2.2332626055120262</v>
      </c>
      <c r="AB299" s="173">
        <f t="shared" si="793"/>
        <v>1.0821318678797347</v>
      </c>
      <c r="AC299" s="173"/>
      <c r="AD299" s="173">
        <f t="shared" si="794"/>
        <v>0.71694349300522686</v>
      </c>
      <c r="AE299" s="545">
        <f t="shared" si="795"/>
        <v>2315.3847077148907</v>
      </c>
      <c r="AF299" s="528">
        <f t="shared" si="796"/>
        <v>0.1254651112759147</v>
      </c>
      <c r="AH299" s="173">
        <f t="shared" si="797"/>
        <v>2.6672618383439062</v>
      </c>
      <c r="AI299" s="173">
        <f t="shared" si="798"/>
        <v>2.6672618383439062</v>
      </c>
      <c r="AJ299" s="173">
        <f t="shared" si="799"/>
        <v>2.435008769143634</v>
      </c>
      <c r="AL299" s="545">
        <f t="shared" si="800"/>
        <v>830</v>
      </c>
      <c r="AM299" s="460">
        <f t="shared" si="801"/>
        <v>350</v>
      </c>
      <c r="AO299">
        <f t="shared" si="802"/>
        <v>830</v>
      </c>
      <c r="AP299">
        <f t="shared" si="803"/>
        <v>350</v>
      </c>
      <c r="AR299" s="5">
        <f t="shared" si="774"/>
        <v>2.8571428571428572</v>
      </c>
      <c r="AS299" s="5">
        <f t="shared" si="739"/>
        <v>0.53421001232243148</v>
      </c>
      <c r="AT299" s="5">
        <f t="shared" si="740"/>
        <v>2.3229328448204258</v>
      </c>
      <c r="AU299" s="173">
        <f t="shared" si="741"/>
        <v>0.18697350431285101</v>
      </c>
      <c r="BA299" s="173">
        <f t="shared" si="849"/>
        <v>0.66587860021750067</v>
      </c>
      <c r="BB299" s="173">
        <f t="shared" si="850"/>
        <v>1.3885367338320413</v>
      </c>
      <c r="BC299" s="173">
        <f t="shared" si="851"/>
        <v>0.34100828610286898</v>
      </c>
      <c r="BD299" s="173"/>
      <c r="BE299" s="528">
        <f t="shared" si="852"/>
        <v>8.8678862045523631E-3</v>
      </c>
      <c r="BF299" s="528">
        <f t="shared" si="804"/>
        <v>1.3059411304200235</v>
      </c>
      <c r="BG299" s="528">
        <f t="shared" si="805"/>
        <v>0.48231498407129775</v>
      </c>
      <c r="BH299" s="528">
        <f t="shared" si="853"/>
        <v>1.012810862187508</v>
      </c>
      <c r="BI299">
        <f t="shared" si="854"/>
        <v>2.6961707184109812E-2</v>
      </c>
      <c r="BJ299" s="460">
        <f t="shared" si="855"/>
        <v>509.27669125540751</v>
      </c>
      <c r="BK299">
        <f t="shared" si="806"/>
        <v>2.3349339366860065</v>
      </c>
      <c r="BL299" s="460">
        <f t="shared" si="856"/>
        <v>2836.8965700674917</v>
      </c>
      <c r="BM299" s="173">
        <f t="shared" si="807"/>
        <v>0.51563749999999997</v>
      </c>
      <c r="BN299" s="173">
        <f t="shared" si="808"/>
        <v>9.2078124999999997E-2</v>
      </c>
      <c r="BQ299" s="460">
        <f t="shared" si="857"/>
        <v>607.71562499999993</v>
      </c>
      <c r="BR299" s="528">
        <f t="shared" si="858"/>
        <v>1.3301829306828543E-2</v>
      </c>
      <c r="BS299" s="528">
        <f t="shared" si="859"/>
        <v>5.7841027836028597E-2</v>
      </c>
      <c r="BT299" s="528">
        <f t="shared" si="860"/>
        <v>5.8143325595408075E-4</v>
      </c>
      <c r="BU299" s="528">
        <f t="shared" si="861"/>
        <v>1.3313867902143413</v>
      </c>
      <c r="BV299" s="528"/>
      <c r="BW299" s="625">
        <f t="shared" si="862"/>
        <v>1.2449999999999999E-2</v>
      </c>
      <c r="BX299" s="460">
        <f t="shared" si="863"/>
        <v>1415.5610806131526</v>
      </c>
      <c r="BY299" s="173">
        <f t="shared" si="864"/>
        <v>4.8601732756806442</v>
      </c>
      <c r="BZ299" s="5">
        <f t="shared" si="865"/>
        <v>14.94</v>
      </c>
      <c r="CA299" s="173">
        <f t="shared" si="866"/>
        <v>0.75453885135186671</v>
      </c>
      <c r="CB299" s="5">
        <f t="shared" si="867"/>
        <v>75.453885135186667</v>
      </c>
      <c r="CC299">
        <f t="shared" si="868"/>
        <v>83</v>
      </c>
      <c r="CE299" s="562">
        <f t="shared" si="809"/>
        <v>-50</v>
      </c>
      <c r="CG299" s="173">
        <f t="shared" si="810"/>
        <v>0.66011362658257555</v>
      </c>
      <c r="CH299" s="173">
        <f t="shared" si="811"/>
        <v>0.23757796314590182</v>
      </c>
      <c r="CI299" s="170">
        <v>83</v>
      </c>
      <c r="CJ299" s="217">
        <f t="shared" si="869"/>
        <v>0.83</v>
      </c>
      <c r="CK299" s="217">
        <f t="shared" si="812"/>
        <v>0.20749999999999999</v>
      </c>
      <c r="CL299" s="217">
        <f t="shared" si="813"/>
        <v>13.28</v>
      </c>
      <c r="CM299" s="217">
        <f t="shared" si="814"/>
        <v>1.66</v>
      </c>
      <c r="CN299" s="541">
        <f t="shared" si="815"/>
        <v>60</v>
      </c>
      <c r="CO299" s="443">
        <f t="shared" si="816"/>
        <v>16.7</v>
      </c>
      <c r="CP299" s="443">
        <f t="shared" si="817"/>
        <v>76.7</v>
      </c>
      <c r="CQ299" s="443"/>
      <c r="CR299" s="217">
        <f t="shared" si="818"/>
        <v>0.21465968586387432</v>
      </c>
      <c r="CS299" s="172">
        <f t="shared" si="819"/>
        <v>28.621291448516576</v>
      </c>
      <c r="CT299" s="172">
        <f t="shared" si="820"/>
        <v>4.0248691099476437</v>
      </c>
      <c r="CU299" s="217">
        <f t="shared" si="821"/>
        <v>1.788830715532286</v>
      </c>
      <c r="CV299" s="217">
        <f t="shared" si="822"/>
        <v>3.577661431064572</v>
      </c>
      <c r="CW299" s="217">
        <f t="shared" si="823"/>
        <v>16</v>
      </c>
      <c r="CX299" s="217">
        <f t="shared" si="824"/>
        <v>2.3199512195121952</v>
      </c>
      <c r="CY299" s="217">
        <f t="shared" si="825"/>
        <v>0.46399024390243904</v>
      </c>
      <c r="CZ299" s="217">
        <f t="shared" si="826"/>
        <v>1.6670308164159486</v>
      </c>
      <c r="DA299" s="197">
        <f t="shared" si="827"/>
        <v>350</v>
      </c>
      <c r="DB299" s="443">
        <f t="shared" si="828"/>
        <v>350</v>
      </c>
      <c r="DD299" s="217">
        <f t="shared" si="829"/>
        <v>3.1104488731607378</v>
      </c>
      <c r="DE299" s="173">
        <f t="shared" si="830"/>
        <v>2.23505308251071</v>
      </c>
      <c r="DF299" s="173">
        <f t="shared" si="831"/>
        <v>1.0814250754144243</v>
      </c>
      <c r="DG299" s="173"/>
      <c r="DH299" s="173">
        <f t="shared" si="832"/>
        <v>0.71856287425149712</v>
      </c>
      <c r="DI299" s="545">
        <f t="shared" si="833"/>
        <v>2310.1666666666661</v>
      </c>
      <c r="DJ299" s="528">
        <f t="shared" si="834"/>
        <v>0.125748502994012</v>
      </c>
      <c r="DL299" s="173">
        <f t="shared" si="835"/>
        <v>2.6672618383439062</v>
      </c>
      <c r="DM299" s="173">
        <f t="shared" si="836"/>
        <v>2.6672618383439062</v>
      </c>
      <c r="DN299" s="173">
        <f t="shared" si="837"/>
        <v>2.435008769143634</v>
      </c>
      <c r="DP299" s="545">
        <f t="shared" si="838"/>
        <v>830</v>
      </c>
      <c r="DQ299" s="460">
        <f t="shared" si="839"/>
        <v>350</v>
      </c>
      <c r="DS299">
        <f t="shared" si="840"/>
        <v>830</v>
      </c>
      <c r="DT299">
        <f t="shared" si="841"/>
        <v>350</v>
      </c>
      <c r="DV299" s="5">
        <f t="shared" si="870"/>
        <v>2.8571428571428572</v>
      </c>
      <c r="DW299" s="5">
        <f t="shared" si="842"/>
        <v>0.53345236766878112</v>
      </c>
      <c r="DX299" s="5">
        <f t="shared" si="843"/>
        <v>2.323690489474076</v>
      </c>
      <c r="DY299" s="173">
        <f t="shared" si="844"/>
        <v>0.18670832868407339</v>
      </c>
      <c r="EA299" s="5">
        <f t="shared" si="871"/>
        <v>2.7672841572818019</v>
      </c>
      <c r="EB299" s="5">
        <f t="shared" si="872"/>
        <v>1.3836420786409009</v>
      </c>
      <c r="EC299" s="5">
        <f t="shared" si="873"/>
        <v>0.42859180139188502</v>
      </c>
      <c r="ED299" s="5"/>
      <c r="EE299" s="173">
        <f t="shared" si="874"/>
        <v>0.6654062407019401</v>
      </c>
      <c r="EF299" s="173">
        <f t="shared" si="875"/>
        <v>1.3887631570082364</v>
      </c>
      <c r="EG299" s="173">
        <f t="shared" si="876"/>
        <v>0.34106389297114037</v>
      </c>
      <c r="EH299" s="173"/>
      <c r="EI299" s="528">
        <f t="shared" si="877"/>
        <v>8.8553093033017644E-3</v>
      </c>
      <c r="EJ299" s="528">
        <f t="shared" si="878"/>
        <v>1.360450236956501</v>
      </c>
      <c r="EK299" s="528">
        <f t="shared" si="879"/>
        <v>4.0250000000000001E-2</v>
      </c>
      <c r="EL299" s="528">
        <f t="shared" si="880"/>
        <v>1.0140631637499999</v>
      </c>
      <c r="EM299">
        <f t="shared" si="881"/>
        <v>2.7E-2</v>
      </c>
      <c r="EN299" s="460">
        <f t="shared" si="882"/>
        <v>67.25</v>
      </c>
      <c r="EP299" s="460">
        <f t="shared" si="883"/>
        <v>2450.6187100098023</v>
      </c>
      <c r="EQ299" s="173">
        <f t="shared" si="884"/>
        <v>0.58099999999999996</v>
      </c>
      <c r="ER299" s="173">
        <f t="shared" si="845"/>
        <v>9.2078124999999997E-2</v>
      </c>
      <c r="ES299" s="528"/>
      <c r="EU299" s="460">
        <f t="shared" si="885"/>
        <v>673.078125</v>
      </c>
      <c r="EV299" s="528">
        <f t="shared" si="886"/>
        <v>1.3282963954952647E-2</v>
      </c>
      <c r="EW299" s="528">
        <f t="shared" si="887"/>
        <v>5.78598931879045E-2</v>
      </c>
      <c r="EX299" s="528">
        <f t="shared" si="888"/>
        <v>5.8162289544314743E-4</v>
      </c>
      <c r="EY299" s="528">
        <f t="shared" si="889"/>
        <v>1.3313867902143413</v>
      </c>
      <c r="EZ299" s="528"/>
      <c r="FA299" s="625">
        <f t="shared" si="890"/>
        <v>1.2449999999999999E-2</v>
      </c>
      <c r="FB299" s="460">
        <f t="shared" si="891"/>
        <v>1415.5612702526416</v>
      </c>
      <c r="FC299" s="173">
        <f t="shared" si="892"/>
        <v>4.5392581052624443</v>
      </c>
      <c r="FD299" s="5">
        <f t="shared" si="893"/>
        <v>14.94</v>
      </c>
      <c r="FE299" s="173">
        <f t="shared" si="894"/>
        <v>0.76696966174311654</v>
      </c>
      <c r="FF299" s="5">
        <f t="shared" si="895"/>
        <v>76.696966174311655</v>
      </c>
      <c r="FG299">
        <f t="shared" si="896"/>
        <v>83</v>
      </c>
      <c r="FI299" s="562">
        <f t="shared" si="846"/>
        <v>-50</v>
      </c>
    </row>
    <row r="300" spans="5:165">
      <c r="E300" s="170">
        <v>84</v>
      </c>
      <c r="F300" s="217">
        <f t="shared" si="847"/>
        <v>0.84</v>
      </c>
      <c r="G300" s="217">
        <f t="shared" si="775"/>
        <v>0.21</v>
      </c>
      <c r="H300" s="217">
        <f t="shared" si="776"/>
        <v>13.44</v>
      </c>
      <c r="I300" s="217">
        <f t="shared" si="777"/>
        <v>1.68</v>
      </c>
      <c r="J300" s="541">
        <f t="shared" si="778"/>
        <v>59.914393767021636</v>
      </c>
      <c r="K300" s="443">
        <f t="shared" si="779"/>
        <v>16.737947331922019</v>
      </c>
      <c r="L300" s="172">
        <f t="shared" si="780"/>
        <v>76.652341098943651</v>
      </c>
      <c r="M300" s="443"/>
      <c r="N300" s="217">
        <f t="shared" si="781"/>
        <v>0.2183618542102517</v>
      </c>
      <c r="O300" s="172">
        <f t="shared" si="782"/>
        <v>29.073373592999978</v>
      </c>
      <c r="P300" s="172">
        <f t="shared" si="783"/>
        <v>4.088443161515622</v>
      </c>
      <c r="Q300" s="217">
        <f t="shared" si="784"/>
        <v>1.8170858495624986</v>
      </c>
      <c r="R300" s="217">
        <f t="shared" si="785"/>
        <v>3.6341716991249973</v>
      </c>
      <c r="S300" s="217">
        <f t="shared" si="786"/>
        <v>16</v>
      </c>
      <c r="T300" s="217">
        <f t="shared" si="787"/>
        <v>2.3113932679687297</v>
      </c>
      <c r="U300" s="217">
        <f t="shared" si="788"/>
        <v>0.4629391615557284</v>
      </c>
      <c r="V300" s="217">
        <f t="shared" si="789"/>
        <v>1.6571159333693368</v>
      </c>
      <c r="W300" s="197">
        <f t="shared" si="790"/>
        <v>350</v>
      </c>
      <c r="X300" s="443">
        <f t="shared" si="848"/>
        <v>350</v>
      </c>
      <c r="Z300" s="217">
        <f t="shared" si="791"/>
        <v>3.1150043135357119</v>
      </c>
      <c r="AA300" s="173">
        <f t="shared" si="792"/>
        <v>2.2332518451135663</v>
      </c>
      <c r="AB300" s="173">
        <f t="shared" si="793"/>
        <v>1.0821360870040539</v>
      </c>
      <c r="AC300" s="173"/>
      <c r="AD300" s="173">
        <f t="shared" si="794"/>
        <v>0.7169337889547559</v>
      </c>
      <c r="AE300" s="545">
        <f t="shared" si="795"/>
        <v>2343.3126264690827</v>
      </c>
      <c r="AF300" s="528">
        <f t="shared" si="796"/>
        <v>0.12546341306708228</v>
      </c>
      <c r="AH300" s="173">
        <f t="shared" si="797"/>
        <v>2.6832815729997477</v>
      </c>
      <c r="AI300" s="173">
        <f t="shared" si="798"/>
        <v>2.6832815729997477</v>
      </c>
      <c r="AJ300" s="173">
        <f t="shared" si="799"/>
        <v>2.4468752392590725</v>
      </c>
      <c r="AL300" s="545">
        <f t="shared" si="800"/>
        <v>840</v>
      </c>
      <c r="AM300" s="460">
        <f t="shared" si="801"/>
        <v>350</v>
      </c>
      <c r="AO300">
        <f t="shared" si="802"/>
        <v>840</v>
      </c>
      <c r="AP300">
        <f t="shared" si="803"/>
        <v>350</v>
      </c>
      <c r="AR300" s="5">
        <f t="shared" si="774"/>
        <v>2.8571428571428572</v>
      </c>
      <c r="AS300" s="5">
        <f t="shared" si="739"/>
        <v>0.53742309404322652</v>
      </c>
      <c r="AT300" s="5">
        <f t="shared" si="740"/>
        <v>2.3197197630996307</v>
      </c>
      <c r="AU300" s="173">
        <f t="shared" si="741"/>
        <v>0.18809808291512928</v>
      </c>
      <c r="BA300" s="173">
        <f t="shared" si="849"/>
        <v>0.67188942467961976</v>
      </c>
      <c r="BB300" s="173">
        <f t="shared" si="850"/>
        <v>1.3959099544754632</v>
      </c>
      <c r="BC300" s="173">
        <f t="shared" si="851"/>
        <v>0.34281906234912107</v>
      </c>
      <c r="BD300" s="173"/>
      <c r="BE300" s="528">
        <f t="shared" si="852"/>
        <v>9.0287079799262083E-3</v>
      </c>
      <c r="BF300" s="528">
        <f t="shared" si="804"/>
        <v>1.3137798144677793</v>
      </c>
      <c r="BG300" s="528">
        <f t="shared" si="805"/>
        <v>0.48231086982452415</v>
      </c>
      <c r="BH300" s="528">
        <f t="shared" si="853"/>
        <v>1.0128033431266756</v>
      </c>
      <c r="BI300">
        <f t="shared" si="854"/>
        <v>2.6961477195159737E-2</v>
      </c>
      <c r="BJ300" s="460">
        <f t="shared" si="855"/>
        <v>509.27234701968393</v>
      </c>
      <c r="BK300">
        <f t="shared" si="806"/>
        <v>2.3430760326764162</v>
      </c>
      <c r="BL300" s="460">
        <f t="shared" si="856"/>
        <v>2844.8842125940655</v>
      </c>
      <c r="BM300" s="173">
        <f t="shared" si="807"/>
        <v>0.52184999999999993</v>
      </c>
      <c r="BN300" s="173">
        <f t="shared" si="808"/>
        <v>9.3187499999999993E-2</v>
      </c>
      <c r="BQ300" s="460">
        <f t="shared" si="857"/>
        <v>615.03749999999991</v>
      </c>
      <c r="BR300" s="528">
        <f t="shared" si="858"/>
        <v>1.3543061969889312E-2</v>
      </c>
      <c r="BS300" s="528">
        <f t="shared" si="859"/>
        <v>5.8456938030110685E-2</v>
      </c>
      <c r="BT300" s="528">
        <f t="shared" si="860"/>
        <v>5.8762454754965289E-4</v>
      </c>
      <c r="BU300" s="528">
        <f t="shared" si="861"/>
        <v>1.3514679029096357</v>
      </c>
      <c r="BV300" s="528"/>
      <c r="BW300" s="625">
        <f t="shared" si="862"/>
        <v>1.2600000000000002E-2</v>
      </c>
      <c r="BX300" s="460">
        <f t="shared" si="863"/>
        <v>1436.6555274571854</v>
      </c>
      <c r="BY300" s="173">
        <f t="shared" si="864"/>
        <v>4.8965772400512506</v>
      </c>
      <c r="BZ300" s="5">
        <f t="shared" si="865"/>
        <v>15.12</v>
      </c>
      <c r="CA300" s="173">
        <f t="shared" si="866"/>
        <v>0.7553738992771617</v>
      </c>
      <c r="CB300" s="5">
        <f t="shared" si="867"/>
        <v>75.537389927716163</v>
      </c>
      <c r="CC300">
        <f t="shared" si="868"/>
        <v>84</v>
      </c>
      <c r="CE300" s="562">
        <f t="shared" si="809"/>
        <v>-50</v>
      </c>
      <c r="CG300" s="173">
        <f t="shared" si="810"/>
        <v>0.66407830863535966</v>
      </c>
      <c r="CH300" s="173">
        <f t="shared" si="811"/>
        <v>0.23900487064892961</v>
      </c>
      <c r="CI300" s="170">
        <v>84</v>
      </c>
      <c r="CJ300" s="217">
        <f t="shared" si="869"/>
        <v>0.84</v>
      </c>
      <c r="CK300" s="217">
        <f t="shared" si="812"/>
        <v>0.21</v>
      </c>
      <c r="CL300" s="217">
        <f t="shared" si="813"/>
        <v>13.44</v>
      </c>
      <c r="CM300" s="217">
        <f t="shared" si="814"/>
        <v>1.68</v>
      </c>
      <c r="CN300" s="541">
        <f t="shared" si="815"/>
        <v>60</v>
      </c>
      <c r="CO300" s="443">
        <f t="shared" si="816"/>
        <v>16.7</v>
      </c>
      <c r="CP300" s="443">
        <f t="shared" si="817"/>
        <v>76.7</v>
      </c>
      <c r="CQ300" s="443"/>
      <c r="CR300" s="217">
        <f t="shared" si="818"/>
        <v>0.21465968586387432</v>
      </c>
      <c r="CS300" s="172">
        <f t="shared" si="819"/>
        <v>28.621291448516576</v>
      </c>
      <c r="CT300" s="172">
        <f t="shared" si="820"/>
        <v>4.0248691099476437</v>
      </c>
      <c r="CU300" s="217">
        <f t="shared" si="821"/>
        <v>1.788830715532286</v>
      </c>
      <c r="CV300" s="217">
        <f t="shared" si="822"/>
        <v>3.577661431064572</v>
      </c>
      <c r="CW300" s="217">
        <f t="shared" si="823"/>
        <v>16</v>
      </c>
      <c r="CX300" s="217">
        <f t="shared" si="824"/>
        <v>2.3479024390243906</v>
      </c>
      <c r="CY300" s="217">
        <f t="shared" si="825"/>
        <v>0.46958048780487815</v>
      </c>
      <c r="CZ300" s="217">
        <f t="shared" si="826"/>
        <v>1.6871155250474665</v>
      </c>
      <c r="DA300" s="197">
        <f t="shared" si="827"/>
        <v>350</v>
      </c>
      <c r="DB300" s="443">
        <f t="shared" si="828"/>
        <v>350</v>
      </c>
      <c r="DD300" s="217">
        <f t="shared" si="829"/>
        <v>3.1104488731607378</v>
      </c>
      <c r="DE300" s="173">
        <f t="shared" si="830"/>
        <v>2.23505308251071</v>
      </c>
      <c r="DF300" s="173">
        <f t="shared" si="831"/>
        <v>1.0814250754144243</v>
      </c>
      <c r="DG300" s="173"/>
      <c r="DH300" s="173">
        <f t="shared" si="832"/>
        <v>0.71856287425149712</v>
      </c>
      <c r="DI300" s="545">
        <f t="shared" si="833"/>
        <v>2337.9999999999995</v>
      </c>
      <c r="DJ300" s="528">
        <f t="shared" si="834"/>
        <v>0.125748502994012</v>
      </c>
      <c r="DL300" s="173">
        <f t="shared" si="835"/>
        <v>2.6832815729997477</v>
      </c>
      <c r="DM300" s="173">
        <f t="shared" si="836"/>
        <v>2.6832815729997477</v>
      </c>
      <c r="DN300" s="173">
        <f t="shared" si="837"/>
        <v>2.4468752392590725</v>
      </c>
      <c r="DP300" s="545">
        <f t="shared" si="838"/>
        <v>840</v>
      </c>
      <c r="DQ300" s="460">
        <f t="shared" si="839"/>
        <v>350</v>
      </c>
      <c r="DS300">
        <f t="shared" si="840"/>
        <v>840</v>
      </c>
      <c r="DT300">
        <f t="shared" si="841"/>
        <v>350</v>
      </c>
      <c r="DV300" s="5">
        <f t="shared" si="870"/>
        <v>2.8571428571428572</v>
      </c>
      <c r="DW300" s="5">
        <f t="shared" si="842"/>
        <v>0.53665631459994956</v>
      </c>
      <c r="DX300" s="5">
        <f t="shared" si="843"/>
        <v>2.3204865425429078</v>
      </c>
      <c r="DY300" s="173">
        <f t="shared" si="844"/>
        <v>0.18782971010998234</v>
      </c>
      <c r="EA300" s="5">
        <f t="shared" si="871"/>
        <v>2.8174456516497353</v>
      </c>
      <c r="EB300" s="5">
        <f t="shared" si="872"/>
        <v>1.4087228258248676</v>
      </c>
      <c r="EC300" s="5">
        <f t="shared" si="873"/>
        <v>0.43315748794134279</v>
      </c>
      <c r="ED300" s="5"/>
      <c r="EE300" s="173">
        <f t="shared" si="874"/>
        <v>0.67140993756717482</v>
      </c>
      <c r="EF300" s="173">
        <f t="shared" si="875"/>
        <v>1.3961406432505437</v>
      </c>
      <c r="EG300" s="173">
        <f t="shared" si="876"/>
        <v>0.34287571679829526</v>
      </c>
      <c r="EH300" s="173"/>
      <c r="EI300" s="528">
        <f t="shared" si="877"/>
        <v>9.0158260852791512E-3</v>
      </c>
      <c r="EJ300" s="528">
        <f t="shared" si="878"/>
        <v>1.3686211827163863</v>
      </c>
      <c r="EK300" s="528">
        <f t="shared" si="879"/>
        <v>4.0250000000000001E-2</v>
      </c>
      <c r="EL300" s="528">
        <f t="shared" si="880"/>
        <v>1.0140631637499999</v>
      </c>
      <c r="EM300">
        <f t="shared" si="881"/>
        <v>2.7E-2</v>
      </c>
      <c r="EN300" s="460">
        <f t="shared" si="882"/>
        <v>67.25</v>
      </c>
      <c r="EP300" s="460">
        <f t="shared" si="883"/>
        <v>2458.9501725516652</v>
      </c>
      <c r="EQ300" s="173">
        <f t="shared" si="884"/>
        <v>0.58799999999999997</v>
      </c>
      <c r="ER300" s="173">
        <f t="shared" si="845"/>
        <v>9.3187499999999993E-2</v>
      </c>
      <c r="ES300" s="528"/>
      <c r="EU300" s="460">
        <f t="shared" si="885"/>
        <v>681.1875</v>
      </c>
      <c r="EV300" s="528">
        <f t="shared" si="886"/>
        <v>1.3523739127918728E-2</v>
      </c>
      <c r="EW300" s="528">
        <f t="shared" si="887"/>
        <v>5.847626087208125E-2</v>
      </c>
      <c r="EX300" s="528">
        <f t="shared" si="888"/>
        <v>5.8781878584972388E-4</v>
      </c>
      <c r="EY300" s="528">
        <f t="shared" si="889"/>
        <v>1.3514679029096357</v>
      </c>
      <c r="EZ300" s="528"/>
      <c r="FA300" s="625">
        <f t="shared" si="890"/>
        <v>1.2600000000000002E-2</v>
      </c>
      <c r="FB300" s="460">
        <f t="shared" si="891"/>
        <v>1436.6557216954855</v>
      </c>
      <c r="FC300" s="173">
        <f t="shared" si="892"/>
        <v>4.5767933942471508</v>
      </c>
      <c r="FD300" s="5">
        <f t="shared" si="893"/>
        <v>15.12</v>
      </c>
      <c r="FE300" s="173">
        <f t="shared" si="894"/>
        <v>0.76763764016614511</v>
      </c>
      <c r="FF300" s="5">
        <f t="shared" si="895"/>
        <v>76.763764016614516</v>
      </c>
      <c r="FG300">
        <f t="shared" si="896"/>
        <v>84</v>
      </c>
      <c r="FI300" s="562">
        <f t="shared" si="846"/>
        <v>-50</v>
      </c>
    </row>
    <row r="301" spans="5:165">
      <c r="E301" s="170">
        <v>85</v>
      </c>
      <c r="F301" s="217">
        <f t="shared" si="847"/>
        <v>0.85</v>
      </c>
      <c r="G301" s="217">
        <f t="shared" si="775"/>
        <v>0.21249999999999999</v>
      </c>
      <c r="H301" s="217">
        <f t="shared" si="776"/>
        <v>13.6</v>
      </c>
      <c r="I301" s="217">
        <f t="shared" si="777"/>
        <v>1.7</v>
      </c>
      <c r="J301" s="541">
        <f t="shared" si="778"/>
        <v>59.913885713700907</v>
      </c>
      <c r="K301" s="443">
        <f t="shared" si="779"/>
        <v>16.738172540616819</v>
      </c>
      <c r="L301" s="172">
        <f t="shared" si="780"/>
        <v>76.652058254317723</v>
      </c>
      <c r="M301" s="443"/>
      <c r="N301" s="217">
        <f t="shared" si="781"/>
        <v>0.21836559802585573</v>
      </c>
      <c r="O301" s="172">
        <f t="shared" si="782"/>
        <v>29.073625519833495</v>
      </c>
      <c r="P301" s="172">
        <f t="shared" si="783"/>
        <v>4.0884785887265851</v>
      </c>
      <c r="Q301" s="217">
        <f t="shared" si="784"/>
        <v>1.8171015949895934</v>
      </c>
      <c r="R301" s="217">
        <f t="shared" si="785"/>
        <v>3.6342031899791869</v>
      </c>
      <c r="S301" s="217">
        <f t="shared" si="786"/>
        <v>16</v>
      </c>
      <c r="T301" s="217">
        <f t="shared" si="787"/>
        <v>2.3388895875270745</v>
      </c>
      <c r="U301" s="217">
        <f t="shared" si="788"/>
        <v>0.46845025516191324</v>
      </c>
      <c r="V301" s="217">
        <f t="shared" si="789"/>
        <v>1.6768064125410556</v>
      </c>
      <c r="W301" s="197">
        <f t="shared" si="790"/>
        <v>350</v>
      </c>
      <c r="X301" s="443">
        <f t="shared" si="848"/>
        <v>350</v>
      </c>
      <c r="Z301" s="217">
        <f t="shared" si="791"/>
        <v>3.1150313056964447</v>
      </c>
      <c r="AA301" s="173">
        <f t="shared" si="792"/>
        <v>2.2332411484975547</v>
      </c>
      <c r="AB301" s="173">
        <f t="shared" si="793"/>
        <v>1.0821402807816791</v>
      </c>
      <c r="AC301" s="173"/>
      <c r="AD301" s="173">
        <f t="shared" si="794"/>
        <v>0.71692414275697192</v>
      </c>
      <c r="AE301" s="545">
        <f t="shared" si="795"/>
        <v>2371.2411099207161</v>
      </c>
      <c r="AF301" s="528">
        <f t="shared" si="796"/>
        <v>0.12546172498247007</v>
      </c>
      <c r="AH301" s="173">
        <f t="shared" si="797"/>
        <v>2.6992062325273118</v>
      </c>
      <c r="AI301" s="173">
        <f t="shared" si="798"/>
        <v>2.6992062325273118</v>
      </c>
      <c r="AJ301" s="173">
        <f t="shared" si="799"/>
        <v>2.4586712833535644</v>
      </c>
      <c r="AL301" s="545">
        <f t="shared" si="800"/>
        <v>850</v>
      </c>
      <c r="AM301" s="460">
        <f t="shared" si="801"/>
        <v>350</v>
      </c>
      <c r="AO301">
        <f t="shared" si="802"/>
        <v>850</v>
      </c>
      <c r="AP301">
        <f t="shared" si="803"/>
        <v>350</v>
      </c>
      <c r="AR301" s="5">
        <f t="shared" si="774"/>
        <v>2.8571428571428572</v>
      </c>
      <c r="AS301" s="5">
        <f t="shared" si="739"/>
        <v>0.54061716085493006</v>
      </c>
      <c r="AT301" s="5">
        <f t="shared" si="740"/>
        <v>2.3165256962879273</v>
      </c>
      <c r="AU301" s="173">
        <f t="shared" si="741"/>
        <v>0.18921600629922553</v>
      </c>
      <c r="BA301" s="173">
        <f t="shared" si="849"/>
        <v>0.67788242839499135</v>
      </c>
      <c r="BB301" s="173">
        <f t="shared" si="850"/>
        <v>1.4032272951467049</v>
      </c>
      <c r="BC301" s="173">
        <f t="shared" si="851"/>
        <v>0.34461611513161722</v>
      </c>
      <c r="BD301" s="173"/>
      <c r="BE301" s="528">
        <f t="shared" si="852"/>
        <v>9.1904917345338108E-3</v>
      </c>
      <c r="BF301" s="528">
        <f t="shared" si="804"/>
        <v>1.3215719191898452</v>
      </c>
      <c r="BG301" s="528">
        <f t="shared" si="805"/>
        <v>0.48230677999529231</v>
      </c>
      <c r="BH301" s="528">
        <f t="shared" si="853"/>
        <v>1.0127958687181944</v>
      </c>
      <c r="BI301">
        <f t="shared" si="854"/>
        <v>2.6961248571165407E-2</v>
      </c>
      <c r="BJ301" s="460">
        <f t="shared" si="855"/>
        <v>509.2680285664577</v>
      </c>
      <c r="BK301">
        <f t="shared" si="806"/>
        <v>2.3511738787287983</v>
      </c>
      <c r="BL301" s="460">
        <f t="shared" si="856"/>
        <v>2852.8263082090311</v>
      </c>
      <c r="BM301" s="173">
        <f t="shared" si="807"/>
        <v>0.52806249999999999</v>
      </c>
      <c r="BN301" s="173">
        <f t="shared" si="808"/>
        <v>9.4296874999999988E-2</v>
      </c>
      <c r="BQ301" s="460">
        <f t="shared" si="857"/>
        <v>622.35937499999989</v>
      </c>
      <c r="BR301" s="528">
        <f t="shared" si="858"/>
        <v>1.3785737601800716E-2</v>
      </c>
      <c r="BS301" s="528">
        <f t="shared" si="859"/>
        <v>5.9071405255342123E-2</v>
      </c>
      <c r="BT301" s="528">
        <f t="shared" si="860"/>
        <v>5.9380133404204026E-4</v>
      </c>
      <c r="BU301" s="528">
        <f t="shared" si="861"/>
        <v>1.3716088710848857</v>
      </c>
      <c r="BV301" s="528"/>
      <c r="BW301" s="625">
        <f t="shared" si="862"/>
        <v>1.2749999999999997E-2</v>
      </c>
      <c r="BX301" s="460">
        <f t="shared" si="863"/>
        <v>1457.8098152760706</v>
      </c>
      <c r="BY301" s="173">
        <f t="shared" si="864"/>
        <v>4.9329954984851012</v>
      </c>
      <c r="BZ301" s="5">
        <f t="shared" si="865"/>
        <v>15.299999999999999</v>
      </c>
      <c r="CA301" s="173">
        <f t="shared" si="866"/>
        <v>0.75619055028928128</v>
      </c>
      <c r="CB301" s="5">
        <f t="shared" si="867"/>
        <v>75.61905502892813</v>
      </c>
      <c r="CC301">
        <f t="shared" si="868"/>
        <v>85</v>
      </c>
      <c r="CE301" s="562">
        <f t="shared" si="809"/>
        <v>-50</v>
      </c>
      <c r="CG301" s="173">
        <f t="shared" si="810"/>
        <v>0.66801946079436936</v>
      </c>
      <c r="CH301" s="173">
        <f t="shared" si="811"/>
        <v>0.24042330963379502</v>
      </c>
      <c r="CI301" s="170">
        <v>85</v>
      </c>
      <c r="CJ301" s="217">
        <f t="shared" si="869"/>
        <v>0.85</v>
      </c>
      <c r="CK301" s="217">
        <f t="shared" si="812"/>
        <v>0.21249999999999999</v>
      </c>
      <c r="CL301" s="217">
        <f t="shared" si="813"/>
        <v>13.6</v>
      </c>
      <c r="CM301" s="217">
        <f t="shared" si="814"/>
        <v>1.7</v>
      </c>
      <c r="CN301" s="541">
        <f t="shared" si="815"/>
        <v>60</v>
      </c>
      <c r="CO301" s="443">
        <f t="shared" si="816"/>
        <v>16.7</v>
      </c>
      <c r="CP301" s="443">
        <f t="shared" si="817"/>
        <v>76.7</v>
      </c>
      <c r="CQ301" s="443"/>
      <c r="CR301" s="217">
        <f t="shared" si="818"/>
        <v>0.21465968586387432</v>
      </c>
      <c r="CS301" s="172">
        <f t="shared" si="819"/>
        <v>28.621291448516576</v>
      </c>
      <c r="CT301" s="172">
        <f t="shared" si="820"/>
        <v>4.0248691099476437</v>
      </c>
      <c r="CU301" s="217">
        <f t="shared" si="821"/>
        <v>1.788830715532286</v>
      </c>
      <c r="CV301" s="217">
        <f t="shared" si="822"/>
        <v>3.577661431064572</v>
      </c>
      <c r="CW301" s="217">
        <f t="shared" si="823"/>
        <v>16</v>
      </c>
      <c r="CX301" s="217">
        <f t="shared" si="824"/>
        <v>2.3758536585365855</v>
      </c>
      <c r="CY301" s="217">
        <f t="shared" si="825"/>
        <v>0.47517073170731711</v>
      </c>
      <c r="CZ301" s="217">
        <f t="shared" si="826"/>
        <v>1.7072002336789838</v>
      </c>
      <c r="DA301" s="197">
        <f t="shared" si="827"/>
        <v>350</v>
      </c>
      <c r="DB301" s="443">
        <f t="shared" si="828"/>
        <v>350</v>
      </c>
      <c r="DD301" s="217">
        <f t="shared" si="829"/>
        <v>3.1104488731607378</v>
      </c>
      <c r="DE301" s="173">
        <f t="shared" si="830"/>
        <v>2.23505308251071</v>
      </c>
      <c r="DF301" s="173">
        <f t="shared" si="831"/>
        <v>1.0814250754144243</v>
      </c>
      <c r="DG301" s="173"/>
      <c r="DH301" s="173">
        <f t="shared" si="832"/>
        <v>0.71856287425149712</v>
      </c>
      <c r="DI301" s="545">
        <f t="shared" si="833"/>
        <v>2365.833333333333</v>
      </c>
      <c r="DJ301" s="528">
        <f t="shared" si="834"/>
        <v>0.125748502994012</v>
      </c>
      <c r="DL301" s="173">
        <f t="shared" si="835"/>
        <v>2.6992062325273118</v>
      </c>
      <c r="DM301" s="173">
        <f t="shared" si="836"/>
        <v>2.6992062325273118</v>
      </c>
      <c r="DN301" s="173">
        <f t="shared" si="837"/>
        <v>2.4586712833535644</v>
      </c>
      <c r="DP301" s="545">
        <f t="shared" si="838"/>
        <v>850</v>
      </c>
      <c r="DQ301" s="460">
        <f t="shared" si="839"/>
        <v>350</v>
      </c>
      <c r="DS301">
        <f t="shared" si="840"/>
        <v>850</v>
      </c>
      <c r="DT301">
        <f t="shared" si="841"/>
        <v>350</v>
      </c>
      <c r="DV301" s="5">
        <f t="shared" si="870"/>
        <v>2.8571428571428572</v>
      </c>
      <c r="DW301" s="5">
        <f t="shared" si="842"/>
        <v>0.53984124650546239</v>
      </c>
      <c r="DX301" s="5">
        <f t="shared" si="843"/>
        <v>2.3173016106373949</v>
      </c>
      <c r="DY301" s="173">
        <f t="shared" si="844"/>
        <v>0.18894443627691182</v>
      </c>
      <c r="EA301" s="5">
        <f t="shared" si="871"/>
        <v>2.8679066220602687</v>
      </c>
      <c r="EB301" s="5">
        <f t="shared" si="872"/>
        <v>1.4339533110301343</v>
      </c>
      <c r="EC301" s="5">
        <f t="shared" si="873"/>
        <v>0.4377125264537301</v>
      </c>
      <c r="ED301" s="5"/>
      <c r="EE301" s="173">
        <f t="shared" si="874"/>
        <v>0.67739579237668945</v>
      </c>
      <c r="EF301" s="173">
        <f t="shared" si="875"/>
        <v>1.4034622791659865</v>
      </c>
      <c r="EG301" s="173">
        <f t="shared" si="876"/>
        <v>0.34467382444223493</v>
      </c>
      <c r="EH301" s="173"/>
      <c r="EI301" s="528">
        <f t="shared" si="877"/>
        <v>9.1773011905928598E-3</v>
      </c>
      <c r="EJ301" s="528">
        <f t="shared" si="878"/>
        <v>1.3767436349317181</v>
      </c>
      <c r="EK301" s="528">
        <f t="shared" si="879"/>
        <v>4.0250000000000001E-2</v>
      </c>
      <c r="EL301" s="528">
        <f t="shared" si="880"/>
        <v>1.0140631637499999</v>
      </c>
      <c r="EM301">
        <f t="shared" si="881"/>
        <v>2.7E-2</v>
      </c>
      <c r="EN301" s="460">
        <f t="shared" si="882"/>
        <v>67.25</v>
      </c>
      <c r="EP301" s="460">
        <f t="shared" si="883"/>
        <v>2467.2340998723107</v>
      </c>
      <c r="EQ301" s="173">
        <f t="shared" si="884"/>
        <v>0.59499999999999997</v>
      </c>
      <c r="ER301" s="173">
        <f t="shared" si="845"/>
        <v>9.4296874999999988E-2</v>
      </c>
      <c r="ES301" s="528"/>
      <c r="EU301" s="460">
        <f t="shared" si="885"/>
        <v>689.29687499999989</v>
      </c>
      <c r="EV301" s="528">
        <f t="shared" si="886"/>
        <v>1.3765951785889288E-2</v>
      </c>
      <c r="EW301" s="528">
        <f t="shared" si="887"/>
        <v>5.9091191071253567E-2</v>
      </c>
      <c r="EX301" s="528">
        <f t="shared" si="888"/>
        <v>5.9400022627818295E-4</v>
      </c>
      <c r="EY301" s="528">
        <f t="shared" si="889"/>
        <v>1.3716088710848857</v>
      </c>
      <c r="EZ301" s="528"/>
      <c r="FA301" s="625">
        <f t="shared" si="890"/>
        <v>1.2749999999999997E-2</v>
      </c>
      <c r="FB301" s="460">
        <f t="shared" si="891"/>
        <v>1457.8100141683069</v>
      </c>
      <c r="FC301" s="173">
        <f t="shared" si="892"/>
        <v>4.6143409890406168</v>
      </c>
      <c r="FD301" s="5">
        <f t="shared" si="893"/>
        <v>15.299999999999999</v>
      </c>
      <c r="FE301" s="173">
        <f t="shared" si="894"/>
        <v>0.76829055043398065</v>
      </c>
      <c r="FF301" s="5">
        <f t="shared" si="895"/>
        <v>76.829055043398071</v>
      </c>
      <c r="FG301">
        <f t="shared" si="896"/>
        <v>85</v>
      </c>
      <c r="FI301" s="562">
        <f t="shared" si="846"/>
        <v>-50</v>
      </c>
    </row>
    <row r="302" spans="5:165">
      <c r="E302" s="170">
        <v>86</v>
      </c>
      <c r="F302" s="217">
        <f t="shared" si="847"/>
        <v>0.86</v>
      </c>
      <c r="G302" s="217">
        <f t="shared" si="775"/>
        <v>0.215</v>
      </c>
      <c r="H302" s="217">
        <f t="shared" si="776"/>
        <v>13.76</v>
      </c>
      <c r="I302" s="217">
        <f t="shared" si="777"/>
        <v>1.72</v>
      </c>
      <c r="J302" s="541">
        <f t="shared" si="778"/>
        <v>59.913380640242153</v>
      </c>
      <c r="K302" s="443">
        <f t="shared" si="779"/>
        <v>16.738396428405331</v>
      </c>
      <c r="L302" s="172">
        <f t="shared" si="780"/>
        <v>76.651777068647476</v>
      </c>
      <c r="M302" s="443"/>
      <c r="N302" s="217">
        <f t="shared" si="781"/>
        <v>0.2183693199104155</v>
      </c>
      <c r="O302" s="172">
        <f t="shared" si="782"/>
        <v>29.073875964318958</v>
      </c>
      <c r="P302" s="172">
        <f t="shared" si="783"/>
        <v>4.0885138074823537</v>
      </c>
      <c r="Q302" s="217">
        <f t="shared" si="784"/>
        <v>1.8171172477699349</v>
      </c>
      <c r="R302" s="217">
        <f t="shared" si="785"/>
        <v>3.6342344955398698</v>
      </c>
      <c r="S302" s="217">
        <f t="shared" si="786"/>
        <v>16</v>
      </c>
      <c r="T302" s="217">
        <f t="shared" si="787"/>
        <v>2.3663855512225167</v>
      </c>
      <c r="U302" s="217">
        <f t="shared" si="788"/>
        <v>0.47396134738551166</v>
      </c>
      <c r="V302" s="217">
        <f t="shared" si="789"/>
        <v>1.6964962406124318</v>
      </c>
      <c r="W302" s="197">
        <f t="shared" si="790"/>
        <v>350</v>
      </c>
      <c r="X302" s="443">
        <f t="shared" si="848"/>
        <v>350</v>
      </c>
      <c r="Z302" s="217">
        <f t="shared" si="791"/>
        <v>3.1150581390341738</v>
      </c>
      <c r="AA302" s="173">
        <f t="shared" si="792"/>
        <v>2.23323051454167</v>
      </c>
      <c r="AB302" s="173">
        <f t="shared" si="793"/>
        <v>1.0821444496586119</v>
      </c>
      <c r="AC302" s="173"/>
      <c r="AD302" s="173">
        <f t="shared" si="794"/>
        <v>0.71691455339388455</v>
      </c>
      <c r="AE302" s="545">
        <f t="shared" si="795"/>
        <v>2399.1701547380976</v>
      </c>
      <c r="AF302" s="528">
        <f t="shared" si="796"/>
        <v>0.12546004684392978</v>
      </c>
      <c r="AH302" s="173">
        <f t="shared" si="797"/>
        <v>2.7150374898753369</v>
      </c>
      <c r="AI302" s="173">
        <f t="shared" si="798"/>
        <v>2.7150374898753369</v>
      </c>
      <c r="AJ302" s="173">
        <f t="shared" si="799"/>
        <v>2.4703981406483977</v>
      </c>
      <c r="AL302" s="545">
        <f t="shared" si="800"/>
        <v>860</v>
      </c>
      <c r="AM302" s="460">
        <f t="shared" si="801"/>
        <v>350</v>
      </c>
      <c r="AO302">
        <f t="shared" si="802"/>
        <v>860</v>
      </c>
      <c r="AP302">
        <f t="shared" si="803"/>
        <v>350</v>
      </c>
      <c r="AR302" s="5">
        <f t="shared" si="774"/>
        <v>2.8571428571428572</v>
      </c>
      <c r="AS302" s="5">
        <f t="shared" si="739"/>
        <v>0.54379254734660487</v>
      </c>
      <c r="AT302" s="5">
        <f t="shared" si="740"/>
        <v>2.3133503097962524</v>
      </c>
      <c r="AU302" s="173">
        <f t="shared" si="741"/>
        <v>0.1903273915713117</v>
      </c>
      <c r="BA302" s="173">
        <f t="shared" si="849"/>
        <v>0.68385787318570823</v>
      </c>
      <c r="BB302" s="173">
        <f t="shared" si="850"/>
        <v>1.4104897257423665</v>
      </c>
      <c r="BC302" s="173">
        <f t="shared" si="851"/>
        <v>0.34639968264555177</v>
      </c>
      <c r="BD302" s="173"/>
      <c r="BE302" s="528">
        <f t="shared" si="852"/>
        <v>9.3532318143616042E-3</v>
      </c>
      <c r="BF302" s="528">
        <f t="shared" si="804"/>
        <v>1.3293182641993586</v>
      </c>
      <c r="BG302" s="528">
        <f t="shared" si="805"/>
        <v>0.48230271415394937</v>
      </c>
      <c r="BH302" s="528">
        <f t="shared" si="853"/>
        <v>1.0127884381763586</v>
      </c>
      <c r="BI302">
        <f t="shared" si="854"/>
        <v>2.6961021288108969E-2</v>
      </c>
      <c r="BJ302" s="460">
        <f t="shared" si="855"/>
        <v>509.26373544205836</v>
      </c>
      <c r="BK302">
        <f t="shared" si="806"/>
        <v>2.3592282855721263</v>
      </c>
      <c r="BL302" s="460">
        <f t="shared" si="856"/>
        <v>2860.7236696321374</v>
      </c>
      <c r="BM302" s="173">
        <f t="shared" si="807"/>
        <v>0.53427499999999994</v>
      </c>
      <c r="BN302" s="173">
        <f t="shared" si="808"/>
        <v>9.5406249999999998E-2</v>
      </c>
      <c r="BQ302" s="460">
        <f t="shared" si="857"/>
        <v>629.68124999999998</v>
      </c>
      <c r="BR302" s="528">
        <f t="shared" si="858"/>
        <v>1.4029847721542405E-2</v>
      </c>
      <c r="BS302" s="528">
        <f t="shared" si="859"/>
        <v>5.9684437992743283E-2</v>
      </c>
      <c r="BT302" s="528">
        <f t="shared" si="860"/>
        <v>5.9996370068469485E-4</v>
      </c>
      <c r="BU302" s="528">
        <f t="shared" si="861"/>
        <v>1.3918091658014877</v>
      </c>
      <c r="BV302" s="528"/>
      <c r="BW302" s="625">
        <f t="shared" si="862"/>
        <v>1.2899999999999998E-2</v>
      </c>
      <c r="BX302" s="460">
        <f t="shared" si="863"/>
        <v>1479.023415216458</v>
      </c>
      <c r="BY302" s="173">
        <f t="shared" si="864"/>
        <v>4.9694283348485957</v>
      </c>
      <c r="BZ302" s="5">
        <f t="shared" si="865"/>
        <v>15.48</v>
      </c>
      <c r="CA302" s="173">
        <f t="shared" si="866"/>
        <v>0.75698937625654705</v>
      </c>
      <c r="CB302" s="5">
        <f t="shared" si="867"/>
        <v>75.698937625654708</v>
      </c>
      <c r="CC302">
        <f t="shared" si="868"/>
        <v>86</v>
      </c>
      <c r="CE302" s="562">
        <f t="shared" si="809"/>
        <v>-50</v>
      </c>
      <c r="CG302" s="173">
        <f t="shared" si="810"/>
        <v>0.67193749709329365</v>
      </c>
      <c r="CH302" s="173">
        <f t="shared" si="811"/>
        <v>0.24183342911314754</v>
      </c>
      <c r="CI302" s="170">
        <v>86</v>
      </c>
      <c r="CJ302" s="217">
        <f t="shared" si="869"/>
        <v>0.86</v>
      </c>
      <c r="CK302" s="217">
        <f t="shared" si="812"/>
        <v>0.215</v>
      </c>
      <c r="CL302" s="217">
        <f t="shared" si="813"/>
        <v>13.76</v>
      </c>
      <c r="CM302" s="217">
        <f t="shared" si="814"/>
        <v>1.72</v>
      </c>
      <c r="CN302" s="541">
        <f t="shared" si="815"/>
        <v>60</v>
      </c>
      <c r="CO302" s="443">
        <f t="shared" si="816"/>
        <v>16.7</v>
      </c>
      <c r="CP302" s="443">
        <f t="shared" si="817"/>
        <v>76.7</v>
      </c>
      <c r="CQ302" s="443"/>
      <c r="CR302" s="217">
        <f t="shared" si="818"/>
        <v>0.21465968586387432</v>
      </c>
      <c r="CS302" s="172">
        <f t="shared" si="819"/>
        <v>28.621291448516576</v>
      </c>
      <c r="CT302" s="172">
        <f t="shared" si="820"/>
        <v>4.0248691099476437</v>
      </c>
      <c r="CU302" s="217">
        <f t="shared" si="821"/>
        <v>1.788830715532286</v>
      </c>
      <c r="CV302" s="217">
        <f t="shared" si="822"/>
        <v>3.577661431064572</v>
      </c>
      <c r="CW302" s="217">
        <f t="shared" si="823"/>
        <v>16</v>
      </c>
      <c r="CX302" s="217">
        <f t="shared" si="824"/>
        <v>2.4038048780487808</v>
      </c>
      <c r="CY302" s="217">
        <f t="shared" si="825"/>
        <v>0.48076097560975617</v>
      </c>
      <c r="CZ302" s="217">
        <f t="shared" si="826"/>
        <v>1.7272849423105012</v>
      </c>
      <c r="DA302" s="197">
        <f t="shared" si="827"/>
        <v>350</v>
      </c>
      <c r="DB302" s="443">
        <f t="shared" si="828"/>
        <v>350</v>
      </c>
      <c r="DD302" s="217">
        <f t="shared" si="829"/>
        <v>3.1104488731607378</v>
      </c>
      <c r="DE302" s="173">
        <f t="shared" si="830"/>
        <v>2.23505308251071</v>
      </c>
      <c r="DF302" s="173">
        <f t="shared" si="831"/>
        <v>1.0814250754144243</v>
      </c>
      <c r="DG302" s="173"/>
      <c r="DH302" s="173">
        <f t="shared" si="832"/>
        <v>0.71856287425149712</v>
      </c>
      <c r="DI302" s="545">
        <f t="shared" si="833"/>
        <v>2393.6666666666665</v>
      </c>
      <c r="DJ302" s="528">
        <f t="shared" si="834"/>
        <v>0.125748502994012</v>
      </c>
      <c r="DL302" s="173">
        <f t="shared" si="835"/>
        <v>2.7150374898753369</v>
      </c>
      <c r="DM302" s="173">
        <f t="shared" si="836"/>
        <v>2.7150374898753369</v>
      </c>
      <c r="DN302" s="173">
        <f t="shared" si="837"/>
        <v>2.4703981406483977</v>
      </c>
      <c r="DP302" s="545">
        <f t="shared" si="838"/>
        <v>860</v>
      </c>
      <c r="DQ302" s="460">
        <f t="shared" si="839"/>
        <v>350</v>
      </c>
      <c r="DS302">
        <f t="shared" si="840"/>
        <v>860</v>
      </c>
      <c r="DT302">
        <f t="shared" si="841"/>
        <v>350</v>
      </c>
      <c r="DV302" s="5">
        <f t="shared" si="870"/>
        <v>2.8571428571428572</v>
      </c>
      <c r="DW302" s="5">
        <f t="shared" si="842"/>
        <v>0.54300749797506742</v>
      </c>
      <c r="DX302" s="5">
        <f t="shared" si="843"/>
        <v>2.31413535916779</v>
      </c>
      <c r="DY302" s="173">
        <f t="shared" si="844"/>
        <v>0.19005262429127359</v>
      </c>
      <c r="EA302" s="5">
        <f t="shared" si="871"/>
        <v>2.9186653016159876</v>
      </c>
      <c r="EB302" s="5">
        <f t="shared" si="872"/>
        <v>1.4593326508079938</v>
      </c>
      <c r="EC302" s="5">
        <f t="shared" si="873"/>
        <v>0.44225697975206646</v>
      </c>
      <c r="ED302" s="5"/>
      <c r="EE302" s="173">
        <f t="shared" si="874"/>
        <v>0.68336406714031861</v>
      </c>
      <c r="EF302" s="173">
        <f t="shared" si="875"/>
        <v>1.4107290345365049</v>
      </c>
      <c r="EG302" s="173">
        <f t="shared" si="876"/>
        <v>0.34645845406999454</v>
      </c>
      <c r="EH302" s="173"/>
      <c r="EI302" s="528">
        <f t="shared" si="877"/>
        <v>9.3397289651711585E-3</v>
      </c>
      <c r="EJ302" s="528">
        <f t="shared" si="878"/>
        <v>1.3848184468983653</v>
      </c>
      <c r="EK302" s="528">
        <f t="shared" si="879"/>
        <v>4.0250000000000001E-2</v>
      </c>
      <c r="EL302" s="528">
        <f t="shared" si="880"/>
        <v>1.0140631637499999</v>
      </c>
      <c r="EM302">
        <f t="shared" si="881"/>
        <v>2.7E-2</v>
      </c>
      <c r="EN302" s="460">
        <f t="shared" si="882"/>
        <v>67.25</v>
      </c>
      <c r="EP302" s="460">
        <f t="shared" si="883"/>
        <v>2475.4713396135362</v>
      </c>
      <c r="EQ302" s="173">
        <f t="shared" si="884"/>
        <v>0.60199999999999998</v>
      </c>
      <c r="ER302" s="173">
        <f t="shared" si="845"/>
        <v>9.5406249999999998E-2</v>
      </c>
      <c r="ES302" s="528"/>
      <c r="EU302" s="460">
        <f t="shared" si="885"/>
        <v>697.40625</v>
      </c>
      <c r="EV302" s="528">
        <f t="shared" si="886"/>
        <v>1.4009593447756737E-2</v>
      </c>
      <c r="EW302" s="528">
        <f t="shared" si="887"/>
        <v>5.9704692266528969E-2</v>
      </c>
      <c r="EX302" s="528">
        <f t="shared" si="888"/>
        <v>6.0016730198285265E-4</v>
      </c>
      <c r="EY302" s="528">
        <f t="shared" si="889"/>
        <v>1.3918091658014877</v>
      </c>
      <c r="EZ302" s="528"/>
      <c r="FA302" s="625">
        <f t="shared" si="890"/>
        <v>1.2899999999999998E-2</v>
      </c>
      <c r="FB302" s="460">
        <f t="shared" si="891"/>
        <v>1479.0236188177562</v>
      </c>
      <c r="FC302" s="173">
        <f t="shared" si="892"/>
        <v>4.6519012084312923</v>
      </c>
      <c r="FD302" s="5">
        <f t="shared" si="893"/>
        <v>15.48</v>
      </c>
      <c r="FE302" s="173">
        <f t="shared" si="894"/>
        <v>0.7689288676579108</v>
      </c>
      <c r="FF302" s="5">
        <f t="shared" si="895"/>
        <v>76.892886765791076</v>
      </c>
      <c r="FG302">
        <f t="shared" si="896"/>
        <v>86</v>
      </c>
      <c r="FI302" s="562">
        <f t="shared" si="846"/>
        <v>-50</v>
      </c>
    </row>
    <row r="303" spans="5:165">
      <c r="E303" s="170">
        <v>87</v>
      </c>
      <c r="F303" s="217">
        <f t="shared" si="847"/>
        <v>0.87</v>
      </c>
      <c r="G303" s="217">
        <f t="shared" si="775"/>
        <v>0.2175</v>
      </c>
      <c r="H303" s="217">
        <f t="shared" si="776"/>
        <v>13.92</v>
      </c>
      <c r="I303" s="217">
        <f t="shared" si="777"/>
        <v>1.74</v>
      </c>
      <c r="J303" s="541">
        <f t="shared" si="778"/>
        <v>59.912878494819502</v>
      </c>
      <c r="K303" s="443">
        <f t="shared" si="779"/>
        <v>16.738619018260806</v>
      </c>
      <c r="L303" s="172">
        <f t="shared" si="780"/>
        <v>76.651497513080301</v>
      </c>
      <c r="M303" s="443"/>
      <c r="N303" s="217">
        <f t="shared" si="781"/>
        <v>0.21837302024535687</v>
      </c>
      <c r="O303" s="172">
        <f t="shared" si="782"/>
        <v>29.074124952237394</v>
      </c>
      <c r="P303" s="172">
        <f t="shared" si="783"/>
        <v>4.0885488214083834</v>
      </c>
      <c r="Q303" s="217">
        <f t="shared" si="784"/>
        <v>1.8171328095148371</v>
      </c>
      <c r="R303" s="217">
        <f t="shared" si="785"/>
        <v>3.6342656190296743</v>
      </c>
      <c r="S303" s="217">
        <f t="shared" si="786"/>
        <v>16</v>
      </c>
      <c r="T303" s="217">
        <f t="shared" si="787"/>
        <v>2.3938811611471715</v>
      </c>
      <c r="U303" s="217">
        <f t="shared" si="788"/>
        <v>0.4794724382379652</v>
      </c>
      <c r="V303" s="217">
        <f t="shared" si="789"/>
        <v>1.7161854214154184</v>
      </c>
      <c r="W303" s="197">
        <f t="shared" si="790"/>
        <v>350</v>
      </c>
      <c r="X303" s="443">
        <f t="shared" si="848"/>
        <v>350</v>
      </c>
      <c r="Z303" s="217">
        <f t="shared" si="791"/>
        <v>3.1150848163111484</v>
      </c>
      <c r="AA303" s="173">
        <f t="shared" si="792"/>
        <v>2.2332199421561234</v>
      </c>
      <c r="AB303" s="173">
        <f t="shared" si="793"/>
        <v>1.0821485940679243</v>
      </c>
      <c r="AC303" s="173"/>
      <c r="AD303" s="173">
        <f t="shared" si="794"/>
        <v>0.71690501987701238</v>
      </c>
      <c r="AE303" s="545">
        <f t="shared" si="795"/>
        <v>2427.0997576478167</v>
      </c>
      <c r="AF303" s="528">
        <f t="shared" si="796"/>
        <v>0.12545837847847716</v>
      </c>
      <c r="AH303" s="173">
        <f t="shared" si="797"/>
        <v>2.7307769694983985</v>
      </c>
      <c r="AI303" s="173">
        <f t="shared" si="798"/>
        <v>2.7307769694983985</v>
      </c>
      <c r="AJ303" s="173">
        <f t="shared" si="799"/>
        <v>2.4820570144432583</v>
      </c>
      <c r="AL303" s="545">
        <f t="shared" si="800"/>
        <v>870</v>
      </c>
      <c r="AM303" s="460">
        <f t="shared" si="801"/>
        <v>350</v>
      </c>
      <c r="AO303">
        <f t="shared" si="802"/>
        <v>870</v>
      </c>
      <c r="AP303">
        <f t="shared" si="803"/>
        <v>350</v>
      </c>
      <c r="AR303" s="5">
        <f t="shared" si="774"/>
        <v>2.8571428571428572</v>
      </c>
      <c r="AS303" s="5">
        <f t="shared" si="739"/>
        <v>0.54694957840849279</v>
      </c>
      <c r="AT303" s="5">
        <f t="shared" si="740"/>
        <v>2.3101932787343644</v>
      </c>
      <c r="AU303" s="173">
        <f t="shared" si="741"/>
        <v>0.19143235244297246</v>
      </c>
      <c r="BA303" s="173">
        <f t="shared" si="849"/>
        <v>0.68981601403228432</v>
      </c>
      <c r="BB303" s="173">
        <f t="shared" si="850"/>
        <v>1.4176981880847903</v>
      </c>
      <c r="BC303" s="173">
        <f t="shared" si="851"/>
        <v>0.3481699961914117</v>
      </c>
      <c r="BD303" s="173"/>
      <c r="BE303" s="528">
        <f t="shared" si="852"/>
        <v>9.5169226643077726E-3</v>
      </c>
      <c r="BF303" s="528">
        <f t="shared" si="804"/>
        <v>1.3370196453511356</v>
      </c>
      <c r="BG303" s="528">
        <f t="shared" si="805"/>
        <v>0.48229867188329695</v>
      </c>
      <c r="BH303" s="528">
        <f t="shared" si="853"/>
        <v>1.0127810507382382</v>
      </c>
      <c r="BI303">
        <f t="shared" si="854"/>
        <v>2.6960795322668776E-2</v>
      </c>
      <c r="BJ303" s="460">
        <f t="shared" si="855"/>
        <v>509.25946720596573</v>
      </c>
      <c r="BK303">
        <f t="shared" si="806"/>
        <v>2.3672400403501519</v>
      </c>
      <c r="BL303" s="460">
        <f t="shared" si="856"/>
        <v>2868.5770859596478</v>
      </c>
      <c r="BM303" s="173">
        <f t="shared" si="807"/>
        <v>0.54048750000000001</v>
      </c>
      <c r="BN303" s="173">
        <f t="shared" si="808"/>
        <v>9.6515624999999994E-2</v>
      </c>
      <c r="BQ303" s="460">
        <f t="shared" si="857"/>
        <v>637.00312499999995</v>
      </c>
      <c r="BR303" s="528">
        <f t="shared" si="858"/>
        <v>1.4275383996461659E-2</v>
      </c>
      <c r="BS303" s="528">
        <f t="shared" si="859"/>
        <v>6.0296044574966921E-2</v>
      </c>
      <c r="BT303" s="528">
        <f t="shared" si="860"/>
        <v>6.0611173123963828E-4</v>
      </c>
      <c r="BU303" s="528">
        <f t="shared" si="861"/>
        <v>1.4120682689005508</v>
      </c>
      <c r="BV303" s="528"/>
      <c r="BW303" s="625">
        <f t="shared" si="862"/>
        <v>1.3050000000000001E-2</v>
      </c>
      <c r="BX303" s="460">
        <f t="shared" si="863"/>
        <v>1500.2958092032191</v>
      </c>
      <c r="BY303" s="173">
        <f t="shared" si="864"/>
        <v>5.0058760201628667</v>
      </c>
      <c r="BZ303" s="5">
        <f t="shared" si="865"/>
        <v>15.66</v>
      </c>
      <c r="CA303" s="173">
        <f t="shared" si="866"/>
        <v>0.75777092559353243</v>
      </c>
      <c r="CB303" s="5">
        <f t="shared" si="867"/>
        <v>75.77709255935325</v>
      </c>
      <c r="CC303">
        <f t="shared" si="868"/>
        <v>87</v>
      </c>
      <c r="CE303" s="562">
        <f t="shared" si="809"/>
        <v>-50</v>
      </c>
      <c r="CG303" s="173">
        <f t="shared" si="810"/>
        <v>0.67583281956412855</v>
      </c>
      <c r="CH303" s="173">
        <f t="shared" si="811"/>
        <v>0.24323537378017174</v>
      </c>
      <c r="CI303" s="170">
        <v>87</v>
      </c>
      <c r="CJ303" s="217">
        <f t="shared" si="869"/>
        <v>0.87</v>
      </c>
      <c r="CK303" s="217">
        <f t="shared" si="812"/>
        <v>0.2175</v>
      </c>
      <c r="CL303" s="217">
        <f t="shared" si="813"/>
        <v>13.92</v>
      </c>
      <c r="CM303" s="217">
        <f t="shared" si="814"/>
        <v>1.74</v>
      </c>
      <c r="CN303" s="541">
        <f t="shared" si="815"/>
        <v>60</v>
      </c>
      <c r="CO303" s="443">
        <f t="shared" si="816"/>
        <v>16.7</v>
      </c>
      <c r="CP303" s="443">
        <f t="shared" si="817"/>
        <v>76.7</v>
      </c>
      <c r="CQ303" s="443"/>
      <c r="CR303" s="217">
        <f t="shared" si="818"/>
        <v>0.21465968586387432</v>
      </c>
      <c r="CS303" s="172">
        <f t="shared" si="819"/>
        <v>28.621291448516576</v>
      </c>
      <c r="CT303" s="172">
        <f t="shared" si="820"/>
        <v>4.0248691099476437</v>
      </c>
      <c r="CU303" s="217">
        <f t="shared" si="821"/>
        <v>1.788830715532286</v>
      </c>
      <c r="CV303" s="217">
        <f t="shared" si="822"/>
        <v>3.577661431064572</v>
      </c>
      <c r="CW303" s="217">
        <f t="shared" si="823"/>
        <v>16</v>
      </c>
      <c r="CX303" s="217">
        <f t="shared" si="824"/>
        <v>2.4317560975609758</v>
      </c>
      <c r="CY303" s="217">
        <f t="shared" si="825"/>
        <v>0.48635121951219507</v>
      </c>
      <c r="CZ303" s="217">
        <f t="shared" si="826"/>
        <v>1.7473696509420187</v>
      </c>
      <c r="DA303" s="197">
        <f t="shared" si="827"/>
        <v>350</v>
      </c>
      <c r="DB303" s="443">
        <f t="shared" si="828"/>
        <v>350</v>
      </c>
      <c r="DD303" s="217">
        <f t="shared" si="829"/>
        <v>3.1104488731607378</v>
      </c>
      <c r="DE303" s="173">
        <f t="shared" si="830"/>
        <v>2.23505308251071</v>
      </c>
      <c r="DF303" s="173">
        <f t="shared" si="831"/>
        <v>1.0814250754144243</v>
      </c>
      <c r="DG303" s="173"/>
      <c r="DH303" s="173">
        <f t="shared" si="832"/>
        <v>0.71856287425149712</v>
      </c>
      <c r="DI303" s="545">
        <f t="shared" si="833"/>
        <v>2421.4999999999995</v>
      </c>
      <c r="DJ303" s="528">
        <f t="shared" si="834"/>
        <v>0.125748502994012</v>
      </c>
      <c r="DL303" s="173">
        <f t="shared" si="835"/>
        <v>2.7307769694983985</v>
      </c>
      <c r="DM303" s="173">
        <f t="shared" si="836"/>
        <v>2.7307769694983985</v>
      </c>
      <c r="DN303" s="173">
        <f t="shared" si="837"/>
        <v>2.4820570144432583</v>
      </c>
      <c r="DP303" s="545">
        <f t="shared" si="838"/>
        <v>870</v>
      </c>
      <c r="DQ303" s="460">
        <f t="shared" si="839"/>
        <v>350</v>
      </c>
      <c r="DS303">
        <f t="shared" si="840"/>
        <v>870</v>
      </c>
      <c r="DT303">
        <f t="shared" si="841"/>
        <v>350</v>
      </c>
      <c r="DV303" s="5">
        <f t="shared" si="870"/>
        <v>2.8571428571428572</v>
      </c>
      <c r="DW303" s="5">
        <f t="shared" si="842"/>
        <v>0.54615539389967982</v>
      </c>
      <c r="DX303" s="5">
        <f t="shared" si="843"/>
        <v>2.3109874632431775</v>
      </c>
      <c r="DY303" s="173">
        <f t="shared" si="844"/>
        <v>0.19115438786488792</v>
      </c>
      <c r="EA303" s="5">
        <f t="shared" si="871"/>
        <v>2.9697199543295092</v>
      </c>
      <c r="EB303" s="5">
        <f t="shared" si="872"/>
        <v>1.4848599771647546</v>
      </c>
      <c r="EC303" s="5">
        <f t="shared" si="873"/>
        <v>0.44679090956034756</v>
      </c>
      <c r="ED303" s="5"/>
      <c r="EE303" s="173">
        <f t="shared" si="874"/>
        <v>0.6893150170224942</v>
      </c>
      <c r="EF303" s="173">
        <f t="shared" si="875"/>
        <v>1.4179418510720263</v>
      </c>
      <c r="EG303" s="173">
        <f t="shared" si="876"/>
        <v>0.34822983695445348</v>
      </c>
      <c r="EH303" s="173"/>
      <c r="EI303" s="528">
        <f t="shared" si="877"/>
        <v>9.5031038538544305E-3</v>
      </c>
      <c r="EJ303" s="528">
        <f t="shared" si="878"/>
        <v>1.3928464471775059</v>
      </c>
      <c r="EK303" s="528">
        <f t="shared" si="879"/>
        <v>4.0250000000000001E-2</v>
      </c>
      <c r="EL303" s="528">
        <f t="shared" si="880"/>
        <v>1.0140631637499999</v>
      </c>
      <c r="EM303">
        <f t="shared" si="881"/>
        <v>2.7E-2</v>
      </c>
      <c r="EN303" s="460">
        <f t="shared" si="882"/>
        <v>67.25</v>
      </c>
      <c r="EP303" s="460">
        <f t="shared" si="883"/>
        <v>2483.6627147813601</v>
      </c>
      <c r="EQ303" s="173">
        <f t="shared" si="884"/>
        <v>0.60899999999999999</v>
      </c>
      <c r="ER303" s="173">
        <f t="shared" si="845"/>
        <v>9.6515624999999994E-2</v>
      </c>
      <c r="ES303" s="528"/>
      <c r="EU303" s="460">
        <f t="shared" si="885"/>
        <v>705.515625</v>
      </c>
      <c r="EV303" s="528">
        <f t="shared" si="886"/>
        <v>1.4254655780781644E-2</v>
      </c>
      <c r="EW303" s="528">
        <f t="shared" si="887"/>
        <v>6.0316772790646928E-2</v>
      </c>
      <c r="EX303" s="528">
        <f t="shared" si="888"/>
        <v>6.0632009672662631E-4</v>
      </c>
      <c r="EY303" s="528">
        <f t="shared" si="889"/>
        <v>1.4120682689005508</v>
      </c>
      <c r="EZ303" s="528"/>
      <c r="FA303" s="625">
        <f t="shared" si="890"/>
        <v>1.3050000000000001E-2</v>
      </c>
      <c r="FB303" s="460">
        <f t="shared" si="891"/>
        <v>1500.2960175687058</v>
      </c>
      <c r="FC303" s="173">
        <f t="shared" si="892"/>
        <v>4.6894743573500657</v>
      </c>
      <c r="FD303" s="5">
        <f t="shared" si="893"/>
        <v>15.66</v>
      </c>
      <c r="FE303" s="173">
        <f t="shared" si="894"/>
        <v>0.76955304716967965</v>
      </c>
      <c r="FF303" s="5">
        <f t="shared" si="895"/>
        <v>76.955304716967959</v>
      </c>
      <c r="FG303">
        <f t="shared" si="896"/>
        <v>87</v>
      </c>
      <c r="FI303" s="562">
        <f t="shared" si="846"/>
        <v>-50</v>
      </c>
    </row>
    <row r="304" spans="5:165">
      <c r="E304" s="170">
        <v>88</v>
      </c>
      <c r="F304" s="217">
        <f t="shared" si="847"/>
        <v>0.88</v>
      </c>
      <c r="G304" s="217">
        <f t="shared" si="775"/>
        <v>0.22</v>
      </c>
      <c r="H304" s="217">
        <f t="shared" si="776"/>
        <v>14.08</v>
      </c>
      <c r="I304" s="217">
        <f t="shared" si="777"/>
        <v>1.76</v>
      </c>
      <c r="J304" s="541">
        <f t="shared" si="778"/>
        <v>59.912379227092131</v>
      </c>
      <c r="K304" s="443">
        <f t="shared" si="779"/>
        <v>16.73884033249821</v>
      </c>
      <c r="L304" s="172">
        <f t="shared" si="780"/>
        <v>76.651219559590345</v>
      </c>
      <c r="M304" s="443"/>
      <c r="N304" s="217">
        <f t="shared" si="781"/>
        <v>0.2183766994011761</v>
      </c>
      <c r="O304" s="172">
        <f t="shared" si="782"/>
        <v>29.074372508631036</v>
      </c>
      <c r="P304" s="172">
        <f t="shared" si="783"/>
        <v>4.0885836340262394</v>
      </c>
      <c r="Q304" s="217">
        <f t="shared" si="784"/>
        <v>1.8171482817894398</v>
      </c>
      <c r="R304" s="217">
        <f t="shared" si="785"/>
        <v>3.6342965635788795</v>
      </c>
      <c r="S304" s="217">
        <f t="shared" si="786"/>
        <v>16</v>
      </c>
      <c r="T304" s="217">
        <f t="shared" si="787"/>
        <v>2.4213764193569789</v>
      </c>
      <c r="U304" s="217">
        <f t="shared" si="788"/>
        <v>0.48498352773051806</v>
      </c>
      <c r="V304" s="217">
        <f t="shared" si="789"/>
        <v>1.7358739587157035</v>
      </c>
      <c r="W304" s="197">
        <f t="shared" si="790"/>
        <v>350</v>
      </c>
      <c r="X304" s="443">
        <f t="shared" si="848"/>
        <v>350</v>
      </c>
      <c r="Z304" s="217">
        <f t="shared" si="791"/>
        <v>3.115111340210468</v>
      </c>
      <c r="AA304" s="173">
        <f t="shared" si="792"/>
        <v>2.2332094302823542</v>
      </c>
      <c r="AB304" s="173">
        <f t="shared" si="793"/>
        <v>1.0821527144302809</v>
      </c>
      <c r="AC304" s="173"/>
      <c r="AD304" s="173">
        <f t="shared" si="794"/>
        <v>0.71689554124619836</v>
      </c>
      <c r="AE304" s="545">
        <f t="shared" si="795"/>
        <v>2455.029915433071</v>
      </c>
      <c r="AF304" s="528">
        <f t="shared" si="796"/>
        <v>0.12545671971808472</v>
      </c>
      <c r="AH304" s="173">
        <f t="shared" si="797"/>
        <v>2.7464262493023806</v>
      </c>
      <c r="AI304" s="173">
        <f t="shared" si="798"/>
        <v>2.7464262493023806</v>
      </c>
      <c r="AJ304" s="173">
        <f t="shared" si="799"/>
        <v>2.4936490735573189</v>
      </c>
      <c r="AL304" s="545">
        <f t="shared" si="800"/>
        <v>880</v>
      </c>
      <c r="AM304" s="460">
        <f t="shared" si="801"/>
        <v>350</v>
      </c>
      <c r="AO304">
        <f t="shared" si="802"/>
        <v>880</v>
      </c>
      <c r="AP304">
        <f t="shared" si="803"/>
        <v>350</v>
      </c>
      <c r="AR304" s="5">
        <f t="shared" si="774"/>
        <v>2.8571428571428572</v>
      </c>
      <c r="AS304" s="5">
        <f t="shared" si="739"/>
        <v>0.55008856962110919</v>
      </c>
      <c r="AT304" s="5">
        <f t="shared" si="740"/>
        <v>2.3070542875217481</v>
      </c>
      <c r="AU304" s="173">
        <f t="shared" si="741"/>
        <v>0.19253099936738821</v>
      </c>
      <c r="BA304" s="173">
        <f t="shared" si="849"/>
        <v>0.69575709932890806</v>
      </c>
      <c r="BB304" s="173">
        <f t="shared" si="850"/>
        <v>1.4248535970474785</v>
      </c>
      <c r="BC304" s="173">
        <f t="shared" si="851"/>
        <v>0.34992728045136601</v>
      </c>
      <c r="BD304" s="173"/>
      <c r="BE304" s="528">
        <f t="shared" si="852"/>
        <v>9.6815588253315217E-3</v>
      </c>
      <c r="BF304" s="528">
        <f t="shared" si="804"/>
        <v>1.3446768356948</v>
      </c>
      <c r="BG304" s="528">
        <f t="shared" si="805"/>
        <v>0.48229465277809169</v>
      </c>
      <c r="BH304" s="528">
        <f t="shared" si="853"/>
        <v>1.0127737056627641</v>
      </c>
      <c r="BI304">
        <f t="shared" si="854"/>
        <v>2.6960570652191457E-2</v>
      </c>
      <c r="BJ304" s="460">
        <f t="shared" si="855"/>
        <v>509.25522343028319</v>
      </c>
      <c r="BK304">
        <f t="shared" si="806"/>
        <v>2.3752099075693072</v>
      </c>
      <c r="BL304" s="460">
        <f t="shared" si="856"/>
        <v>2876.3873236131785</v>
      </c>
      <c r="BM304" s="173">
        <f t="shared" si="807"/>
        <v>0.54669999999999996</v>
      </c>
      <c r="BN304" s="173">
        <f t="shared" si="808"/>
        <v>9.762499999999999E-2</v>
      </c>
      <c r="BQ304" s="460">
        <f t="shared" si="857"/>
        <v>644.32499999999993</v>
      </c>
      <c r="BR304" s="528">
        <f t="shared" si="858"/>
        <v>1.4522338237997281E-2</v>
      </c>
      <c r="BS304" s="528">
        <f t="shared" si="859"/>
        <v>6.0906233190574151E-2</v>
      </c>
      <c r="BT304" s="528">
        <f t="shared" si="860"/>
        <v>6.1224550802044481E-4</v>
      </c>
      <c r="BU304" s="528">
        <f t="shared" si="861"/>
        <v>1.4323856726616386</v>
      </c>
      <c r="BV304" s="528"/>
      <c r="BW304" s="625">
        <f t="shared" si="862"/>
        <v>1.3199999999999998E-2</v>
      </c>
      <c r="BX304" s="460">
        <f t="shared" si="863"/>
        <v>1521.6264895982306</v>
      </c>
      <c r="BY304" s="173">
        <f t="shared" si="864"/>
        <v>5.0423388132114093</v>
      </c>
      <c r="BZ304" s="5">
        <f t="shared" si="865"/>
        <v>15.84</v>
      </c>
      <c r="CA304" s="173">
        <f t="shared" si="866"/>
        <v>0.7585357244552835</v>
      </c>
      <c r="CB304" s="5">
        <f t="shared" si="867"/>
        <v>75.853572445528357</v>
      </c>
      <c r="CC304">
        <f t="shared" si="868"/>
        <v>88</v>
      </c>
      <c r="CE304" s="562">
        <f t="shared" si="809"/>
        <v>-50</v>
      </c>
      <c r="CG304" s="173">
        <f t="shared" si="810"/>
        <v>0.67970581871865721</v>
      </c>
      <c r="CH304" s="173">
        <f t="shared" si="811"/>
        <v>0.24462928418187374</v>
      </c>
      <c r="CI304" s="170">
        <v>88</v>
      </c>
      <c r="CJ304" s="217">
        <f t="shared" si="869"/>
        <v>0.88</v>
      </c>
      <c r="CK304" s="217">
        <f t="shared" si="812"/>
        <v>0.22</v>
      </c>
      <c r="CL304" s="217">
        <f t="shared" si="813"/>
        <v>14.08</v>
      </c>
      <c r="CM304" s="217">
        <f t="shared" si="814"/>
        <v>1.76</v>
      </c>
      <c r="CN304" s="541">
        <f t="shared" si="815"/>
        <v>60</v>
      </c>
      <c r="CO304" s="443">
        <f t="shared" si="816"/>
        <v>16.7</v>
      </c>
      <c r="CP304" s="443">
        <f t="shared" si="817"/>
        <v>76.7</v>
      </c>
      <c r="CQ304" s="443"/>
      <c r="CR304" s="217">
        <f t="shared" si="818"/>
        <v>0.21465968586387432</v>
      </c>
      <c r="CS304" s="172">
        <f t="shared" si="819"/>
        <v>28.621291448516576</v>
      </c>
      <c r="CT304" s="172">
        <f t="shared" si="820"/>
        <v>4.0248691099476437</v>
      </c>
      <c r="CU304" s="217">
        <f t="shared" si="821"/>
        <v>1.788830715532286</v>
      </c>
      <c r="CV304" s="217">
        <f t="shared" si="822"/>
        <v>3.577661431064572</v>
      </c>
      <c r="CW304" s="217">
        <f t="shared" si="823"/>
        <v>16</v>
      </c>
      <c r="CX304" s="217">
        <f t="shared" si="824"/>
        <v>2.4597073170731711</v>
      </c>
      <c r="CY304" s="217">
        <f t="shared" si="825"/>
        <v>0.49194146341463424</v>
      </c>
      <c r="CZ304" s="217">
        <f t="shared" si="826"/>
        <v>1.7674543595735364</v>
      </c>
      <c r="DA304" s="197">
        <f t="shared" si="827"/>
        <v>350</v>
      </c>
      <c r="DB304" s="443">
        <f t="shared" si="828"/>
        <v>350</v>
      </c>
      <c r="DD304" s="217">
        <f t="shared" si="829"/>
        <v>3.1104488731607378</v>
      </c>
      <c r="DE304" s="173">
        <f t="shared" si="830"/>
        <v>2.23505308251071</v>
      </c>
      <c r="DF304" s="173">
        <f t="shared" si="831"/>
        <v>1.0814250754144243</v>
      </c>
      <c r="DG304" s="173"/>
      <c r="DH304" s="173">
        <f t="shared" si="832"/>
        <v>0.71856287425149712</v>
      </c>
      <c r="DI304" s="545">
        <f t="shared" si="833"/>
        <v>2449.333333333333</v>
      </c>
      <c r="DJ304" s="528">
        <f t="shared" si="834"/>
        <v>0.125748502994012</v>
      </c>
      <c r="DL304" s="173">
        <f t="shared" si="835"/>
        <v>2.7464262493023806</v>
      </c>
      <c r="DM304" s="173">
        <f t="shared" si="836"/>
        <v>2.7464262493023806</v>
      </c>
      <c r="DN304" s="173">
        <f t="shared" si="837"/>
        <v>2.4936490735573189</v>
      </c>
      <c r="DP304" s="545">
        <f t="shared" si="838"/>
        <v>880</v>
      </c>
      <c r="DQ304" s="460">
        <f t="shared" si="839"/>
        <v>350</v>
      </c>
      <c r="DS304">
        <f t="shared" si="840"/>
        <v>880</v>
      </c>
      <c r="DT304">
        <f t="shared" si="841"/>
        <v>350</v>
      </c>
      <c r="DV304" s="5">
        <f t="shared" si="870"/>
        <v>2.8571428571428572</v>
      </c>
      <c r="DW304" s="5">
        <f t="shared" si="842"/>
        <v>0.54928524986047611</v>
      </c>
      <c r="DX304" s="5">
        <f t="shared" si="843"/>
        <v>2.3078576072823811</v>
      </c>
      <c r="DY304" s="173">
        <f t="shared" si="844"/>
        <v>0.19224983745116664</v>
      </c>
      <c r="EA304" s="5">
        <f t="shared" si="871"/>
        <v>3.0210688742326184</v>
      </c>
      <c r="EB304" s="5">
        <f t="shared" si="872"/>
        <v>1.5105344371163092</v>
      </c>
      <c r="EC304" s="5">
        <f t="shared" si="873"/>
        <v>0.45131437653522116</v>
      </c>
      <c r="ED304" s="5"/>
      <c r="EE304" s="173">
        <f t="shared" si="874"/>
        <v>0.6952488905976183</v>
      </c>
      <c r="EF304" s="173">
        <f t="shared" si="875"/>
        <v>1.4251016435358199</v>
      </c>
      <c r="EG304" s="173">
        <f t="shared" si="876"/>
        <v>0.34998819775070866</v>
      </c>
      <c r="EH304" s="173"/>
      <c r="EI304" s="528">
        <f t="shared" si="877"/>
        <v>9.6674203975443806E-3</v>
      </c>
      <c r="EJ304" s="528">
        <f t="shared" si="878"/>
        <v>1.4008284405879259</v>
      </c>
      <c r="EK304" s="528">
        <f t="shared" si="879"/>
        <v>4.0250000000000001E-2</v>
      </c>
      <c r="EL304" s="528">
        <f t="shared" si="880"/>
        <v>1.0140631637499999</v>
      </c>
      <c r="EM304">
        <f t="shared" si="881"/>
        <v>2.7E-2</v>
      </c>
      <c r="EN304" s="460">
        <f t="shared" si="882"/>
        <v>67.25</v>
      </c>
      <c r="EP304" s="460">
        <f t="shared" si="883"/>
        <v>2491.8090247354703</v>
      </c>
      <c r="EQ304" s="173">
        <f t="shared" si="884"/>
        <v>0.61599999999999999</v>
      </c>
      <c r="ER304" s="173">
        <f t="shared" si="845"/>
        <v>9.762499999999999E-2</v>
      </c>
      <c r="ES304" s="528"/>
      <c r="EU304" s="460">
        <f t="shared" si="885"/>
        <v>713.625</v>
      </c>
      <c r="EV304" s="528">
        <f t="shared" si="886"/>
        <v>1.450113059631657E-2</v>
      </c>
      <c r="EW304" s="528">
        <f t="shared" si="887"/>
        <v>6.0927440832254855E-2</v>
      </c>
      <c r="EX304" s="528">
        <f t="shared" si="888"/>
        <v>6.1245869282394575E-4</v>
      </c>
      <c r="EY304" s="528">
        <f t="shared" si="889"/>
        <v>1.4323856726616386</v>
      </c>
      <c r="EZ304" s="528"/>
      <c r="FA304" s="625">
        <f t="shared" si="890"/>
        <v>1.3199999999999998E-2</v>
      </c>
      <c r="FB304" s="460">
        <f t="shared" si="891"/>
        <v>1521.626702783034</v>
      </c>
      <c r="FC304" s="173">
        <f t="shared" si="892"/>
        <v>4.7270607275185048</v>
      </c>
      <c r="FD304" s="5">
        <f t="shared" si="893"/>
        <v>15.84</v>
      </c>
      <c r="FE304" s="173">
        <f t="shared" si="894"/>
        <v>0.77016352554481693</v>
      </c>
      <c r="FF304" s="5">
        <f t="shared" si="895"/>
        <v>77.016352554481699</v>
      </c>
      <c r="FG304">
        <f t="shared" si="896"/>
        <v>88</v>
      </c>
      <c r="FI304" s="562">
        <f t="shared" si="846"/>
        <v>-50</v>
      </c>
    </row>
    <row r="305" spans="5:169">
      <c r="E305" s="170">
        <v>89</v>
      </c>
      <c r="F305" s="217">
        <f t="shared" si="847"/>
        <v>0.89</v>
      </c>
      <c r="G305" s="217">
        <f t="shared" si="775"/>
        <v>0.2225</v>
      </c>
      <c r="H305" s="217">
        <f t="shared" si="776"/>
        <v>14.24</v>
      </c>
      <c r="I305" s="217">
        <f t="shared" si="777"/>
        <v>1.78</v>
      </c>
      <c r="J305" s="541">
        <f t="shared" si="778"/>
        <v>59.911882788145398</v>
      </c>
      <c r="K305" s="443">
        <f t="shared" si="779"/>
        <v>16.739060392800308</v>
      </c>
      <c r="L305" s="172">
        <f t="shared" si="780"/>
        <v>76.650943180945703</v>
      </c>
      <c r="M305" s="443"/>
      <c r="N305" s="217">
        <f t="shared" si="781"/>
        <v>0.21838035773787312</v>
      </c>
      <c r="O305" s="172">
        <f t="shared" si="782"/>
        <v>29.074618657832698</v>
      </c>
      <c r="P305" s="172">
        <f t="shared" si="783"/>
        <v>4.0886182487577232</v>
      </c>
      <c r="Q305" s="217">
        <f t="shared" si="784"/>
        <v>1.8171636661145436</v>
      </c>
      <c r="R305" s="217">
        <f t="shared" si="785"/>
        <v>3.6343273322290872</v>
      </c>
      <c r="S305" s="217">
        <f t="shared" si="786"/>
        <v>16</v>
      </c>
      <c r="T305" s="217">
        <f t="shared" si="787"/>
        <v>2.4488713278727294</v>
      </c>
      <c r="U305" s="217">
        <f t="shared" si="788"/>
        <v>0.49049461587422138</v>
      </c>
      <c r="V305" s="217">
        <f t="shared" si="789"/>
        <v>1.7555618562145974</v>
      </c>
      <c r="W305" s="197">
        <f t="shared" si="790"/>
        <v>350</v>
      </c>
      <c r="X305" s="443">
        <f t="shared" si="848"/>
        <v>350</v>
      </c>
      <c r="Z305" s="217">
        <f t="shared" si="791"/>
        <v>3.1151377133392173</v>
      </c>
      <c r="AA305" s="173">
        <f t="shared" si="792"/>
        <v>2.2331989778917909</v>
      </c>
      <c r="AB305" s="173">
        <f t="shared" si="793"/>
        <v>1.082156811154426</v>
      </c>
      <c r="AC305" s="173"/>
      <c r="AD305" s="173">
        <f t="shared" si="794"/>
        <v>0.71688611656848789</v>
      </c>
      <c r="AE305" s="545">
        <f t="shared" si="795"/>
        <v>2482.9606249320454</v>
      </c>
      <c r="AF305" s="528">
        <f t="shared" si="796"/>
        <v>0.12545507039948539</v>
      </c>
      <c r="AH305" s="173">
        <f t="shared" si="797"/>
        <v>2.7619868624907373</v>
      </c>
      <c r="AI305" s="173">
        <f t="shared" si="798"/>
        <v>2.7619868624907373</v>
      </c>
      <c r="AJ305" s="173">
        <f t="shared" si="799"/>
        <v>2.5051754536968422</v>
      </c>
      <c r="AL305" s="545">
        <f t="shared" si="800"/>
        <v>890</v>
      </c>
      <c r="AM305" s="460">
        <f t="shared" si="801"/>
        <v>350</v>
      </c>
      <c r="AO305">
        <f t="shared" si="802"/>
        <v>890</v>
      </c>
      <c r="AP305">
        <f t="shared" si="803"/>
        <v>350</v>
      </c>
      <c r="AR305" s="5">
        <f t="shared" si="774"/>
        <v>2.8571428571428572</v>
      </c>
      <c r="AS305" s="5">
        <f t="shared" si="739"/>
        <v>0.55320982762449478</v>
      </c>
      <c r="AT305" s="5">
        <f t="shared" si="740"/>
        <v>2.3039330295183627</v>
      </c>
      <c r="AU305" s="173">
        <f t="shared" si="741"/>
        <v>0.19362343966857318</v>
      </c>
      <c r="BA305" s="173">
        <f t="shared" si="849"/>
        <v>0.70168137112638262</v>
      </c>
      <c r="BB305" s="173">
        <f t="shared" si="850"/>
        <v>1.4319568416231483</v>
      </c>
      <c r="BC305" s="173">
        <f t="shared" si="851"/>
        <v>0.35167175375156728</v>
      </c>
      <c r="BD305" s="173"/>
      <c r="BE305" s="528">
        <f t="shared" si="852"/>
        <v>9.8471349317160069E-3</v>
      </c>
      <c r="BF305" s="528">
        <f t="shared" si="804"/>
        <v>1.3522905863793033</v>
      </c>
      <c r="BG305" s="528">
        <f t="shared" si="805"/>
        <v>0.48229065644457042</v>
      </c>
      <c r="BH305" s="528">
        <f t="shared" si="853"/>
        <v>1.0127664022298617</v>
      </c>
      <c r="BI305">
        <f t="shared" si="854"/>
        <v>2.6960347254665427E-2</v>
      </c>
      <c r="BJ305" s="460">
        <f t="shared" si="855"/>
        <v>509.25100369923581</v>
      </c>
      <c r="BK305">
        <f t="shared" si="806"/>
        <v>2.3831386299982218</v>
      </c>
      <c r="BL305" s="460">
        <f t="shared" si="856"/>
        <v>2884.1551272401166</v>
      </c>
      <c r="BM305" s="173">
        <f t="shared" si="807"/>
        <v>0.55291249999999992</v>
      </c>
      <c r="BN305" s="173">
        <f t="shared" si="808"/>
        <v>9.8734374999999999E-2</v>
      </c>
      <c r="BQ305" s="460">
        <f t="shared" si="857"/>
        <v>651.64687499999991</v>
      </c>
      <c r="BR305" s="528">
        <f t="shared" si="858"/>
        <v>1.4770702397574009E-2</v>
      </c>
      <c r="BS305" s="528">
        <f t="shared" si="859"/>
        <v>6.1515011888140271E-2</v>
      </c>
      <c r="BT305" s="528">
        <f t="shared" si="860"/>
        <v>6.1836511193351493E-4</v>
      </c>
      <c r="BU305" s="528">
        <f t="shared" si="861"/>
        <v>1.4527608794760714</v>
      </c>
      <c r="BV305" s="528"/>
      <c r="BW305" s="625">
        <f t="shared" si="862"/>
        <v>1.3349999999999999E-2</v>
      </c>
      <c r="BX305" s="460">
        <f t="shared" si="863"/>
        <v>1543.0149588737193</v>
      </c>
      <c r="BY305" s="173">
        <f t="shared" si="864"/>
        <v>5.0788169611138354</v>
      </c>
      <c r="BZ305" s="5">
        <f t="shared" si="865"/>
        <v>16.02</v>
      </c>
      <c r="CA305" s="173">
        <f t="shared" si="866"/>
        <v>0.75928427785906927</v>
      </c>
      <c r="CB305" s="5">
        <f t="shared" si="867"/>
        <v>75.928427785906933</v>
      </c>
      <c r="CC305">
        <f t="shared" si="868"/>
        <v>89</v>
      </c>
      <c r="CE305" s="562">
        <f t="shared" si="809"/>
        <v>-50</v>
      </c>
      <c r="CG305" s="173">
        <f t="shared" si="810"/>
        <v>0.6835568740053749</v>
      </c>
      <c r="CH305" s="173">
        <f t="shared" si="811"/>
        <v>0.24601529688353127</v>
      </c>
      <c r="CI305" s="170">
        <v>89</v>
      </c>
      <c r="CJ305" s="217">
        <f t="shared" si="869"/>
        <v>0.89</v>
      </c>
      <c r="CK305" s="217">
        <f t="shared" si="812"/>
        <v>0.2225</v>
      </c>
      <c r="CL305" s="217">
        <f t="shared" si="813"/>
        <v>14.24</v>
      </c>
      <c r="CM305" s="217">
        <f t="shared" si="814"/>
        <v>1.78</v>
      </c>
      <c r="CN305" s="541">
        <f t="shared" si="815"/>
        <v>60</v>
      </c>
      <c r="CO305" s="443">
        <f t="shared" si="816"/>
        <v>16.7</v>
      </c>
      <c r="CP305" s="443">
        <f t="shared" si="817"/>
        <v>76.7</v>
      </c>
      <c r="CQ305" s="443"/>
      <c r="CR305" s="217">
        <f t="shared" si="818"/>
        <v>0.21465968586387432</v>
      </c>
      <c r="CS305" s="172">
        <f t="shared" si="819"/>
        <v>28.621291448516576</v>
      </c>
      <c r="CT305" s="172">
        <f t="shared" si="820"/>
        <v>4.0248691099476437</v>
      </c>
      <c r="CU305" s="217">
        <f t="shared" si="821"/>
        <v>1.788830715532286</v>
      </c>
      <c r="CV305" s="217">
        <f t="shared" si="822"/>
        <v>3.577661431064572</v>
      </c>
      <c r="CW305" s="217">
        <f t="shared" si="823"/>
        <v>16</v>
      </c>
      <c r="CX305" s="217">
        <f t="shared" si="824"/>
        <v>2.4876585365853661</v>
      </c>
      <c r="CY305" s="217">
        <f t="shared" si="825"/>
        <v>0.49753170731707325</v>
      </c>
      <c r="CZ305" s="217">
        <f t="shared" si="826"/>
        <v>1.7875390682050536</v>
      </c>
      <c r="DA305" s="197">
        <f t="shared" si="827"/>
        <v>350</v>
      </c>
      <c r="DB305" s="443">
        <f t="shared" si="828"/>
        <v>350</v>
      </c>
      <c r="DD305" s="217">
        <f t="shared" si="829"/>
        <v>3.1104488731607378</v>
      </c>
      <c r="DE305" s="173">
        <f t="shared" si="830"/>
        <v>2.23505308251071</v>
      </c>
      <c r="DF305" s="173">
        <f t="shared" si="831"/>
        <v>1.0814250754144243</v>
      </c>
      <c r="DG305" s="173"/>
      <c r="DH305" s="173">
        <f t="shared" si="832"/>
        <v>0.71856287425149712</v>
      </c>
      <c r="DI305" s="545">
        <f t="shared" si="833"/>
        <v>2477.1666666666665</v>
      </c>
      <c r="DJ305" s="528">
        <f t="shared" si="834"/>
        <v>0.125748502994012</v>
      </c>
      <c r="DL305" s="173">
        <f t="shared" si="835"/>
        <v>2.7619868624907373</v>
      </c>
      <c r="DM305" s="173">
        <f t="shared" si="836"/>
        <v>2.7619868624907373</v>
      </c>
      <c r="DN305" s="173">
        <f t="shared" si="837"/>
        <v>2.5051754536968422</v>
      </c>
      <c r="DP305" s="545">
        <f t="shared" si="838"/>
        <v>890</v>
      </c>
      <c r="DQ305" s="460">
        <f t="shared" si="839"/>
        <v>350</v>
      </c>
      <c r="DS305">
        <f t="shared" si="840"/>
        <v>890</v>
      </c>
      <c r="DT305">
        <f t="shared" si="841"/>
        <v>350</v>
      </c>
      <c r="DV305" s="5">
        <f t="shared" si="870"/>
        <v>2.8571428571428572</v>
      </c>
      <c r="DW305" s="5">
        <f t="shared" si="842"/>
        <v>0.55239737249814747</v>
      </c>
      <c r="DX305" s="5">
        <f t="shared" si="843"/>
        <v>2.3047454846447097</v>
      </c>
      <c r="DY305" s="173">
        <f t="shared" si="844"/>
        <v>0.1933390803743516</v>
      </c>
      <c r="EA305" s="5">
        <f t="shared" si="871"/>
        <v>3.0727103845209451</v>
      </c>
      <c r="EB305" s="5">
        <f t="shared" si="872"/>
        <v>1.5363551922604726</v>
      </c>
      <c r="EC305" s="5">
        <f t="shared" si="873"/>
        <v>0.4558274402963981</v>
      </c>
      <c r="ED305" s="5"/>
      <c r="EE305" s="173">
        <f t="shared" si="874"/>
        <v>0.70116593009312078</v>
      </c>
      <c r="EF305" s="173">
        <f t="shared" si="875"/>
        <v>1.4322093008124863</v>
      </c>
      <c r="EG305" s="173">
        <f t="shared" si="876"/>
        <v>0.35173375475836061</v>
      </c>
      <c r="EH305" s="173"/>
      <c r="EI305" s="528">
        <f t="shared" si="877"/>
        <v>9.8326732304670223E-3</v>
      </c>
      <c r="EJ305" s="528">
        <f t="shared" si="878"/>
        <v>1.4087652091477132</v>
      </c>
      <c r="EK305" s="528">
        <f t="shared" si="879"/>
        <v>4.0250000000000001E-2</v>
      </c>
      <c r="EL305" s="528">
        <f t="shared" si="880"/>
        <v>1.0140631637499999</v>
      </c>
      <c r="EM305">
        <f t="shared" si="881"/>
        <v>2.7E-2</v>
      </c>
      <c r="EN305" s="460">
        <f t="shared" si="882"/>
        <v>67.25</v>
      </c>
      <c r="EP305" s="460">
        <f t="shared" si="883"/>
        <v>2499.9110461281803</v>
      </c>
      <c r="EQ305" s="173">
        <f t="shared" si="884"/>
        <v>0.623</v>
      </c>
      <c r="ER305" s="173">
        <f t="shared" si="845"/>
        <v>9.8734374999999999E-2</v>
      </c>
      <c r="ES305" s="528"/>
      <c r="EU305" s="460">
        <f t="shared" si="885"/>
        <v>721.734375</v>
      </c>
      <c r="EV305" s="528">
        <f t="shared" si="886"/>
        <v>1.4749009845700534E-2</v>
      </c>
      <c r="EW305" s="528">
        <f t="shared" si="887"/>
        <v>6.1536704440013724E-2</v>
      </c>
      <c r="EX305" s="528">
        <f t="shared" si="888"/>
        <v>6.1858317118207277E-4</v>
      </c>
      <c r="EY305" s="528">
        <f t="shared" si="889"/>
        <v>1.4527608794760714</v>
      </c>
      <c r="EZ305" s="528"/>
      <c r="FA305" s="625">
        <f t="shared" si="890"/>
        <v>1.3349999999999999E-2</v>
      </c>
      <c r="FB305" s="460">
        <f t="shared" si="891"/>
        <v>1543.0151769329677</v>
      </c>
      <c r="FC305" s="173">
        <f t="shared" si="892"/>
        <v>4.7646605980611483</v>
      </c>
      <c r="FD305" s="5">
        <f t="shared" si="893"/>
        <v>16.02</v>
      </c>
      <c r="FE305" s="173">
        <f t="shared" si="894"/>
        <v>0.7707607215628236</v>
      </c>
      <c r="FF305" s="5">
        <f t="shared" si="895"/>
        <v>77.076072156282365</v>
      </c>
      <c r="FG305">
        <f t="shared" si="896"/>
        <v>89</v>
      </c>
      <c r="FI305" s="562">
        <f t="shared" si="846"/>
        <v>-50</v>
      </c>
    </row>
    <row r="306" spans="5:169">
      <c r="E306" s="170">
        <v>90</v>
      </c>
      <c r="F306" s="217">
        <f t="shared" si="847"/>
        <v>0.9</v>
      </c>
      <c r="G306" s="217">
        <f t="shared" si="775"/>
        <v>0.22500000000000001</v>
      </c>
      <c r="H306" s="217">
        <f t="shared" si="776"/>
        <v>14.4</v>
      </c>
      <c r="I306" s="217">
        <f t="shared" si="777"/>
        <v>1.8</v>
      </c>
      <c r="J306" s="541">
        <f t="shared" si="778"/>
        <v>59.911389130434891</v>
      </c>
      <c r="K306" s="443">
        <f t="shared" si="779"/>
        <v>16.739279220242476</v>
      </c>
      <c r="L306" s="172">
        <f t="shared" si="780"/>
        <v>76.650668350677364</v>
      </c>
      <c r="M306" s="443"/>
      <c r="N306" s="217">
        <f t="shared" si="781"/>
        <v>0.21838399560536317</v>
      </c>
      <c r="O306" s="172">
        <f t="shared" si="782"/>
        <v>29.074863423493543</v>
      </c>
      <c r="P306" s="172">
        <f t="shared" si="783"/>
        <v>4.0886526689287797</v>
      </c>
      <c r="Q306" s="217">
        <f t="shared" si="784"/>
        <v>1.8171789639683464</v>
      </c>
      <c r="R306" s="217">
        <f t="shared" si="785"/>
        <v>3.6343579279366929</v>
      </c>
      <c r="S306" s="217">
        <f t="shared" si="786"/>
        <v>16</v>
      </c>
      <c r="T306" s="217">
        <f t="shared" si="787"/>
        <v>2.4763658886810584</v>
      </c>
      <c r="U306" s="217">
        <f t="shared" si="788"/>
        <v>0.49600570267994037</v>
      </c>
      <c r="V306" s="217">
        <f t="shared" si="789"/>
        <v>1.7752491175508478</v>
      </c>
      <c r="W306" s="197">
        <f t="shared" si="790"/>
        <v>350</v>
      </c>
      <c r="X306" s="443">
        <f t="shared" si="848"/>
        <v>350</v>
      </c>
      <c r="Z306" s="217">
        <f t="shared" si="791"/>
        <v>3.1151639382314511</v>
      </c>
      <c r="AA306" s="173">
        <f t="shared" si="792"/>
        <v>2.2331885839846763</v>
      </c>
      <c r="AB306" s="173">
        <f t="shared" si="793"/>
        <v>1.0821608846376565</v>
      </c>
      <c r="AC306" s="173"/>
      <c r="AD306" s="173">
        <f t="shared" si="794"/>
        <v>0.71687674493706033</v>
      </c>
      <c r="AE306" s="545">
        <f t="shared" si="795"/>
        <v>2510.8918830363714</v>
      </c>
      <c r="AF306" s="528">
        <f t="shared" si="796"/>
        <v>0.12545343036398557</v>
      </c>
      <c r="AH306" s="173">
        <f t="shared" si="797"/>
        <v>2.7774602993176543</v>
      </c>
      <c r="AI306" s="173">
        <f t="shared" si="798"/>
        <v>2.7774602993176543</v>
      </c>
      <c r="AJ306" s="173">
        <f t="shared" si="799"/>
        <v>2.5166372587538177</v>
      </c>
      <c r="AL306" s="545">
        <f t="shared" si="800"/>
        <v>900</v>
      </c>
      <c r="AM306" s="460">
        <f t="shared" si="801"/>
        <v>350</v>
      </c>
      <c r="AO306">
        <f t="shared" si="802"/>
        <v>900</v>
      </c>
      <c r="AP306">
        <f t="shared" si="803"/>
        <v>350</v>
      </c>
      <c r="AR306" s="5">
        <f t="shared" si="774"/>
        <v>2.8571428571428572</v>
      </c>
      <c r="AS306" s="5">
        <f t="shared" si="739"/>
        <v>0.55631365046884729</v>
      </c>
      <c r="AT306" s="5">
        <f t="shared" si="740"/>
        <v>2.3008292066740097</v>
      </c>
      <c r="AU306" s="173">
        <f t="shared" si="741"/>
        <v>0.19470977766409656</v>
      </c>
      <c r="BA306" s="173">
        <f t="shared" si="849"/>
        <v>0.70758906536347943</v>
      </c>
      <c r="BB306" s="173">
        <f t="shared" si="850"/>
        <v>1.4390087859379483</v>
      </c>
      <c r="BC306" s="173">
        <f t="shared" si="851"/>
        <v>0.35340362831123145</v>
      </c>
      <c r="BD306" s="173"/>
      <c r="BE306" s="528">
        <f t="shared" si="852"/>
        <v>1.0013645708439248E-2</v>
      </c>
      <c r="BF306" s="528">
        <f t="shared" si="804"/>
        <v>1.3598616275118398</v>
      </c>
      <c r="BG306" s="528">
        <f t="shared" si="805"/>
        <v>0.4822866825000009</v>
      </c>
      <c r="BH306" s="528">
        <f t="shared" si="853"/>
        <v>1.0127591397396287</v>
      </c>
      <c r="BI306">
        <f t="shared" si="854"/>
        <v>2.69601251086957E-2</v>
      </c>
      <c r="BJ306" s="460">
        <f t="shared" si="855"/>
        <v>509.24680760869654</v>
      </c>
      <c r="BK306">
        <f t="shared" si="806"/>
        <v>2.3910269295218392</v>
      </c>
      <c r="BL306" s="460">
        <f t="shared" si="856"/>
        <v>2891.8812205686045</v>
      </c>
      <c r="BM306" s="173">
        <f t="shared" si="807"/>
        <v>0.55912499999999998</v>
      </c>
      <c r="BN306" s="173">
        <f t="shared" si="808"/>
        <v>9.9843749999999995E-2</v>
      </c>
      <c r="BQ306" s="460">
        <f t="shared" si="857"/>
        <v>658.96875</v>
      </c>
      <c r="BR306" s="528">
        <f t="shared" si="858"/>
        <v>1.502046856265887E-2</v>
      </c>
      <c r="BS306" s="528">
        <f t="shared" si="859"/>
        <v>6.2122388580198237E-2</v>
      </c>
      <c r="BT306" s="528">
        <f t="shared" si="860"/>
        <v>6.2447062251771524E-4</v>
      </c>
      <c r="BU306" s="528">
        <f t="shared" si="861"/>
        <v>1.4731934015340187</v>
      </c>
      <c r="BV306" s="528"/>
      <c r="BW306" s="625">
        <f t="shared" si="862"/>
        <v>1.35E-2</v>
      </c>
      <c r="BX306" s="460">
        <f t="shared" si="863"/>
        <v>1564.4607292993935</v>
      </c>
      <c r="BY306" s="173">
        <f t="shared" si="864"/>
        <v>5.1153106998679965</v>
      </c>
      <c r="BZ306" s="5">
        <f t="shared" si="865"/>
        <v>16.2</v>
      </c>
      <c r="CA306" s="173">
        <f t="shared" si="866"/>
        <v>0.76001707073874947</v>
      </c>
      <c r="CB306" s="5">
        <f t="shared" si="867"/>
        <v>76.00170707387494</v>
      </c>
      <c r="CC306">
        <f t="shared" si="868"/>
        <v>90</v>
      </c>
      <c r="CE306" s="562">
        <f t="shared" si="809"/>
        <v>-50</v>
      </c>
      <c r="CG306" s="173">
        <f t="shared" si="810"/>
        <v>0.68738635424337602</v>
      </c>
      <c r="CH306" s="173">
        <f t="shared" si="811"/>
        <v>0.24739354462485097</v>
      </c>
      <c r="CI306" s="170">
        <v>90</v>
      </c>
      <c r="CJ306" s="217">
        <f t="shared" si="869"/>
        <v>0.9</v>
      </c>
      <c r="CK306" s="217">
        <f t="shared" si="812"/>
        <v>0.22500000000000001</v>
      </c>
      <c r="CL306" s="217">
        <f t="shared" si="813"/>
        <v>14.4</v>
      </c>
      <c r="CM306" s="217">
        <f t="shared" si="814"/>
        <v>1.8</v>
      </c>
      <c r="CN306" s="541">
        <f t="shared" si="815"/>
        <v>60</v>
      </c>
      <c r="CO306" s="443">
        <f t="shared" si="816"/>
        <v>16.7</v>
      </c>
      <c r="CP306" s="443">
        <f t="shared" si="817"/>
        <v>76.7</v>
      </c>
      <c r="CQ306" s="443"/>
      <c r="CR306" s="217">
        <f t="shared" si="818"/>
        <v>0.21465968586387432</v>
      </c>
      <c r="CS306" s="172">
        <f t="shared" si="819"/>
        <v>28.621291448516576</v>
      </c>
      <c r="CT306" s="172">
        <f t="shared" si="820"/>
        <v>4.0248691099476437</v>
      </c>
      <c r="CU306" s="217">
        <f t="shared" si="821"/>
        <v>1.788830715532286</v>
      </c>
      <c r="CV306" s="217">
        <f t="shared" si="822"/>
        <v>3.577661431064572</v>
      </c>
      <c r="CW306" s="217">
        <f t="shared" si="823"/>
        <v>16</v>
      </c>
      <c r="CX306" s="217">
        <f t="shared" si="824"/>
        <v>2.515609756097561</v>
      </c>
      <c r="CY306" s="217">
        <f t="shared" si="825"/>
        <v>0.5031219512195122</v>
      </c>
      <c r="CZ306" s="217">
        <f t="shared" si="826"/>
        <v>1.8076237768365711</v>
      </c>
      <c r="DA306" s="197">
        <f t="shared" si="827"/>
        <v>350</v>
      </c>
      <c r="DB306" s="443">
        <f t="shared" si="828"/>
        <v>350</v>
      </c>
      <c r="DD306" s="217">
        <f t="shared" si="829"/>
        <v>3.1104488731607378</v>
      </c>
      <c r="DE306" s="173">
        <f t="shared" si="830"/>
        <v>2.23505308251071</v>
      </c>
      <c r="DF306" s="173">
        <f t="shared" si="831"/>
        <v>1.0814250754144243</v>
      </c>
      <c r="DG306" s="173"/>
      <c r="DH306" s="173">
        <f t="shared" si="832"/>
        <v>0.71856287425149712</v>
      </c>
      <c r="DI306" s="545">
        <f t="shared" si="833"/>
        <v>2504.9999999999995</v>
      </c>
      <c r="DJ306" s="528">
        <f t="shared" si="834"/>
        <v>0.125748502994012</v>
      </c>
      <c r="DL306" s="173">
        <f t="shared" si="835"/>
        <v>2.7774602993176543</v>
      </c>
      <c r="DM306" s="173">
        <f t="shared" si="836"/>
        <v>2.7774602993176543</v>
      </c>
      <c r="DN306" s="173">
        <f t="shared" si="837"/>
        <v>2.5166372587538177</v>
      </c>
      <c r="DP306" s="545">
        <f t="shared" si="838"/>
        <v>900</v>
      </c>
      <c r="DQ306" s="460">
        <f t="shared" si="839"/>
        <v>350</v>
      </c>
      <c r="DS306">
        <f t="shared" si="840"/>
        <v>900</v>
      </c>
      <c r="DT306">
        <f t="shared" si="841"/>
        <v>350</v>
      </c>
      <c r="DV306" s="5">
        <f t="shared" si="870"/>
        <v>2.8571428571428572</v>
      </c>
      <c r="DW306" s="5">
        <f t="shared" si="842"/>
        <v>0.5554920598635309</v>
      </c>
      <c r="DX306" s="5">
        <f t="shared" si="843"/>
        <v>2.3016507972793265</v>
      </c>
      <c r="DY306" s="173">
        <f t="shared" si="844"/>
        <v>0.1944222209522358</v>
      </c>
      <c r="EA306" s="5">
        <f t="shared" si="871"/>
        <v>3.1246428367323613</v>
      </c>
      <c r="EB306" s="5">
        <f t="shared" si="872"/>
        <v>1.5623214183661807</v>
      </c>
      <c r="EC306" s="5">
        <f t="shared" si="873"/>
        <v>0.46033015945586531</v>
      </c>
      <c r="ED306" s="5"/>
      <c r="EE306" s="173">
        <f t="shared" si="874"/>
        <v>0.70706637162092334</v>
      </c>
      <c r="EF306" s="173">
        <f t="shared" si="875"/>
        <v>1.439265686922117</v>
      </c>
      <c r="EG306" s="173">
        <f t="shared" si="876"/>
        <v>0.35346672017057873</v>
      </c>
      <c r="EH306" s="173"/>
      <c r="EI306" s="528">
        <f t="shared" si="877"/>
        <v>9.9988570775435531E-3</v>
      </c>
      <c r="EJ306" s="528">
        <f t="shared" si="878"/>
        <v>1.4166575129684664</v>
      </c>
      <c r="EK306" s="528">
        <f t="shared" si="879"/>
        <v>4.0250000000000001E-2</v>
      </c>
      <c r="EL306" s="528">
        <f t="shared" si="880"/>
        <v>1.0140631637499999</v>
      </c>
      <c r="EM306">
        <f t="shared" si="881"/>
        <v>2.7E-2</v>
      </c>
      <c r="EN306" s="460">
        <f t="shared" si="882"/>
        <v>67.25</v>
      </c>
      <c r="EP306" s="460">
        <f t="shared" si="883"/>
        <v>2507.9695337960102</v>
      </c>
      <c r="EQ306" s="173">
        <f t="shared" si="884"/>
        <v>0.63</v>
      </c>
      <c r="ER306" s="173">
        <f t="shared" si="845"/>
        <v>9.9843749999999995E-2</v>
      </c>
      <c r="ES306" s="528"/>
      <c r="EU306" s="460">
        <f t="shared" si="885"/>
        <v>729.84375</v>
      </c>
      <c r="EV306" s="528">
        <f t="shared" si="886"/>
        <v>1.499828561631533E-2</v>
      </c>
      <c r="EW306" s="528">
        <f t="shared" si="887"/>
        <v>6.2144571526541799E-2</v>
      </c>
      <c r="EX306" s="528">
        <f t="shared" si="888"/>
        <v>6.2469361134073103E-4</v>
      </c>
      <c r="EY306" s="528">
        <f t="shared" si="889"/>
        <v>1.4731934015340187</v>
      </c>
      <c r="EZ306" s="528"/>
      <c r="FA306" s="625">
        <f t="shared" si="890"/>
        <v>1.35E-2</v>
      </c>
      <c r="FB306" s="460">
        <f t="shared" si="891"/>
        <v>1564.4609522882167</v>
      </c>
      <c r="FC306" s="173">
        <f t="shared" si="892"/>
        <v>4.8022742360842257</v>
      </c>
      <c r="FD306" s="5">
        <f t="shared" si="893"/>
        <v>16.2</v>
      </c>
      <c r="FE306" s="173">
        <f t="shared" si="894"/>
        <v>0.77134503710872471</v>
      </c>
      <c r="FF306" s="5">
        <f t="shared" si="895"/>
        <v>77.134503710872465</v>
      </c>
      <c r="FG306">
        <f t="shared" si="896"/>
        <v>90</v>
      </c>
      <c r="FI306" s="562">
        <f t="shared" si="846"/>
        <v>-50</v>
      </c>
    </row>
    <row r="307" spans="5:169">
      <c r="E307" s="170">
        <v>91</v>
      </c>
      <c r="F307" s="217">
        <f t="shared" si="847"/>
        <v>0.91</v>
      </c>
      <c r="G307" s="217">
        <f t="shared" si="775"/>
        <v>0.22750000000000001</v>
      </c>
      <c r="H307" s="217">
        <f t="shared" si="776"/>
        <v>14.56</v>
      </c>
      <c r="I307" s="217">
        <f t="shared" si="777"/>
        <v>1.82</v>
      </c>
      <c r="J307" s="541">
        <f t="shared" si="778"/>
        <v>59.910898207733283</v>
      </c>
      <c r="K307" s="443">
        <f t="shared" si="779"/>
        <v>16.739496835316263</v>
      </c>
      <c r="L307" s="172">
        <f t="shared" si="780"/>
        <v>76.650395043049542</v>
      </c>
      <c r="M307" s="443"/>
      <c r="N307" s="217">
        <f t="shared" si="781"/>
        <v>0.2183876133438683</v>
      </c>
      <c r="O307" s="172">
        <f t="shared" si="782"/>
        <v>29.075106828609577</v>
      </c>
      <c r="P307" s="172">
        <f t="shared" si="783"/>
        <v>4.088686897773222</v>
      </c>
      <c r="Q307" s="217">
        <f t="shared" si="784"/>
        <v>1.8171941767880986</v>
      </c>
      <c r="R307" s="217">
        <f t="shared" si="785"/>
        <v>3.6343883535761972</v>
      </c>
      <c r="S307" s="217">
        <f t="shared" si="786"/>
        <v>16</v>
      </c>
      <c r="T307" s="217">
        <f t="shared" si="787"/>
        <v>2.5038601037353927</v>
      </c>
      <c r="U307" s="217">
        <f t="shared" si="788"/>
        <v>0.50151678815835787</v>
      </c>
      <c r="V307" s="217">
        <f t="shared" si="789"/>
        <v>1.7949357463023794</v>
      </c>
      <c r="W307" s="197">
        <f t="shared" si="790"/>
        <v>350</v>
      </c>
      <c r="X307" s="443">
        <f t="shared" si="848"/>
        <v>350</v>
      </c>
      <c r="Z307" s="217">
        <f t="shared" si="791"/>
        <v>3.1151900173510256</v>
      </c>
      <c r="AA307" s="173">
        <f t="shared" si="792"/>
        <v>2.2331782475889477</v>
      </c>
      <c r="AB307" s="173">
        <f t="shared" si="793"/>
        <v>1.082164935266263</v>
      </c>
      <c r="AC307" s="173"/>
      <c r="AD307" s="173">
        <f t="shared" si="794"/>
        <v>0.71686742547021609</v>
      </c>
      <c r="AE307" s="545">
        <f t="shared" si="795"/>
        <v>2538.8236866896336</v>
      </c>
      <c r="AF307" s="528">
        <f t="shared" si="796"/>
        <v>0.12545179945728779</v>
      </c>
      <c r="AH307" s="173">
        <f t="shared" si="797"/>
        <v>2.7928480087537881</v>
      </c>
      <c r="AI307" s="173">
        <f t="shared" si="798"/>
        <v>2.7928480087537881</v>
      </c>
      <c r="AJ307" s="173">
        <f t="shared" si="799"/>
        <v>2.5280355620398431</v>
      </c>
      <c r="AL307" s="545">
        <f t="shared" si="800"/>
        <v>910</v>
      </c>
      <c r="AM307" s="460">
        <f t="shared" si="801"/>
        <v>350</v>
      </c>
      <c r="AO307">
        <f t="shared" si="802"/>
        <v>910</v>
      </c>
      <c r="AP307">
        <f t="shared" si="803"/>
        <v>350</v>
      </c>
      <c r="AR307" s="5">
        <f t="shared" si="774"/>
        <v>2.8571428571428572</v>
      </c>
      <c r="AS307" s="5">
        <f t="shared" ref="AS307:AS316" si="897">L*AI307/J307*1000000</f>
        <v>0.55940032794766981</v>
      </c>
      <c r="AT307" s="5">
        <f t="shared" ref="AT307:AT316" si="898">AR307-AS307</f>
        <v>2.2977425291951876</v>
      </c>
      <c r="AU307" s="173">
        <f t="shared" ref="AU307:AU316" si="899">AS307/AR307</f>
        <v>0.19579011478168443</v>
      </c>
      <c r="BA307" s="173">
        <f t="shared" si="849"/>
        <v>0.71348041208738133</v>
      </c>
      <c r="BB307" s="173">
        <f t="shared" si="850"/>
        <v>1.4460102702151254</v>
      </c>
      <c r="BC307" s="173">
        <f t="shared" si="851"/>
        <v>0.35512311047930284</v>
      </c>
      <c r="BD307" s="173"/>
      <c r="BE307" s="528">
        <f t="shared" si="852"/>
        <v>1.018108596864759E-2</v>
      </c>
      <c r="BF307" s="528">
        <f t="shared" si="804"/>
        <v>1.3673906689739248</v>
      </c>
      <c r="BG307" s="528">
        <f t="shared" si="805"/>
        <v>0.48228273057225296</v>
      </c>
      <c r="BH307" s="528">
        <f t="shared" si="853"/>
        <v>1.0127519175115511</v>
      </c>
      <c r="BI307">
        <f t="shared" si="854"/>
        <v>2.6959904193479975E-2</v>
      </c>
      <c r="BJ307" s="460">
        <f t="shared" si="855"/>
        <v>509.24263476573293</v>
      </c>
      <c r="BK307">
        <f t="shared" si="806"/>
        <v>2.3988755079528916</v>
      </c>
      <c r="BL307" s="460">
        <f t="shared" si="856"/>
        <v>2899.5663072198563</v>
      </c>
      <c r="BM307" s="173">
        <f t="shared" si="807"/>
        <v>0.56533749999999994</v>
      </c>
      <c r="BN307" s="173">
        <f t="shared" si="808"/>
        <v>0.100953125</v>
      </c>
      <c r="BQ307" s="460">
        <f t="shared" si="857"/>
        <v>666.29062499999986</v>
      </c>
      <c r="BR307" s="528">
        <f t="shared" si="858"/>
        <v>1.5271628952971385E-2</v>
      </c>
      <c r="BS307" s="528">
        <f t="shared" si="859"/>
        <v>6.2728371047028594E-2</v>
      </c>
      <c r="BT307" s="528">
        <f t="shared" si="860"/>
        <v>6.3056211798247566E-4</v>
      </c>
      <c r="BU307" s="528">
        <f t="shared" si="861"/>
        <v>1.4936827605246445</v>
      </c>
      <c r="BV307" s="528"/>
      <c r="BW307" s="625">
        <f t="shared" si="862"/>
        <v>1.3649999999999999E-2</v>
      </c>
      <c r="BX307" s="460">
        <f t="shared" si="863"/>
        <v>1585.9633226426267</v>
      </c>
      <c r="BY307" s="173">
        <f t="shared" si="864"/>
        <v>5.1518202548624838</v>
      </c>
      <c r="BZ307" s="5">
        <f t="shared" si="865"/>
        <v>16.38</v>
      </c>
      <c r="CA307" s="173">
        <f t="shared" si="866"/>
        <v>0.76073456893645308</v>
      </c>
      <c r="CB307" s="5">
        <f t="shared" si="867"/>
        <v>76.073456893645314</v>
      </c>
      <c r="CC307">
        <f t="shared" si="868"/>
        <v>91</v>
      </c>
      <c r="CE307" s="562">
        <f t="shared" si="809"/>
        <v>-50</v>
      </c>
      <c r="CG307" s="173">
        <f t="shared" si="810"/>
        <v>0.69119461803460247</v>
      </c>
      <c r="CH307" s="173">
        <f t="shared" si="811"/>
        <v>0.24876415646833894</v>
      </c>
      <c r="CI307" s="170">
        <v>91</v>
      </c>
      <c r="CJ307" s="217">
        <f t="shared" si="869"/>
        <v>0.91</v>
      </c>
      <c r="CK307" s="217">
        <f t="shared" si="812"/>
        <v>0.22750000000000001</v>
      </c>
      <c r="CL307" s="217">
        <f t="shared" si="813"/>
        <v>14.56</v>
      </c>
      <c r="CM307" s="217">
        <f t="shared" si="814"/>
        <v>1.82</v>
      </c>
      <c r="CN307" s="541">
        <f t="shared" si="815"/>
        <v>60</v>
      </c>
      <c r="CO307" s="443">
        <f t="shared" si="816"/>
        <v>16.7</v>
      </c>
      <c r="CP307" s="443">
        <f t="shared" si="817"/>
        <v>76.7</v>
      </c>
      <c r="CQ307" s="443"/>
      <c r="CR307" s="217">
        <f t="shared" si="818"/>
        <v>0.21465968586387432</v>
      </c>
      <c r="CS307" s="172">
        <f t="shared" si="819"/>
        <v>28.621291448516576</v>
      </c>
      <c r="CT307" s="172">
        <f t="shared" si="820"/>
        <v>4.0248691099476437</v>
      </c>
      <c r="CU307" s="217">
        <f t="shared" si="821"/>
        <v>1.788830715532286</v>
      </c>
      <c r="CV307" s="217">
        <f t="shared" si="822"/>
        <v>3.577661431064572</v>
      </c>
      <c r="CW307" s="217">
        <f t="shared" si="823"/>
        <v>16</v>
      </c>
      <c r="CX307" s="217">
        <f t="shared" si="824"/>
        <v>2.5435609756097564</v>
      </c>
      <c r="CY307" s="217">
        <f t="shared" si="825"/>
        <v>0.50871219512195121</v>
      </c>
      <c r="CZ307" s="217">
        <f t="shared" si="826"/>
        <v>1.8277084854680885</v>
      </c>
      <c r="DA307" s="197">
        <f t="shared" si="827"/>
        <v>350</v>
      </c>
      <c r="DB307" s="443">
        <f t="shared" si="828"/>
        <v>350</v>
      </c>
      <c r="DD307" s="217">
        <f t="shared" si="829"/>
        <v>3.1104488731607378</v>
      </c>
      <c r="DE307" s="173">
        <f t="shared" si="830"/>
        <v>2.23505308251071</v>
      </c>
      <c r="DF307" s="173">
        <f t="shared" si="831"/>
        <v>1.0814250754144243</v>
      </c>
      <c r="DG307" s="173"/>
      <c r="DH307" s="173">
        <f t="shared" si="832"/>
        <v>0.71856287425149712</v>
      </c>
      <c r="DI307" s="545">
        <f t="shared" si="833"/>
        <v>2532.833333333333</v>
      </c>
      <c r="DJ307" s="528">
        <f t="shared" si="834"/>
        <v>0.125748502994012</v>
      </c>
      <c r="DL307" s="173">
        <f t="shared" si="835"/>
        <v>2.7928480087537881</v>
      </c>
      <c r="DM307" s="173">
        <f t="shared" si="836"/>
        <v>2.7928480087537881</v>
      </c>
      <c r="DN307" s="173">
        <f t="shared" si="837"/>
        <v>2.5280355620398431</v>
      </c>
      <c r="DP307" s="545">
        <f t="shared" si="838"/>
        <v>910</v>
      </c>
      <c r="DQ307" s="460">
        <f t="shared" si="839"/>
        <v>350</v>
      </c>
      <c r="DS307">
        <f t="shared" si="840"/>
        <v>910</v>
      </c>
      <c r="DT307">
        <f t="shared" si="841"/>
        <v>350</v>
      </c>
      <c r="DV307" s="5">
        <f t="shared" si="870"/>
        <v>2.8571428571428572</v>
      </c>
      <c r="DW307" s="5">
        <f t="shared" si="842"/>
        <v>0.55856960175075765</v>
      </c>
      <c r="DX307" s="5">
        <f t="shared" si="843"/>
        <v>2.2985732553920997</v>
      </c>
      <c r="DY307" s="173">
        <f t="shared" si="844"/>
        <v>0.19549936061276518</v>
      </c>
      <c r="EA307" s="5">
        <f t="shared" si="871"/>
        <v>3.176864609957434</v>
      </c>
      <c r="EB307" s="5">
        <f t="shared" si="872"/>
        <v>1.588432304978717</v>
      </c>
      <c r="EC307" s="5">
        <f t="shared" si="873"/>
        <v>0.46482259164595791</v>
      </c>
      <c r="ED307" s="5"/>
      <c r="EE307" s="173">
        <f t="shared" si="874"/>
        <v>0.71295044539798791</v>
      </c>
      <c r="EF307" s="173">
        <f t="shared" si="875"/>
        <v>1.4462716419839015</v>
      </c>
      <c r="EG307" s="173">
        <f t="shared" si="876"/>
        <v>0.35518730031075224</v>
      </c>
      <c r="EH307" s="173"/>
      <c r="EI307" s="528">
        <f t="shared" si="877"/>
        <v>1.0165966751863787E-2</v>
      </c>
      <c r="EJ307" s="528">
        <f t="shared" si="878"/>
        <v>1.4245060911049134</v>
      </c>
      <c r="EK307" s="528">
        <f t="shared" si="879"/>
        <v>4.0250000000000001E-2</v>
      </c>
      <c r="EL307" s="528">
        <f t="shared" si="880"/>
        <v>1.0140631637499999</v>
      </c>
      <c r="EM307">
        <f t="shared" si="881"/>
        <v>2.7E-2</v>
      </c>
      <c r="EN307" s="460">
        <f t="shared" si="882"/>
        <v>67.25</v>
      </c>
      <c r="EP307" s="460">
        <f t="shared" si="883"/>
        <v>2515.985221606777</v>
      </c>
      <c r="EQ307" s="173">
        <f t="shared" si="884"/>
        <v>0.63700000000000001</v>
      </c>
      <c r="ER307" s="173">
        <f t="shared" si="845"/>
        <v>0.100953125</v>
      </c>
      <c r="ES307" s="528"/>
      <c r="EU307" s="460">
        <f t="shared" si="885"/>
        <v>737.953125</v>
      </c>
      <c r="EV307" s="528">
        <f t="shared" si="886"/>
        <v>1.5248950127795679E-2</v>
      </c>
      <c r="EW307" s="528">
        <f t="shared" si="887"/>
        <v>6.2751049872204312E-2</v>
      </c>
      <c r="EX307" s="528">
        <f t="shared" si="888"/>
        <v>6.3079009151020241E-4</v>
      </c>
      <c r="EY307" s="528">
        <f t="shared" si="889"/>
        <v>1.4936827605246445</v>
      </c>
      <c r="EZ307" s="528"/>
      <c r="FA307" s="625">
        <f t="shared" si="890"/>
        <v>1.3649999999999999E-2</v>
      </c>
      <c r="FB307" s="460">
        <f t="shared" si="891"/>
        <v>1585.9635506161546</v>
      </c>
      <c r="FC307" s="173">
        <f t="shared" si="892"/>
        <v>4.8399018972229317</v>
      </c>
      <c r="FD307" s="5">
        <f t="shared" si="893"/>
        <v>16.38</v>
      </c>
      <c r="FE307" s="173">
        <f t="shared" si="894"/>
        <v>0.77191685802014309</v>
      </c>
      <c r="FF307" s="5">
        <f t="shared" si="895"/>
        <v>77.191685802014305</v>
      </c>
      <c r="FG307">
        <f t="shared" si="896"/>
        <v>91</v>
      </c>
      <c r="FI307" s="562">
        <f t="shared" si="846"/>
        <v>-50</v>
      </c>
    </row>
    <row r="308" spans="5:169">
      <c r="E308" s="170">
        <v>92</v>
      </c>
      <c r="F308" s="217">
        <f t="shared" si="847"/>
        <v>0.92</v>
      </c>
      <c r="G308" s="217">
        <f t="shared" si="775"/>
        <v>0.23</v>
      </c>
      <c r="H308" s="217">
        <f t="shared" si="776"/>
        <v>14.72</v>
      </c>
      <c r="I308" s="217">
        <f t="shared" si="777"/>
        <v>1.84</v>
      </c>
      <c r="J308" s="541">
        <f t="shared" si="778"/>
        <v>59.910409975079823</v>
      </c>
      <c r="K308" s="443">
        <f t="shared" si="779"/>
        <v>16.739713257951756</v>
      </c>
      <c r="L308" s="172">
        <f t="shared" si="780"/>
        <v>76.650123233031579</v>
      </c>
      <c r="M308" s="443"/>
      <c r="N308" s="217">
        <f t="shared" si="781"/>
        <v>0.21839121128428857</v>
      </c>
      <c r="O308" s="172">
        <f t="shared" si="782"/>
        <v>29.075348895546679</v>
      </c>
      <c r="P308" s="172">
        <f t="shared" si="783"/>
        <v>4.0887209384362517</v>
      </c>
      <c r="Q308" s="217">
        <f t="shared" si="784"/>
        <v>1.8172093059716674</v>
      </c>
      <c r="R308" s="217">
        <f t="shared" si="785"/>
        <v>3.6344186119433348</v>
      </c>
      <c r="S308" s="217">
        <f t="shared" si="786"/>
        <v>16</v>
      </c>
      <c r="T308" s="217">
        <f t="shared" si="787"/>
        <v>2.5313539749568728</v>
      </c>
      <c r="U308" s="217">
        <f t="shared" si="788"/>
        <v>0.5070278723199807</v>
      </c>
      <c r="V308" s="217">
        <f t="shared" si="789"/>
        <v>1.8146217459879754</v>
      </c>
      <c r="W308" s="197">
        <f t="shared" si="790"/>
        <v>350</v>
      </c>
      <c r="X308" s="443">
        <f t="shared" si="848"/>
        <v>350</v>
      </c>
      <c r="Z308" s="217">
        <f t="shared" si="791"/>
        <v>3.1152159530942876</v>
      </c>
      <c r="AA308" s="173">
        <f t="shared" si="792"/>
        <v>2.2331679677591754</v>
      </c>
      <c r="AB308" s="173">
        <f t="shared" si="793"/>
        <v>1.0821689634159495</v>
      </c>
      <c r="AC308" s="173"/>
      <c r="AD308" s="173">
        <f t="shared" si="794"/>
        <v>0.71685815731041391</v>
      </c>
      <c r="AE308" s="545">
        <f t="shared" si="795"/>
        <v>2566.7560328859363</v>
      </c>
      <c r="AF308" s="528">
        <f t="shared" si="796"/>
        <v>0.12545017752932242</v>
      </c>
      <c r="AH308" s="173">
        <f t="shared" si="797"/>
        <v>2.8081514000698551</v>
      </c>
      <c r="AI308" s="173">
        <f t="shared" si="798"/>
        <v>2.8081514000698551</v>
      </c>
      <c r="AJ308" s="173">
        <f t="shared" si="799"/>
        <v>2.5393714074591518</v>
      </c>
      <c r="AL308" s="545">
        <f t="shared" si="800"/>
        <v>920</v>
      </c>
      <c r="AM308" s="460">
        <f t="shared" si="801"/>
        <v>350</v>
      </c>
      <c r="AO308">
        <f t="shared" si="802"/>
        <v>920</v>
      </c>
      <c r="AP308">
        <f t="shared" si="803"/>
        <v>350</v>
      </c>
      <c r="AR308" s="5">
        <f t="shared" si="774"/>
        <v>2.8571428571428572</v>
      </c>
      <c r="AS308" s="5">
        <f t="shared" si="897"/>
        <v>0.5624701419144873</v>
      </c>
      <c r="AT308" s="5">
        <f t="shared" si="898"/>
        <v>2.2946727152283701</v>
      </c>
      <c r="AU308" s="173">
        <f t="shared" si="899"/>
        <v>0.19686454967007055</v>
      </c>
      <c r="BA308" s="173">
        <f t="shared" si="849"/>
        <v>0.71935563566384075</v>
      </c>
      <c r="BB308" s="173">
        <f t="shared" si="850"/>
        <v>1.4529621116911828</v>
      </c>
      <c r="BC308" s="173">
        <f t="shared" si="851"/>
        <v>0.35683040095945223</v>
      </c>
      <c r="BD308" s="173"/>
      <c r="BE308" s="528">
        <f t="shared" si="852"/>
        <v>1.0349450611226567E-2</v>
      </c>
      <c r="BF308" s="528">
        <f t="shared" si="804"/>
        <v>1.3748784011972286</v>
      </c>
      <c r="BG308" s="528">
        <f t="shared" si="805"/>
        <v>0.48227880029939257</v>
      </c>
      <c r="BH308" s="528">
        <f t="shared" si="853"/>
        <v>1.0127447348837604</v>
      </c>
      <c r="BI308">
        <f t="shared" si="854"/>
        <v>2.6959684488785919E-2</v>
      </c>
      <c r="BJ308" s="460">
        <f t="shared" si="855"/>
        <v>509.23848478817848</v>
      </c>
      <c r="BK308">
        <f t="shared" si="806"/>
        <v>2.4066850478033173</v>
      </c>
      <c r="BL308" s="460">
        <f t="shared" si="856"/>
        <v>2907.2110714803939</v>
      </c>
      <c r="BM308" s="173">
        <f t="shared" si="807"/>
        <v>0.57155</v>
      </c>
      <c r="BN308" s="173">
        <f t="shared" si="808"/>
        <v>0.1020625</v>
      </c>
      <c r="BQ308" s="460">
        <f t="shared" si="857"/>
        <v>673.61249999999995</v>
      </c>
      <c r="BR308" s="528">
        <f t="shared" si="858"/>
        <v>1.552417591683985E-2</v>
      </c>
      <c r="BS308" s="528">
        <f t="shared" si="859"/>
        <v>6.3332966940303034E-2</v>
      </c>
      <c r="BT308" s="528">
        <f t="shared" si="860"/>
        <v>6.3663967524441728E-4</v>
      </c>
      <c r="BU308" s="528">
        <f t="shared" si="861"/>
        <v>1.5142284873486338</v>
      </c>
      <c r="BV308" s="528"/>
      <c r="BW308" s="625">
        <f t="shared" si="862"/>
        <v>1.3800000000000002E-2</v>
      </c>
      <c r="BX308" s="460">
        <f t="shared" si="863"/>
        <v>1607.5222698810212</v>
      </c>
      <c r="BY308" s="173">
        <f t="shared" si="864"/>
        <v>5.1883458413614143</v>
      </c>
      <c r="BZ308" s="5">
        <f t="shared" si="865"/>
        <v>16.560000000000002</v>
      </c>
      <c r="CA308" s="173">
        <f t="shared" si="866"/>
        <v>0.76143722013588178</v>
      </c>
      <c r="CB308" s="5">
        <f t="shared" si="867"/>
        <v>76.143722013588174</v>
      </c>
      <c r="CC308">
        <f t="shared" si="868"/>
        <v>92</v>
      </c>
      <c r="CE308" s="562">
        <f t="shared" si="809"/>
        <v>-50</v>
      </c>
      <c r="CG308" s="173">
        <f t="shared" si="810"/>
        <v>0.69498201415576222</v>
      </c>
      <c r="CH308" s="173">
        <f t="shared" si="811"/>
        <v>0.25012725794035384</v>
      </c>
      <c r="CI308" s="170">
        <v>92</v>
      </c>
      <c r="CJ308" s="217">
        <f t="shared" si="869"/>
        <v>0.92</v>
      </c>
      <c r="CK308" s="217">
        <f t="shared" si="812"/>
        <v>0.23</v>
      </c>
      <c r="CL308" s="217">
        <f t="shared" si="813"/>
        <v>14.72</v>
      </c>
      <c r="CM308" s="217">
        <f t="shared" si="814"/>
        <v>1.84</v>
      </c>
      <c r="CN308" s="541">
        <f t="shared" si="815"/>
        <v>60</v>
      </c>
      <c r="CO308" s="443">
        <f t="shared" si="816"/>
        <v>16.7</v>
      </c>
      <c r="CP308" s="443">
        <f t="shared" si="817"/>
        <v>76.7</v>
      </c>
      <c r="CQ308" s="443"/>
      <c r="CR308" s="217">
        <f t="shared" si="818"/>
        <v>0.21465968586387432</v>
      </c>
      <c r="CS308" s="172">
        <f t="shared" si="819"/>
        <v>28.621291448516576</v>
      </c>
      <c r="CT308" s="172">
        <f t="shared" si="820"/>
        <v>4.0248691099476437</v>
      </c>
      <c r="CU308" s="217">
        <f t="shared" si="821"/>
        <v>1.788830715532286</v>
      </c>
      <c r="CV308" s="217">
        <f t="shared" si="822"/>
        <v>3.577661431064572</v>
      </c>
      <c r="CW308" s="217">
        <f t="shared" si="823"/>
        <v>16</v>
      </c>
      <c r="CX308" s="217">
        <f t="shared" si="824"/>
        <v>2.5715121951219517</v>
      </c>
      <c r="CY308" s="217">
        <f t="shared" si="825"/>
        <v>0.51430243902439032</v>
      </c>
      <c r="CZ308" s="217">
        <f t="shared" si="826"/>
        <v>1.8477931940996064</v>
      </c>
      <c r="DA308" s="197">
        <f t="shared" si="827"/>
        <v>350</v>
      </c>
      <c r="DB308" s="443">
        <f t="shared" si="828"/>
        <v>350</v>
      </c>
      <c r="DD308" s="217">
        <f t="shared" si="829"/>
        <v>3.1104488731607378</v>
      </c>
      <c r="DE308" s="173">
        <f t="shared" si="830"/>
        <v>2.23505308251071</v>
      </c>
      <c r="DF308" s="173">
        <f t="shared" si="831"/>
        <v>1.0814250754144243</v>
      </c>
      <c r="DG308" s="173"/>
      <c r="DH308" s="173">
        <f t="shared" si="832"/>
        <v>0.71856287425149712</v>
      </c>
      <c r="DI308" s="545">
        <f t="shared" si="833"/>
        <v>2560.6666666666665</v>
      </c>
      <c r="DJ308" s="528">
        <f t="shared" si="834"/>
        <v>0.125748502994012</v>
      </c>
      <c r="DL308" s="173">
        <f t="shared" si="835"/>
        <v>2.8081514000698551</v>
      </c>
      <c r="DM308" s="173">
        <f t="shared" si="836"/>
        <v>2.8081514000698551</v>
      </c>
      <c r="DN308" s="173">
        <f t="shared" si="837"/>
        <v>2.5393714074591518</v>
      </c>
      <c r="DP308" s="545">
        <f t="shared" si="838"/>
        <v>920</v>
      </c>
      <c r="DQ308" s="460">
        <f t="shared" si="839"/>
        <v>350</v>
      </c>
      <c r="DS308">
        <f t="shared" si="840"/>
        <v>920</v>
      </c>
      <c r="DT308">
        <f t="shared" si="841"/>
        <v>350</v>
      </c>
      <c r="DV308" s="5">
        <f t="shared" si="870"/>
        <v>2.8571428571428572</v>
      </c>
      <c r="DW308" s="5">
        <f t="shared" si="842"/>
        <v>0.56163028001397108</v>
      </c>
      <c r="DX308" s="5">
        <f t="shared" si="843"/>
        <v>2.295512577128886</v>
      </c>
      <c r="DY308" s="173">
        <f t="shared" si="844"/>
        <v>0.19657059800488988</v>
      </c>
      <c r="EA308" s="5">
        <f t="shared" si="871"/>
        <v>3.2293741100803337</v>
      </c>
      <c r="EB308" s="5">
        <f t="shared" si="872"/>
        <v>1.6146870550401669</v>
      </c>
      <c r="EC308" s="5">
        <f t="shared" si="873"/>
        <v>0.46930479354634996</v>
      </c>
      <c r="ED308" s="5"/>
      <c r="EE308" s="173">
        <f t="shared" si="874"/>
        <v>0.71881837595657883</v>
      </c>
      <c r="EF308" s="173">
        <f t="shared" si="875"/>
        <v>1.4532279831322326</v>
      </c>
      <c r="EG308" s="173">
        <f t="shared" si="876"/>
        <v>0.35689569585747472</v>
      </c>
      <c r="EH308" s="173"/>
      <c r="EI308" s="528">
        <f t="shared" si="877"/>
        <v>1.0333997152257071E-2</v>
      </c>
      <c r="EJ308" s="528">
        <f t="shared" si="878"/>
        <v>1.4323116623626302</v>
      </c>
      <c r="EK308" s="528">
        <f t="shared" si="879"/>
        <v>4.0250000000000001E-2</v>
      </c>
      <c r="EL308" s="528">
        <f t="shared" si="880"/>
        <v>1.0140631637499999</v>
      </c>
      <c r="EM308">
        <f t="shared" si="881"/>
        <v>2.7E-2</v>
      </c>
      <c r="EN308" s="460">
        <f t="shared" si="882"/>
        <v>67.25</v>
      </c>
      <c r="EP308" s="460">
        <f t="shared" si="883"/>
        <v>2523.9588232648871</v>
      </c>
      <c r="EQ308" s="173">
        <f t="shared" si="884"/>
        <v>0.64400000000000002</v>
      </c>
      <c r="ER308" s="173">
        <f t="shared" si="845"/>
        <v>0.1020625</v>
      </c>
      <c r="ES308" s="528"/>
      <c r="EU308" s="460">
        <f t="shared" si="885"/>
        <v>746.06250000000011</v>
      </c>
      <c r="EV308" s="528">
        <f t="shared" si="886"/>
        <v>1.5500995728385605E-2</v>
      </c>
      <c r="EW308" s="528">
        <f t="shared" si="887"/>
        <v>6.3356147128757284E-2</v>
      </c>
      <c r="EX308" s="528">
        <f t="shared" si="888"/>
        <v>6.3687268860795551E-4</v>
      </c>
      <c r="EY308" s="528">
        <f t="shared" si="889"/>
        <v>1.5142284873486338</v>
      </c>
      <c r="EZ308" s="528"/>
      <c r="FA308" s="625">
        <f t="shared" si="890"/>
        <v>1.3800000000000002E-2</v>
      </c>
      <c r="FB308" s="460">
        <f t="shared" si="891"/>
        <v>1607.5225028943846</v>
      </c>
      <c r="FC308" s="173">
        <f t="shared" si="892"/>
        <v>4.8775438261592727</v>
      </c>
      <c r="FD308" s="5">
        <f t="shared" si="893"/>
        <v>16.560000000000002</v>
      </c>
      <c r="FE308" s="173">
        <f t="shared" si="894"/>
        <v>0.77247655488370714</v>
      </c>
      <c r="FF308" s="5">
        <f t="shared" si="895"/>
        <v>77.247655488370711</v>
      </c>
      <c r="FG308">
        <f t="shared" si="896"/>
        <v>92</v>
      </c>
      <c r="FI308" s="562">
        <f t="shared" si="846"/>
        <v>-50</v>
      </c>
    </row>
    <row r="309" spans="5:169">
      <c r="E309" s="170">
        <v>93</v>
      </c>
      <c r="F309" s="217">
        <f t="shared" si="847"/>
        <v>0.93</v>
      </c>
      <c r="G309" s="217">
        <f t="shared" si="775"/>
        <v>0.23250000000000001</v>
      </c>
      <c r="H309" s="217">
        <f t="shared" si="776"/>
        <v>14.88</v>
      </c>
      <c r="I309" s="217">
        <f t="shared" si="777"/>
        <v>1.86</v>
      </c>
      <c r="J309" s="541">
        <f t="shared" si="778"/>
        <v>59.909924388732271</v>
      </c>
      <c r="K309" s="443">
        <f t="shared" si="779"/>
        <v>16.73992850753892</v>
      </c>
      <c r="L309" s="172">
        <f t="shared" si="780"/>
        <v>76.649852896271199</v>
      </c>
      <c r="M309" s="443"/>
      <c r="N309" s="217">
        <f t="shared" si="781"/>
        <v>0.21839478974855633</v>
      </c>
      <c r="O309" s="172">
        <f t="shared" si="782"/>
        <v>29.07558964606465</v>
      </c>
      <c r="P309" s="172">
        <f t="shared" si="783"/>
        <v>4.0887547939778415</v>
      </c>
      <c r="Q309" s="217">
        <f t="shared" si="784"/>
        <v>1.8172243528790406</v>
      </c>
      <c r="R309" s="217">
        <f t="shared" si="785"/>
        <v>3.6344487057580812</v>
      </c>
      <c r="S309" s="217">
        <f t="shared" si="786"/>
        <v>16</v>
      </c>
      <c r="T309" s="217">
        <f t="shared" si="787"/>
        <v>2.5588475042352226</v>
      </c>
      <c r="U309" s="217">
        <f t="shared" si="788"/>
        <v>0.51253895517514325</v>
      </c>
      <c r="V309" s="217">
        <f t="shared" si="789"/>
        <v>1.8343071200688807</v>
      </c>
      <c r="W309" s="197">
        <f t="shared" si="790"/>
        <v>350</v>
      </c>
      <c r="X309" s="443">
        <f t="shared" si="848"/>
        <v>350</v>
      </c>
      <c r="Z309" s="217">
        <f t="shared" si="791"/>
        <v>3.1152417477926408</v>
      </c>
      <c r="AA309" s="173">
        <f t="shared" si="792"/>
        <v>2.233157743575553</v>
      </c>
      <c r="AB309" s="173">
        <f t="shared" si="793"/>
        <v>1.0821729694522406</v>
      </c>
      <c r="AC309" s="173"/>
      <c r="AD309" s="173">
        <f t="shared" si="794"/>
        <v>0.71684893962335228</v>
      </c>
      <c r="AE309" s="545">
        <f t="shared" si="795"/>
        <v>2594.6889186685326</v>
      </c>
      <c r="AF309" s="528">
        <f t="shared" si="796"/>
        <v>0.12544856443408664</v>
      </c>
      <c r="AH309" s="173">
        <f t="shared" si="797"/>
        <v>2.8233718443429607</v>
      </c>
      <c r="AI309" s="173">
        <f t="shared" si="798"/>
        <v>2.8233718443429607</v>
      </c>
      <c r="AJ309" s="173">
        <f t="shared" si="799"/>
        <v>2.5506458106244154</v>
      </c>
      <c r="AL309" s="545">
        <f t="shared" si="800"/>
        <v>930</v>
      </c>
      <c r="AM309" s="460">
        <f t="shared" si="801"/>
        <v>350</v>
      </c>
      <c r="AO309">
        <f t="shared" si="802"/>
        <v>930</v>
      </c>
      <c r="AP309">
        <f t="shared" si="803"/>
        <v>350</v>
      </c>
      <c r="AR309" s="5">
        <f t="shared" si="774"/>
        <v>2.8571428571428572</v>
      </c>
      <c r="AS309" s="5">
        <f t="shared" si="897"/>
        <v>0.56552336658411295</v>
      </c>
      <c r="AT309" s="5">
        <f t="shared" si="898"/>
        <v>2.2916194905587441</v>
      </c>
      <c r="AU309" s="173">
        <f t="shared" si="899"/>
        <v>0.19793317830443952</v>
      </c>
      <c r="BA309" s="173">
        <f t="shared" si="849"/>
        <v>0.72521495497764321</v>
      </c>
      <c r="BB309" s="173">
        <f t="shared" si="850"/>
        <v>1.4598651054873639</v>
      </c>
      <c r="BC309" s="173">
        <f t="shared" si="851"/>
        <v>0.35852569502410264</v>
      </c>
      <c r="BD309" s="173"/>
      <c r="BE309" s="528">
        <f t="shared" si="852"/>
        <v>1.05187346184645E-2</v>
      </c>
      <c r="BF309" s="528">
        <f t="shared" si="804"/>
        <v>1.3823254959015612</v>
      </c>
      <c r="BG309" s="528">
        <f t="shared" si="805"/>
        <v>0.4822748913292948</v>
      </c>
      <c r="BH309" s="528">
        <f t="shared" si="853"/>
        <v>1.0127375912123249</v>
      </c>
      <c r="BI309">
        <f t="shared" si="854"/>
        <v>2.6959465974929521E-2</v>
      </c>
      <c r="BJ309" s="460">
        <f t="shared" si="855"/>
        <v>509.23435730422426</v>
      </c>
      <c r="BK309">
        <f t="shared" si="806"/>
        <v>2.4144562130180032</v>
      </c>
      <c r="BL309" s="460">
        <f t="shared" si="856"/>
        <v>2914.8161790365748</v>
      </c>
      <c r="BM309" s="173">
        <f t="shared" si="807"/>
        <v>0.57776249999999996</v>
      </c>
      <c r="BN309" s="173">
        <f t="shared" si="808"/>
        <v>0.103171875</v>
      </c>
      <c r="BQ309" s="460">
        <f t="shared" si="857"/>
        <v>680.93437499999993</v>
      </c>
      <c r="BR309" s="528">
        <f t="shared" si="858"/>
        <v>1.5778101927696749E-2</v>
      </c>
      <c r="BS309" s="528">
        <f t="shared" si="859"/>
        <v>6.3936183786588968E-2</v>
      </c>
      <c r="BT309" s="528">
        <f t="shared" si="860"/>
        <v>6.4270336996257935E-4</v>
      </c>
      <c r="BU309" s="528">
        <f t="shared" si="861"/>
        <v>1.5348301218424427</v>
      </c>
      <c r="BV309" s="528"/>
      <c r="BW309" s="625">
        <f t="shared" si="862"/>
        <v>1.3950000000000001E-2</v>
      </c>
      <c r="BX309" s="460">
        <f t="shared" si="863"/>
        <v>1629.1371109266911</v>
      </c>
      <c r="BY309" s="173">
        <f t="shared" si="864"/>
        <v>5.2248876649632665</v>
      </c>
      <c r="BZ309" s="5">
        <f t="shared" si="865"/>
        <v>16.740000000000002</v>
      </c>
      <c r="CA309" s="173">
        <f t="shared" si="866"/>
        <v>0.76212545474122262</v>
      </c>
      <c r="CB309" s="5">
        <f t="shared" si="867"/>
        <v>76.212545474122265</v>
      </c>
      <c r="CC309">
        <f t="shared" si="868"/>
        <v>93</v>
      </c>
      <c r="CE309" s="562">
        <f t="shared" si="809"/>
        <v>-50</v>
      </c>
      <c r="CG309" s="173">
        <f t="shared" si="810"/>
        <v>0.69874888193112705</v>
      </c>
      <c r="CH309" s="173">
        <f t="shared" si="811"/>
        <v>0.25148297116527873</v>
      </c>
      <c r="CI309" s="170">
        <v>93</v>
      </c>
      <c r="CJ309" s="217">
        <f t="shared" si="869"/>
        <v>0.93</v>
      </c>
      <c r="CK309" s="217">
        <f t="shared" si="812"/>
        <v>0.23250000000000001</v>
      </c>
      <c r="CL309" s="217">
        <f t="shared" si="813"/>
        <v>14.88</v>
      </c>
      <c r="CM309" s="217">
        <f t="shared" si="814"/>
        <v>1.86</v>
      </c>
      <c r="CN309" s="541">
        <f t="shared" si="815"/>
        <v>60</v>
      </c>
      <c r="CO309" s="443">
        <f t="shared" si="816"/>
        <v>16.7</v>
      </c>
      <c r="CP309" s="443">
        <f t="shared" si="817"/>
        <v>76.7</v>
      </c>
      <c r="CQ309" s="443"/>
      <c r="CR309" s="217">
        <f t="shared" si="818"/>
        <v>0.21465968586387432</v>
      </c>
      <c r="CS309" s="172">
        <f t="shared" si="819"/>
        <v>28.621291448516576</v>
      </c>
      <c r="CT309" s="172">
        <f t="shared" si="820"/>
        <v>4.0248691099476437</v>
      </c>
      <c r="CU309" s="217">
        <f t="shared" si="821"/>
        <v>1.788830715532286</v>
      </c>
      <c r="CV309" s="217">
        <f t="shared" si="822"/>
        <v>3.577661431064572</v>
      </c>
      <c r="CW309" s="217">
        <f t="shared" si="823"/>
        <v>16</v>
      </c>
      <c r="CX309" s="217">
        <f t="shared" si="824"/>
        <v>2.5994634146341471</v>
      </c>
      <c r="CY309" s="217">
        <f t="shared" si="825"/>
        <v>0.51989268292682944</v>
      </c>
      <c r="CZ309" s="217">
        <f t="shared" si="826"/>
        <v>1.8678779027311236</v>
      </c>
      <c r="DA309" s="197">
        <f t="shared" si="827"/>
        <v>350</v>
      </c>
      <c r="DB309" s="443">
        <f t="shared" si="828"/>
        <v>350</v>
      </c>
      <c r="DD309" s="217">
        <f t="shared" si="829"/>
        <v>3.1104488731607378</v>
      </c>
      <c r="DE309" s="173">
        <f t="shared" si="830"/>
        <v>2.23505308251071</v>
      </c>
      <c r="DF309" s="173">
        <f t="shared" si="831"/>
        <v>1.0814250754144243</v>
      </c>
      <c r="DG309" s="173"/>
      <c r="DH309" s="173">
        <f t="shared" si="832"/>
        <v>0.71856287425149712</v>
      </c>
      <c r="DI309" s="545">
        <f t="shared" si="833"/>
        <v>2588.5</v>
      </c>
      <c r="DJ309" s="528">
        <f t="shared" si="834"/>
        <v>0.125748502994012</v>
      </c>
      <c r="DL309" s="173">
        <f t="shared" si="835"/>
        <v>2.8233718443429607</v>
      </c>
      <c r="DM309" s="173">
        <f t="shared" si="836"/>
        <v>2.8233718443429607</v>
      </c>
      <c r="DN309" s="173">
        <f t="shared" si="837"/>
        <v>2.5506458106244154</v>
      </c>
      <c r="DP309" s="545">
        <f t="shared" si="838"/>
        <v>930</v>
      </c>
      <c r="DQ309" s="460">
        <f t="shared" si="839"/>
        <v>350</v>
      </c>
      <c r="DS309">
        <f t="shared" si="840"/>
        <v>930</v>
      </c>
      <c r="DT309">
        <f t="shared" si="841"/>
        <v>350</v>
      </c>
      <c r="DV309" s="5">
        <f t="shared" si="870"/>
        <v>2.8571428571428572</v>
      </c>
      <c r="DW309" s="5">
        <f t="shared" si="842"/>
        <v>0.56467436886859212</v>
      </c>
      <c r="DX309" s="5">
        <f t="shared" si="843"/>
        <v>2.292468488274265</v>
      </c>
      <c r="DY309" s="173">
        <f t="shared" si="844"/>
        <v>0.19763602910400724</v>
      </c>
      <c r="EA309" s="5">
        <f t="shared" si="871"/>
        <v>3.282169769048692</v>
      </c>
      <c r="EB309" s="5">
        <f t="shared" si="872"/>
        <v>1.641084884524346</v>
      </c>
      <c r="EC309" s="5">
        <f t="shared" si="873"/>
        <v>0.47377682091001472</v>
      </c>
      <c r="ED309" s="5"/>
      <c r="EE309" s="173">
        <f t="shared" si="874"/>
        <v>0.72467038234482206</v>
      </c>
      <c r="EF309" s="173">
        <f t="shared" si="875"/>
        <v>1.4601355053881357</v>
      </c>
      <c r="EG309" s="173">
        <f t="shared" si="876"/>
        <v>0.35859210205855691</v>
      </c>
      <c r="EH309" s="173"/>
      <c r="EI309" s="528">
        <f t="shared" si="877"/>
        <v>1.0502943260955813E-2</v>
      </c>
      <c r="EJ309" s="528">
        <f t="shared" si="878"/>
        <v>1.4400749260663488</v>
      </c>
      <c r="EK309" s="528">
        <f t="shared" si="879"/>
        <v>4.0250000000000001E-2</v>
      </c>
      <c r="EL309" s="528">
        <f t="shared" si="880"/>
        <v>1.0140631637499999</v>
      </c>
      <c r="EM309">
        <f t="shared" si="881"/>
        <v>2.7E-2</v>
      </c>
      <c r="EN309" s="460">
        <f t="shared" si="882"/>
        <v>67.25</v>
      </c>
      <c r="EP309" s="460">
        <f t="shared" si="883"/>
        <v>2531.8910330773042</v>
      </c>
      <c r="EQ309" s="173">
        <f t="shared" si="884"/>
        <v>0.65100000000000002</v>
      </c>
      <c r="ER309" s="173">
        <f t="shared" si="845"/>
        <v>0.103171875</v>
      </c>
      <c r="ES309" s="528"/>
      <c r="EU309" s="460">
        <f t="shared" si="885"/>
        <v>754.171875</v>
      </c>
      <c r="EV309" s="528">
        <f t="shared" si="886"/>
        <v>1.575441489143372E-2</v>
      </c>
      <c r="EW309" s="528">
        <f t="shared" si="887"/>
        <v>6.3959870822851997E-2</v>
      </c>
      <c r="EX309" s="528">
        <f t="shared" si="888"/>
        <v>6.4294147829387245E-4</v>
      </c>
      <c r="EY309" s="528">
        <f t="shared" si="889"/>
        <v>1.5348301218424427</v>
      </c>
      <c r="EZ309" s="528"/>
      <c r="FA309" s="625">
        <f t="shared" si="890"/>
        <v>1.3950000000000001E-2</v>
      </c>
      <c r="FB309" s="460">
        <f t="shared" si="891"/>
        <v>1629.1373490350222</v>
      </c>
      <c r="FC309" s="173">
        <f t="shared" si="892"/>
        <v>4.9152002571123274</v>
      </c>
      <c r="FD309" s="5">
        <f t="shared" si="893"/>
        <v>16.740000000000002</v>
      </c>
      <c r="FE309" s="173">
        <f t="shared" si="894"/>
        <v>0.77302448378430477</v>
      </c>
      <c r="FF309" s="5">
        <f t="shared" si="895"/>
        <v>77.302448378430483</v>
      </c>
      <c r="FG309">
        <f t="shared" si="896"/>
        <v>93</v>
      </c>
      <c r="FI309" s="562">
        <f t="shared" si="846"/>
        <v>-50</v>
      </c>
    </row>
    <row r="310" spans="5:169">
      <c r="E310" s="170">
        <v>94</v>
      </c>
      <c r="F310" s="217">
        <f t="shared" si="847"/>
        <v>0.94</v>
      </c>
      <c r="G310" s="217">
        <f t="shared" si="775"/>
        <v>0.23499999999999999</v>
      </c>
      <c r="H310" s="217">
        <f t="shared" si="776"/>
        <v>15.04</v>
      </c>
      <c r="I310" s="217">
        <f t="shared" si="777"/>
        <v>1.88</v>
      </c>
      <c r="J310" s="541">
        <f t="shared" si="778"/>
        <v>59.909441406121168</v>
      </c>
      <c r="K310" s="443">
        <f t="shared" si="779"/>
        <v>16.740142602947849</v>
      </c>
      <c r="L310" s="172">
        <f t="shared" si="780"/>
        <v>76.649584009069017</v>
      </c>
      <c r="M310" s="443"/>
      <c r="N310" s="217">
        <f t="shared" si="781"/>
        <v>0.21839834904997255</v>
      </c>
      <c r="O310" s="172">
        <f t="shared" si="782"/>
        <v>29.075829101339838</v>
      </c>
      <c r="P310" s="172">
        <f t="shared" si="783"/>
        <v>4.0887884673759149</v>
      </c>
      <c r="Q310" s="217">
        <f t="shared" si="784"/>
        <v>1.8172393188337399</v>
      </c>
      <c r="R310" s="217">
        <f t="shared" si="785"/>
        <v>3.6344786376674798</v>
      </c>
      <c r="S310" s="217">
        <f t="shared" si="786"/>
        <v>16</v>
      </c>
      <c r="T310" s="217">
        <f t="shared" si="787"/>
        <v>2.5863406934296056</v>
      </c>
      <c r="U310" s="217">
        <f t="shared" si="788"/>
        <v>0.51805003673401295</v>
      </c>
      <c r="V310" s="217">
        <f t="shared" si="789"/>
        <v>1.8539918719503607</v>
      </c>
      <c r="W310" s="197">
        <f t="shared" si="790"/>
        <v>350</v>
      </c>
      <c r="X310" s="443">
        <f t="shared" si="848"/>
        <v>350</v>
      </c>
      <c r="Z310" s="217">
        <f t="shared" si="791"/>
        <v>3.1152674037149826</v>
      </c>
      <c r="AA310" s="173">
        <f t="shared" si="792"/>
        <v>2.2331475741429352</v>
      </c>
      <c r="AB310" s="173">
        <f t="shared" si="793"/>
        <v>1.0821769537308603</v>
      </c>
      <c r="AC310" s="173"/>
      <c r="AD310" s="173">
        <f t="shared" si="794"/>
        <v>0.71683977159709888</v>
      </c>
      <c r="AE310" s="545">
        <f t="shared" si="795"/>
        <v>2622.6223411284959</v>
      </c>
      <c r="AF310" s="528">
        <f t="shared" si="796"/>
        <v>0.12544696002949229</v>
      </c>
      <c r="AH310" s="173">
        <f t="shared" si="797"/>
        <v>2.8385106758902379</v>
      </c>
      <c r="AI310" s="173">
        <f t="shared" si="798"/>
        <v>2.8385106758902379</v>
      </c>
      <c r="AJ310" s="173">
        <f t="shared" si="799"/>
        <v>2.5618597599186947</v>
      </c>
      <c r="AL310" s="545">
        <f t="shared" si="800"/>
        <v>940</v>
      </c>
      <c r="AM310" s="460">
        <f t="shared" si="801"/>
        <v>350</v>
      </c>
      <c r="AO310">
        <f t="shared" si="802"/>
        <v>940</v>
      </c>
      <c r="AP310">
        <f t="shared" si="803"/>
        <v>350</v>
      </c>
      <c r="AR310" s="5">
        <f t="shared" si="774"/>
        <v>2.8571428571428572</v>
      </c>
      <c r="AS310" s="5">
        <f t="shared" si="897"/>
        <v>0.56856026881937516</v>
      </c>
      <c r="AT310" s="5">
        <f t="shared" si="898"/>
        <v>2.2885825883234823</v>
      </c>
      <c r="AU310" s="173">
        <f t="shared" si="899"/>
        <v>0.19899609408678129</v>
      </c>
      <c r="BA310" s="173">
        <f t="shared" si="849"/>
        <v>0.7310585836239204</v>
      </c>
      <c r="BB310" s="173">
        <f t="shared" si="850"/>
        <v>1.4667200254390995</v>
      </c>
      <c r="BC310" s="173">
        <f t="shared" si="851"/>
        <v>0.36020918271813179</v>
      </c>
      <c r="BD310" s="173"/>
      <c r="BE310" s="528">
        <f t="shared" si="852"/>
        <v>1.0688933053804252E-2</v>
      </c>
      <c r="BF310" s="528">
        <f t="shared" si="804"/>
        <v>1.38973260679724</v>
      </c>
      <c r="BG310" s="528">
        <f t="shared" si="805"/>
        <v>0.48227100331927542</v>
      </c>
      <c r="BH310" s="528">
        <f t="shared" si="853"/>
        <v>1.0127304858705788</v>
      </c>
      <c r="BI310">
        <f t="shared" si="854"/>
        <v>2.6959248632754524E-2</v>
      </c>
      <c r="BJ310" s="460">
        <f t="shared" si="855"/>
        <v>509.23025195202996</v>
      </c>
      <c r="BK310">
        <f t="shared" si="806"/>
        <v>2.4221896496730824</v>
      </c>
      <c r="BL310" s="460">
        <f t="shared" si="856"/>
        <v>2922.3822776736533</v>
      </c>
      <c r="BM310" s="173">
        <f t="shared" si="807"/>
        <v>0.58397499999999991</v>
      </c>
      <c r="BN310" s="173">
        <f t="shared" si="808"/>
        <v>0.10428124999999999</v>
      </c>
      <c r="BQ310" s="460">
        <f t="shared" si="857"/>
        <v>688.25624999999991</v>
      </c>
      <c r="BR310" s="528">
        <f t="shared" si="858"/>
        <v>1.6033399580706379E-2</v>
      </c>
      <c r="BS310" s="528">
        <f t="shared" si="859"/>
        <v>6.4538028990722168E-2</v>
      </c>
      <c r="BT310" s="528">
        <f t="shared" si="860"/>
        <v>6.487532765723223E-4</v>
      </c>
      <c r="BU310" s="528">
        <f t="shared" si="861"/>
        <v>1.5554872125137005</v>
      </c>
      <c r="BV310" s="528"/>
      <c r="BW310" s="625">
        <f t="shared" si="862"/>
        <v>1.4099999999999996E-2</v>
      </c>
      <c r="BX310" s="460">
        <f t="shared" si="863"/>
        <v>1650.8073943617014</v>
      </c>
      <c r="BY310" s="173">
        <f t="shared" si="864"/>
        <v>5.2614459220353549</v>
      </c>
      <c r="BZ310" s="5">
        <f t="shared" si="865"/>
        <v>16.919999999999998</v>
      </c>
      <c r="CA310" s="173">
        <f t="shared" si="866"/>
        <v>0.7627996867053396</v>
      </c>
      <c r="CB310" s="5">
        <f t="shared" si="867"/>
        <v>76.279968670533961</v>
      </c>
      <c r="CC310">
        <f t="shared" si="868"/>
        <v>94</v>
      </c>
      <c r="CE310" s="562">
        <f t="shared" si="809"/>
        <v>-50</v>
      </c>
      <c r="CG310" s="173">
        <f t="shared" si="810"/>
        <v>0.70249555158733923</v>
      </c>
      <c r="CH310" s="173">
        <f t="shared" si="811"/>
        <v>0.25283141499321732</v>
      </c>
      <c r="CI310" s="170">
        <v>94</v>
      </c>
      <c r="CJ310" s="217">
        <f t="shared" si="869"/>
        <v>0.94</v>
      </c>
      <c r="CK310" s="217">
        <f t="shared" si="812"/>
        <v>0.23499999999999999</v>
      </c>
      <c r="CL310" s="217">
        <f t="shared" si="813"/>
        <v>15.04</v>
      </c>
      <c r="CM310" s="217">
        <f t="shared" si="814"/>
        <v>1.88</v>
      </c>
      <c r="CN310" s="541">
        <f t="shared" si="815"/>
        <v>60</v>
      </c>
      <c r="CO310" s="443">
        <f t="shared" si="816"/>
        <v>16.7</v>
      </c>
      <c r="CP310" s="443">
        <f t="shared" si="817"/>
        <v>76.7</v>
      </c>
      <c r="CQ310" s="443"/>
      <c r="CR310" s="217">
        <f t="shared" si="818"/>
        <v>0.21465968586387432</v>
      </c>
      <c r="CS310" s="172">
        <f t="shared" si="819"/>
        <v>28.621291448516576</v>
      </c>
      <c r="CT310" s="172">
        <f t="shared" si="820"/>
        <v>4.0248691099476437</v>
      </c>
      <c r="CU310" s="217">
        <f t="shared" si="821"/>
        <v>1.788830715532286</v>
      </c>
      <c r="CV310" s="217">
        <f t="shared" si="822"/>
        <v>3.577661431064572</v>
      </c>
      <c r="CW310" s="217">
        <f t="shared" si="823"/>
        <v>16</v>
      </c>
      <c r="CX310" s="217">
        <f t="shared" si="824"/>
        <v>2.6274146341463416</v>
      </c>
      <c r="CY310" s="217">
        <f t="shared" si="825"/>
        <v>0.52548292682926834</v>
      </c>
      <c r="CZ310" s="217">
        <f t="shared" si="826"/>
        <v>1.8879626113626411</v>
      </c>
      <c r="DA310" s="197">
        <f t="shared" si="827"/>
        <v>350</v>
      </c>
      <c r="DB310" s="443">
        <f t="shared" si="828"/>
        <v>350</v>
      </c>
      <c r="DD310" s="217">
        <f t="shared" si="829"/>
        <v>3.1104488731607378</v>
      </c>
      <c r="DE310" s="173">
        <f t="shared" si="830"/>
        <v>2.23505308251071</v>
      </c>
      <c r="DF310" s="173">
        <f t="shared" si="831"/>
        <v>1.0814250754144243</v>
      </c>
      <c r="DG310" s="173"/>
      <c r="DH310" s="173">
        <f t="shared" si="832"/>
        <v>0.71856287425149712</v>
      </c>
      <c r="DI310" s="545">
        <f t="shared" si="833"/>
        <v>2616.333333333333</v>
      </c>
      <c r="DJ310" s="528">
        <f t="shared" si="834"/>
        <v>0.125748502994012</v>
      </c>
      <c r="DL310" s="173">
        <f t="shared" si="835"/>
        <v>2.8385106758902379</v>
      </c>
      <c r="DM310" s="173">
        <f t="shared" si="836"/>
        <v>2.8385106758902379</v>
      </c>
      <c r="DN310" s="173">
        <f t="shared" si="837"/>
        <v>2.5618597599186947</v>
      </c>
      <c r="DP310" s="545">
        <f t="shared" si="838"/>
        <v>940</v>
      </c>
      <c r="DQ310" s="460">
        <f t="shared" si="839"/>
        <v>350</v>
      </c>
      <c r="DS310">
        <f t="shared" si="840"/>
        <v>940</v>
      </c>
      <c r="DT310">
        <f t="shared" si="841"/>
        <v>350</v>
      </c>
      <c r="DV310" s="5">
        <f t="shared" si="870"/>
        <v>2.8571428571428572</v>
      </c>
      <c r="DW310" s="5">
        <f t="shared" si="842"/>
        <v>0.56770213517804757</v>
      </c>
      <c r="DX310" s="5">
        <f t="shared" si="843"/>
        <v>2.2894407219648096</v>
      </c>
      <c r="DY310" s="173">
        <f t="shared" si="844"/>
        <v>0.19869574731231665</v>
      </c>
      <c r="EA310" s="5">
        <f t="shared" si="871"/>
        <v>3.3352500441710293</v>
      </c>
      <c r="EB310" s="5">
        <f t="shared" si="872"/>
        <v>1.6676250220855147</v>
      </c>
      <c r="EC310" s="5">
        <f t="shared" si="873"/>
        <v>0.4782387285882046</v>
      </c>
      <c r="ED310" s="5"/>
      <c r="EE310" s="173">
        <f t="shared" si="874"/>
        <v>0.730506678318114</v>
      </c>
      <c r="EF310" s="173">
        <f t="shared" si="875"/>
        <v>1.4669949824886654</v>
      </c>
      <c r="EG310" s="173">
        <f t="shared" si="876"/>
        <v>0.36027670893471636</v>
      </c>
      <c r="EH310" s="173"/>
      <c r="EI310" s="528">
        <f t="shared" si="877"/>
        <v>1.0672800141347289E-2</v>
      </c>
      <c r="EJ310" s="528">
        <f t="shared" si="878"/>
        <v>1.4477965627911953</v>
      </c>
      <c r="EK310" s="528">
        <f t="shared" si="879"/>
        <v>4.0250000000000001E-2</v>
      </c>
      <c r="EL310" s="528">
        <f t="shared" si="880"/>
        <v>1.0140631637499999</v>
      </c>
      <c r="EM310">
        <f t="shared" si="881"/>
        <v>2.7E-2</v>
      </c>
      <c r="EN310" s="460">
        <f t="shared" si="882"/>
        <v>67.25</v>
      </c>
      <c r="EP310" s="460">
        <f t="shared" si="883"/>
        <v>2539.7825266825425</v>
      </c>
      <c r="EQ310" s="173">
        <f t="shared" si="884"/>
        <v>0.65799999999999992</v>
      </c>
      <c r="ER310" s="173">
        <f t="shared" si="845"/>
        <v>0.10428124999999999</v>
      </c>
      <c r="ES310" s="528"/>
      <c r="EU310" s="460">
        <f t="shared" si="885"/>
        <v>762.28124999999989</v>
      </c>
      <c r="EV310" s="528">
        <f t="shared" si="886"/>
        <v>1.6009200212020933E-2</v>
      </c>
      <c r="EW310" s="528">
        <f t="shared" si="887"/>
        <v>6.45622283594076E-2</v>
      </c>
      <c r="EX310" s="528">
        <f t="shared" si="888"/>
        <v>6.4899653500415176E-4</v>
      </c>
      <c r="EY310" s="528">
        <f t="shared" si="889"/>
        <v>1.5554872125137005</v>
      </c>
      <c r="EZ310" s="528"/>
      <c r="FA310" s="625">
        <f t="shared" si="890"/>
        <v>1.4099999999999996E-2</v>
      </c>
      <c r="FB310" s="460">
        <f t="shared" si="891"/>
        <v>1650.8076376201329</v>
      </c>
      <c r="FC310" s="173">
        <f t="shared" si="892"/>
        <v>4.9528714143026757</v>
      </c>
      <c r="FD310" s="5">
        <f t="shared" si="893"/>
        <v>16.919999999999998</v>
      </c>
      <c r="FE310" s="173">
        <f t="shared" si="894"/>
        <v>0.77356098701042098</v>
      </c>
      <c r="FF310" s="5">
        <f t="shared" si="895"/>
        <v>77.3560987010421</v>
      </c>
      <c r="FG310">
        <f t="shared" si="896"/>
        <v>94</v>
      </c>
      <c r="FI310" s="562">
        <f t="shared" si="846"/>
        <v>-50</v>
      </c>
    </row>
    <row r="311" spans="5:169">
      <c r="E311" s="170">
        <v>95</v>
      </c>
      <c r="F311" s="217">
        <f t="shared" si="847"/>
        <v>0.95</v>
      </c>
      <c r="G311" s="217">
        <f t="shared" si="775"/>
        <v>0.23749999999999999</v>
      </c>
      <c r="H311" s="217">
        <f t="shared" si="776"/>
        <v>15.2</v>
      </c>
      <c r="I311" s="217">
        <f t="shared" si="777"/>
        <v>1.9</v>
      </c>
      <c r="J311" s="541">
        <f t="shared" si="778"/>
        <v>59.90896098580626</v>
      </c>
      <c r="K311" s="443">
        <f t="shared" si="779"/>
        <v>16.740355562548071</v>
      </c>
      <c r="L311" s="172">
        <f t="shared" si="780"/>
        <v>76.649316548354335</v>
      </c>
      <c r="M311" s="443"/>
      <c r="N311" s="217">
        <f t="shared" si="781"/>
        <v>0.21840188949352723</v>
      </c>
      <c r="O311" s="172">
        <f t="shared" si="782"/>
        <v>29.076067281986873</v>
      </c>
      <c r="P311" s="172">
        <f t="shared" si="783"/>
        <v>4.0888219615294039</v>
      </c>
      <c r="Q311" s="217">
        <f t="shared" si="784"/>
        <v>1.8172542051241796</v>
      </c>
      <c r="R311" s="217">
        <f t="shared" si="785"/>
        <v>3.6345084102483591</v>
      </c>
      <c r="S311" s="217">
        <f t="shared" si="786"/>
        <v>16</v>
      </c>
      <c r="T311" s="217">
        <f t="shared" si="787"/>
        <v>2.6138335443694376</v>
      </c>
      <c r="U311" s="217">
        <f t="shared" si="788"/>
        <v>0.52356111700659502</v>
      </c>
      <c r="V311" s="217">
        <f t="shared" si="789"/>
        <v>1.8736760049831935</v>
      </c>
      <c r="W311" s="197">
        <f t="shared" si="790"/>
        <v>350</v>
      </c>
      <c r="X311" s="443">
        <f t="shared" si="848"/>
        <v>350</v>
      </c>
      <c r="Z311" s="217">
        <f t="shared" si="791"/>
        <v>3.1152929230700224</v>
      </c>
      <c r="AA311" s="173">
        <f t="shared" si="792"/>
        <v>2.2331374585899222</v>
      </c>
      <c r="AB311" s="173">
        <f t="shared" si="793"/>
        <v>1.082180916598096</v>
      </c>
      <c r="AC311" s="173"/>
      <c r="AD311" s="173">
        <f t="shared" si="794"/>
        <v>0.71683065244125943</v>
      </c>
      <c r="AE311" s="545">
        <f t="shared" si="795"/>
        <v>2650.5562974034442</v>
      </c>
      <c r="AF311" s="528">
        <f t="shared" si="796"/>
        <v>0.12544536417722041</v>
      </c>
      <c r="AH311" s="173">
        <f t="shared" si="797"/>
        <v>2.8535691936340255</v>
      </c>
      <c r="AI311" s="173">
        <f t="shared" si="798"/>
        <v>2.8535691936340255</v>
      </c>
      <c r="AJ311" s="173">
        <f t="shared" si="799"/>
        <v>2.5730142175066852</v>
      </c>
      <c r="AL311" s="545">
        <f t="shared" si="800"/>
        <v>950</v>
      </c>
      <c r="AM311" s="460">
        <f t="shared" si="801"/>
        <v>350</v>
      </c>
      <c r="AO311">
        <f t="shared" si="802"/>
        <v>950</v>
      </c>
      <c r="AP311">
        <f t="shared" si="803"/>
        <v>350</v>
      </c>
      <c r="AR311" s="5">
        <f t="shared" si="774"/>
        <v>2.8571428571428572</v>
      </c>
      <c r="AS311" s="5">
        <f t="shared" si="897"/>
        <v>0.5715811084041531</v>
      </c>
      <c r="AT311" s="5">
        <f t="shared" si="898"/>
        <v>2.2855617487387043</v>
      </c>
      <c r="AU311" s="173">
        <f t="shared" si="899"/>
        <v>0.20005338794145358</v>
      </c>
      <c r="BA311" s="173">
        <f t="shared" si="849"/>
        <v>0.73688673009082295</v>
      </c>
      <c r="BB311" s="173">
        <f t="shared" si="850"/>
        <v>1.4735276248858618</v>
      </c>
      <c r="BC311" s="173">
        <f t="shared" si="851"/>
        <v>0.36188104905285134</v>
      </c>
      <c r="BD311" s="173"/>
      <c r="BE311" s="528">
        <f t="shared" si="852"/>
        <v>1.0860041059678907E-2</v>
      </c>
      <c r="BF311" s="528">
        <f t="shared" si="804"/>
        <v>1.3971003702539211</v>
      </c>
      <c r="BG311" s="528">
        <f t="shared" si="805"/>
        <v>0.48226713593574039</v>
      </c>
      <c r="BH311" s="528">
        <f t="shared" si="853"/>
        <v>1.0127234182484788</v>
      </c>
      <c r="BI311">
        <f t="shared" si="854"/>
        <v>2.6959032443612817E-2</v>
      </c>
      <c r="BJ311" s="460">
        <f t="shared" si="855"/>
        <v>509.22616837935317</v>
      </c>
      <c r="BK311">
        <f t="shared" si="806"/>
        <v>2.4298859866408491</v>
      </c>
      <c r="BL311" s="460">
        <f t="shared" si="856"/>
        <v>2929.9099979414318</v>
      </c>
      <c r="BM311" s="173">
        <f t="shared" si="807"/>
        <v>0.59018749999999986</v>
      </c>
      <c r="BN311" s="173">
        <f t="shared" si="808"/>
        <v>0.10539062499999999</v>
      </c>
      <c r="BQ311" s="460">
        <f t="shared" si="857"/>
        <v>695.57812499999977</v>
      </c>
      <c r="BR311" s="528">
        <f t="shared" si="858"/>
        <v>1.6290061589518359E-2</v>
      </c>
      <c r="BS311" s="528">
        <f t="shared" si="859"/>
        <v>6.513850983905306E-2</v>
      </c>
      <c r="BT311" s="528">
        <f t="shared" si="860"/>
        <v>6.5478946831796104E-4</v>
      </c>
      <c r="BU311" s="528">
        <f t="shared" si="861"/>
        <v>1.5761993162871706</v>
      </c>
      <c r="BV311" s="528"/>
      <c r="BW311" s="625">
        <f t="shared" si="862"/>
        <v>1.4249999999999999E-2</v>
      </c>
      <c r="BX311" s="460">
        <f t="shared" si="863"/>
        <v>1672.53267718406</v>
      </c>
      <c r="BY311" s="173">
        <f t="shared" si="864"/>
        <v>5.2980208001254914</v>
      </c>
      <c r="BZ311" s="5">
        <f t="shared" si="865"/>
        <v>17.099999999999998</v>
      </c>
      <c r="CA311" s="173">
        <f t="shared" si="866"/>
        <v>0.76346031431063721</v>
      </c>
      <c r="CB311" s="5">
        <f t="shared" si="867"/>
        <v>76.346031431063722</v>
      </c>
      <c r="CC311">
        <f t="shared" si="868"/>
        <v>95</v>
      </c>
      <c r="CE311" s="562">
        <f t="shared" si="809"/>
        <v>-50</v>
      </c>
      <c r="CG311" s="173">
        <f t="shared" si="810"/>
        <v>0.70622234459127675</v>
      </c>
      <c r="CH311" s="173">
        <f t="shared" si="811"/>
        <v>0.25417270512159362</v>
      </c>
      <c r="CI311" s="170">
        <v>95</v>
      </c>
      <c r="CJ311" s="217">
        <f t="shared" si="869"/>
        <v>0.95</v>
      </c>
      <c r="CK311" s="217">
        <f t="shared" si="812"/>
        <v>0.23749999999999999</v>
      </c>
      <c r="CL311" s="217">
        <f t="shared" si="813"/>
        <v>15.2</v>
      </c>
      <c r="CM311" s="217">
        <f t="shared" si="814"/>
        <v>1.9</v>
      </c>
      <c r="CN311" s="541">
        <f t="shared" si="815"/>
        <v>60</v>
      </c>
      <c r="CO311" s="443">
        <f t="shared" si="816"/>
        <v>16.7</v>
      </c>
      <c r="CP311" s="443">
        <f t="shared" si="817"/>
        <v>76.7</v>
      </c>
      <c r="CQ311" s="443"/>
      <c r="CR311" s="217">
        <f t="shared" si="818"/>
        <v>0.21465968586387432</v>
      </c>
      <c r="CS311" s="172">
        <f t="shared" si="819"/>
        <v>28.621291448516576</v>
      </c>
      <c r="CT311" s="172">
        <f t="shared" si="820"/>
        <v>4.0248691099476437</v>
      </c>
      <c r="CU311" s="217">
        <f t="shared" si="821"/>
        <v>1.788830715532286</v>
      </c>
      <c r="CV311" s="217">
        <f t="shared" si="822"/>
        <v>3.577661431064572</v>
      </c>
      <c r="CW311" s="217">
        <f t="shared" si="823"/>
        <v>16</v>
      </c>
      <c r="CX311" s="217">
        <f t="shared" si="824"/>
        <v>2.6553658536585365</v>
      </c>
      <c r="CY311" s="217">
        <f t="shared" si="825"/>
        <v>0.53107317073170723</v>
      </c>
      <c r="CZ311" s="217">
        <f t="shared" si="826"/>
        <v>1.9080473199941579</v>
      </c>
      <c r="DA311" s="197">
        <f t="shared" si="827"/>
        <v>350</v>
      </c>
      <c r="DB311" s="443">
        <f t="shared" si="828"/>
        <v>350</v>
      </c>
      <c r="DD311" s="217">
        <f t="shared" si="829"/>
        <v>3.1104488731607378</v>
      </c>
      <c r="DE311" s="173">
        <f t="shared" si="830"/>
        <v>2.23505308251071</v>
      </c>
      <c r="DF311" s="173">
        <f t="shared" si="831"/>
        <v>1.0814250754144243</v>
      </c>
      <c r="DG311" s="173"/>
      <c r="DH311" s="173">
        <f t="shared" si="832"/>
        <v>0.71856287425149712</v>
      </c>
      <c r="DI311" s="545">
        <f t="shared" si="833"/>
        <v>2644.1666666666661</v>
      </c>
      <c r="DJ311" s="528">
        <f t="shared" si="834"/>
        <v>0.125748502994012</v>
      </c>
      <c r="DL311" s="173">
        <f t="shared" si="835"/>
        <v>2.8535691936340255</v>
      </c>
      <c r="DM311" s="173">
        <f t="shared" si="836"/>
        <v>2.8535691936340255</v>
      </c>
      <c r="DN311" s="173">
        <f t="shared" si="837"/>
        <v>2.5730142175066852</v>
      </c>
      <c r="DP311" s="545">
        <f t="shared" si="838"/>
        <v>950</v>
      </c>
      <c r="DQ311" s="460">
        <f t="shared" si="839"/>
        <v>350</v>
      </c>
      <c r="DS311">
        <f t="shared" si="840"/>
        <v>950</v>
      </c>
      <c r="DT311">
        <f t="shared" si="841"/>
        <v>350</v>
      </c>
      <c r="DV311" s="5">
        <f t="shared" si="870"/>
        <v>2.8571428571428572</v>
      </c>
      <c r="DW311" s="5">
        <f t="shared" si="842"/>
        <v>0.57071383872680514</v>
      </c>
      <c r="DX311" s="5">
        <f t="shared" si="843"/>
        <v>2.2864290184160518</v>
      </c>
      <c r="DY311" s="173">
        <f t="shared" si="844"/>
        <v>0.1997498435543818</v>
      </c>
      <c r="EA311" s="5">
        <f t="shared" si="871"/>
        <v>3.3886134174404052</v>
      </c>
      <c r="EB311" s="5">
        <f t="shared" si="872"/>
        <v>1.6943067087202026</v>
      </c>
      <c r="EC311" s="5">
        <f t="shared" si="873"/>
        <v>0.48269057055449965</v>
      </c>
      <c r="ED311" s="5"/>
      <c r="EE311" s="173">
        <f t="shared" si="874"/>
        <v>0.73632747252188335</v>
      </c>
      <c r="EF311" s="173">
        <f t="shared" si="875"/>
        <v>1.473807167676711</v>
      </c>
      <c r="EG311" s="173">
        <f t="shared" si="876"/>
        <v>0.36194970147354522</v>
      </c>
      <c r="EH311" s="173"/>
      <c r="EI311" s="528">
        <f t="shared" si="877"/>
        <v>1.0843562935809297E-2</v>
      </c>
      <c r="EJ311" s="528">
        <f t="shared" si="878"/>
        <v>1.4554772350590033</v>
      </c>
      <c r="EK311" s="528">
        <f t="shared" si="879"/>
        <v>4.0250000000000001E-2</v>
      </c>
      <c r="EL311" s="528">
        <f t="shared" si="880"/>
        <v>1.0140631637499999</v>
      </c>
      <c r="EM311">
        <f t="shared" si="881"/>
        <v>2.7E-2</v>
      </c>
      <c r="EN311" s="460">
        <f t="shared" si="882"/>
        <v>67.25</v>
      </c>
      <c r="EP311" s="460">
        <f t="shared" si="883"/>
        <v>2547.6339617448125</v>
      </c>
      <c r="EQ311" s="173">
        <f t="shared" si="884"/>
        <v>0.66499999999999992</v>
      </c>
      <c r="ER311" s="173">
        <f t="shared" si="845"/>
        <v>0.10539062499999999</v>
      </c>
      <c r="ES311" s="528"/>
      <c r="EU311" s="460">
        <f t="shared" si="885"/>
        <v>770.39062499999989</v>
      </c>
      <c r="EV311" s="528">
        <f t="shared" si="886"/>
        <v>1.6265344403713945E-2</v>
      </c>
      <c r="EW311" s="528">
        <f t="shared" si="887"/>
        <v>6.5163227024857467E-2</v>
      </c>
      <c r="EX311" s="528">
        <f t="shared" si="888"/>
        <v>6.5503793198394252E-4</v>
      </c>
      <c r="EY311" s="528">
        <f t="shared" si="889"/>
        <v>1.5761993162871706</v>
      </c>
      <c r="EZ311" s="528"/>
      <c r="FA311" s="625">
        <f t="shared" si="890"/>
        <v>1.4249999999999999E-2</v>
      </c>
      <c r="FB311" s="460">
        <f t="shared" si="891"/>
        <v>1672.532925647726</v>
      </c>
      <c r="FC311" s="173">
        <f t="shared" si="892"/>
        <v>4.9905575123925381</v>
      </c>
      <c r="FD311" s="5">
        <f t="shared" si="893"/>
        <v>17.099999999999998</v>
      </c>
      <c r="FE311" s="173">
        <f t="shared" si="894"/>
        <v>0.7740863937185426</v>
      </c>
      <c r="FF311" s="5">
        <f t="shared" si="895"/>
        <v>77.408639371854264</v>
      </c>
      <c r="FG311">
        <f t="shared" si="896"/>
        <v>95</v>
      </c>
      <c r="FI311" s="562">
        <f t="shared" si="846"/>
        <v>-50</v>
      </c>
    </row>
    <row r="312" spans="5:169">
      <c r="E312" s="170">
        <v>96</v>
      </c>
      <c r="F312" s="217">
        <f t="shared" si="847"/>
        <v>0.96</v>
      </c>
      <c r="G312" s="217">
        <f t="shared" si="775"/>
        <v>0.24</v>
      </c>
      <c r="H312" s="217">
        <f t="shared" si="776"/>
        <v>15.36</v>
      </c>
      <c r="I312" s="217">
        <f t="shared" si="777"/>
        <v>1.92</v>
      </c>
      <c r="J312" s="541">
        <f t="shared" si="778"/>
        <v>59.90848308743503</v>
      </c>
      <c r="K312" s="443">
        <f t="shared" si="779"/>
        <v>16.740567404226969</v>
      </c>
      <c r="L312" s="172">
        <f t="shared" si="780"/>
        <v>76.649050491661995</v>
      </c>
      <c r="M312" s="443"/>
      <c r="N312" s="217">
        <f t="shared" si="781"/>
        <v>0.21840541137620528</v>
      </c>
      <c r="O312" s="172">
        <f>N312*J312*Isw_max*0.5*Efficiency*Pout/(Pout+Pout2)</f>
        <v>29.0763042080793</v>
      </c>
      <c r="P312" s="172">
        <f t="shared" si="783"/>
        <v>4.0888552792611517</v>
      </c>
      <c r="Q312" s="217">
        <f t="shared" si="784"/>
        <v>1.8172690130049562</v>
      </c>
      <c r="R312" s="217">
        <f t="shared" si="785"/>
        <v>3.6345380260099125</v>
      </c>
      <c r="S312" s="217">
        <f t="shared" si="786"/>
        <v>16</v>
      </c>
      <c r="T312" s="217">
        <f t="shared" si="787"/>
        <v>2.6413260588551668</v>
      </c>
      <c r="U312" s="217">
        <f t="shared" si="788"/>
        <v>0.5290721960027357</v>
      </c>
      <c r="V312" s="217">
        <f t="shared" si="789"/>
        <v>1.8933595224651005</v>
      </c>
      <c r="W312" s="197">
        <f t="shared" si="790"/>
        <v>350</v>
      </c>
      <c r="X312" s="443">
        <f t="shared" si="848"/>
        <v>350</v>
      </c>
      <c r="Z312" s="217">
        <f t="shared" si="791"/>
        <v>3.1153183080084963</v>
      </c>
      <c r="AA312" s="173">
        <f t="shared" si="792"/>
        <v>2.2331273960679847</v>
      </c>
      <c r="AB312" s="173">
        <f>0.5*AA312*Z312*Nps*W312/1000*(Pout/(Pout+Pout2))</f>
        <v>1.0821848583911451</v>
      </c>
      <c r="AC312" s="173"/>
      <c r="AD312" s="173">
        <f t="shared" si="794"/>
        <v>0.71682158138618524</v>
      </c>
      <c r="AE312" s="545">
        <f>MAX(10, F312/(0.5*AD312/1000000*Isw_min*Nps)/1000*Pout_total/Pout)</f>
        <v>2678.4907846763149</v>
      </c>
      <c r="AF312" s="528">
        <f t="shared" si="796"/>
        <v>0.12544377674258239</v>
      </c>
      <c r="AH312" s="173">
        <f t="shared" si="797"/>
        <v>2.8685486624025449</v>
      </c>
      <c r="AI312" s="173">
        <f>MAX(IF(F312&gt;AB312,T312,AH312),Isw_min)</f>
        <v>2.8685486624025449</v>
      </c>
      <c r="AJ312" s="173">
        <f>IF(F312&gt;AF312, (AI312-Isw_min)/1.08*0.8+1.2, AE312*0.2/350+1)</f>
        <v>2.5841101202981811</v>
      </c>
      <c r="AL312" s="545">
        <f t="shared" si="800"/>
        <v>960</v>
      </c>
      <c r="AM312" s="460">
        <f t="shared" si="801"/>
        <v>350</v>
      </c>
      <c r="AO312">
        <f t="shared" si="802"/>
        <v>960</v>
      </c>
      <c r="AP312">
        <f t="shared" si="803"/>
        <v>350</v>
      </c>
      <c r="AR312" s="5">
        <f t="shared" si="774"/>
        <v>2.8571428571428572</v>
      </c>
      <c r="AS312" s="5">
        <f t="shared" si="897"/>
        <v>0.57458613830351168</v>
      </c>
      <c r="AT312" s="5">
        <f t="shared" si="898"/>
        <v>2.2825567188393454</v>
      </c>
      <c r="AU312" s="173">
        <f t="shared" si="899"/>
        <v>0.20110514840622909</v>
      </c>
      <c r="BA312" s="173">
        <f t="shared" si="849"/>
        <v>0.74269959793403106</v>
      </c>
      <c r="BB312" s="173">
        <f t="shared" si="850"/>
        <v>1.4802886374237194</v>
      </c>
      <c r="BC312" s="173">
        <f t="shared" si="851"/>
        <v>0.36354147419082516</v>
      </c>
      <c r="BD312" s="173"/>
      <c r="BE312" s="528">
        <f t="shared" si="852"/>
        <v>1.1032053855427429E-2</v>
      </c>
      <c r="BF312" s="528">
        <f t="shared" si="804"/>
        <v>1.4044294059378273</v>
      </c>
      <c r="BG312" s="528">
        <f t="shared" si="805"/>
        <v>0.48226328885385206</v>
      </c>
      <c r="BH312" s="528">
        <f t="shared" si="853"/>
        <v>1.0127163877519938</v>
      </c>
      <c r="BI312">
        <f t="shared" si="854"/>
        <v>2.6958817389345763E-2</v>
      </c>
      <c r="BJ312" s="460">
        <f t="shared" si="855"/>
        <v>509.22210624319786</v>
      </c>
      <c r="BK312">
        <f t="shared" si="806"/>
        <v>2.4375458362232263</v>
      </c>
      <c r="BL312" s="460">
        <f t="shared" si="856"/>
        <v>2937.3999537884461</v>
      </c>
      <c r="BM312" s="173">
        <f t="shared" si="807"/>
        <v>0.59639999999999993</v>
      </c>
      <c r="BN312" s="173">
        <f t="shared" si="808"/>
        <v>0.1065</v>
      </c>
      <c r="BQ312" s="460">
        <f t="shared" si="857"/>
        <v>702.9</v>
      </c>
      <c r="BR312" s="528">
        <f t="shared" si="858"/>
        <v>1.6548080783141142E-2</v>
      </c>
      <c r="BS312" s="528">
        <f t="shared" si="859"/>
        <v>6.5737633502573153E-2</v>
      </c>
      <c r="BT312" s="528">
        <f t="shared" si="860"/>
        <v>6.6081201728419208E-4</v>
      </c>
      <c r="BU312" s="528">
        <f t="shared" si="861"/>
        <v>1.5969659982607489</v>
      </c>
      <c r="BV312" s="528"/>
      <c r="BW312" s="625">
        <f t="shared" si="862"/>
        <v>1.4400000000000001E-2</v>
      </c>
      <c r="BX312" s="460">
        <f t="shared" si="863"/>
        <v>1694.3125245637473</v>
      </c>
      <c r="BY312" s="173">
        <f t="shared" si="864"/>
        <v>5.3346124783521942</v>
      </c>
      <c r="BZ312" s="5">
        <f t="shared" si="865"/>
        <v>17.28</v>
      </c>
      <c r="CA312" s="173">
        <f t="shared" si="866"/>
        <v>0.76410772090573098</v>
      </c>
      <c r="CB312" s="5">
        <f t="shared" si="867"/>
        <v>76.410772090573104</v>
      </c>
      <c r="CC312">
        <f t="shared" si="868"/>
        <v>96</v>
      </c>
      <c r="CE312" s="562">
        <f t="shared" si="809"/>
        <v>-50</v>
      </c>
      <c r="CG312" s="173">
        <f t="shared" si="810"/>
        <v>0.70992957397195389</v>
      </c>
      <c r="CH312" s="173">
        <f t="shared" si="811"/>
        <v>0.25550695421100511</v>
      </c>
      <c r="CI312" s="170">
        <v>96</v>
      </c>
      <c r="CJ312" s="217">
        <f t="shared" si="869"/>
        <v>0.96</v>
      </c>
      <c r="CK312" s="217">
        <f t="shared" si="812"/>
        <v>0.24</v>
      </c>
      <c r="CL312" s="217">
        <f t="shared" si="813"/>
        <v>15.36</v>
      </c>
      <c r="CM312" s="217">
        <f t="shared" si="814"/>
        <v>1.92</v>
      </c>
      <c r="CN312" s="541">
        <f t="shared" si="815"/>
        <v>60</v>
      </c>
      <c r="CO312" s="443">
        <f t="shared" si="816"/>
        <v>16.7</v>
      </c>
      <c r="CP312" s="443">
        <f t="shared" si="817"/>
        <v>76.7</v>
      </c>
      <c r="CQ312" s="443"/>
      <c r="CR312" s="217">
        <f t="shared" si="818"/>
        <v>0.21465968586387432</v>
      </c>
      <c r="CS312" s="172">
        <f t="shared" si="819"/>
        <v>28.621291448516576</v>
      </c>
      <c r="CT312" s="172">
        <f t="shared" si="820"/>
        <v>4.0248691099476437</v>
      </c>
      <c r="CU312" s="217">
        <f t="shared" si="821"/>
        <v>1.788830715532286</v>
      </c>
      <c r="CV312" s="217">
        <f t="shared" si="822"/>
        <v>3.577661431064572</v>
      </c>
      <c r="CW312" s="217">
        <f t="shared" si="823"/>
        <v>16</v>
      </c>
      <c r="CX312" s="217">
        <f t="shared" si="824"/>
        <v>2.6833170731707323</v>
      </c>
      <c r="CY312" s="217">
        <f t="shared" si="825"/>
        <v>0.53666341463414646</v>
      </c>
      <c r="CZ312" s="217">
        <f t="shared" si="826"/>
        <v>1.928132028625676</v>
      </c>
      <c r="DA312" s="197">
        <f t="shared" si="827"/>
        <v>350</v>
      </c>
      <c r="DB312" s="443">
        <f t="shared" si="828"/>
        <v>350</v>
      </c>
      <c r="DD312" s="217">
        <f t="shared" si="829"/>
        <v>3.1104488731607378</v>
      </c>
      <c r="DE312" s="173">
        <f t="shared" si="830"/>
        <v>2.23505308251071</v>
      </c>
      <c r="DF312" s="173">
        <f t="shared" si="831"/>
        <v>1.0814250754144243</v>
      </c>
      <c r="DG312" s="173"/>
      <c r="DH312" s="173">
        <f t="shared" si="832"/>
        <v>0.71856287425149712</v>
      </c>
      <c r="DI312" s="545">
        <f t="shared" si="833"/>
        <v>2671.9999999999995</v>
      </c>
      <c r="DJ312" s="528">
        <f t="shared" si="834"/>
        <v>0.125748502994012</v>
      </c>
      <c r="DL312" s="173">
        <f t="shared" si="835"/>
        <v>2.8685486624025449</v>
      </c>
      <c r="DM312" s="173">
        <f t="shared" si="836"/>
        <v>2.8685486624025449</v>
      </c>
      <c r="DN312" s="173">
        <f t="shared" si="837"/>
        <v>2.5841101202981811</v>
      </c>
      <c r="DP312" s="545">
        <f t="shared" si="838"/>
        <v>960</v>
      </c>
      <c r="DQ312" s="460">
        <f t="shared" si="839"/>
        <v>350</v>
      </c>
      <c r="DS312">
        <f t="shared" si="840"/>
        <v>960</v>
      </c>
      <c r="DT312">
        <f t="shared" si="841"/>
        <v>350</v>
      </c>
      <c r="DV312" s="5">
        <f t="shared" si="870"/>
        <v>2.8571428571428572</v>
      </c>
      <c r="DW312" s="5">
        <f t="shared" si="842"/>
        <v>0.57370973248050894</v>
      </c>
      <c r="DX312" s="5">
        <f t="shared" si="843"/>
        <v>2.2834331246623485</v>
      </c>
      <c r="DY312" s="173">
        <f t="shared" si="844"/>
        <v>0.20079840636817811</v>
      </c>
      <c r="EA312" s="5">
        <f t="shared" si="871"/>
        <v>3.4422583948830536</v>
      </c>
      <c r="EB312" s="5">
        <f t="shared" si="872"/>
        <v>1.7211291974415268</v>
      </c>
      <c r="EC312" s="5">
        <f t="shared" si="873"/>
        <v>0.48713239992796764</v>
      </c>
      <c r="ED312" s="5"/>
      <c r="EE312" s="173">
        <f t="shared" si="874"/>
        <v>0.74213296866618761</v>
      </c>
      <c r="EF312" s="173">
        <f t="shared" si="875"/>
        <v>1.480572794453503</v>
      </c>
      <c r="EG312" s="173">
        <f t="shared" si="876"/>
        <v>0.36361125981431613</v>
      </c>
      <c r="EH312" s="173"/>
      <c r="EI312" s="528">
        <f t="shared" si="877"/>
        <v>1.1015226863625771E-2</v>
      </c>
      <c r="EJ312" s="528">
        <f t="shared" si="878"/>
        <v>1.4631175880017304</v>
      </c>
      <c r="EK312" s="528">
        <f t="shared" si="879"/>
        <v>4.0250000000000001E-2</v>
      </c>
      <c r="EL312" s="528">
        <f t="shared" si="880"/>
        <v>1.0140631637499999</v>
      </c>
      <c r="EM312">
        <f t="shared" si="881"/>
        <v>2.7E-2</v>
      </c>
      <c r="EN312" s="460">
        <f t="shared" si="882"/>
        <v>67.25</v>
      </c>
      <c r="EP312" s="460">
        <f t="shared" si="883"/>
        <v>2555.4459786153561</v>
      </c>
      <c r="EQ312" s="173">
        <f t="shared" si="884"/>
        <v>0.67199999999999993</v>
      </c>
      <c r="ER312" s="173">
        <f t="shared" si="845"/>
        <v>0.1065</v>
      </c>
      <c r="ES312" s="528"/>
      <c r="EU312" s="460">
        <f t="shared" si="885"/>
        <v>778.5</v>
      </c>
      <c r="EV312" s="528">
        <f t="shared" si="886"/>
        <v>1.6522840295438657E-2</v>
      </c>
      <c r="EW312" s="528">
        <f t="shared" si="887"/>
        <v>6.5762873990275653E-2</v>
      </c>
      <c r="EX312" s="528">
        <f t="shared" si="888"/>
        <v>6.6106574131877054E-4</v>
      </c>
      <c r="EY312" s="528">
        <f t="shared" si="889"/>
        <v>1.5969659982607489</v>
      </c>
      <c r="EZ312" s="528"/>
      <c r="FA312" s="625">
        <f t="shared" si="890"/>
        <v>1.4400000000000001E-2</v>
      </c>
      <c r="FB312" s="460">
        <f t="shared" si="891"/>
        <v>1694.3127782877821</v>
      </c>
      <c r="FC312" s="173">
        <f t="shared" si="892"/>
        <v>5.0282587569031385</v>
      </c>
      <c r="FD312" s="5">
        <f t="shared" si="893"/>
        <v>17.28</v>
      </c>
      <c r="FE312" s="173">
        <f t="shared" si="894"/>
        <v>0.77460102055938462</v>
      </c>
      <c r="FF312" s="5">
        <f t="shared" si="895"/>
        <v>77.460102055938464</v>
      </c>
      <c r="FG312">
        <f t="shared" si="896"/>
        <v>96</v>
      </c>
      <c r="FI312" s="562">
        <f t="shared" si="846"/>
        <v>-50</v>
      </c>
    </row>
    <row r="313" spans="5:169">
      <c r="E313" s="170">
        <v>97</v>
      </c>
      <c r="F313" s="217">
        <f>IF(PLOT_TYPE=1, E313/100*Iout_max, min_I*EXP(O313*rr/100))</f>
        <v>0.97</v>
      </c>
      <c r="G313" s="217">
        <f t="shared" si="775"/>
        <v>0.24249999999999999</v>
      </c>
      <c r="H313" s="217">
        <f t="shared" si="776"/>
        <v>15.52</v>
      </c>
      <c r="I313" s="217">
        <f t="shared" si="777"/>
        <v>1.94</v>
      </c>
      <c r="J313" s="541">
        <f t="shared" si="778"/>
        <v>59.908007671703125</v>
      </c>
      <c r="K313" s="443">
        <f t="shared" si="779"/>
        <v>16.740778145407276</v>
      </c>
      <c r="L313" s="172">
        <f t="shared" si="780"/>
        <v>76.648785817110394</v>
      </c>
      <c r="M313" s="443"/>
      <c r="N313" s="217">
        <f t="shared" si="781"/>
        <v>0.21840891498727713</v>
      </c>
      <c r="O313" s="172">
        <f>N313*J313*Isw_max*0.5*Efficiency*Pout/(Pout+Pout2)</f>
        <v>29.076539899169227</v>
      </c>
      <c r="P313" s="172">
        <f t="shared" si="783"/>
        <v>4.0888884233206726</v>
      </c>
      <c r="Q313" s="217">
        <f t="shared" si="784"/>
        <v>1.8172837436980767</v>
      </c>
      <c r="R313" s="217">
        <f t="shared" si="785"/>
        <v>3.6345674873961533</v>
      </c>
      <c r="S313" s="217">
        <f t="shared" si="786"/>
        <v>16</v>
      </c>
      <c r="T313" s="217">
        <f t="shared" si="787"/>
        <v>2.668818238659036</v>
      </c>
      <c r="U313" s="217">
        <f t="shared" si="788"/>
        <v>0.534583273732127</v>
      </c>
      <c r="V313" s="217">
        <f t="shared" si="789"/>
        <v>1.9130424276421412</v>
      </c>
      <c r="W313" s="197">
        <f t="shared" si="790"/>
        <v>350</v>
      </c>
      <c r="X313" s="443">
        <f t="shared" si="848"/>
        <v>350</v>
      </c>
      <c r="Z313" s="217">
        <f t="shared" si="791"/>
        <v>3.1153435606252744</v>
      </c>
      <c r="AA313" s="173">
        <f t="shared" si="792"/>
        <v>2.2331173857506372</v>
      </c>
      <c r="AB313" s="173">
        <f>0.5*AA313*Z313*Nps*W313/1000*(Pout/(Pout+Pout2))</f>
        <v>1.0821887794384479</v>
      </c>
      <c r="AC313" s="173"/>
      <c r="AD313" s="173">
        <f t="shared" si="794"/>
        <v>0.71681255768221985</v>
      </c>
      <c r="AE313" s="545">
        <f>MAX(10, F313/(0.5*AD313/1000000*Isw_min*Nps)/1000*Pout_total/Pout)</f>
        <v>2706.4258001741764</v>
      </c>
      <c r="AF313" s="528">
        <f t="shared" si="796"/>
        <v>0.12544219759438849</v>
      </c>
      <c r="AH313" s="173">
        <f t="shared" si="797"/>
        <v>2.8834503141697647</v>
      </c>
      <c r="AI313" s="173">
        <f>MAX(IF(F313&gt;AB313,T313,AH313),Isw_min)</f>
        <v>2.8834503141697647</v>
      </c>
      <c r="AJ313" s="173">
        <f>IF(F313&gt;AF313, (AI313-Isw_min)/1.08*0.8+1.2, AE313*0.2/350+1)</f>
        <v>2.5951483808664921</v>
      </c>
      <c r="AL313" s="545">
        <f t="shared" si="800"/>
        <v>970</v>
      </c>
      <c r="AM313" s="460">
        <f t="shared" si="801"/>
        <v>350</v>
      </c>
      <c r="AO313">
        <f t="shared" si="802"/>
        <v>970</v>
      </c>
      <c r="AP313">
        <f t="shared" si="803"/>
        <v>350</v>
      </c>
      <c r="AR313" s="5">
        <f t="shared" si="774"/>
        <v>2.8571428571428572</v>
      </c>
      <c r="AS313" s="5">
        <f t="shared" si="897"/>
        <v>0.57757560491167459</v>
      </c>
      <c r="AT313" s="5">
        <f t="shared" si="898"/>
        <v>2.2795672522311827</v>
      </c>
      <c r="AU313" s="173">
        <f t="shared" si="899"/>
        <v>0.2021514617190861</v>
      </c>
      <c r="BA313" s="173">
        <f t="shared" si="849"/>
        <v>0.74849738594354787</v>
      </c>
      <c r="BB313" s="173">
        <f t="shared" si="850"/>
        <v>1.4870037776227225</v>
      </c>
      <c r="BC313" s="173">
        <f t="shared" si="851"/>
        <v>0.36519063362205095</v>
      </c>
      <c r="BD313" s="173"/>
      <c r="BE313" s="528">
        <f t="shared" si="852"/>
        <v>1.1204966735286488E-2</v>
      </c>
      <c r="BF313" s="528">
        <f t="shared" si="804"/>
        <v>1.4117203174191857</v>
      </c>
      <c r="BG313" s="528">
        <f t="shared" si="805"/>
        <v>0.48225946175721018</v>
      </c>
      <c r="BH313" s="528">
        <f t="shared" si="853"/>
        <v>1.0127093938025233</v>
      </c>
      <c r="BI313">
        <f t="shared" si="854"/>
        <v>2.6958603452266406E-2</v>
      </c>
      <c r="BJ313" s="460">
        <f t="shared" si="855"/>
        <v>509.21806520947655</v>
      </c>
      <c r="BK313">
        <f t="shared" si="806"/>
        <v>2.4451697947555804</v>
      </c>
      <c r="BL313" s="460">
        <f t="shared" si="856"/>
        <v>2944.8527431664725</v>
      </c>
      <c r="BM313" s="173">
        <f t="shared" si="807"/>
        <v>0.60261249999999988</v>
      </c>
      <c r="BN313" s="173">
        <f t="shared" si="808"/>
        <v>0.10760937499999999</v>
      </c>
      <c r="BQ313" s="460">
        <f t="shared" si="857"/>
        <v>710.22187499999984</v>
      </c>
      <c r="BR313" s="528">
        <f t="shared" si="858"/>
        <v>1.6807450102929732E-2</v>
      </c>
      <c r="BS313" s="528">
        <f t="shared" si="859"/>
        <v>6.6335407039927421E-2</v>
      </c>
      <c r="BT313" s="528">
        <f t="shared" si="860"/>
        <v>6.6682099442637538E-4</v>
      </c>
      <c r="BU313" s="528">
        <f t="shared" si="861"/>
        <v>1.6177868314710235</v>
      </c>
      <c r="BV313" s="528"/>
      <c r="BW313" s="625">
        <f t="shared" si="862"/>
        <v>1.455E-2</v>
      </c>
      <c r="BX313" s="460">
        <f t="shared" si="863"/>
        <v>1716.146509608307</v>
      </c>
      <c r="BY313" s="173">
        <f t="shared" si="864"/>
        <v>5.3712211277747794</v>
      </c>
      <c r="BZ313" s="5">
        <f t="shared" si="865"/>
        <v>17.46</v>
      </c>
      <c r="CA313" s="173">
        <f t="shared" si="866"/>
        <v>0.76474227560081975</v>
      </c>
      <c r="CB313" s="5">
        <f t="shared" si="867"/>
        <v>76.474227560081971</v>
      </c>
      <c r="CC313">
        <f t="shared" si="868"/>
        <v>97</v>
      </c>
      <c r="CE313" s="562">
        <f t="shared" si="809"/>
        <v>-50</v>
      </c>
      <c r="CG313" s="173">
        <f t="shared" si="810"/>
        <v>0.71361754462737248</v>
      </c>
      <c r="CH313" s="173">
        <f t="shared" si="811"/>
        <v>0.25683427199566017</v>
      </c>
      <c r="CI313" s="170">
        <v>97</v>
      </c>
      <c r="CJ313" s="217">
        <f t="shared" si="869"/>
        <v>0.97</v>
      </c>
      <c r="CK313" s="217">
        <f t="shared" si="812"/>
        <v>0.24249999999999999</v>
      </c>
      <c r="CL313" s="217">
        <f t="shared" si="813"/>
        <v>15.52</v>
      </c>
      <c r="CM313" s="217">
        <f t="shared" si="814"/>
        <v>1.94</v>
      </c>
      <c r="CN313" s="541">
        <f t="shared" si="815"/>
        <v>60</v>
      </c>
      <c r="CO313" s="443">
        <f t="shared" si="816"/>
        <v>16.7</v>
      </c>
      <c r="CP313" s="443">
        <f t="shared" si="817"/>
        <v>76.7</v>
      </c>
      <c r="CQ313" s="443"/>
      <c r="CR313" s="217">
        <f t="shared" si="818"/>
        <v>0.21465968586387432</v>
      </c>
      <c r="CS313" s="172">
        <f t="shared" si="819"/>
        <v>28.621291448516576</v>
      </c>
      <c r="CT313" s="172">
        <f t="shared" si="820"/>
        <v>4.0248691099476437</v>
      </c>
      <c r="CU313" s="217">
        <f t="shared" si="821"/>
        <v>1.788830715532286</v>
      </c>
      <c r="CV313" s="217">
        <f t="shared" si="822"/>
        <v>3.577661431064572</v>
      </c>
      <c r="CW313" s="217">
        <f t="shared" si="823"/>
        <v>16</v>
      </c>
      <c r="CX313" s="217">
        <f t="shared" si="824"/>
        <v>2.7112682926829272</v>
      </c>
      <c r="CY313" s="217">
        <f t="shared" si="825"/>
        <v>0.54225365853658558</v>
      </c>
      <c r="CZ313" s="217">
        <f t="shared" si="826"/>
        <v>1.9482167372571935</v>
      </c>
      <c r="DA313" s="197">
        <f t="shared" si="827"/>
        <v>350</v>
      </c>
      <c r="DB313" s="443">
        <f t="shared" si="828"/>
        <v>350</v>
      </c>
      <c r="DD313" s="217">
        <f t="shared" si="829"/>
        <v>3.1104488731607378</v>
      </c>
      <c r="DE313" s="173">
        <f t="shared" si="830"/>
        <v>2.23505308251071</v>
      </c>
      <c r="DF313" s="173">
        <f t="shared" si="831"/>
        <v>1.0814250754144243</v>
      </c>
      <c r="DG313" s="173"/>
      <c r="DH313" s="173">
        <f t="shared" si="832"/>
        <v>0.71856287425149712</v>
      </c>
      <c r="DI313" s="545">
        <f t="shared" si="833"/>
        <v>2699.833333333333</v>
      </c>
      <c r="DJ313" s="528">
        <f t="shared" si="834"/>
        <v>0.125748502994012</v>
      </c>
      <c r="DL313" s="173">
        <f t="shared" si="835"/>
        <v>2.8834503141697647</v>
      </c>
      <c r="DM313" s="173">
        <f t="shared" si="836"/>
        <v>2.8834503141697647</v>
      </c>
      <c r="DN313" s="173">
        <f t="shared" si="837"/>
        <v>2.5951483808664921</v>
      </c>
      <c r="DP313" s="545">
        <f t="shared" si="838"/>
        <v>970</v>
      </c>
      <c r="DQ313" s="460">
        <f t="shared" si="839"/>
        <v>350</v>
      </c>
      <c r="DS313">
        <f t="shared" si="840"/>
        <v>970</v>
      </c>
      <c r="DT313">
        <f t="shared" si="841"/>
        <v>350</v>
      </c>
      <c r="DV313" s="5">
        <f t="shared" si="870"/>
        <v>2.8571428571428572</v>
      </c>
      <c r="DW313" s="5">
        <f t="shared" si="842"/>
        <v>0.57669006283395297</v>
      </c>
      <c r="DX313" s="5">
        <f t="shared" si="843"/>
        <v>2.2804527943089044</v>
      </c>
      <c r="DY313" s="173">
        <f t="shared" si="844"/>
        <v>0.20184152199188354</v>
      </c>
      <c r="EA313" s="5">
        <f t="shared" si="871"/>
        <v>3.4961835059308397</v>
      </c>
      <c r="EB313" s="5">
        <f t="shared" si="872"/>
        <v>1.7480917529654199</v>
      </c>
      <c r="EC313" s="5">
        <f t="shared" si="873"/>
        <v>0.4915642689954749</v>
      </c>
      <c r="ED313" s="5"/>
      <c r="EE313" s="173">
        <f t="shared" si="874"/>
        <v>0.74792336569259177</v>
      </c>
      <c r="EF313" s="173">
        <f t="shared" si="875"/>
        <v>1.4872925772959527</v>
      </c>
      <c r="EG313" s="173">
        <f t="shared" si="876"/>
        <v>0.36526155942415306</v>
      </c>
      <c r="EH313" s="173"/>
      <c r="EI313" s="528">
        <f t="shared" si="877"/>
        <v>1.1187787218978687E-2</v>
      </c>
      <c r="EJ313" s="528">
        <f t="shared" si="878"/>
        <v>1.4707182499938594</v>
      </c>
      <c r="EK313" s="528">
        <f t="shared" si="879"/>
        <v>4.0250000000000001E-2</v>
      </c>
      <c r="EL313" s="528">
        <f t="shared" si="880"/>
        <v>1.0140631637499999</v>
      </c>
      <c r="EM313">
        <f t="shared" si="881"/>
        <v>2.7E-2</v>
      </c>
      <c r="EN313" s="460">
        <f t="shared" si="882"/>
        <v>67.25</v>
      </c>
      <c r="EP313" s="460">
        <f t="shared" si="883"/>
        <v>2563.2192009628379</v>
      </c>
      <c r="EQ313" s="173">
        <f t="shared" si="884"/>
        <v>0.67899999999999994</v>
      </c>
      <c r="ER313" s="173">
        <f t="shared" si="845"/>
        <v>0.10760937499999999</v>
      </c>
      <c r="ES313" s="528"/>
      <c r="EU313" s="460">
        <f t="shared" si="885"/>
        <v>786.609375</v>
      </c>
      <c r="EV313" s="528">
        <f t="shared" si="886"/>
        <v>1.678168082846803E-2</v>
      </c>
      <c r="EW313" s="528">
        <f t="shared" si="887"/>
        <v>6.6361176314389106E-2</v>
      </c>
      <c r="EX313" s="528">
        <f t="shared" si="888"/>
        <v>6.6708003396482045E-4</v>
      </c>
      <c r="EY313" s="528">
        <f t="shared" si="889"/>
        <v>1.6177868314710235</v>
      </c>
      <c r="EZ313" s="528"/>
      <c r="FA313" s="625">
        <f t="shared" si="890"/>
        <v>1.455E-2</v>
      </c>
      <c r="FB313" s="460">
        <f t="shared" si="891"/>
        <v>1716.1467686478456</v>
      </c>
      <c r="FC313" s="173">
        <f t="shared" si="892"/>
        <v>5.065975344610683</v>
      </c>
      <c r="FD313" s="5">
        <f t="shared" si="893"/>
        <v>17.46</v>
      </c>
      <c r="FE313" s="173">
        <f t="shared" si="894"/>
        <v>0.77510517226848008</v>
      </c>
      <c r="FF313" s="5">
        <f t="shared" si="895"/>
        <v>77.510517226848009</v>
      </c>
      <c r="FG313">
        <f t="shared" si="896"/>
        <v>97</v>
      </c>
      <c r="FI313" s="562">
        <f t="shared" si="846"/>
        <v>-50</v>
      </c>
    </row>
    <row r="314" spans="5:169">
      <c r="E314" s="170">
        <v>98</v>
      </c>
      <c r="F314" s="217">
        <f>IF(PLOT_TYPE=1, E314/100*Iout_max, min_I*EXP(O314*rr/100))</f>
        <v>0.98</v>
      </c>
      <c r="G314" s="217">
        <f t="shared" si="775"/>
        <v>0.245</v>
      </c>
      <c r="H314" s="217">
        <f t="shared" si="776"/>
        <v>15.68</v>
      </c>
      <c r="I314" s="217">
        <f t="shared" si="777"/>
        <v>1.96</v>
      </c>
      <c r="J314" s="541">
        <f t="shared" si="778"/>
        <v>59.907534700316617</v>
      </c>
      <c r="K314" s="443">
        <f t="shared" si="779"/>
        <v>16.740987803063838</v>
      </c>
      <c r="L314" s="172">
        <f t="shared" si="780"/>
        <v>76.648522503380462</v>
      </c>
      <c r="M314" s="443"/>
      <c r="N314" s="217">
        <f t="shared" si="781"/>
        <v>0.21841240060857667</v>
      </c>
      <c r="O314" s="172">
        <f>N314*J314*Isw_max*0.5*Efficiency*Pout/(Pout+Pout2)</f>
        <v>29.07677437430614</v>
      </c>
      <c r="P314" s="172">
        <f t="shared" si="783"/>
        <v>4.0889213963868007</v>
      </c>
      <c r="Q314" s="217">
        <f t="shared" si="784"/>
        <v>1.8172983983941338</v>
      </c>
      <c r="R314" s="217">
        <f t="shared" si="785"/>
        <v>3.6345967967882675</v>
      </c>
      <c r="S314" s="217">
        <f t="shared" si="786"/>
        <v>16</v>
      </c>
      <c r="T314" s="217">
        <f t="shared" si="787"/>
        <v>2.6963100855258082</v>
      </c>
      <c r="U314" s="217">
        <f t="shared" si="788"/>
        <v>0.54009435020431074</v>
      </c>
      <c r="V314" s="217">
        <f t="shared" si="789"/>
        <v>1.9327247237100396</v>
      </c>
      <c r="W314" s="197">
        <f t="shared" si="790"/>
        <v>350</v>
      </c>
      <c r="X314" s="443">
        <f t="shared" si="848"/>
        <v>350</v>
      </c>
      <c r="Z314" s="217">
        <f t="shared" si="791"/>
        <v>3.115368682961372</v>
      </c>
      <c r="AA314" s="173">
        <f t="shared" si="792"/>
        <v>2.2331074268326381</v>
      </c>
      <c r="AB314" s="173">
        <f>0.5*AA314*Z314*Nps*W314/1000*(Pout/(Pout+Pout2))</f>
        <v>1.0821926800599995</v>
      </c>
      <c r="AC314" s="173"/>
      <c r="AD314" s="173">
        <f t="shared" si="794"/>
        <v>0.71680358059897942</v>
      </c>
      <c r="AE314" s="545">
        <f>MAX(10, F314/(0.5*AD314/1000000*Isw_min*Nps)/1000*Pout_total/Pout)</f>
        <v>2734.3613411670931</v>
      </c>
      <c r="AF314" s="528">
        <f t="shared" si="796"/>
        <v>0.12544062660482139</v>
      </c>
      <c r="AH314" s="173">
        <f t="shared" si="797"/>
        <v>2.8982753492378879</v>
      </c>
      <c r="AI314" s="173">
        <f>MAX(IF(F314&gt;AB314,T314,AH314),Isw_min)</f>
        <v>2.8982753492378879</v>
      </c>
      <c r="AJ314" s="173">
        <f>IF(F314&gt;AF314, (AI314-Isw_min)/1.08*0.8+1.2, AE314*0.2/350+1)</f>
        <v>2.6061298883243613</v>
      </c>
      <c r="AL314" s="545">
        <f t="shared" si="800"/>
        <v>980</v>
      </c>
      <c r="AM314" s="460">
        <f t="shared" si="801"/>
        <v>350</v>
      </c>
      <c r="AO314">
        <f t="shared" si="802"/>
        <v>980</v>
      </c>
      <c r="AP314">
        <f t="shared" si="803"/>
        <v>350</v>
      </c>
      <c r="AR314" s="5">
        <f t="shared" si="774"/>
        <v>2.8571428571428572</v>
      </c>
      <c r="AS314" s="5">
        <f t="shared" si="897"/>
        <v>0.58054974828852102</v>
      </c>
      <c r="AT314" s="5">
        <f t="shared" si="898"/>
        <v>2.2765931088543363</v>
      </c>
      <c r="AU314" s="173">
        <f t="shared" si="899"/>
        <v>0.20319241190098236</v>
      </c>
      <c r="BA314" s="173">
        <f t="shared" si="849"/>
        <v>0.75428028830319471</v>
      </c>
      <c r="BB314" s="173">
        <f t="shared" si="850"/>
        <v>1.4936737417111041</v>
      </c>
      <c r="BC314" s="173">
        <f t="shared" si="851"/>
        <v>0.36682869833199172</v>
      </c>
      <c r="BD314" s="173"/>
      <c r="BE314" s="528">
        <f t="shared" si="852"/>
        <v>1.1378775066455012E-2</v>
      </c>
      <c r="BF314" s="528">
        <f t="shared" si="804"/>
        <v>1.4189736927515517</v>
      </c>
      <c r="BG314" s="528">
        <f t="shared" si="805"/>
        <v>0.48225565433754886</v>
      </c>
      <c r="BH314" s="528">
        <f t="shared" si="853"/>
        <v>1.0127024358363417</v>
      </c>
      <c r="BI314">
        <f t="shared" si="854"/>
        <v>2.6958390615142477E-2</v>
      </c>
      <c r="BJ314" s="460">
        <f t="shared" si="855"/>
        <v>509.21404495269127</v>
      </c>
      <c r="BK314">
        <f t="shared" si="806"/>
        <v>2.4527584431825673</v>
      </c>
      <c r="BL314" s="460">
        <f t="shared" si="856"/>
        <v>2952.2689486070399</v>
      </c>
      <c r="BM314" s="173">
        <f t="shared" si="807"/>
        <v>0.60882499999999995</v>
      </c>
      <c r="BN314" s="173">
        <f t="shared" si="808"/>
        <v>0.10871874999999999</v>
      </c>
      <c r="BQ314" s="460">
        <f t="shared" si="857"/>
        <v>717.54374999999993</v>
      </c>
      <c r="BR314" s="528">
        <f t="shared" si="858"/>
        <v>1.7068162599682517E-2</v>
      </c>
      <c r="BS314" s="528">
        <f t="shared" si="859"/>
        <v>6.6931837400317495E-2</v>
      </c>
      <c r="BT314" s="528">
        <f t="shared" si="860"/>
        <v>6.7281646959971688E-4</v>
      </c>
      <c r="BU314" s="528">
        <f t="shared" si="861"/>
        <v>1.6386613966678985</v>
      </c>
      <c r="BV314" s="528"/>
      <c r="BW314" s="625">
        <f t="shared" si="862"/>
        <v>1.4700000000000001E-2</v>
      </c>
      <c r="BX314" s="460">
        <f t="shared" si="863"/>
        <v>1738.0342131374982</v>
      </c>
      <c r="BY314" s="173">
        <f t="shared" si="864"/>
        <v>5.4078469117445378</v>
      </c>
      <c r="BZ314" s="5">
        <f t="shared" si="865"/>
        <v>17.64</v>
      </c>
      <c r="CA314" s="173">
        <f t="shared" si="866"/>
        <v>0.7653643339244478</v>
      </c>
      <c r="CB314" s="5">
        <f t="shared" si="867"/>
        <v>76.536433392444778</v>
      </c>
      <c r="CC314">
        <f t="shared" si="868"/>
        <v>98</v>
      </c>
      <c r="CE314" s="562">
        <f t="shared" si="809"/>
        <v>-50</v>
      </c>
      <c r="CG314" s="173">
        <f t="shared" si="810"/>
        <v>0.71728655361717186</v>
      </c>
      <c r="CH314" s="173">
        <f t="shared" si="811"/>
        <v>0.25815476538870408</v>
      </c>
      <c r="CI314" s="170">
        <v>98</v>
      </c>
      <c r="CJ314" s="217">
        <f t="shared" si="869"/>
        <v>0.98</v>
      </c>
      <c r="CK314" s="217">
        <f t="shared" si="812"/>
        <v>0.245</v>
      </c>
      <c r="CL314" s="217">
        <f t="shared" si="813"/>
        <v>15.68</v>
      </c>
      <c r="CM314" s="217">
        <f t="shared" si="814"/>
        <v>1.96</v>
      </c>
      <c r="CN314" s="541">
        <f t="shared" si="815"/>
        <v>60</v>
      </c>
      <c r="CO314" s="443">
        <f t="shared" si="816"/>
        <v>16.7</v>
      </c>
      <c r="CP314" s="443">
        <f t="shared" si="817"/>
        <v>76.7</v>
      </c>
      <c r="CQ314" s="443"/>
      <c r="CR314" s="217">
        <f t="shared" si="818"/>
        <v>0.21465968586387432</v>
      </c>
      <c r="CS314" s="172">
        <f t="shared" si="819"/>
        <v>28.621291448516576</v>
      </c>
      <c r="CT314" s="172">
        <f t="shared" si="820"/>
        <v>4.0248691099476437</v>
      </c>
      <c r="CU314" s="217">
        <f t="shared" si="821"/>
        <v>1.788830715532286</v>
      </c>
      <c r="CV314" s="217">
        <f t="shared" si="822"/>
        <v>3.577661431064572</v>
      </c>
      <c r="CW314" s="217">
        <f t="shared" si="823"/>
        <v>16</v>
      </c>
      <c r="CX314" s="217">
        <f t="shared" si="824"/>
        <v>2.7392195121951222</v>
      </c>
      <c r="CY314" s="217">
        <f t="shared" si="825"/>
        <v>0.54784390243902448</v>
      </c>
      <c r="CZ314" s="217">
        <f t="shared" si="826"/>
        <v>1.9683014458887107</v>
      </c>
      <c r="DA314" s="197">
        <f t="shared" si="827"/>
        <v>350</v>
      </c>
      <c r="DB314" s="443">
        <f t="shared" si="828"/>
        <v>350</v>
      </c>
      <c r="DD314" s="217">
        <f t="shared" si="829"/>
        <v>3.1104488731607378</v>
      </c>
      <c r="DE314" s="173">
        <f t="shared" si="830"/>
        <v>2.23505308251071</v>
      </c>
      <c r="DF314" s="173">
        <f t="shared" si="831"/>
        <v>1.0814250754144243</v>
      </c>
      <c r="DG314" s="173"/>
      <c r="DH314" s="173">
        <f t="shared" si="832"/>
        <v>0.71856287425149712</v>
      </c>
      <c r="DI314" s="545">
        <f t="shared" si="833"/>
        <v>2727.6666666666661</v>
      </c>
      <c r="DJ314" s="528">
        <f t="shared" si="834"/>
        <v>0.125748502994012</v>
      </c>
      <c r="DL314" s="173">
        <f t="shared" si="835"/>
        <v>2.8982753492378879</v>
      </c>
      <c r="DM314" s="173">
        <f t="shared" si="836"/>
        <v>2.8982753492378879</v>
      </c>
      <c r="DN314" s="173">
        <f t="shared" si="837"/>
        <v>2.6061298883243613</v>
      </c>
      <c r="DP314" s="545">
        <f t="shared" si="838"/>
        <v>980</v>
      </c>
      <c r="DQ314" s="460">
        <f t="shared" si="839"/>
        <v>350</v>
      </c>
      <c r="DS314">
        <f t="shared" si="840"/>
        <v>980</v>
      </c>
      <c r="DT314">
        <f t="shared" si="841"/>
        <v>350</v>
      </c>
      <c r="DV314" s="5">
        <f t="shared" si="870"/>
        <v>2.8571428571428572</v>
      </c>
      <c r="DW314" s="5">
        <f t="shared" si="842"/>
        <v>0.57965506984757753</v>
      </c>
      <c r="DX314" s="5">
        <f t="shared" si="843"/>
        <v>2.2774877872952795</v>
      </c>
      <c r="DY314" s="173">
        <f t="shared" si="844"/>
        <v>0.20287927444665213</v>
      </c>
      <c r="EA314" s="5">
        <f t="shared" si="871"/>
        <v>3.5503873028164121</v>
      </c>
      <c r="EB314" s="5">
        <f t="shared" si="872"/>
        <v>1.7751936514082061</v>
      </c>
      <c r="EC314" s="5">
        <f t="shared" si="873"/>
        <v>0.49598622923319402</v>
      </c>
      <c r="ED314" s="5"/>
      <c r="EE314" s="173">
        <f t="shared" si="874"/>
        <v>0.75369885793374136</v>
      </c>
      <c r="EF314" s="173">
        <f t="shared" si="875"/>
        <v>1.4939672123408112</v>
      </c>
      <c r="EG314" s="173">
        <f t="shared" si="876"/>
        <v>0.36690077126605214</v>
      </c>
      <c r="EH314" s="173"/>
      <c r="EI314" s="528">
        <f t="shared" si="877"/>
        <v>1.1361239369012522E-2</v>
      </c>
      <c r="EJ314" s="528">
        <f t="shared" si="878"/>
        <v>1.4782798332555311</v>
      </c>
      <c r="EK314" s="528">
        <f t="shared" si="879"/>
        <v>4.0250000000000001E-2</v>
      </c>
      <c r="EL314" s="528">
        <f t="shared" si="880"/>
        <v>1.0140631637499999</v>
      </c>
      <c r="EM314">
        <f t="shared" si="881"/>
        <v>2.7E-2</v>
      </c>
      <c r="EN314" s="460">
        <f t="shared" si="882"/>
        <v>67.25</v>
      </c>
      <c r="EP314" s="460">
        <f t="shared" si="883"/>
        <v>2570.9542363745436</v>
      </c>
      <c r="EQ314" s="173">
        <f t="shared" si="884"/>
        <v>0.68599999999999994</v>
      </c>
      <c r="ER314" s="173">
        <f t="shared" si="845"/>
        <v>0.10871874999999999</v>
      </c>
      <c r="ES314" s="528"/>
      <c r="EU314" s="460">
        <f t="shared" si="885"/>
        <v>794.71874999999989</v>
      </c>
      <c r="EV314" s="528">
        <f t="shared" si="886"/>
        <v>1.7041859053518783E-2</v>
      </c>
      <c r="EW314" s="528">
        <f t="shared" si="887"/>
        <v>6.695814094648124E-2</v>
      </c>
      <c r="EX314" s="528">
        <f t="shared" si="888"/>
        <v>6.7308087977811955E-4</v>
      </c>
      <c r="EY314" s="528">
        <f t="shared" si="889"/>
        <v>1.6386613966678985</v>
      </c>
      <c r="EZ314" s="528"/>
      <c r="FA314" s="625">
        <f t="shared" si="890"/>
        <v>1.4700000000000001E-2</v>
      </c>
      <c r="FB314" s="460">
        <f t="shared" si="891"/>
        <v>1738.0344775476765</v>
      </c>
      <c r="FC314" s="173">
        <f t="shared" si="892"/>
        <v>5.1037074639222206</v>
      </c>
      <c r="FD314" s="5">
        <f t="shared" si="893"/>
        <v>17.64</v>
      </c>
      <c r="FE314" s="173">
        <f t="shared" si="894"/>
        <v>0.77559914222348736</v>
      </c>
      <c r="FF314" s="5">
        <f t="shared" si="895"/>
        <v>77.559914222348738</v>
      </c>
      <c r="FG314">
        <f t="shared" si="896"/>
        <v>98</v>
      </c>
      <c r="FI314" s="562">
        <f t="shared" si="846"/>
        <v>-50</v>
      </c>
    </row>
    <row r="315" spans="5:169">
      <c r="E315" s="170">
        <v>99</v>
      </c>
      <c r="F315" s="217">
        <f>IF(PLOT_TYPE=1, E315/100*Iout_max, min_I*EXP(O315*rr/100))</f>
        <v>0.99</v>
      </c>
      <c r="G315" s="217">
        <f t="shared" si="775"/>
        <v>0.2475</v>
      </c>
      <c r="H315" s="217">
        <f t="shared" si="776"/>
        <v>15.84</v>
      </c>
      <c r="I315" s="217">
        <f t="shared" si="777"/>
        <v>1.98</v>
      </c>
      <c r="J315" s="541">
        <f t="shared" si="778"/>
        <v>59.907064135956063</v>
      </c>
      <c r="K315" s="443">
        <f t="shared" si="779"/>
        <v>16.741196393739536</v>
      </c>
      <c r="L315" s="172">
        <f t="shared" si="780"/>
        <v>76.648260529695591</v>
      </c>
      <c r="M315" s="443"/>
      <c r="N315" s="217">
        <f t="shared" si="781"/>
        <v>0.21841586851476619</v>
      </c>
      <c r="O315" s="172">
        <f>N315*J315*Isw_max*0.5*Efficiency*Pout/(Pout+Pout2)</f>
        <v>29.077007652054768</v>
      </c>
      <c r="P315" s="172">
        <f t="shared" si="783"/>
        <v>4.0889542010702016</v>
      </c>
      <c r="Q315" s="217">
        <f t="shared" si="784"/>
        <v>1.817312978253423</v>
      </c>
      <c r="R315" s="217">
        <f t="shared" si="785"/>
        <v>3.6346259565068459</v>
      </c>
      <c r="S315" s="217">
        <f t="shared" si="786"/>
        <v>16</v>
      </c>
      <c r="T315" s="217">
        <f t="shared" si="787"/>
        <v>2.72380160117347</v>
      </c>
      <c r="U315" s="217">
        <f t="shared" si="788"/>
        <v>0.54560542542868196</v>
      </c>
      <c r="V315" s="217">
        <f t="shared" si="789"/>
        <v>1.9524064138154793</v>
      </c>
      <c r="W315" s="197">
        <f t="shared" si="790"/>
        <v>350</v>
      </c>
      <c r="X315" s="443">
        <f t="shared" si="848"/>
        <v>350</v>
      </c>
      <c r="Z315" s="217">
        <f t="shared" si="791"/>
        <v>3.1153936770058674</v>
      </c>
      <c r="AA315" s="173">
        <f t="shared" si="792"/>
        <v>2.2330975185292399</v>
      </c>
      <c r="AB315" s="173">
        <f>0.5*AA315*Z315*Nps*W315/1000*(Pout/(Pout+Pout2))</f>
        <v>1.0821965605676536</v>
      </c>
      <c r="AC315" s="173"/>
      <c r="AD315" s="173">
        <f t="shared" si="794"/>
        <v>0.7167946494246652</v>
      </c>
      <c r="AE315" s="545">
        <f>MAX(10, F315/(0.5*AD315/1000000*Isw_min*Nps)/1000*Pout_total/Pout)</f>
        <v>2762.2974049670233</v>
      </c>
      <c r="AF315" s="528">
        <f t="shared" si="796"/>
        <v>0.1254390636493164</v>
      </c>
      <c r="AH315" s="173">
        <f t="shared" si="797"/>
        <v>2.9130249373656736</v>
      </c>
      <c r="AI315" s="173">
        <f>MAX(IF(F315&gt;AB315,T315,AH315),Isw_min)</f>
        <v>2.9130249373656736</v>
      </c>
      <c r="AJ315" s="173">
        <f>IF(F315&gt;AF315, (AI315-Isw_min)/1.08*0.8+1.2, AE315*0.2/350+1)</f>
        <v>2.6170555091597585</v>
      </c>
      <c r="AL315" s="545">
        <f t="shared" si="800"/>
        <v>990</v>
      </c>
      <c r="AM315" s="460">
        <f t="shared" si="801"/>
        <v>350</v>
      </c>
      <c r="AO315">
        <f t="shared" si="802"/>
        <v>990</v>
      </c>
      <c r="AP315">
        <f t="shared" si="803"/>
        <v>350</v>
      </c>
      <c r="AR315" s="5">
        <f t="shared" si="774"/>
        <v>2.8571428571428572</v>
      </c>
      <c r="AS315" s="5">
        <f t="shared" si="897"/>
        <v>0.58350880238524994</v>
      </c>
      <c r="AT315" s="5">
        <f t="shared" si="898"/>
        <v>2.2736340547576073</v>
      </c>
      <c r="AU315" s="173">
        <f t="shared" si="899"/>
        <v>0.20422808083483748</v>
      </c>
      <c r="BA315" s="173">
        <f t="shared" si="849"/>
        <v>0.76004849474319569</v>
      </c>
      <c r="BB315" s="173">
        <f t="shared" si="850"/>
        <v>1.5002992082281561</v>
      </c>
      <c r="BC315" s="173">
        <f t="shared" si="851"/>
        <v>0.36845583496191475</v>
      </c>
      <c r="BD315" s="173"/>
      <c r="BE315" s="528">
        <f t="shared" si="852"/>
        <v>1.1553474287227953E-2</v>
      </c>
      <c r="BF315" s="528">
        <f t="shared" si="804"/>
        <v>1.4261901050245989</v>
      </c>
      <c r="BG315" s="528">
        <f t="shared" si="805"/>
        <v>0.48225186629444627</v>
      </c>
      <c r="BH315" s="528">
        <f t="shared" si="853"/>
        <v>1.0126955133040672</v>
      </c>
      <c r="BI315">
        <f t="shared" si="854"/>
        <v>2.6958178861180227E-2</v>
      </c>
      <c r="BJ315" s="460">
        <f t="shared" si="855"/>
        <v>509.21004515562652</v>
      </c>
      <c r="BK315">
        <f t="shared" si="806"/>
        <v>2.4603123476075655</v>
      </c>
      <c r="BL315" s="460">
        <f t="shared" si="856"/>
        <v>2959.6491377715201</v>
      </c>
      <c r="BM315" s="173">
        <f t="shared" si="807"/>
        <v>0.6150374999999999</v>
      </c>
      <c r="BN315" s="173">
        <f t="shared" si="808"/>
        <v>0.109828125</v>
      </c>
      <c r="BQ315" s="460">
        <f t="shared" si="857"/>
        <v>724.8656249999998</v>
      </c>
      <c r="BR315" s="528">
        <f t="shared" si="858"/>
        <v>1.7330211430841926E-2</v>
      </c>
      <c r="BS315" s="528">
        <f t="shared" si="859"/>
        <v>6.7526931426300965E-2</v>
      </c>
      <c r="BT315" s="528">
        <f t="shared" si="860"/>
        <v>6.7879851158740893E-4</v>
      </c>
      <c r="BU315" s="528">
        <f t="shared" si="861"/>
        <v>1.6595892820978533</v>
      </c>
      <c r="BV315" s="528"/>
      <c r="BW315" s="625">
        <f t="shared" si="862"/>
        <v>1.485E-2</v>
      </c>
      <c r="BX315" s="460">
        <f t="shared" si="863"/>
        <v>1759.9752234665834</v>
      </c>
      <c r="BY315" s="173">
        <f t="shared" si="864"/>
        <v>5.4444899862381035</v>
      </c>
      <c r="BZ315" s="5">
        <f t="shared" si="865"/>
        <v>17.82</v>
      </c>
      <c r="CA315" s="173">
        <f t="shared" si="866"/>
        <v>0.7659742384441377</v>
      </c>
      <c r="CB315" s="5">
        <f t="shared" si="867"/>
        <v>76.597423844413768</v>
      </c>
      <c r="CC315">
        <f t="shared" si="868"/>
        <v>99</v>
      </c>
      <c r="CE315" s="562">
        <f t="shared" si="809"/>
        <v>-50</v>
      </c>
      <c r="CG315" s="173">
        <f t="shared" si="810"/>
        <v>0.72093689044187503</v>
      </c>
      <c r="CH315" s="173">
        <f t="shared" si="811"/>
        <v>0.25946853858272095</v>
      </c>
      <c r="CI315" s="170">
        <v>99</v>
      </c>
      <c r="CJ315" s="217">
        <f t="shared" si="869"/>
        <v>0.99</v>
      </c>
      <c r="CK315" s="217">
        <f t="shared" si="812"/>
        <v>0.2475</v>
      </c>
      <c r="CL315" s="217">
        <f t="shared" si="813"/>
        <v>15.84</v>
      </c>
      <c r="CM315" s="217">
        <f t="shared" si="814"/>
        <v>1.98</v>
      </c>
      <c r="CN315" s="541">
        <f t="shared" si="815"/>
        <v>60</v>
      </c>
      <c r="CO315" s="443">
        <f t="shared" si="816"/>
        <v>16.7</v>
      </c>
      <c r="CP315" s="443">
        <f t="shared" si="817"/>
        <v>76.7</v>
      </c>
      <c r="CQ315" s="443"/>
      <c r="CR315" s="217">
        <f t="shared" si="818"/>
        <v>0.21465968586387432</v>
      </c>
      <c r="CS315" s="172">
        <f t="shared" si="819"/>
        <v>28.621291448516576</v>
      </c>
      <c r="CT315" s="172">
        <f t="shared" si="820"/>
        <v>4.0248691099476437</v>
      </c>
      <c r="CU315" s="217">
        <f t="shared" si="821"/>
        <v>1.788830715532286</v>
      </c>
      <c r="CV315" s="217">
        <f t="shared" si="822"/>
        <v>3.577661431064572</v>
      </c>
      <c r="CW315" s="217">
        <f t="shared" si="823"/>
        <v>16</v>
      </c>
      <c r="CX315" s="217">
        <f t="shared" si="824"/>
        <v>2.7671707317073175</v>
      </c>
      <c r="CY315" s="217">
        <f t="shared" si="825"/>
        <v>0.5534341463414636</v>
      </c>
      <c r="CZ315" s="217">
        <f t="shared" si="826"/>
        <v>1.9883861545202284</v>
      </c>
      <c r="DA315" s="197">
        <f t="shared" si="827"/>
        <v>350</v>
      </c>
      <c r="DB315" s="443">
        <f t="shared" si="828"/>
        <v>350</v>
      </c>
      <c r="DD315" s="217">
        <f t="shared" si="829"/>
        <v>3.1104488731607378</v>
      </c>
      <c r="DE315" s="173">
        <f t="shared" si="830"/>
        <v>2.23505308251071</v>
      </c>
      <c r="DF315" s="173">
        <f t="shared" si="831"/>
        <v>1.0814250754144243</v>
      </c>
      <c r="DG315" s="173"/>
      <c r="DH315" s="173">
        <f t="shared" si="832"/>
        <v>0.71856287425149712</v>
      </c>
      <c r="DI315" s="545">
        <f t="shared" si="833"/>
        <v>2755.4999999999995</v>
      </c>
      <c r="DJ315" s="528">
        <f t="shared" si="834"/>
        <v>0.125748502994012</v>
      </c>
      <c r="DL315" s="173">
        <f t="shared" si="835"/>
        <v>2.9130249373656736</v>
      </c>
      <c r="DM315" s="173">
        <f t="shared" si="836"/>
        <v>2.9130249373656736</v>
      </c>
      <c r="DN315" s="173">
        <f t="shared" si="837"/>
        <v>2.6170555091597585</v>
      </c>
      <c r="DP315" s="545">
        <f t="shared" si="838"/>
        <v>990</v>
      </c>
      <c r="DQ315" s="460">
        <f t="shared" si="839"/>
        <v>350</v>
      </c>
      <c r="DS315">
        <f t="shared" si="840"/>
        <v>990</v>
      </c>
      <c r="DT315">
        <f t="shared" si="841"/>
        <v>350</v>
      </c>
      <c r="DV315" s="5">
        <f t="shared" si="870"/>
        <v>2.8571428571428572</v>
      </c>
      <c r="DW315" s="5">
        <f t="shared" si="842"/>
        <v>0.58260498747313472</v>
      </c>
      <c r="DX315" s="5">
        <f t="shared" si="843"/>
        <v>2.2745378696697225</v>
      </c>
      <c r="DY315" s="173">
        <f t="shared" si="844"/>
        <v>0.20391174561559713</v>
      </c>
      <c r="EA315" s="5">
        <f t="shared" si="871"/>
        <v>3.6048683599900211</v>
      </c>
      <c r="EB315" s="5">
        <f t="shared" si="872"/>
        <v>1.8024341799950105</v>
      </c>
      <c r="EC315" s="5">
        <f t="shared" si="873"/>
        <v>0.50039833132733891</v>
      </c>
      <c r="ED315" s="5"/>
      <c r="EE315" s="173">
        <f t="shared" si="874"/>
        <v>0.75945963526602478</v>
      </c>
      <c r="EF315" s="173">
        <f t="shared" si="875"/>
        <v>1.5005973780375019</v>
      </c>
      <c r="EG315" s="173">
        <f t="shared" si="876"/>
        <v>0.36852906195920998</v>
      </c>
      <c r="EH315" s="173"/>
      <c r="EI315" s="528">
        <f t="shared" si="877"/>
        <v>1.1535578751968067E-2</v>
      </c>
      <c r="EJ315" s="528">
        <f t="shared" si="878"/>
        <v>1.4858029344280488</v>
      </c>
      <c r="EK315" s="528">
        <f t="shared" si="879"/>
        <v>4.0250000000000001E-2</v>
      </c>
      <c r="EL315" s="528">
        <f t="shared" si="880"/>
        <v>1.0140631637499999</v>
      </c>
      <c r="EM315">
        <f t="shared" si="881"/>
        <v>2.7E-2</v>
      </c>
      <c r="EN315" s="460">
        <f t="shared" si="882"/>
        <v>67.25</v>
      </c>
      <c r="EP315" s="460">
        <f t="shared" si="883"/>
        <v>2578.6516769300169</v>
      </c>
      <c r="EQ315" s="173">
        <f t="shared" si="884"/>
        <v>0.69299999999999995</v>
      </c>
      <c r="ER315" s="173">
        <f t="shared" si="845"/>
        <v>0.109828125</v>
      </c>
      <c r="ES315" s="528"/>
      <c r="EU315" s="460">
        <f t="shared" si="885"/>
        <v>802.828125</v>
      </c>
      <c r="EV315" s="528">
        <f t="shared" si="886"/>
        <v>1.73033681279521E-2</v>
      </c>
      <c r="EW315" s="528">
        <f t="shared" si="887"/>
        <v>6.755377472919076E-2</v>
      </c>
      <c r="EX315" s="528">
        <f t="shared" si="888"/>
        <v>6.7906834754267618E-4</v>
      </c>
      <c r="EY315" s="528">
        <f t="shared" si="889"/>
        <v>1.6595892820978533</v>
      </c>
      <c r="EZ315" s="528"/>
      <c r="FA315" s="625">
        <f t="shared" si="890"/>
        <v>1.485E-2</v>
      </c>
      <c r="FB315" s="460">
        <f t="shared" si="891"/>
        <v>1759.9754933025388</v>
      </c>
      <c r="FC315" s="173">
        <f t="shared" si="892"/>
        <v>5.1414552952325554</v>
      </c>
      <c r="FD315" s="5">
        <f t="shared" si="893"/>
        <v>17.82</v>
      </c>
      <c r="FE315" s="173">
        <f t="shared" si="894"/>
        <v>0.77608321297038763</v>
      </c>
      <c r="FF315" s="5">
        <f t="shared" si="895"/>
        <v>77.608321297038756</v>
      </c>
      <c r="FG315">
        <f t="shared" si="896"/>
        <v>99</v>
      </c>
      <c r="FI315" s="562">
        <f t="shared" si="846"/>
        <v>-50</v>
      </c>
    </row>
    <row r="316" spans="5:169">
      <c r="E316" s="170">
        <v>100</v>
      </c>
      <c r="F316" s="217">
        <f>IF(PLOT_TYPE=1, E316/100*Iout_max, min_I*EXP(O316*rr/100))</f>
        <v>1</v>
      </c>
      <c r="G316" s="217">
        <f t="shared" si="775"/>
        <v>0.25</v>
      </c>
      <c r="H316" s="217">
        <f t="shared" si="776"/>
        <v>16</v>
      </c>
      <c r="I316" s="217">
        <f t="shared" si="777"/>
        <v>2</v>
      </c>
      <c r="J316" s="541">
        <f t="shared" si="778"/>
        <v>59.906595942242049</v>
      </c>
      <c r="K316" s="443">
        <f t="shared" si="779"/>
        <v>16.741403933560541</v>
      </c>
      <c r="L316" s="172">
        <f t="shared" si="780"/>
        <v>76.647999875802583</v>
      </c>
      <c r="M316" s="443"/>
      <c r="N316" s="217">
        <f t="shared" si="781"/>
        <v>0.21841931897358907</v>
      </c>
      <c r="O316" s="172">
        <f>N316*J316*Isw_max*0.5*Efficiency*Pout/(Pout+Pout2)</f>
        <v>29.077239750512188</v>
      </c>
      <c r="P316" s="172">
        <f t="shared" si="783"/>
        <v>4.0889868399157763</v>
      </c>
      <c r="Q316" s="217">
        <f t="shared" si="784"/>
        <v>1.8173274844070118</v>
      </c>
      <c r="R316" s="217">
        <f t="shared" si="785"/>
        <v>3.6346549688140235</v>
      </c>
      <c r="S316" s="217">
        <f t="shared" si="786"/>
        <v>16</v>
      </c>
      <c r="T316" s="217">
        <f t="shared" si="787"/>
        <v>2.7512927872939121</v>
      </c>
      <c r="U316" s="217">
        <f t="shared" si="788"/>
        <v>0.5511164994144937</v>
      </c>
      <c r="V316" s="217">
        <f t="shared" si="789"/>
        <v>1.9720875010573411</v>
      </c>
      <c r="W316" s="197">
        <f t="shared" si="790"/>
        <v>350</v>
      </c>
      <c r="X316" s="443">
        <f t="shared" si="848"/>
        <v>350</v>
      </c>
      <c r="Z316" s="217">
        <f t="shared" si="791"/>
        <v>3.115418544697734</v>
      </c>
      <c r="AA316" s="173">
        <f t="shared" si="792"/>
        <v>2.2330876600754599</v>
      </c>
      <c r="AB316" s="173">
        <f>0.5*AA316*Z316*Nps*W316/1000*(Pout/(Pout+Pout2))</f>
        <v>1.0822004212654066</v>
      </c>
      <c r="AC316" s="173"/>
      <c r="AD316" s="173">
        <f t="shared" si="794"/>
        <v>0.71678576346540945</v>
      </c>
      <c r="AE316" s="545">
        <f>MAX(10, F316/(0.5*AD316/1000000*Isw_min*Nps)/1000*Pout_total/Pout)</f>
        <v>2790.2339889267569</v>
      </c>
      <c r="AF316" s="528">
        <f t="shared" si="796"/>
        <v>0.12543750860644665</v>
      </c>
      <c r="AH316" s="173">
        <f>SQRT((H316+I316)/(0.5*L*Fsw_DCM))</f>
        <v>2.9277002188455996</v>
      </c>
      <c r="AI316" s="173">
        <f>MAX(IF(F316&gt;AB316,T316,AH316),Isw_min)</f>
        <v>2.9277002188455996</v>
      </c>
      <c r="AJ316" s="173">
        <f>IF(F316&gt;AF316, (AI316-Isw_min)/1.08*0.8+1.2, AE316*0.2/350+1)</f>
        <v>2.6279260880337771</v>
      </c>
      <c r="AL316" s="545">
        <f t="shared" si="800"/>
        <v>1000</v>
      </c>
      <c r="AM316" s="460">
        <f t="shared" si="801"/>
        <v>350</v>
      </c>
      <c r="AO316">
        <f t="shared" si="802"/>
        <v>1000</v>
      </c>
      <c r="AP316">
        <f t="shared" si="803"/>
        <v>350</v>
      </c>
      <c r="AR316" s="5">
        <f t="shared" si="774"/>
        <v>2.8571428571428572</v>
      </c>
      <c r="AS316" s="5">
        <f t="shared" si="897"/>
        <v>0.58645299525981276</v>
      </c>
      <c r="AT316" s="5">
        <f t="shared" si="898"/>
        <v>2.2706898618830444</v>
      </c>
      <c r="AU316" s="173">
        <f t="shared" si="899"/>
        <v>0.20525854834093446</v>
      </c>
      <c r="BA316" s="173">
        <f t="shared" si="849"/>
        <v>0.76580219068621946</v>
      </c>
      <c r="BB316" s="173">
        <f t="shared" si="850"/>
        <v>1.506880838647517</v>
      </c>
      <c r="BC316" s="173">
        <f t="shared" si="851"/>
        <v>0.37007220596196372</v>
      </c>
      <c r="BD316" s="173"/>
      <c r="BE316" s="528">
        <f>Rdson*BA316^2</f>
        <v>1.1729059905196258E-2</v>
      </c>
      <c r="BF316" s="528">
        <f t="shared" si="804"/>
        <v>1.4333701128918432</v>
      </c>
      <c r="BG316" s="528">
        <f t="shared" si="805"/>
        <v>0.48224809733504853</v>
      </c>
      <c r="BH316" s="528">
        <f t="shared" si="853"/>
        <v>1.0126886256701582</v>
      </c>
      <c r="BI316">
        <f t="shared" si="854"/>
        <v>2.6957968174008921E-2</v>
      </c>
      <c r="BJ316" s="460">
        <f t="shared" si="855"/>
        <v>509.20606550905745</v>
      </c>
      <c r="BK316">
        <f t="shared" si="806"/>
        <v>2.4678320598171783</v>
      </c>
      <c r="BL316" s="460">
        <f t="shared" si="856"/>
        <v>2966.9938639762549</v>
      </c>
      <c r="BM316" s="173">
        <f t="shared" si="807"/>
        <v>0.62124999999999997</v>
      </c>
      <c r="BN316" s="173">
        <f t="shared" si="808"/>
        <v>0.11093749999999999</v>
      </c>
      <c r="BQ316" s="460">
        <f t="shared" si="857"/>
        <v>732.1875</v>
      </c>
      <c r="BR316" s="528">
        <f t="shared" si="858"/>
        <v>1.7593589857794384E-2</v>
      </c>
      <c r="BS316" s="528">
        <f t="shared" si="859"/>
        <v>6.8120695856491317E-2</v>
      </c>
      <c r="BT316" s="528">
        <f t="shared" si="860"/>
        <v>6.8476718812777049E-4</v>
      </c>
      <c r="BU316" s="528">
        <f t="shared" si="861"/>
        <v>1.6805700832954293</v>
      </c>
      <c r="BV316" s="528"/>
      <c r="BW316" s="625">
        <f t="shared" si="862"/>
        <v>1.5000000000000001E-2</v>
      </c>
      <c r="BX316" s="460">
        <f t="shared" si="863"/>
        <v>1781.9691361978428</v>
      </c>
      <c r="BY316" s="173">
        <f>SUM(BE316:BI316,BM316:BP316,BR316:BW316)</f>
        <v>5.4811505001740972</v>
      </c>
      <c r="BZ316" s="5">
        <f t="shared" si="865"/>
        <v>18</v>
      </c>
      <c r="CA316" s="173">
        <f t="shared" si="866"/>
        <v>0.76657231935319958</v>
      </c>
      <c r="CB316" s="5">
        <f t="shared" si="867"/>
        <v>76.657231935319956</v>
      </c>
      <c r="CC316">
        <f t="shared" si="868"/>
        <v>100</v>
      </c>
      <c r="CE316" s="562">
        <f t="shared" si="809"/>
        <v>-50</v>
      </c>
      <c r="CG316" s="173">
        <f t="shared" si="810"/>
        <v>0.72456883730947197</v>
      </c>
      <c r="CH316" s="173">
        <f t="shared" si="811"/>
        <v>0.26077569314567839</v>
      </c>
      <c r="CI316" s="170">
        <v>100</v>
      </c>
      <c r="CJ316" s="217">
        <f t="shared" si="869"/>
        <v>1</v>
      </c>
      <c r="CK316" s="217">
        <f t="shared" si="812"/>
        <v>0.25</v>
      </c>
      <c r="CL316" s="217">
        <f t="shared" si="813"/>
        <v>16</v>
      </c>
      <c r="CM316" s="217">
        <f t="shared" si="814"/>
        <v>2</v>
      </c>
      <c r="CN316" s="541">
        <f t="shared" si="815"/>
        <v>60</v>
      </c>
      <c r="CO316" s="443">
        <f t="shared" si="816"/>
        <v>16.7</v>
      </c>
      <c r="CP316" s="443">
        <f t="shared" si="817"/>
        <v>76.7</v>
      </c>
      <c r="CQ316" s="443"/>
      <c r="CR316" s="217">
        <f t="shared" si="818"/>
        <v>0.21465968586387432</v>
      </c>
      <c r="CS316" s="172">
        <f t="shared" si="819"/>
        <v>28.621291448516576</v>
      </c>
      <c r="CT316" s="172">
        <f t="shared" si="820"/>
        <v>4.0248691099476437</v>
      </c>
      <c r="CU316" s="217">
        <f t="shared" si="821"/>
        <v>1.788830715532286</v>
      </c>
      <c r="CV316" s="217">
        <f t="shared" si="822"/>
        <v>3.577661431064572</v>
      </c>
      <c r="CW316" s="217">
        <f t="shared" si="823"/>
        <v>16</v>
      </c>
      <c r="CX316" s="217">
        <f t="shared" si="824"/>
        <v>2.7951219512195125</v>
      </c>
      <c r="CY316" s="217">
        <f t="shared" si="825"/>
        <v>0.55902439024390249</v>
      </c>
      <c r="CZ316" s="217">
        <f t="shared" si="826"/>
        <v>2.0084708631517456</v>
      </c>
      <c r="DA316" s="197">
        <f t="shared" si="827"/>
        <v>350</v>
      </c>
      <c r="DB316" s="443">
        <f t="shared" si="828"/>
        <v>350</v>
      </c>
      <c r="DD316" s="217">
        <f t="shared" si="829"/>
        <v>3.1104488731607378</v>
      </c>
      <c r="DE316" s="173">
        <f t="shared" si="830"/>
        <v>2.23505308251071</v>
      </c>
      <c r="DF316" s="173">
        <f t="shared" si="831"/>
        <v>1.0814250754144243</v>
      </c>
      <c r="DG316" s="173"/>
      <c r="DH316" s="173">
        <f t="shared" si="832"/>
        <v>0.71856287425149712</v>
      </c>
      <c r="DI316" s="545">
        <f t="shared" si="833"/>
        <v>2783.333333333333</v>
      </c>
      <c r="DJ316" s="528">
        <f t="shared" si="834"/>
        <v>0.125748502994012</v>
      </c>
      <c r="DL316" s="173">
        <f t="shared" si="835"/>
        <v>2.9277002188455996</v>
      </c>
      <c r="DM316" s="173">
        <f t="shared" si="836"/>
        <v>2.9277002188455996</v>
      </c>
      <c r="DN316" s="173">
        <f t="shared" si="837"/>
        <v>2.6279260880337771</v>
      </c>
      <c r="DP316" s="545">
        <f t="shared" si="838"/>
        <v>1000</v>
      </c>
      <c r="DQ316" s="460">
        <f t="shared" si="839"/>
        <v>350</v>
      </c>
      <c r="DS316">
        <f t="shared" si="840"/>
        <v>1000</v>
      </c>
      <c r="DT316">
        <f t="shared" si="841"/>
        <v>350</v>
      </c>
      <c r="DV316" s="5">
        <f t="shared" si="870"/>
        <v>2.8571428571428572</v>
      </c>
      <c r="DW316" s="5">
        <f t="shared" si="842"/>
        <v>0.58554004376911994</v>
      </c>
      <c r="DX316" s="5">
        <f t="shared" si="843"/>
        <v>2.2716028133737374</v>
      </c>
      <c r="DY316" s="173">
        <f t="shared" si="844"/>
        <v>0.20493901531919198</v>
      </c>
      <c r="EA316" s="5">
        <f t="shared" si="871"/>
        <v>3.6596252735569998</v>
      </c>
      <c r="EB316" s="5">
        <f t="shared" si="872"/>
        <v>1.8298126367784999</v>
      </c>
      <c r="EC316" s="5">
        <f t="shared" si="873"/>
        <v>0.50480062519416369</v>
      </c>
      <c r="ED316" s="5"/>
      <c r="EE316" s="173">
        <f t="shared" si="874"/>
        <v>0.76520588325568961</v>
      </c>
      <c r="EF316" s="173">
        <f t="shared" si="875"/>
        <v>1.5071837357713682</v>
      </c>
      <c r="EG316" s="173">
        <f t="shared" si="876"/>
        <v>0.37014659393208599</v>
      </c>
      <c r="EH316" s="173"/>
      <c r="EI316" s="528">
        <f t="shared" si="877"/>
        <v>1.1710800875382401E-2</v>
      </c>
      <c r="EJ316" s="528">
        <f t="shared" si="878"/>
        <v>1.4932881351232925</v>
      </c>
      <c r="EK316" s="528">
        <f t="shared" si="879"/>
        <v>4.0250000000000001E-2</v>
      </c>
      <c r="EL316" s="528">
        <f t="shared" si="880"/>
        <v>1.0140631637499999</v>
      </c>
      <c r="EM316">
        <f t="shared" si="881"/>
        <v>2.7E-2</v>
      </c>
      <c r="EN316" s="460">
        <f t="shared" si="882"/>
        <v>67.25</v>
      </c>
      <c r="EP316" s="460">
        <f t="shared" si="883"/>
        <v>2586.3120997486744</v>
      </c>
      <c r="EQ316" s="173">
        <f t="shared" si="884"/>
        <v>0.7</v>
      </c>
      <c r="ER316" s="173">
        <f t="shared" si="845"/>
        <v>0.11093749999999999</v>
      </c>
      <c r="ES316" s="528"/>
      <c r="EU316" s="460">
        <f t="shared" si="885"/>
        <v>810.9375</v>
      </c>
      <c r="EV316" s="528">
        <f t="shared" si="886"/>
        <v>1.7566201313073602E-2</v>
      </c>
      <c r="EW316" s="528">
        <f t="shared" si="887"/>
        <v>6.8148084401212117E-2</v>
      </c>
      <c r="EX316" s="528">
        <f t="shared" si="888"/>
        <v>6.8504250499762278E-4</v>
      </c>
      <c r="EY316" s="528">
        <f t="shared" si="889"/>
        <v>1.6805700832954293</v>
      </c>
      <c r="EZ316" s="528"/>
      <c r="FA316" s="625">
        <f t="shared" si="890"/>
        <v>1.5000000000000001E-2</v>
      </c>
      <c r="FB316" s="460">
        <f t="shared" si="891"/>
        <v>1781.9694115147126</v>
      </c>
      <c r="FC316" s="173">
        <f t="shared" si="892"/>
        <v>5.1792190112633874</v>
      </c>
      <c r="FD316" s="5">
        <f t="shared" si="893"/>
        <v>18</v>
      </c>
      <c r="FE316" s="173">
        <f t="shared" si="894"/>
        <v>0.77655765672058796</v>
      </c>
      <c r="FF316" s="5">
        <f t="shared" si="895"/>
        <v>77.655765672058791</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5.0000000000000001E-4</v>
      </c>
      <c r="G322" s="884">
        <f>F322*Vout</f>
        <v>8.0000000000000002E-3</v>
      </c>
      <c r="M322">
        <f>'Design Converter'!L73</f>
        <v>5.0000000000000001E-4</v>
      </c>
      <c r="N322" s="884">
        <f>M322*Vout2</f>
        <v>4.0000000000000001E-3</v>
      </c>
      <c r="T322">
        <f>Vout*F316+Vout2*G316</f>
        <v>18</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60</v>
      </c>
      <c r="H325">
        <f>15000</f>
        <v>15000</v>
      </c>
      <c r="I325">
        <f>L*0.9</f>
        <v>1.08E-5</v>
      </c>
      <c r="M325" s="885">
        <v>1.9999999999999999E-7</v>
      </c>
      <c r="N325">
        <f>VIN_max</f>
        <v>60</v>
      </c>
      <c r="O325">
        <f>15000</f>
        <v>15000</v>
      </c>
      <c r="P325">
        <f>L*0.9</f>
        <v>1.08E-5</v>
      </c>
    </row>
    <row r="326" spans="5:20">
      <c r="G326" s="76" t="s">
        <v>911</v>
      </c>
      <c r="N326" s="76" t="s">
        <v>911</v>
      </c>
    </row>
    <row r="327" spans="5:20">
      <c r="G327" s="884">
        <f>0.5*(G325/I325*F325)^2*H325*I325</f>
        <v>0.10000000000000002</v>
      </c>
      <c r="N327" s="884">
        <f>0.5*(N325/P325*M325)^2*O325*P325</f>
        <v>0.10000000000000002</v>
      </c>
    </row>
    <row r="328" spans="5:20">
      <c r="E328" s="76" t="s">
        <v>919</v>
      </c>
      <c r="K328" s="76"/>
      <c r="L328" s="76" t="s">
        <v>920</v>
      </c>
    </row>
    <row r="329" spans="5:20">
      <c r="G329" t="str">
        <f>IF(G322+N322&lt;G327, "Yes", IF(G322&lt;G327, "Yes", "No"))</f>
        <v>Yes</v>
      </c>
      <c r="H329">
        <f>(Vout*1.05)^2/(G327-G322)</f>
        <v>3067.8260869565211</v>
      </c>
      <c r="N329" t="str">
        <f>IF(G322+N322&lt;N327, "Yes", IF(N322&lt;N327, "Yes", "No"))</f>
        <v>Yes</v>
      </c>
      <c r="O329">
        <f>(Vout2*1.05)^2/(N327-N322)</f>
        <v>734.99999999999989</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19</v>
      </c>
      <c r="E6" s="443">
        <f t="shared" ref="E6:E37" si="0">(Vout+Vfwd1)*Nps</f>
        <v>16.399999999999999</v>
      </c>
      <c r="F6" s="217">
        <f t="shared" ref="F6:F37" si="1">(Vout+Vfwd1)*Nps/((Vout+Vfwd1)*Nps+D6)</f>
        <v>0.4632768361581921</v>
      </c>
      <c r="G6" s="172">
        <f t="shared" ref="G6:G37" si="2">F6*D6*Isw_max*0.5*Efficiency</f>
        <v>22.005649717514125</v>
      </c>
      <c r="H6" s="217">
        <f t="shared" ref="H6:H37" si="3">G6/Vout</f>
        <v>1.3753531073446328</v>
      </c>
      <c r="I6" s="443">
        <f t="shared" ref="I6:I37" si="4">(Vout+Vfwd1)*Nps+D6</f>
        <v>35.4</v>
      </c>
      <c r="J6" s="172">
        <f t="shared" ref="J6:J37" si="5">MIN(2*Vout*Iout/(Efficiency*D6*F6), 1.35)</f>
        <v>1.35</v>
      </c>
      <c r="K6" s="172">
        <f t="shared" ref="K6:K37" si="6">L*J6/D6*1000000</f>
        <v>0.85263157894736841</v>
      </c>
      <c r="L6" s="172">
        <f t="shared" ref="L6:L37" si="7">L*J6/((Vout+Vfwd1)*Nps)*1000000</f>
        <v>0.98780487804878059</v>
      </c>
      <c r="M6" s="443">
        <f>MIN(1/(K6+L6)*1000, 350)</f>
        <v>350</v>
      </c>
      <c r="N6" s="197">
        <f t="shared" ref="N6:N37" si="8">IF(1/((350000*L)*(1/D6+1/E6))&gt;Isw_min, 350, 0.001/((Isw_min*L)*(1/D6+1/E6)))</f>
        <v>350</v>
      </c>
      <c r="O6" s="217">
        <f t="shared" ref="O6:O37" si="9">1/((N6*1000*L)*(1/D6+1/E6))</f>
        <v>2.0957761635727734</v>
      </c>
      <c r="P6" s="173">
        <f t="shared" ref="P6:P37" si="10">L*O6/E6*1000000</f>
        <v>1.5334947538337369</v>
      </c>
      <c r="Q6" s="173">
        <f t="shared" ref="Q6:Q37" si="11">0.5*P6*O6*Nps*N6/1000</f>
        <v>0.5624258066085126</v>
      </c>
      <c r="R6" s="173">
        <f t="shared" ref="R6:R37" si="12">L*Isw_min/E6*1000000</f>
        <v>0.73170731707317083</v>
      </c>
    </row>
    <row r="7" spans="3:19">
      <c r="C7" s="170">
        <v>1</v>
      </c>
      <c r="D7" s="5">
        <f t="shared" ref="D7:D38" si="13">C7/100*(VIN_max-VIN_min)+VIN_min</f>
        <v>19.41</v>
      </c>
      <c r="E7" s="443">
        <f t="shared" si="0"/>
        <v>16.399999999999999</v>
      </c>
      <c r="F7" s="217">
        <f t="shared" si="1"/>
        <v>0.45797263334264166</v>
      </c>
      <c r="G7" s="172">
        <f t="shared" si="2"/>
        <v>22.223122032951686</v>
      </c>
      <c r="H7" s="217">
        <f t="shared" si="3"/>
        <v>1.3889451270594804</v>
      </c>
      <c r="I7" s="443">
        <f t="shared" si="4"/>
        <v>35.81</v>
      </c>
      <c r="J7" s="172">
        <f t="shared" si="5"/>
        <v>1.35</v>
      </c>
      <c r="K7" s="172">
        <f t="shared" si="6"/>
        <v>0.83462132921174659</v>
      </c>
      <c r="L7" s="172">
        <f t="shared" si="7"/>
        <v>0.98780487804878059</v>
      </c>
      <c r="M7" s="443">
        <f t="shared" ref="M7:M70" si="14">MIN(1/(K7+L7)*1000, 350)</f>
        <v>350</v>
      </c>
      <c r="N7" s="197">
        <f t="shared" si="8"/>
        <v>350</v>
      </c>
      <c r="O7" s="217">
        <f t="shared" si="9"/>
        <v>2.1164878126620654</v>
      </c>
      <c r="P7" s="173">
        <f t="shared" si="10"/>
        <v>1.5486496190210235</v>
      </c>
      <c r="Q7" s="173">
        <f t="shared" si="11"/>
        <v>0.57359715782980569</v>
      </c>
      <c r="R7" s="173">
        <f t="shared" si="12"/>
        <v>0.73170731707317083</v>
      </c>
    </row>
    <row r="8" spans="3:19">
      <c r="C8" s="170">
        <v>2</v>
      </c>
      <c r="D8" s="5">
        <f t="shared" si="13"/>
        <v>19.82</v>
      </c>
      <c r="E8" s="443">
        <f t="shared" si="0"/>
        <v>16.399999999999999</v>
      </c>
      <c r="F8" s="217">
        <f t="shared" si="1"/>
        <v>0.45278851463279951</v>
      </c>
      <c r="G8" s="172">
        <f t="shared" si="2"/>
        <v>22.435670900055218</v>
      </c>
      <c r="H8" s="217">
        <f t="shared" si="3"/>
        <v>1.4022294312534511</v>
      </c>
      <c r="I8" s="443">
        <f t="shared" si="4"/>
        <v>36.22</v>
      </c>
      <c r="J8" s="172">
        <f t="shared" si="5"/>
        <v>1.35</v>
      </c>
      <c r="K8" s="172">
        <f t="shared" si="6"/>
        <v>0.8173562058526741</v>
      </c>
      <c r="L8" s="172">
        <f t="shared" si="7"/>
        <v>0.98780487804878059</v>
      </c>
      <c r="M8" s="443">
        <f t="shared" si="14"/>
        <v>350</v>
      </c>
      <c r="N8" s="197">
        <f t="shared" si="8"/>
        <v>350</v>
      </c>
      <c r="O8" s="217">
        <f t="shared" si="9"/>
        <v>2.1367305619100203</v>
      </c>
      <c r="P8" s="173">
        <f t="shared" si="10"/>
        <v>1.5634613867634297</v>
      </c>
      <c r="Q8" s="173">
        <f t="shared" si="11"/>
        <v>0.58462175230613755</v>
      </c>
      <c r="R8" s="173">
        <f t="shared" si="12"/>
        <v>0.73170731707317083</v>
      </c>
    </row>
    <row r="9" spans="3:19">
      <c r="C9" s="170">
        <v>3</v>
      </c>
      <c r="D9" s="5">
        <f t="shared" si="13"/>
        <v>20.23</v>
      </c>
      <c r="E9" s="443">
        <f t="shared" si="0"/>
        <v>16.399999999999999</v>
      </c>
      <c r="F9" s="217">
        <f t="shared" si="1"/>
        <v>0.44772044772044772</v>
      </c>
      <c r="G9" s="172">
        <f t="shared" si="2"/>
        <v>22.643461643461645</v>
      </c>
      <c r="H9" s="217">
        <f t="shared" si="3"/>
        <v>1.4152163527163528</v>
      </c>
      <c r="I9" s="443">
        <f t="shared" si="4"/>
        <v>36.629999999999995</v>
      </c>
      <c r="J9" s="172">
        <f t="shared" si="5"/>
        <v>1.35</v>
      </c>
      <c r="K9" s="172">
        <f t="shared" si="6"/>
        <v>0.80079090459713298</v>
      </c>
      <c r="L9" s="172">
        <f t="shared" si="7"/>
        <v>0.98780487804878059</v>
      </c>
      <c r="M9" s="443">
        <f t="shared" si="14"/>
        <v>350</v>
      </c>
      <c r="N9" s="197">
        <f t="shared" si="8"/>
        <v>350</v>
      </c>
      <c r="O9" s="217">
        <f t="shared" si="9"/>
        <v>2.1565201565201564</v>
      </c>
      <c r="P9" s="173">
        <f t="shared" si="10"/>
        <v>1.577941577941578</v>
      </c>
      <c r="Q9" s="173">
        <f t="shared" si="11"/>
        <v>0.59550099326239103</v>
      </c>
      <c r="R9" s="173">
        <f t="shared" si="12"/>
        <v>0.73170731707317083</v>
      </c>
    </row>
    <row r="10" spans="3:19">
      <c r="C10" s="170">
        <v>4</v>
      </c>
      <c r="D10" s="5">
        <f t="shared" si="13"/>
        <v>20.64</v>
      </c>
      <c r="E10" s="443">
        <f t="shared" si="0"/>
        <v>16.399999999999999</v>
      </c>
      <c r="F10" s="217">
        <f t="shared" si="1"/>
        <v>0.4427645788336933</v>
      </c>
      <c r="G10" s="172">
        <f t="shared" si="2"/>
        <v>22.846652267818577</v>
      </c>
      <c r="H10" s="217">
        <f t="shared" si="3"/>
        <v>1.4279157667386611</v>
      </c>
      <c r="I10" s="443">
        <f t="shared" si="4"/>
        <v>37.04</v>
      </c>
      <c r="J10" s="172">
        <f t="shared" si="5"/>
        <v>1.35</v>
      </c>
      <c r="K10" s="172">
        <f t="shared" si="6"/>
        <v>0.78488372093023262</v>
      </c>
      <c r="L10" s="172">
        <f t="shared" si="7"/>
        <v>0.98780487804878059</v>
      </c>
      <c r="M10" s="443">
        <f t="shared" si="14"/>
        <v>350</v>
      </c>
      <c r="N10" s="197">
        <f t="shared" si="8"/>
        <v>350</v>
      </c>
      <c r="O10" s="217">
        <f t="shared" si="9"/>
        <v>2.1758716445541499</v>
      </c>
      <c r="P10" s="173">
        <f t="shared" si="10"/>
        <v>1.592101203332305</v>
      </c>
      <c r="Q10" s="173">
        <f t="shared" si="11"/>
        <v>0.60623637612847814</v>
      </c>
      <c r="R10" s="173">
        <f t="shared" si="12"/>
        <v>0.73170731707317083</v>
      </c>
    </row>
    <row r="11" spans="3:19">
      <c r="C11" s="170">
        <v>5</v>
      </c>
      <c r="D11" s="5">
        <f t="shared" si="13"/>
        <v>21.05</v>
      </c>
      <c r="E11" s="443">
        <f t="shared" si="0"/>
        <v>16.399999999999999</v>
      </c>
      <c r="F11" s="217">
        <f t="shared" si="1"/>
        <v>0.43791722296395186</v>
      </c>
      <c r="G11" s="172">
        <f t="shared" si="2"/>
        <v>23.045393858477969</v>
      </c>
      <c r="H11" s="217">
        <f t="shared" si="3"/>
        <v>1.440337116154873</v>
      </c>
      <c r="I11" s="443">
        <f t="shared" si="4"/>
        <v>37.450000000000003</v>
      </c>
      <c r="J11" s="172">
        <f t="shared" si="5"/>
        <v>1.35</v>
      </c>
      <c r="K11" s="172">
        <f t="shared" si="6"/>
        <v>0.76959619952494063</v>
      </c>
      <c r="L11" s="172">
        <f t="shared" si="7"/>
        <v>0.98780487804878059</v>
      </c>
      <c r="M11" s="443">
        <f t="shared" si="14"/>
        <v>350</v>
      </c>
      <c r="N11" s="197">
        <f t="shared" si="8"/>
        <v>350</v>
      </c>
      <c r="O11" s="217">
        <f t="shared" si="9"/>
        <v>2.1947994150931396</v>
      </c>
      <c r="P11" s="173">
        <f t="shared" si="10"/>
        <v>1.6059507915315658</v>
      </c>
      <c r="Q11" s="173">
        <f t="shared" si="11"/>
        <v>0.61682947513632291</v>
      </c>
      <c r="R11" s="173">
        <f t="shared" si="12"/>
        <v>0.73170731707317083</v>
      </c>
    </row>
    <row r="12" spans="3:19">
      <c r="C12" s="170">
        <v>6</v>
      </c>
      <c r="D12" s="5">
        <f t="shared" si="13"/>
        <v>21.46</v>
      </c>
      <c r="E12" s="443">
        <f t="shared" si="0"/>
        <v>16.399999999999999</v>
      </c>
      <c r="F12" s="217">
        <f t="shared" si="1"/>
        <v>0.43317485472794504</v>
      </c>
      <c r="G12" s="172">
        <f t="shared" si="2"/>
        <v>23.23983095615425</v>
      </c>
      <c r="H12" s="217">
        <f t="shared" si="3"/>
        <v>1.4524894347596407</v>
      </c>
      <c r="I12" s="443">
        <f t="shared" si="4"/>
        <v>37.86</v>
      </c>
      <c r="J12" s="172">
        <f t="shared" si="5"/>
        <v>1.35</v>
      </c>
      <c r="K12" s="172">
        <f t="shared" si="6"/>
        <v>0.75489282385834111</v>
      </c>
      <c r="L12" s="172">
        <f t="shared" si="7"/>
        <v>0.98780487804878059</v>
      </c>
      <c r="M12" s="443">
        <f t="shared" si="14"/>
        <v>350</v>
      </c>
      <c r="N12" s="197">
        <f t="shared" si="8"/>
        <v>350</v>
      </c>
      <c r="O12" s="217">
        <f t="shared" si="9"/>
        <v>2.2133172339194527</v>
      </c>
      <c r="P12" s="173">
        <f t="shared" si="10"/>
        <v>1.6195004150630141</v>
      </c>
      <c r="Q12" s="173">
        <f t="shared" si="11"/>
        <v>0.62728193132476828</v>
      </c>
      <c r="R12" s="173">
        <f t="shared" si="12"/>
        <v>0.73170731707317083</v>
      </c>
    </row>
    <row r="13" spans="3:19">
      <c r="C13" s="170">
        <v>7</v>
      </c>
      <c r="D13" s="5">
        <f t="shared" si="13"/>
        <v>21.87</v>
      </c>
      <c r="E13" s="443">
        <f t="shared" si="0"/>
        <v>16.399999999999999</v>
      </c>
      <c r="F13" s="217">
        <f t="shared" si="1"/>
        <v>0.42853409981708912</v>
      </c>
      <c r="G13" s="172">
        <f t="shared" si="2"/>
        <v>23.430101907499349</v>
      </c>
      <c r="H13" s="217">
        <f t="shared" si="3"/>
        <v>1.4643813692187093</v>
      </c>
      <c r="I13" s="443">
        <f t="shared" si="4"/>
        <v>38.269999999999996</v>
      </c>
      <c r="J13" s="172">
        <f t="shared" si="5"/>
        <v>1.35</v>
      </c>
      <c r="K13" s="172">
        <f t="shared" si="6"/>
        <v>0.7407407407407407</v>
      </c>
      <c r="L13" s="172">
        <f t="shared" si="7"/>
        <v>0.98780487804878059</v>
      </c>
      <c r="M13" s="443">
        <f t="shared" si="14"/>
        <v>350</v>
      </c>
      <c r="N13" s="197">
        <f t="shared" si="8"/>
        <v>350</v>
      </c>
      <c r="O13" s="217">
        <f t="shared" si="9"/>
        <v>2.2314382769046994</v>
      </c>
      <c r="P13" s="173">
        <f t="shared" si="10"/>
        <v>1.6327597148083168</v>
      </c>
      <c r="Q13" s="173">
        <f t="shared" si="11"/>
        <v>0.63759544180697381</v>
      </c>
      <c r="R13" s="173">
        <f t="shared" si="12"/>
        <v>0.73170731707317083</v>
      </c>
    </row>
    <row r="14" spans="3:19" s="76" customFormat="1">
      <c r="C14" s="189">
        <v>8</v>
      </c>
      <c r="D14" s="534">
        <f t="shared" si="13"/>
        <v>22.28</v>
      </c>
      <c r="E14" s="535">
        <f t="shared" si="0"/>
        <v>16.399999999999999</v>
      </c>
      <c r="F14" s="329">
        <f t="shared" si="1"/>
        <v>0.42399172699069282</v>
      </c>
      <c r="G14" s="536">
        <f t="shared" si="2"/>
        <v>23.616339193381592</v>
      </c>
      <c r="H14" s="329">
        <f t="shared" si="3"/>
        <v>1.4760211995863495</v>
      </c>
      <c r="I14" s="535">
        <f t="shared" si="4"/>
        <v>38.68</v>
      </c>
      <c r="J14" s="172">
        <f t="shared" si="5"/>
        <v>1.35</v>
      </c>
      <c r="K14" s="536">
        <f t="shared" si="6"/>
        <v>0.72710951526032319</v>
      </c>
      <c r="L14" s="536">
        <f t="shared" si="7"/>
        <v>0.98780487804878059</v>
      </c>
      <c r="M14" s="535">
        <f t="shared" si="14"/>
        <v>350</v>
      </c>
      <c r="N14" s="537">
        <f t="shared" si="8"/>
        <v>350</v>
      </c>
      <c r="O14" s="329">
        <f t="shared" si="9"/>
        <v>2.2491751612744371</v>
      </c>
      <c r="P14" s="173">
        <f t="shared" si="10"/>
        <v>1.6457379228837345</v>
      </c>
      <c r="Q14" s="538">
        <f t="shared" si="11"/>
        <v>0.6477717501705591</v>
      </c>
      <c r="R14" s="173">
        <f t="shared" si="12"/>
        <v>0.73170731707317083</v>
      </c>
    </row>
    <row r="15" spans="3:19">
      <c r="C15" s="170">
        <v>9</v>
      </c>
      <c r="D15" s="5">
        <f t="shared" si="13"/>
        <v>22.69</v>
      </c>
      <c r="E15" s="443">
        <f t="shared" si="0"/>
        <v>16.399999999999999</v>
      </c>
      <c r="F15" s="217">
        <f t="shared" si="1"/>
        <v>0.41954464057303653</v>
      </c>
      <c r="G15" s="172">
        <f t="shared" si="2"/>
        <v>23.798669736505499</v>
      </c>
      <c r="H15" s="217">
        <f t="shared" si="3"/>
        <v>1.4874168585315937</v>
      </c>
      <c r="I15" s="443">
        <f t="shared" si="4"/>
        <v>39.090000000000003</v>
      </c>
      <c r="J15" s="172">
        <f t="shared" si="5"/>
        <v>1.35</v>
      </c>
      <c r="K15" s="172">
        <f t="shared" si="6"/>
        <v>0.71397091229616572</v>
      </c>
      <c r="L15" s="172">
        <f t="shared" si="7"/>
        <v>0.98780487804878059</v>
      </c>
      <c r="M15" s="443">
        <f t="shared" si="14"/>
        <v>350</v>
      </c>
      <c r="N15" s="197">
        <f t="shared" si="8"/>
        <v>350</v>
      </c>
      <c r="O15" s="217">
        <f t="shared" si="9"/>
        <v>2.2665399749052857</v>
      </c>
      <c r="P15" s="173">
        <f t="shared" si="10"/>
        <v>1.6584438840770386</v>
      </c>
      <c r="Q15" s="173">
        <f t="shared" si="11"/>
        <v>0.65781263789461419</v>
      </c>
      <c r="R15" s="173">
        <f t="shared" si="12"/>
        <v>0.73170731707317083</v>
      </c>
    </row>
    <row r="16" spans="3:19">
      <c r="C16" s="170">
        <v>10</v>
      </c>
      <c r="D16" s="5">
        <f t="shared" si="13"/>
        <v>23.1</v>
      </c>
      <c r="E16" s="443">
        <f t="shared" si="0"/>
        <v>16.399999999999999</v>
      </c>
      <c r="F16" s="217">
        <f t="shared" si="1"/>
        <v>0.41518987341772146</v>
      </c>
      <c r="G16" s="172">
        <f t="shared" si="2"/>
        <v>23.977215189873419</v>
      </c>
      <c r="H16" s="217">
        <f t="shared" si="3"/>
        <v>1.4985759493670887</v>
      </c>
      <c r="I16" s="443">
        <f t="shared" si="4"/>
        <v>39.5</v>
      </c>
      <c r="J16" s="172">
        <f t="shared" si="5"/>
        <v>1.35</v>
      </c>
      <c r="K16" s="172">
        <f t="shared" si="6"/>
        <v>0.70129870129870131</v>
      </c>
      <c r="L16" s="172">
        <f t="shared" si="7"/>
        <v>0.98780487804878059</v>
      </c>
      <c r="M16" s="443">
        <f t="shared" si="14"/>
        <v>350</v>
      </c>
      <c r="N16" s="197">
        <f t="shared" si="8"/>
        <v>350</v>
      </c>
      <c r="O16" s="217">
        <f t="shared" si="9"/>
        <v>2.2835443037974681</v>
      </c>
      <c r="P16" s="173">
        <f t="shared" si="10"/>
        <v>1.6708860759493671</v>
      </c>
      <c r="Q16" s="173">
        <f t="shared" si="11"/>
        <v>0.66771991668001918</v>
      </c>
      <c r="R16" s="173">
        <f t="shared" si="12"/>
        <v>0.73170731707317083</v>
      </c>
    </row>
    <row r="17" spans="3:18">
      <c r="C17" s="170">
        <v>11</v>
      </c>
      <c r="D17" s="5">
        <f t="shared" si="13"/>
        <v>23.509999999999998</v>
      </c>
      <c r="E17" s="443">
        <f t="shared" si="0"/>
        <v>16.399999999999999</v>
      </c>
      <c r="F17" s="217">
        <f t="shared" si="1"/>
        <v>0.41092458030568779</v>
      </c>
      <c r="G17" s="172">
        <f t="shared" si="2"/>
        <v>24.152092207466801</v>
      </c>
      <c r="H17" s="217">
        <f t="shared" si="3"/>
        <v>1.509505762966675</v>
      </c>
      <c r="I17" s="443">
        <f t="shared" si="4"/>
        <v>39.909999999999997</v>
      </c>
      <c r="J17" s="172">
        <f t="shared" si="5"/>
        <v>1.35</v>
      </c>
      <c r="K17" s="172">
        <f t="shared" si="6"/>
        <v>0.68906848149723532</v>
      </c>
      <c r="L17" s="172">
        <f t="shared" si="7"/>
        <v>0.98780487804878059</v>
      </c>
      <c r="M17" s="443">
        <f t="shared" si="14"/>
        <v>350</v>
      </c>
      <c r="N17" s="197">
        <f t="shared" si="8"/>
        <v>350</v>
      </c>
      <c r="O17" s="217">
        <f t="shared" si="9"/>
        <v>2.3001992578539809</v>
      </c>
      <c r="P17" s="173">
        <f t="shared" si="10"/>
        <v>1.683072627698035</v>
      </c>
      <c r="Q17" s="173">
        <f t="shared" si="11"/>
        <v>0.67749542160043974</v>
      </c>
      <c r="R17" s="173">
        <f t="shared" si="12"/>
        <v>0.73170731707317083</v>
      </c>
    </row>
    <row r="18" spans="3:18">
      <c r="C18" s="170">
        <v>12</v>
      </c>
      <c r="D18" s="5">
        <f t="shared" si="13"/>
        <v>23.92</v>
      </c>
      <c r="E18" s="443">
        <f t="shared" si="0"/>
        <v>16.399999999999999</v>
      </c>
      <c r="F18" s="217">
        <f t="shared" si="1"/>
        <v>0.40674603174603169</v>
      </c>
      <c r="G18" s="172">
        <f t="shared" si="2"/>
        <v>24.323412698412699</v>
      </c>
      <c r="H18" s="217">
        <f t="shared" si="3"/>
        <v>1.5202132936507937</v>
      </c>
      <c r="I18" s="443">
        <f t="shared" si="4"/>
        <v>40.32</v>
      </c>
      <c r="J18" s="172">
        <f t="shared" si="5"/>
        <v>1.35</v>
      </c>
      <c r="K18" s="172">
        <f t="shared" si="6"/>
        <v>0.67725752508361203</v>
      </c>
      <c r="L18" s="172">
        <f t="shared" si="7"/>
        <v>0.98780487804878059</v>
      </c>
      <c r="M18" s="443">
        <f t="shared" si="14"/>
        <v>350</v>
      </c>
      <c r="N18" s="197">
        <f t="shared" si="8"/>
        <v>350</v>
      </c>
      <c r="O18" s="217">
        <f t="shared" si="9"/>
        <v>2.3165154950869238</v>
      </c>
      <c r="P18" s="173">
        <f t="shared" si="10"/>
        <v>1.695011337868481</v>
      </c>
      <c r="Q18" s="173">
        <f t="shared" si="11"/>
        <v>0.68714100499106179</v>
      </c>
      <c r="R18" s="173">
        <f t="shared" si="12"/>
        <v>0.73170731707317083</v>
      </c>
    </row>
    <row r="19" spans="3:18">
      <c r="C19" s="170">
        <v>13</v>
      </c>
      <c r="D19" s="5">
        <f t="shared" si="13"/>
        <v>24.33</v>
      </c>
      <c r="E19" s="443">
        <f t="shared" si="0"/>
        <v>16.399999999999999</v>
      </c>
      <c r="F19" s="217">
        <f t="shared" si="1"/>
        <v>0.40265160815123985</v>
      </c>
      <c r="G19" s="172">
        <f t="shared" si="2"/>
        <v>24.491284065799164</v>
      </c>
      <c r="H19" s="217">
        <f t="shared" si="3"/>
        <v>1.5307052541124477</v>
      </c>
      <c r="I19" s="443">
        <f t="shared" si="4"/>
        <v>40.729999999999997</v>
      </c>
      <c r="J19" s="172">
        <f t="shared" si="5"/>
        <v>1.35</v>
      </c>
      <c r="K19" s="172">
        <f t="shared" si="6"/>
        <v>0.66584463625154144</v>
      </c>
      <c r="L19" s="172">
        <f t="shared" si="7"/>
        <v>0.98780487804878059</v>
      </c>
      <c r="M19" s="443">
        <f t="shared" si="14"/>
        <v>350</v>
      </c>
      <c r="N19" s="197">
        <f t="shared" si="8"/>
        <v>350</v>
      </c>
      <c r="O19" s="217">
        <f t="shared" si="9"/>
        <v>2.3325032443618245</v>
      </c>
      <c r="P19" s="173">
        <f t="shared" si="10"/>
        <v>1.7067096909964572</v>
      </c>
      <c r="Q19" s="173">
        <f t="shared" si="11"/>
        <v>0.69665853100077557</v>
      </c>
      <c r="R19" s="173">
        <f t="shared" si="12"/>
        <v>0.73170731707317083</v>
      </c>
    </row>
    <row r="20" spans="3:18">
      <c r="C20" s="170">
        <v>14</v>
      </c>
      <c r="D20" s="5">
        <f t="shared" si="13"/>
        <v>24.740000000000002</v>
      </c>
      <c r="E20" s="443">
        <f t="shared" si="0"/>
        <v>16.399999999999999</v>
      </c>
      <c r="F20" s="217">
        <f t="shared" si="1"/>
        <v>0.39863879436071947</v>
      </c>
      <c r="G20" s="172">
        <f t="shared" si="2"/>
        <v>24.655809431210503</v>
      </c>
      <c r="H20" s="217">
        <f t="shared" si="3"/>
        <v>1.5409880894506565</v>
      </c>
      <c r="I20" s="443">
        <f t="shared" si="4"/>
        <v>41.14</v>
      </c>
      <c r="J20" s="172">
        <f t="shared" si="5"/>
        <v>1.35</v>
      </c>
      <c r="K20" s="172">
        <f t="shared" si="6"/>
        <v>0.65481002425222312</v>
      </c>
      <c r="L20" s="172">
        <f t="shared" si="7"/>
        <v>0.98780487804878059</v>
      </c>
      <c r="M20" s="443">
        <f t="shared" si="14"/>
        <v>350</v>
      </c>
      <c r="N20" s="197">
        <f t="shared" si="8"/>
        <v>350</v>
      </c>
      <c r="O20" s="217">
        <f t="shared" si="9"/>
        <v>2.3481723267819521</v>
      </c>
      <c r="P20" s="173">
        <f t="shared" si="10"/>
        <v>1.718174873255087</v>
      </c>
      <c r="Q20" s="173">
        <f t="shared" si="11"/>
        <v>0.70604987074119463</v>
      </c>
      <c r="R20" s="173">
        <f t="shared" si="12"/>
        <v>0.73170731707317083</v>
      </c>
    </row>
    <row r="21" spans="3:18">
      <c r="C21" s="170">
        <v>15</v>
      </c>
      <c r="D21" s="5">
        <f t="shared" si="13"/>
        <v>25.15</v>
      </c>
      <c r="E21" s="443">
        <f t="shared" si="0"/>
        <v>16.399999999999999</v>
      </c>
      <c r="F21" s="217">
        <f t="shared" si="1"/>
        <v>0.39470517448856796</v>
      </c>
      <c r="G21" s="172">
        <f t="shared" si="2"/>
        <v>24.817087845968707</v>
      </c>
      <c r="H21" s="217">
        <f t="shared" si="3"/>
        <v>1.5510679903730442</v>
      </c>
      <c r="I21" s="443">
        <f t="shared" si="4"/>
        <v>41.55</v>
      </c>
      <c r="J21" s="172">
        <f t="shared" si="5"/>
        <v>1.35</v>
      </c>
      <c r="K21" s="172">
        <f t="shared" si="6"/>
        <v>0.64413518886679921</v>
      </c>
      <c r="L21" s="172">
        <f t="shared" si="7"/>
        <v>0.98780487804878059</v>
      </c>
      <c r="M21" s="443">
        <f t="shared" si="14"/>
        <v>350</v>
      </c>
      <c r="N21" s="197">
        <f t="shared" si="8"/>
        <v>350</v>
      </c>
      <c r="O21" s="217">
        <f t="shared" si="9"/>
        <v>2.3635321758065437</v>
      </c>
      <c r="P21" s="173">
        <f t="shared" si="10"/>
        <v>1.72941378717552</v>
      </c>
      <c r="Q21" s="173">
        <f t="shared" si="11"/>
        <v>0.71531689797273856</v>
      </c>
      <c r="R21" s="173">
        <f t="shared" si="12"/>
        <v>0.73170731707317083</v>
      </c>
    </row>
    <row r="22" spans="3:18" s="3" customFormat="1" ht="13">
      <c r="C22" s="333">
        <v>16</v>
      </c>
      <c r="D22" s="530">
        <f t="shared" si="13"/>
        <v>25.560000000000002</v>
      </c>
      <c r="E22" s="531">
        <f t="shared" si="0"/>
        <v>16.399999999999999</v>
      </c>
      <c r="F22" s="532">
        <f t="shared" si="1"/>
        <v>0.39084842707340323</v>
      </c>
      <c r="G22" s="332">
        <f t="shared" si="2"/>
        <v>24.975214489990467</v>
      </c>
      <c r="H22" s="532">
        <f t="shared" si="3"/>
        <v>1.5609509056244042</v>
      </c>
      <c r="I22" s="531">
        <f t="shared" si="4"/>
        <v>41.96</v>
      </c>
      <c r="J22" s="172">
        <f t="shared" si="5"/>
        <v>1.35</v>
      </c>
      <c r="K22" s="332">
        <f t="shared" si="6"/>
        <v>0.63380281690140849</v>
      </c>
      <c r="L22" s="332">
        <f t="shared" si="7"/>
        <v>0.98780487804878059</v>
      </c>
      <c r="M22" s="531">
        <f t="shared" si="14"/>
        <v>350</v>
      </c>
      <c r="N22" s="335">
        <f t="shared" si="8"/>
        <v>350</v>
      </c>
      <c r="O22" s="532">
        <f t="shared" si="9"/>
        <v>2.3785918561895683</v>
      </c>
      <c r="P22" s="173">
        <f t="shared" si="10"/>
        <v>1.7404330655045623</v>
      </c>
      <c r="Q22" s="539">
        <f t="shared" si="11"/>
        <v>0.72446148527413456</v>
      </c>
      <c r="R22" s="173">
        <f t="shared" si="12"/>
        <v>0.73170731707317083</v>
      </c>
    </row>
    <row r="23" spans="3:18">
      <c r="C23" s="170">
        <v>17</v>
      </c>
      <c r="D23" s="5">
        <f t="shared" si="13"/>
        <v>25.97</v>
      </c>
      <c r="E23" s="443">
        <f t="shared" si="0"/>
        <v>16.399999999999999</v>
      </c>
      <c r="F23" s="217">
        <f t="shared" si="1"/>
        <v>0.38706632050979467</v>
      </c>
      <c r="G23" s="172">
        <f t="shared" si="2"/>
        <v>25.130280859098416</v>
      </c>
      <c r="H23" s="217">
        <f t="shared" si="3"/>
        <v>1.570642553693651</v>
      </c>
      <c r="I23" s="443">
        <f t="shared" si="4"/>
        <v>42.37</v>
      </c>
      <c r="J23" s="172">
        <f t="shared" si="5"/>
        <v>1.35</v>
      </c>
      <c r="K23" s="172">
        <f t="shared" si="6"/>
        <v>0.62379668848671554</v>
      </c>
      <c r="L23" s="172">
        <f t="shared" si="7"/>
        <v>0.98780487804878059</v>
      </c>
      <c r="M23" s="443">
        <f t="shared" si="14"/>
        <v>350</v>
      </c>
      <c r="N23" s="197">
        <f t="shared" si="8"/>
        <v>350</v>
      </c>
      <c r="O23" s="217">
        <f t="shared" si="9"/>
        <v>2.3933600818188969</v>
      </c>
      <c r="P23" s="173">
        <f t="shared" si="10"/>
        <v>1.7512390842577297</v>
      </c>
      <c r="Q23" s="173">
        <f t="shared" si="11"/>
        <v>0.73348550064711759</v>
      </c>
      <c r="R23" s="173">
        <f t="shared" si="12"/>
        <v>0.73170731707317083</v>
      </c>
    </row>
    <row r="24" spans="3:18">
      <c r="C24" s="170">
        <v>18</v>
      </c>
      <c r="D24" s="5">
        <f t="shared" si="13"/>
        <v>26.38</v>
      </c>
      <c r="E24" s="443">
        <f t="shared" si="0"/>
        <v>16.399999999999999</v>
      </c>
      <c r="F24" s="217">
        <f t="shared" si="1"/>
        <v>0.38335670874240296</v>
      </c>
      <c r="G24" s="172">
        <f t="shared" si="2"/>
        <v>25.282374941561475</v>
      </c>
      <c r="H24" s="217">
        <f t="shared" si="3"/>
        <v>1.5801484338475922</v>
      </c>
      <c r="I24" s="443">
        <f t="shared" si="4"/>
        <v>42.78</v>
      </c>
      <c r="J24" s="172">
        <f t="shared" si="5"/>
        <v>1.35</v>
      </c>
      <c r="K24" s="172">
        <f t="shared" si="6"/>
        <v>0.61410159211523885</v>
      </c>
      <c r="L24" s="172">
        <f t="shared" si="7"/>
        <v>0.98780487804878059</v>
      </c>
      <c r="M24" s="443">
        <f t="shared" si="14"/>
        <v>350</v>
      </c>
      <c r="N24" s="197">
        <f t="shared" si="8"/>
        <v>350</v>
      </c>
      <c r="O24" s="217">
        <f t="shared" si="9"/>
        <v>2.4078452325296644</v>
      </c>
      <c r="P24" s="173">
        <f t="shared" si="10"/>
        <v>1.7618379750217059</v>
      </c>
      <c r="Q24" s="173">
        <f t="shared" si="11"/>
        <v>0.74239080451300321</v>
      </c>
      <c r="R24" s="173">
        <f t="shared" si="12"/>
        <v>0.73170731707317083</v>
      </c>
    </row>
    <row r="25" spans="3:18">
      <c r="C25" s="170">
        <v>19</v>
      </c>
      <c r="D25" s="5">
        <f t="shared" si="13"/>
        <v>26.79</v>
      </c>
      <c r="E25" s="443">
        <f t="shared" si="0"/>
        <v>16.399999999999999</v>
      </c>
      <c r="F25" s="217">
        <f t="shared" si="1"/>
        <v>0.37971752720537161</v>
      </c>
      <c r="G25" s="172">
        <f t="shared" si="2"/>
        <v>25.431581384579761</v>
      </c>
      <c r="H25" s="217">
        <f t="shared" si="3"/>
        <v>1.5894738365362351</v>
      </c>
      <c r="I25" s="443">
        <f t="shared" si="4"/>
        <v>43.19</v>
      </c>
      <c r="J25" s="172">
        <f t="shared" si="5"/>
        <v>1.35</v>
      </c>
      <c r="K25" s="172">
        <f t="shared" si="6"/>
        <v>0.60470324748040316</v>
      </c>
      <c r="L25" s="172">
        <f t="shared" si="7"/>
        <v>0.98780487804878059</v>
      </c>
      <c r="M25" s="443">
        <f t="shared" si="14"/>
        <v>350</v>
      </c>
      <c r="N25" s="197">
        <f t="shared" si="8"/>
        <v>350</v>
      </c>
      <c r="O25" s="217">
        <f t="shared" si="9"/>
        <v>2.4220553699599772</v>
      </c>
      <c r="P25" s="173">
        <f t="shared" si="10"/>
        <v>1.772235636556081</v>
      </c>
      <c r="Q25" s="173">
        <f t="shared" si="11"/>
        <v>0.75117924706214145</v>
      </c>
      <c r="R25" s="173">
        <f t="shared" si="12"/>
        <v>0.73170731707317083</v>
      </c>
    </row>
    <row r="26" spans="3:18">
      <c r="C26" s="170">
        <v>20</v>
      </c>
      <c r="D26" s="5">
        <f t="shared" si="13"/>
        <v>27.200000000000003</v>
      </c>
      <c r="E26" s="443">
        <f t="shared" si="0"/>
        <v>16.399999999999999</v>
      </c>
      <c r="F26" s="217">
        <f t="shared" si="1"/>
        <v>0.37614678899082565</v>
      </c>
      <c r="G26" s="172">
        <f t="shared" si="2"/>
        <v>25.577981651376149</v>
      </c>
      <c r="H26" s="217">
        <f t="shared" si="3"/>
        <v>1.5986238532110093</v>
      </c>
      <c r="I26" s="443">
        <f t="shared" si="4"/>
        <v>43.6</v>
      </c>
      <c r="J26" s="172">
        <f t="shared" si="5"/>
        <v>1.35</v>
      </c>
      <c r="K26" s="172">
        <f t="shared" si="6"/>
        <v>0.59558823529411764</v>
      </c>
      <c r="L26" s="172">
        <f t="shared" si="7"/>
        <v>0.98780487804878059</v>
      </c>
      <c r="M26" s="443">
        <f t="shared" si="14"/>
        <v>350</v>
      </c>
      <c r="N26" s="197">
        <f t="shared" si="8"/>
        <v>350</v>
      </c>
      <c r="O26" s="217">
        <f t="shared" si="9"/>
        <v>2.4359982525120136</v>
      </c>
      <c r="P26" s="173">
        <f t="shared" si="10"/>
        <v>1.7824377457404978</v>
      </c>
      <c r="Q26" s="173">
        <f t="shared" si="11"/>
        <v>0.75985266592117851</v>
      </c>
      <c r="R26" s="173">
        <f t="shared" si="12"/>
        <v>0.73170731707317083</v>
      </c>
    </row>
    <row r="27" spans="3:18">
      <c r="C27" s="170">
        <v>21</v>
      </c>
      <c r="D27" s="5">
        <f t="shared" si="13"/>
        <v>27.61</v>
      </c>
      <c r="E27" s="443">
        <f t="shared" si="0"/>
        <v>16.399999999999999</v>
      </c>
      <c r="F27" s="217">
        <f t="shared" si="1"/>
        <v>0.37264258123153826</v>
      </c>
      <c r="G27" s="172">
        <f t="shared" si="2"/>
        <v>25.721654169506927</v>
      </c>
      <c r="H27" s="217">
        <f t="shared" si="3"/>
        <v>1.6076033855941829</v>
      </c>
      <c r="I27" s="443">
        <f t="shared" si="4"/>
        <v>44.01</v>
      </c>
      <c r="J27" s="172">
        <f t="shared" si="5"/>
        <v>1.35</v>
      </c>
      <c r="K27" s="172">
        <f t="shared" si="6"/>
        <v>0.58674393335747921</v>
      </c>
      <c r="L27" s="172">
        <f t="shared" si="7"/>
        <v>0.98780487804878059</v>
      </c>
      <c r="M27" s="443">
        <f t="shared" si="14"/>
        <v>350</v>
      </c>
      <c r="N27" s="197">
        <f t="shared" si="8"/>
        <v>350</v>
      </c>
      <c r="O27" s="217">
        <f t="shared" si="9"/>
        <v>2.4496813494768501</v>
      </c>
      <c r="P27" s="173">
        <f t="shared" si="10"/>
        <v>1.7924497679098903</v>
      </c>
      <c r="Q27" s="173">
        <f t="shared" si="11"/>
        <v>0.7684128841065192</v>
      </c>
      <c r="R27" s="173">
        <f t="shared" si="12"/>
        <v>0.73170731707317083</v>
      </c>
    </row>
    <row r="28" spans="3:18">
      <c r="C28" s="170">
        <v>22</v>
      </c>
      <c r="D28" s="5">
        <f t="shared" si="13"/>
        <v>28.02</v>
      </c>
      <c r="E28" s="443">
        <f t="shared" si="0"/>
        <v>16.399999999999999</v>
      </c>
      <c r="F28" s="217">
        <f t="shared" si="1"/>
        <v>0.36920306168392614</v>
      </c>
      <c r="G28" s="172">
        <f t="shared" si="2"/>
        <v>25.862674470959025</v>
      </c>
      <c r="H28" s="217">
        <f t="shared" si="3"/>
        <v>1.6164171544349391</v>
      </c>
      <c r="I28" s="443">
        <f t="shared" si="4"/>
        <v>44.42</v>
      </c>
      <c r="J28" s="172">
        <f t="shared" si="5"/>
        <v>1.35</v>
      </c>
      <c r="K28" s="172">
        <f t="shared" si="6"/>
        <v>0.57815845824411138</v>
      </c>
      <c r="L28" s="172">
        <f t="shared" si="7"/>
        <v>0.98780487804878059</v>
      </c>
      <c r="M28" s="443">
        <f t="shared" si="14"/>
        <v>350</v>
      </c>
      <c r="N28" s="197">
        <f t="shared" si="8"/>
        <v>350</v>
      </c>
      <c r="O28" s="217">
        <f t="shared" si="9"/>
        <v>2.4631118543770496</v>
      </c>
      <c r="P28" s="173">
        <f t="shared" si="10"/>
        <v>1.8022769666173535</v>
      </c>
      <c r="Q28" s="173">
        <f t="shared" si="11"/>
        <v>0.7768617082355348</v>
      </c>
      <c r="R28" s="173">
        <f t="shared" si="12"/>
        <v>0.73170731707317083</v>
      </c>
    </row>
    <row r="29" spans="3:18">
      <c r="C29" s="170">
        <v>23</v>
      </c>
      <c r="D29" s="5">
        <f t="shared" si="13"/>
        <v>28.43</v>
      </c>
      <c r="E29" s="443">
        <f t="shared" si="0"/>
        <v>16.399999999999999</v>
      </c>
      <c r="F29" s="217">
        <f t="shared" si="1"/>
        <v>0.36582645549855008</v>
      </c>
      <c r="G29" s="172">
        <f t="shared" si="2"/>
        <v>26.001115324559446</v>
      </c>
      <c r="H29" s="217">
        <f t="shared" si="3"/>
        <v>1.6250697077849654</v>
      </c>
      <c r="I29" s="443">
        <f t="shared" si="4"/>
        <v>44.83</v>
      </c>
      <c r="J29" s="172">
        <f t="shared" si="5"/>
        <v>1.35</v>
      </c>
      <c r="K29" s="172">
        <f t="shared" si="6"/>
        <v>0.56982061202954626</v>
      </c>
      <c r="L29" s="172">
        <f t="shared" si="7"/>
        <v>0.98780487804878059</v>
      </c>
      <c r="M29" s="443">
        <f t="shared" si="14"/>
        <v>350</v>
      </c>
      <c r="N29" s="197">
        <f t="shared" si="8"/>
        <v>350</v>
      </c>
      <c r="O29" s="217">
        <f t="shared" si="9"/>
        <v>2.4762966975770899</v>
      </c>
      <c r="P29" s="173">
        <f t="shared" si="10"/>
        <v>1.8119244128612855</v>
      </c>
      <c r="Q29" s="173">
        <f t="shared" si="11"/>
        <v>0.78520092696984911</v>
      </c>
      <c r="R29" s="173">
        <f t="shared" si="12"/>
        <v>0.73170731707317083</v>
      </c>
    </row>
    <row r="30" spans="3:18">
      <c r="C30" s="170">
        <v>24</v>
      </c>
      <c r="D30" s="5">
        <f t="shared" si="13"/>
        <v>28.84</v>
      </c>
      <c r="E30" s="443">
        <f t="shared" si="0"/>
        <v>16.399999999999999</v>
      </c>
      <c r="F30" s="217">
        <f t="shared" si="1"/>
        <v>0.36251105216622459</v>
      </c>
      <c r="G30" s="172">
        <f t="shared" si="2"/>
        <v>26.137046861184793</v>
      </c>
      <c r="H30" s="217">
        <f t="shared" si="3"/>
        <v>1.6335654288240495</v>
      </c>
      <c r="I30" s="443">
        <f t="shared" si="4"/>
        <v>45.239999999999995</v>
      </c>
      <c r="J30" s="172">
        <f t="shared" si="5"/>
        <v>1.35</v>
      </c>
      <c r="K30" s="172">
        <f t="shared" si="6"/>
        <v>0.56171983356449373</v>
      </c>
      <c r="L30" s="172">
        <f t="shared" si="7"/>
        <v>0.98780487804878059</v>
      </c>
      <c r="M30" s="443">
        <f t="shared" si="14"/>
        <v>350</v>
      </c>
      <c r="N30" s="197">
        <f t="shared" si="8"/>
        <v>350</v>
      </c>
      <c r="O30" s="217">
        <f t="shared" si="9"/>
        <v>2.4892425582080753</v>
      </c>
      <c r="P30" s="173">
        <f t="shared" si="10"/>
        <v>1.821396993810787</v>
      </c>
      <c r="Q30" s="173">
        <f t="shared" si="11"/>
        <v>0.79343230966756073</v>
      </c>
      <c r="R30" s="173">
        <f t="shared" si="12"/>
        <v>0.73170731707317083</v>
      </c>
    </row>
    <row r="31" spans="3:18">
      <c r="C31" s="170">
        <v>25</v>
      </c>
      <c r="D31" s="5">
        <f t="shared" si="13"/>
        <v>29.25</v>
      </c>
      <c r="E31" s="443">
        <f t="shared" si="0"/>
        <v>16.399999999999999</v>
      </c>
      <c r="F31" s="217">
        <f t="shared" si="1"/>
        <v>0.35925520262869659</v>
      </c>
      <c r="G31" s="172">
        <f t="shared" si="2"/>
        <v>26.270536692223438</v>
      </c>
      <c r="H31" s="217">
        <f t="shared" si="3"/>
        <v>1.6419085432639648</v>
      </c>
      <c r="I31" s="443">
        <f t="shared" si="4"/>
        <v>45.65</v>
      </c>
      <c r="J31" s="172">
        <f t="shared" si="5"/>
        <v>1.35</v>
      </c>
      <c r="K31" s="172">
        <f t="shared" si="6"/>
        <v>0.55384615384615388</v>
      </c>
      <c r="L31" s="172">
        <f t="shared" si="7"/>
        <v>0.98780487804878059</v>
      </c>
      <c r="M31" s="443">
        <f t="shared" si="14"/>
        <v>350</v>
      </c>
      <c r="N31" s="197">
        <f t="shared" si="8"/>
        <v>350</v>
      </c>
      <c r="O31" s="217">
        <f t="shared" si="9"/>
        <v>2.5019558754498505</v>
      </c>
      <c r="P31" s="173">
        <f t="shared" si="10"/>
        <v>1.8306994210608662</v>
      </c>
      <c r="Q31" s="173">
        <f t="shared" si="11"/>
        <v>0.80155760522352792</v>
      </c>
      <c r="R31" s="173">
        <f t="shared" si="12"/>
        <v>0.73170731707317083</v>
      </c>
    </row>
    <row r="32" spans="3:18">
      <c r="C32" s="170">
        <v>26</v>
      </c>
      <c r="D32" s="5">
        <f t="shared" si="13"/>
        <v>29.66</v>
      </c>
      <c r="E32" s="443">
        <f t="shared" si="0"/>
        <v>16.399999999999999</v>
      </c>
      <c r="F32" s="217">
        <f t="shared" si="1"/>
        <v>0.3560573165436387</v>
      </c>
      <c r="G32" s="172">
        <f t="shared" si="2"/>
        <v>26.401650021710811</v>
      </c>
      <c r="H32" s="217">
        <f t="shared" si="3"/>
        <v>1.6501031263569257</v>
      </c>
      <c r="I32" s="443">
        <f t="shared" si="4"/>
        <v>46.06</v>
      </c>
      <c r="J32" s="172">
        <f t="shared" si="5"/>
        <v>1.35</v>
      </c>
      <c r="K32" s="172">
        <f t="shared" si="6"/>
        <v>0.54619015509103175</v>
      </c>
      <c r="L32" s="172">
        <f t="shared" si="7"/>
        <v>0.98780487804878059</v>
      </c>
      <c r="M32" s="443">
        <f t="shared" si="14"/>
        <v>350</v>
      </c>
      <c r="N32" s="197">
        <f t="shared" si="8"/>
        <v>350</v>
      </c>
      <c r="O32" s="217">
        <f t="shared" si="9"/>
        <v>2.5144428592105532</v>
      </c>
      <c r="P32" s="173">
        <f t="shared" si="10"/>
        <v>1.8398362384467464</v>
      </c>
      <c r="Q32" s="173">
        <f t="shared" si="11"/>
        <v>0.80957854107886451</v>
      </c>
      <c r="R32" s="173">
        <f t="shared" si="12"/>
        <v>0.73170731707317083</v>
      </c>
    </row>
    <row r="33" spans="3:18">
      <c r="C33" s="170">
        <v>27</v>
      </c>
      <c r="D33" s="5">
        <f t="shared" si="13"/>
        <v>30.07</v>
      </c>
      <c r="E33" s="443">
        <f t="shared" si="0"/>
        <v>16.399999999999999</v>
      </c>
      <c r="F33" s="217">
        <f t="shared" si="1"/>
        <v>0.35291585969442651</v>
      </c>
      <c r="G33" s="172">
        <f t="shared" si="2"/>
        <v>26.530449752528511</v>
      </c>
      <c r="H33" s="217">
        <f t="shared" si="3"/>
        <v>1.658153109533032</v>
      </c>
      <c r="I33" s="443">
        <f t="shared" si="4"/>
        <v>46.47</v>
      </c>
      <c r="J33" s="172">
        <f t="shared" si="5"/>
        <v>1.35</v>
      </c>
      <c r="K33" s="172">
        <f t="shared" si="6"/>
        <v>0.53874293315596933</v>
      </c>
      <c r="L33" s="172">
        <f t="shared" si="7"/>
        <v>0.98780487804878059</v>
      </c>
      <c r="M33" s="443">
        <f t="shared" si="14"/>
        <v>350</v>
      </c>
      <c r="N33" s="197">
        <f t="shared" si="8"/>
        <v>350</v>
      </c>
      <c r="O33" s="217">
        <f t="shared" si="9"/>
        <v>2.5267095002408104</v>
      </c>
      <c r="P33" s="173">
        <f t="shared" si="10"/>
        <v>1.8488118294444955</v>
      </c>
      <c r="Q33" s="173">
        <f t="shared" si="11"/>
        <v>0.81749682238262489</v>
      </c>
      <c r="R33" s="173">
        <f t="shared" si="12"/>
        <v>0.73170731707317083</v>
      </c>
    </row>
    <row r="34" spans="3:18">
      <c r="C34" s="170">
        <v>28</v>
      </c>
      <c r="D34" s="5">
        <f t="shared" si="13"/>
        <v>30.48</v>
      </c>
      <c r="E34" s="443">
        <f t="shared" si="0"/>
        <v>16.399999999999999</v>
      </c>
      <c r="F34" s="217">
        <f t="shared" si="1"/>
        <v>0.34982935153583616</v>
      </c>
      <c r="G34" s="172">
        <f t="shared" si="2"/>
        <v>26.656996587030719</v>
      </c>
      <c r="H34" s="217">
        <f t="shared" si="3"/>
        <v>1.6660622866894199</v>
      </c>
      <c r="I34" s="443">
        <f t="shared" si="4"/>
        <v>46.879999999999995</v>
      </c>
      <c r="J34" s="172">
        <f t="shared" si="5"/>
        <v>1.35</v>
      </c>
      <c r="K34" s="172">
        <f t="shared" si="6"/>
        <v>0.53149606299212604</v>
      </c>
      <c r="L34" s="172">
        <f t="shared" si="7"/>
        <v>0.98780487804878059</v>
      </c>
      <c r="M34" s="443">
        <f t="shared" si="14"/>
        <v>350</v>
      </c>
      <c r="N34" s="197">
        <f t="shared" si="8"/>
        <v>350</v>
      </c>
      <c r="O34" s="217">
        <f t="shared" si="9"/>
        <v>2.5387615797172107</v>
      </c>
      <c r="P34" s="173">
        <f t="shared" si="10"/>
        <v>1.857630424183325</v>
      </c>
      <c r="Q34" s="173">
        <f t="shared" si="11"/>
        <v>0.82531413129032172</v>
      </c>
      <c r="R34" s="173">
        <f t="shared" si="12"/>
        <v>0.73170731707317083</v>
      </c>
    </row>
    <row r="35" spans="3:18">
      <c r="C35" s="170">
        <v>29</v>
      </c>
      <c r="D35" s="5">
        <f t="shared" si="13"/>
        <v>30.89</v>
      </c>
      <c r="E35" s="443">
        <f t="shared" si="0"/>
        <v>16.399999999999999</v>
      </c>
      <c r="F35" s="217">
        <f t="shared" si="1"/>
        <v>0.34679636286741383</v>
      </c>
      <c r="G35" s="172">
        <f t="shared" si="2"/>
        <v>26.781349122436033</v>
      </c>
      <c r="H35" s="217">
        <f t="shared" si="3"/>
        <v>1.6738343201522521</v>
      </c>
      <c r="I35" s="443">
        <f t="shared" si="4"/>
        <v>47.29</v>
      </c>
      <c r="J35" s="172">
        <f t="shared" si="5"/>
        <v>1.35</v>
      </c>
      <c r="K35" s="172">
        <f t="shared" si="6"/>
        <v>0.52444156685011334</v>
      </c>
      <c r="L35" s="172">
        <f t="shared" si="7"/>
        <v>0.98780487804878059</v>
      </c>
      <c r="M35" s="443">
        <f t="shared" si="14"/>
        <v>350</v>
      </c>
      <c r="N35" s="197">
        <f t="shared" si="8"/>
        <v>350</v>
      </c>
      <c r="O35" s="217">
        <f t="shared" si="9"/>
        <v>2.5506046783272409</v>
      </c>
      <c r="P35" s="173">
        <f t="shared" si="10"/>
        <v>1.8662961060931031</v>
      </c>
      <c r="Q35" s="173">
        <f t="shared" si="11"/>
        <v>0.83303212638537172</v>
      </c>
      <c r="R35" s="173">
        <f t="shared" si="12"/>
        <v>0.73170731707317083</v>
      </c>
    </row>
    <row r="36" spans="3:18">
      <c r="C36" s="170">
        <v>30</v>
      </c>
      <c r="D36" s="5">
        <f t="shared" si="13"/>
        <v>31.299999999999997</v>
      </c>
      <c r="E36" s="443">
        <f t="shared" si="0"/>
        <v>16.399999999999999</v>
      </c>
      <c r="F36" s="217">
        <f t="shared" si="1"/>
        <v>0.34381551362683438</v>
      </c>
      <c r="G36" s="172">
        <f t="shared" si="2"/>
        <v>26.903563941299787</v>
      </c>
      <c r="H36" s="217">
        <f t="shared" si="3"/>
        <v>1.6814727463312367</v>
      </c>
      <c r="I36" s="443">
        <f t="shared" si="4"/>
        <v>47.699999999999996</v>
      </c>
      <c r="J36" s="172">
        <f t="shared" si="5"/>
        <v>1.35</v>
      </c>
      <c r="K36" s="172">
        <f t="shared" si="6"/>
        <v>0.51757188498402562</v>
      </c>
      <c r="L36" s="172">
        <f t="shared" si="7"/>
        <v>0.98780487804878059</v>
      </c>
      <c r="M36" s="443">
        <f t="shared" si="14"/>
        <v>350</v>
      </c>
      <c r="N36" s="197">
        <f t="shared" si="8"/>
        <v>350</v>
      </c>
      <c r="O36" s="217">
        <f t="shared" si="9"/>
        <v>2.5622441848856936</v>
      </c>
      <c r="P36" s="173">
        <f t="shared" si="10"/>
        <v>1.874812818209044</v>
      </c>
      <c r="Q36" s="173">
        <f t="shared" si="11"/>
        <v>0.84065244221092439</v>
      </c>
      <c r="R36" s="173">
        <f t="shared" si="12"/>
        <v>0.73170731707317083</v>
      </c>
    </row>
    <row r="37" spans="3:18">
      <c r="C37" s="170">
        <v>31</v>
      </c>
      <c r="D37" s="5">
        <f t="shared" si="13"/>
        <v>31.71</v>
      </c>
      <c r="E37" s="443">
        <f t="shared" si="0"/>
        <v>16.399999999999999</v>
      </c>
      <c r="F37" s="217">
        <f t="shared" si="1"/>
        <v>0.34088547079609227</v>
      </c>
      <c r="G37" s="172">
        <f t="shared" si="2"/>
        <v>27.023695697360214</v>
      </c>
      <c r="H37" s="217">
        <f t="shared" si="3"/>
        <v>1.6889809810850134</v>
      </c>
      <c r="I37" s="443">
        <f t="shared" si="4"/>
        <v>48.11</v>
      </c>
      <c r="J37" s="172">
        <f t="shared" si="5"/>
        <v>1.35</v>
      </c>
      <c r="K37" s="172">
        <f t="shared" si="6"/>
        <v>0.51087984862819302</v>
      </c>
      <c r="L37" s="172">
        <f t="shared" si="7"/>
        <v>0.98780487804878059</v>
      </c>
      <c r="M37" s="443">
        <f t="shared" si="14"/>
        <v>350</v>
      </c>
      <c r="N37" s="197">
        <f t="shared" si="8"/>
        <v>350</v>
      </c>
      <c r="O37" s="217">
        <f t="shared" si="9"/>
        <v>2.5736853045104962</v>
      </c>
      <c r="P37" s="173">
        <f t="shared" si="10"/>
        <v>1.8831843691540218</v>
      </c>
      <c r="Q37" s="173">
        <f t="shared" si="11"/>
        <v>0.84817668890072573</v>
      </c>
      <c r="R37" s="173">
        <f t="shared" si="12"/>
        <v>0.73170731707317083</v>
      </c>
    </row>
    <row r="38" spans="3:18">
      <c r="C38" s="170">
        <v>32</v>
      </c>
      <c r="D38" s="5">
        <f t="shared" si="13"/>
        <v>32.120000000000005</v>
      </c>
      <c r="E38" s="443">
        <f t="shared" ref="E38:E69" si="15">(Vout+Vfwd1)*Nps</f>
        <v>16.399999999999999</v>
      </c>
      <c r="F38" s="217">
        <f t="shared" ref="F38:F69" si="16">(Vout+Vfwd1)*Nps/((Vout+Vfwd1)*Nps+D38)</f>
        <v>0.33800494641384993</v>
      </c>
      <c r="G38" s="172">
        <f t="shared" ref="G38:G69" si="17">F38*D38*Isw_max*0.5*Efficiency</f>
        <v>27.141797197032155</v>
      </c>
      <c r="H38" s="217">
        <f t="shared" ref="H38:H69" si="18">G38/Vout</f>
        <v>1.6963623248145097</v>
      </c>
      <c r="I38" s="443">
        <f t="shared" ref="I38:I69" si="19">(Vout+Vfwd1)*Nps+D38</f>
        <v>48.52</v>
      </c>
      <c r="J38" s="172">
        <f t="shared" ref="J38:J69" si="20">MIN(2*Vout*Iout/(Efficiency*D38*F38), 1.35)</f>
        <v>1.35</v>
      </c>
      <c r="K38" s="172">
        <f t="shared" ref="K38:K69" si="21">L*J38/D38*1000000</f>
        <v>0.50435865504358646</v>
      </c>
      <c r="L38" s="172">
        <f t="shared" ref="L38:L69" si="22">L*J38/((Vout+Vfwd1)*Nps)*1000000</f>
        <v>0.98780487804878059</v>
      </c>
      <c r="M38" s="443">
        <f t="shared" si="14"/>
        <v>350</v>
      </c>
      <c r="N38" s="197">
        <f t="shared" ref="N38:N69" si="23">IF(1/((350000*L)*(1/D38+1/E38))&gt;Isw_min, 350, 0.001/((Isw_min*L)*(1/D38+1/E38)))</f>
        <v>350</v>
      </c>
      <c r="O38" s="217">
        <f t="shared" ref="O38:O69" si="24">1/((N38*1000*L)*(1/D38+1/E38))</f>
        <v>2.5849330663840142</v>
      </c>
      <c r="P38" s="173">
        <f t="shared" ref="P38:P69" si="25">L*O38/E38*1000000</f>
        <v>1.8914144388175718</v>
      </c>
      <c r="Q38" s="173">
        <f t="shared" ref="Q38:Q69" si="26">0.5*P38*O38*Nps*N38/1000</f>
        <v>0.8556064518987484</v>
      </c>
      <c r="R38" s="173">
        <f t="shared" ref="R38:R69" si="27">L*Isw_min/E38*1000000</f>
        <v>0.73170731707317083</v>
      </c>
    </row>
    <row r="39" spans="3:18">
      <c r="C39" s="170">
        <v>33</v>
      </c>
      <c r="D39" s="5">
        <f t="shared" ref="D39:D70" si="28">C39/100*(VIN_max-VIN_min)+VIN_min</f>
        <v>32.53</v>
      </c>
      <c r="E39" s="443">
        <f t="shared" si="15"/>
        <v>16.399999999999999</v>
      </c>
      <c r="F39" s="217">
        <f t="shared" si="16"/>
        <v>0.33517269568771713</v>
      </c>
      <c r="G39" s="172">
        <f t="shared" si="17"/>
        <v>27.257919476803597</v>
      </c>
      <c r="H39" s="217">
        <f t="shared" si="18"/>
        <v>1.7036199673002248</v>
      </c>
      <c r="I39" s="443">
        <f t="shared" si="19"/>
        <v>48.93</v>
      </c>
      <c r="J39" s="172">
        <f t="shared" si="20"/>
        <v>1.35</v>
      </c>
      <c r="K39" s="172">
        <f t="shared" si="21"/>
        <v>0.49800184445127571</v>
      </c>
      <c r="L39" s="172">
        <f t="shared" si="22"/>
        <v>0.98780487804878059</v>
      </c>
      <c r="M39" s="443">
        <f t="shared" si="14"/>
        <v>350</v>
      </c>
      <c r="N39" s="197">
        <f t="shared" si="23"/>
        <v>350</v>
      </c>
      <c r="O39" s="217">
        <f t="shared" si="24"/>
        <v>2.595992331124152</v>
      </c>
      <c r="P39" s="173">
        <f t="shared" si="25"/>
        <v>1.8995065837493796</v>
      </c>
      <c r="Q39" s="173">
        <f t="shared" si="26"/>
        <v>0.86294329175831452</v>
      </c>
      <c r="R39" s="173">
        <f t="shared" si="27"/>
        <v>0.73170731707317083</v>
      </c>
    </row>
    <row r="40" spans="3:18">
      <c r="C40" s="170">
        <v>34</v>
      </c>
      <c r="D40" s="5">
        <f t="shared" si="28"/>
        <v>32.94</v>
      </c>
      <c r="E40" s="443">
        <f t="shared" si="15"/>
        <v>16.399999999999999</v>
      </c>
      <c r="F40" s="217">
        <f t="shared" si="16"/>
        <v>0.33238751520064858</v>
      </c>
      <c r="G40" s="172">
        <f t="shared" si="17"/>
        <v>27.372111876773406</v>
      </c>
      <c r="H40" s="217">
        <f t="shared" si="18"/>
        <v>1.7107569922983379</v>
      </c>
      <c r="I40" s="443">
        <f t="shared" si="19"/>
        <v>49.339999999999996</v>
      </c>
      <c r="J40" s="172">
        <f t="shared" si="20"/>
        <v>1.35</v>
      </c>
      <c r="K40" s="172">
        <f t="shared" si="21"/>
        <v>0.49180327868852464</v>
      </c>
      <c r="L40" s="172">
        <f t="shared" si="22"/>
        <v>0.98780487804878059</v>
      </c>
      <c r="M40" s="443">
        <f t="shared" si="14"/>
        <v>350</v>
      </c>
      <c r="N40" s="197">
        <f t="shared" si="23"/>
        <v>350</v>
      </c>
      <c r="O40" s="217">
        <f t="shared" si="24"/>
        <v>2.6068677977879435</v>
      </c>
      <c r="P40" s="173">
        <f t="shared" si="25"/>
        <v>1.9074642422838615</v>
      </c>
      <c r="Q40" s="173">
        <f t="shared" si="26"/>
        <v>0.87018874401231117</v>
      </c>
      <c r="R40" s="173">
        <f t="shared" si="27"/>
        <v>0.73170731707317083</v>
      </c>
    </row>
    <row r="41" spans="3:18">
      <c r="C41" s="170">
        <v>35</v>
      </c>
      <c r="D41" s="5">
        <f t="shared" si="28"/>
        <v>33.35</v>
      </c>
      <c r="E41" s="443">
        <f t="shared" si="15"/>
        <v>16.399999999999999</v>
      </c>
      <c r="F41" s="217">
        <f t="shared" si="16"/>
        <v>0.32964824120603015</v>
      </c>
      <c r="G41" s="172">
        <f t="shared" si="17"/>
        <v>27.484422110552767</v>
      </c>
      <c r="H41" s="217">
        <f t="shared" si="18"/>
        <v>1.717776381909548</v>
      </c>
      <c r="I41" s="443">
        <f t="shared" si="19"/>
        <v>49.75</v>
      </c>
      <c r="J41" s="172">
        <f t="shared" si="20"/>
        <v>1.35</v>
      </c>
      <c r="K41" s="172">
        <f t="shared" si="21"/>
        <v>0.48575712143928035</v>
      </c>
      <c r="L41" s="172">
        <f t="shared" si="22"/>
        <v>0.98780487804878059</v>
      </c>
      <c r="M41" s="443">
        <f t="shared" si="14"/>
        <v>350</v>
      </c>
      <c r="N41" s="197">
        <f t="shared" si="23"/>
        <v>350</v>
      </c>
      <c r="O41" s="217">
        <f t="shared" si="24"/>
        <v>2.6175640105288345</v>
      </c>
      <c r="P41" s="173">
        <f t="shared" si="25"/>
        <v>1.9152907394113425</v>
      </c>
      <c r="Q41" s="173">
        <f t="shared" si="26"/>
        <v>0.87734431910690092</v>
      </c>
      <c r="R41" s="173">
        <f t="shared" si="27"/>
        <v>0.73170731707317083</v>
      </c>
    </row>
    <row r="42" spans="3:18">
      <c r="C42" s="170">
        <v>36</v>
      </c>
      <c r="D42" s="5">
        <f t="shared" si="28"/>
        <v>33.76</v>
      </c>
      <c r="E42" s="443">
        <f t="shared" si="15"/>
        <v>16.399999999999999</v>
      </c>
      <c r="F42" s="217">
        <f t="shared" si="16"/>
        <v>0.32695374800637955</v>
      </c>
      <c r="G42" s="172">
        <f t="shared" si="17"/>
        <v>27.594896331738433</v>
      </c>
      <c r="H42" s="217">
        <f t="shared" si="18"/>
        <v>1.724681020733652</v>
      </c>
      <c r="I42" s="443">
        <f t="shared" si="19"/>
        <v>50.16</v>
      </c>
      <c r="J42" s="172">
        <f t="shared" si="20"/>
        <v>1.35</v>
      </c>
      <c r="K42" s="172">
        <f t="shared" si="21"/>
        <v>0.47985781990521337</v>
      </c>
      <c r="L42" s="172">
        <f t="shared" si="22"/>
        <v>0.98780487804878059</v>
      </c>
      <c r="M42" s="443">
        <f t="shared" si="14"/>
        <v>350</v>
      </c>
      <c r="N42" s="197">
        <f t="shared" si="23"/>
        <v>350</v>
      </c>
      <c r="O42" s="217">
        <f t="shared" si="24"/>
        <v>2.6280853649274705</v>
      </c>
      <c r="P42" s="173">
        <f t="shared" si="25"/>
        <v>1.9229892914103446</v>
      </c>
      <c r="Q42" s="173">
        <f t="shared" si="26"/>
        <v>0.88441150239186039</v>
      </c>
      <c r="R42" s="173">
        <f t="shared" si="27"/>
        <v>0.73170731707317083</v>
      </c>
    </row>
    <row r="43" spans="3:18">
      <c r="C43" s="170">
        <v>37</v>
      </c>
      <c r="D43" s="5">
        <f t="shared" si="28"/>
        <v>34.17</v>
      </c>
      <c r="E43" s="443">
        <f t="shared" si="15"/>
        <v>16.399999999999999</v>
      </c>
      <c r="F43" s="217">
        <f t="shared" si="16"/>
        <v>0.32430294641091556</v>
      </c>
      <c r="G43" s="172">
        <f t="shared" si="17"/>
        <v>27.703579197152465</v>
      </c>
      <c r="H43" s="217">
        <f t="shared" si="18"/>
        <v>1.731473699822029</v>
      </c>
      <c r="I43" s="443">
        <f t="shared" si="19"/>
        <v>50.57</v>
      </c>
      <c r="J43" s="172">
        <f t="shared" si="20"/>
        <v>1.35</v>
      </c>
      <c r="K43" s="172">
        <f t="shared" si="21"/>
        <v>0.47410008779631257</v>
      </c>
      <c r="L43" s="172">
        <f t="shared" si="22"/>
        <v>0.98780487804878059</v>
      </c>
      <c r="M43" s="443">
        <f t="shared" si="14"/>
        <v>350</v>
      </c>
      <c r="N43" s="197">
        <f t="shared" si="23"/>
        <v>350</v>
      </c>
      <c r="O43" s="217">
        <f t="shared" si="24"/>
        <v>2.6384361140145201</v>
      </c>
      <c r="P43" s="173">
        <f t="shared" si="25"/>
        <v>1.930563010254527</v>
      </c>
      <c r="Q43" s="173">
        <f t="shared" si="26"/>
        <v>0.89139175416132244</v>
      </c>
      <c r="R43" s="173">
        <f t="shared" si="27"/>
        <v>0.73170731707317083</v>
      </c>
    </row>
    <row r="44" spans="3:18">
      <c r="C44" s="170">
        <v>38</v>
      </c>
      <c r="D44" s="5">
        <f t="shared" si="28"/>
        <v>34.58</v>
      </c>
      <c r="E44" s="443">
        <f t="shared" si="15"/>
        <v>16.399999999999999</v>
      </c>
      <c r="F44" s="217">
        <f t="shared" si="16"/>
        <v>0.32169478226755588</v>
      </c>
      <c r="G44" s="172">
        <f t="shared" si="17"/>
        <v>27.810513927030204</v>
      </c>
      <c r="H44" s="217">
        <f t="shared" si="18"/>
        <v>1.7381571204393877</v>
      </c>
      <c r="I44" s="443">
        <f t="shared" si="19"/>
        <v>50.98</v>
      </c>
      <c r="J44" s="172">
        <f t="shared" si="20"/>
        <v>1.35</v>
      </c>
      <c r="K44" s="172">
        <f t="shared" si="21"/>
        <v>0.46847888953152111</v>
      </c>
      <c r="L44" s="172">
        <f t="shared" si="22"/>
        <v>0.98780487804878059</v>
      </c>
      <c r="M44" s="443">
        <f t="shared" si="14"/>
        <v>350</v>
      </c>
      <c r="N44" s="197">
        <f t="shared" si="23"/>
        <v>350</v>
      </c>
      <c r="O44" s="217">
        <f t="shared" si="24"/>
        <v>2.6486203740028769</v>
      </c>
      <c r="P44" s="173">
        <f t="shared" si="25"/>
        <v>1.9380149078069835</v>
      </c>
      <c r="Q44" s="173">
        <f t="shared" si="26"/>
        <v>0.89828650973930457</v>
      </c>
      <c r="R44" s="173">
        <f t="shared" si="27"/>
        <v>0.73170731707317083</v>
      </c>
    </row>
    <row r="45" spans="3:18">
      <c r="C45" s="170">
        <v>39</v>
      </c>
      <c r="D45" s="5">
        <f t="shared" si="28"/>
        <v>34.99</v>
      </c>
      <c r="E45" s="443">
        <f t="shared" si="15"/>
        <v>16.399999999999999</v>
      </c>
      <c r="F45" s="217">
        <f t="shared" si="16"/>
        <v>0.31912823506518773</v>
      </c>
      <c r="G45" s="172">
        <f t="shared" si="17"/>
        <v>27.915742362327297</v>
      </c>
      <c r="H45" s="217">
        <f t="shared" si="18"/>
        <v>1.7447338976454561</v>
      </c>
      <c r="I45" s="443">
        <f t="shared" si="19"/>
        <v>51.39</v>
      </c>
      <c r="J45" s="172">
        <f t="shared" si="20"/>
        <v>1.35</v>
      </c>
      <c r="K45" s="172">
        <f t="shared" si="21"/>
        <v>0.46298942555015721</v>
      </c>
      <c r="L45" s="172">
        <f t="shared" si="22"/>
        <v>0.98780487804878059</v>
      </c>
      <c r="M45" s="443">
        <f t="shared" si="14"/>
        <v>350</v>
      </c>
      <c r="N45" s="197">
        <f t="shared" si="23"/>
        <v>350</v>
      </c>
      <c r="O45" s="217">
        <f t="shared" si="24"/>
        <v>2.658642129745457</v>
      </c>
      <c r="P45" s="173">
        <f t="shared" si="25"/>
        <v>1.9453478998137492</v>
      </c>
      <c r="Q45" s="173">
        <f t="shared" si="26"/>
        <v>0.90509717960491876</v>
      </c>
      <c r="R45" s="173">
        <f t="shared" si="27"/>
        <v>0.73170731707317083</v>
      </c>
    </row>
    <row r="46" spans="3:18">
      <c r="C46" s="170">
        <v>40</v>
      </c>
      <c r="D46" s="5">
        <f t="shared" si="28"/>
        <v>35.400000000000006</v>
      </c>
      <c r="E46" s="443">
        <f t="shared" si="15"/>
        <v>16.399999999999999</v>
      </c>
      <c r="F46" s="217">
        <f t="shared" si="16"/>
        <v>0.31660231660231652</v>
      </c>
      <c r="G46" s="172">
        <f t="shared" si="17"/>
        <v>28.019305019305015</v>
      </c>
      <c r="H46" s="217">
        <f t="shared" si="18"/>
        <v>1.7512065637065635</v>
      </c>
      <c r="I46" s="443">
        <f t="shared" si="19"/>
        <v>51.800000000000004</v>
      </c>
      <c r="J46" s="172">
        <f t="shared" si="20"/>
        <v>1.35</v>
      </c>
      <c r="K46" s="172">
        <f t="shared" si="21"/>
        <v>0.45762711864406774</v>
      </c>
      <c r="L46" s="172">
        <f t="shared" si="22"/>
        <v>0.98780487804878059</v>
      </c>
      <c r="M46" s="443">
        <f t="shared" si="14"/>
        <v>350</v>
      </c>
      <c r="N46" s="197">
        <f t="shared" si="23"/>
        <v>350</v>
      </c>
      <c r="O46" s="217">
        <f t="shared" si="24"/>
        <v>2.6685052399338112</v>
      </c>
      <c r="P46" s="173">
        <f t="shared" si="25"/>
        <v>1.9525648097076667</v>
      </c>
      <c r="Q46" s="173">
        <f t="shared" si="26"/>
        <v>0.9118251495526728</v>
      </c>
      <c r="R46" s="173">
        <f t="shared" si="27"/>
        <v>0.73170731707317083</v>
      </c>
    </row>
    <row r="47" spans="3:18">
      <c r="C47" s="170">
        <v>41</v>
      </c>
      <c r="D47" s="5">
        <f t="shared" si="28"/>
        <v>35.81</v>
      </c>
      <c r="E47" s="443">
        <f t="shared" si="15"/>
        <v>16.399999999999999</v>
      </c>
      <c r="F47" s="217">
        <f t="shared" si="16"/>
        <v>0.31411606971844469</v>
      </c>
      <c r="G47" s="172">
        <f t="shared" si="17"/>
        <v>28.121241141543763</v>
      </c>
      <c r="H47" s="217">
        <f t="shared" si="18"/>
        <v>1.7575775713464852</v>
      </c>
      <c r="I47" s="443">
        <f t="shared" si="19"/>
        <v>52.21</v>
      </c>
      <c r="J47" s="172">
        <f t="shared" si="20"/>
        <v>1.35</v>
      </c>
      <c r="K47" s="172">
        <f t="shared" si="21"/>
        <v>0.45238760122870708</v>
      </c>
      <c r="L47" s="172">
        <f t="shared" si="22"/>
        <v>0.98780487804878059</v>
      </c>
      <c r="M47" s="443">
        <f t="shared" si="14"/>
        <v>350</v>
      </c>
      <c r="N47" s="197">
        <f t="shared" si="23"/>
        <v>350</v>
      </c>
      <c r="O47" s="217">
        <f t="shared" si="24"/>
        <v>2.6782134420517867</v>
      </c>
      <c r="P47" s="173">
        <f t="shared" si="25"/>
        <v>1.9596683722330146</v>
      </c>
      <c r="Q47" s="173">
        <f t="shared" si="26"/>
        <v>0.91847178088368575</v>
      </c>
      <c r="R47" s="173">
        <f t="shared" si="27"/>
        <v>0.73170731707317083</v>
      </c>
    </row>
    <row r="48" spans="3:18">
      <c r="C48" s="170">
        <v>42</v>
      </c>
      <c r="D48" s="5">
        <f t="shared" si="28"/>
        <v>36.22</v>
      </c>
      <c r="E48" s="443">
        <f t="shared" si="15"/>
        <v>16.399999999999999</v>
      </c>
      <c r="F48" s="217">
        <f t="shared" si="16"/>
        <v>0.31166856708475865</v>
      </c>
      <c r="G48" s="172">
        <f t="shared" si="17"/>
        <v>28.221588749524894</v>
      </c>
      <c r="H48" s="217">
        <f t="shared" si="18"/>
        <v>1.7638492968453059</v>
      </c>
      <c r="I48" s="443">
        <f t="shared" si="19"/>
        <v>52.62</v>
      </c>
      <c r="J48" s="172">
        <f t="shared" si="20"/>
        <v>1.35</v>
      </c>
      <c r="K48" s="172">
        <f t="shared" si="21"/>
        <v>0.44726670347874109</v>
      </c>
      <c r="L48" s="172">
        <f t="shared" si="22"/>
        <v>0.98780487804878059</v>
      </c>
      <c r="M48" s="443">
        <f t="shared" si="14"/>
        <v>350</v>
      </c>
      <c r="N48" s="197">
        <f t="shared" si="23"/>
        <v>350</v>
      </c>
      <c r="O48" s="217">
        <f t="shared" si="24"/>
        <v>2.6877703570976093</v>
      </c>
      <c r="P48" s="173">
        <f t="shared" si="25"/>
        <v>1.9666612369006902</v>
      </c>
      <c r="Q48" s="173">
        <f t="shared" si="26"/>
        <v>0.9250384106240539</v>
      </c>
      <c r="R48" s="173">
        <f t="shared" si="27"/>
        <v>0.73170731707317083</v>
      </c>
    </row>
    <row r="49" spans="3:18">
      <c r="C49" s="170">
        <v>43</v>
      </c>
      <c r="D49" s="5">
        <f t="shared" si="28"/>
        <v>36.629999999999995</v>
      </c>
      <c r="E49" s="443">
        <f t="shared" si="15"/>
        <v>16.399999999999999</v>
      </c>
      <c r="F49" s="217">
        <f t="shared" si="16"/>
        <v>0.3092589100509146</v>
      </c>
      <c r="G49" s="172">
        <f t="shared" si="17"/>
        <v>28.320384687912501</v>
      </c>
      <c r="H49" s="217">
        <f t="shared" si="18"/>
        <v>1.7700240429945313</v>
      </c>
      <c r="I49" s="443">
        <f t="shared" si="19"/>
        <v>53.029999999999994</v>
      </c>
      <c r="J49" s="172">
        <f t="shared" si="20"/>
        <v>1.35</v>
      </c>
      <c r="K49" s="172">
        <f t="shared" si="21"/>
        <v>0.44226044226044237</v>
      </c>
      <c r="L49" s="172">
        <f t="shared" si="22"/>
        <v>0.98780487804878059</v>
      </c>
      <c r="M49" s="443">
        <f t="shared" si="14"/>
        <v>350</v>
      </c>
      <c r="N49" s="197">
        <f t="shared" si="23"/>
        <v>350</v>
      </c>
      <c r="O49" s="217">
        <f t="shared" si="24"/>
        <v>2.6971794940869045</v>
      </c>
      <c r="P49" s="173">
        <f t="shared" si="25"/>
        <v>1.9735459712831012</v>
      </c>
      <c r="Q49" s="173">
        <f t="shared" si="26"/>
        <v>0.93152635176695564</v>
      </c>
      <c r="R49" s="173">
        <f t="shared" si="27"/>
        <v>0.73170731707317083</v>
      </c>
    </row>
    <row r="50" spans="3:18">
      <c r="C50" s="170">
        <v>44</v>
      </c>
      <c r="D50" s="5">
        <f t="shared" si="28"/>
        <v>37.04</v>
      </c>
      <c r="E50" s="443">
        <f t="shared" si="15"/>
        <v>16.399999999999999</v>
      </c>
      <c r="F50" s="217">
        <f t="shared" si="16"/>
        <v>0.30688622754491018</v>
      </c>
      <c r="G50" s="172">
        <f t="shared" si="17"/>
        <v>28.417664670658684</v>
      </c>
      <c r="H50" s="217">
        <f t="shared" si="18"/>
        <v>1.7761040419161678</v>
      </c>
      <c r="I50" s="443">
        <f t="shared" si="19"/>
        <v>53.44</v>
      </c>
      <c r="J50" s="172">
        <f t="shared" si="20"/>
        <v>1.35</v>
      </c>
      <c r="K50" s="172">
        <f t="shared" si="21"/>
        <v>0.43736501079913609</v>
      </c>
      <c r="L50" s="172">
        <f t="shared" si="22"/>
        <v>0.98780487804878059</v>
      </c>
      <c r="M50" s="443">
        <f t="shared" si="14"/>
        <v>350</v>
      </c>
      <c r="N50" s="197">
        <f t="shared" si="23"/>
        <v>350</v>
      </c>
      <c r="O50" s="217">
        <f t="shared" si="24"/>
        <v>2.7064442543484457</v>
      </c>
      <c r="P50" s="173">
        <f t="shared" si="25"/>
        <v>1.9803250641573997</v>
      </c>
      <c r="Q50" s="173">
        <f t="shared" si="26"/>
        <v>0.93793689353542709</v>
      </c>
      <c r="R50" s="173">
        <f t="shared" si="27"/>
        <v>0.73170731707317083</v>
      </c>
    </row>
    <row r="51" spans="3:18">
      <c r="C51" s="170">
        <v>45</v>
      </c>
      <c r="D51" s="5">
        <f t="shared" si="28"/>
        <v>37.450000000000003</v>
      </c>
      <c r="E51" s="443">
        <f t="shared" si="15"/>
        <v>16.399999999999999</v>
      </c>
      <c r="F51" s="217">
        <f t="shared" si="16"/>
        <v>0.30454967502321262</v>
      </c>
      <c r="G51" s="172">
        <f t="shared" si="17"/>
        <v>28.513463324048285</v>
      </c>
      <c r="H51" s="217">
        <f t="shared" si="18"/>
        <v>1.7820914577530178</v>
      </c>
      <c r="I51" s="443">
        <f t="shared" si="19"/>
        <v>53.85</v>
      </c>
      <c r="J51" s="172">
        <f t="shared" si="20"/>
        <v>1.35</v>
      </c>
      <c r="K51" s="172">
        <f t="shared" si="21"/>
        <v>0.43257676902536718</v>
      </c>
      <c r="L51" s="172">
        <f t="shared" si="22"/>
        <v>0.98780487804878059</v>
      </c>
      <c r="M51" s="443">
        <f t="shared" si="14"/>
        <v>350</v>
      </c>
      <c r="N51" s="197">
        <f t="shared" si="23"/>
        <v>350</v>
      </c>
      <c r="O51" s="217">
        <f t="shared" si="24"/>
        <v>2.7155679356236457</v>
      </c>
      <c r="P51" s="173">
        <f t="shared" si="25"/>
        <v>1.9870009285051067</v>
      </c>
      <c r="Q51" s="173">
        <f t="shared" si="26"/>
        <v>0.94427130166300388</v>
      </c>
      <c r="R51" s="173">
        <f t="shared" si="27"/>
        <v>0.73170731707317083</v>
      </c>
    </row>
    <row r="52" spans="3:18">
      <c r="C52" s="170">
        <v>46</v>
      </c>
      <c r="D52" s="5">
        <f t="shared" si="28"/>
        <v>37.86</v>
      </c>
      <c r="E52" s="443">
        <f t="shared" si="15"/>
        <v>16.399999999999999</v>
      </c>
      <c r="F52" s="217">
        <f t="shared" si="16"/>
        <v>0.30224843346848507</v>
      </c>
      <c r="G52" s="172">
        <f t="shared" si="17"/>
        <v>28.607814227792112</v>
      </c>
      <c r="H52" s="217">
        <f t="shared" si="18"/>
        <v>1.787988389237007</v>
      </c>
      <c r="I52" s="443">
        <f t="shared" si="19"/>
        <v>54.26</v>
      </c>
      <c r="J52" s="172">
        <f t="shared" si="20"/>
        <v>1.35</v>
      </c>
      <c r="K52" s="172">
        <f t="shared" si="21"/>
        <v>0.42789223454833597</v>
      </c>
      <c r="L52" s="172">
        <f t="shared" si="22"/>
        <v>0.98780487804878059</v>
      </c>
      <c r="M52" s="443">
        <f t="shared" si="14"/>
        <v>350</v>
      </c>
      <c r="N52" s="197">
        <f t="shared" si="23"/>
        <v>350</v>
      </c>
      <c r="O52" s="217">
        <f t="shared" si="24"/>
        <v>2.724553735980201</v>
      </c>
      <c r="P52" s="173">
        <f t="shared" si="25"/>
        <v>1.993575904375757</v>
      </c>
      <c r="Q52" s="173">
        <f t="shared" si="26"/>
        <v>0.95053081868973832</v>
      </c>
      <c r="R52" s="173">
        <f t="shared" si="27"/>
        <v>0.73170731707317083</v>
      </c>
    </row>
    <row r="53" spans="3:18">
      <c r="C53" s="170">
        <v>47</v>
      </c>
      <c r="D53" s="5">
        <f t="shared" si="28"/>
        <v>38.269999999999996</v>
      </c>
      <c r="E53" s="443">
        <f t="shared" si="15"/>
        <v>16.399999999999999</v>
      </c>
      <c r="F53" s="217">
        <f t="shared" si="16"/>
        <v>0.29998170843241267</v>
      </c>
      <c r="G53" s="172">
        <f t="shared" si="17"/>
        <v>28.700749954271082</v>
      </c>
      <c r="H53" s="217">
        <f t="shared" si="18"/>
        <v>1.7937968721419426</v>
      </c>
      <c r="I53" s="443">
        <f t="shared" si="19"/>
        <v>54.669999999999995</v>
      </c>
      <c r="J53" s="172">
        <f t="shared" si="20"/>
        <v>1.35</v>
      </c>
      <c r="K53" s="172">
        <f t="shared" si="21"/>
        <v>0.42330807420956368</v>
      </c>
      <c r="L53" s="172">
        <f t="shared" si="22"/>
        <v>0.98780487804878059</v>
      </c>
      <c r="M53" s="443">
        <f t="shared" si="14"/>
        <v>350</v>
      </c>
      <c r="N53" s="197">
        <f t="shared" si="23"/>
        <v>350</v>
      </c>
      <c r="O53" s="217">
        <f t="shared" si="24"/>
        <v>2.7334047575496263</v>
      </c>
      <c r="P53" s="173">
        <f t="shared" si="25"/>
        <v>2.0000522616216778</v>
      </c>
      <c r="Q53" s="173">
        <f t="shared" si="26"/>
        <v>0.9567166642713022</v>
      </c>
      <c r="R53" s="173">
        <f t="shared" si="27"/>
        <v>0.73170731707317083</v>
      </c>
    </row>
    <row r="54" spans="3:18">
      <c r="C54" s="170">
        <v>48</v>
      </c>
      <c r="D54" s="5">
        <f t="shared" si="28"/>
        <v>38.68</v>
      </c>
      <c r="E54" s="443">
        <f t="shared" si="15"/>
        <v>16.399999999999999</v>
      </c>
      <c r="F54" s="217">
        <f t="shared" si="16"/>
        <v>0.29774872912127814</v>
      </c>
      <c r="G54" s="172">
        <f t="shared" si="17"/>
        <v>28.792302106027595</v>
      </c>
      <c r="H54" s="217">
        <f t="shared" si="18"/>
        <v>1.7995188816267247</v>
      </c>
      <c r="I54" s="443">
        <f t="shared" si="19"/>
        <v>55.08</v>
      </c>
      <c r="J54" s="172">
        <f t="shared" si="20"/>
        <v>1.35</v>
      </c>
      <c r="K54" s="172">
        <f t="shared" si="21"/>
        <v>0.41882109617373325</v>
      </c>
      <c r="L54" s="172">
        <f t="shared" si="22"/>
        <v>0.98780487804878059</v>
      </c>
      <c r="M54" s="443">
        <f t="shared" si="14"/>
        <v>350</v>
      </c>
      <c r="N54" s="197">
        <f t="shared" si="23"/>
        <v>350</v>
      </c>
      <c r="O54" s="217">
        <f t="shared" si="24"/>
        <v>2.7421240100978661</v>
      </c>
      <c r="P54" s="173">
        <f t="shared" si="25"/>
        <v>2.0064322025106338</v>
      </c>
      <c r="Q54" s="173">
        <f t="shared" si="26"/>
        <v>0.96283003549914181</v>
      </c>
      <c r="R54" s="173">
        <f t="shared" si="27"/>
        <v>0.73170731707317083</v>
      </c>
    </row>
    <row r="55" spans="3:18">
      <c r="C55" s="170">
        <v>49</v>
      </c>
      <c r="D55" s="5">
        <f t="shared" si="28"/>
        <v>39.090000000000003</v>
      </c>
      <c r="E55" s="443">
        <f t="shared" si="15"/>
        <v>16.399999999999999</v>
      </c>
      <c r="F55" s="217">
        <f t="shared" si="16"/>
        <v>0.29554874752207599</v>
      </c>
      <c r="G55" s="172">
        <f t="shared" si="17"/>
        <v>28.882501351594879</v>
      </c>
      <c r="H55" s="217">
        <f t="shared" si="18"/>
        <v>1.8051563344746799</v>
      </c>
      <c r="I55" s="443">
        <f t="shared" si="19"/>
        <v>55.49</v>
      </c>
      <c r="J55" s="172">
        <f t="shared" si="20"/>
        <v>1.35</v>
      </c>
      <c r="K55" s="172">
        <f t="shared" si="21"/>
        <v>0.41442824251726784</v>
      </c>
      <c r="L55" s="172">
        <f t="shared" si="22"/>
        <v>0.98780487804878059</v>
      </c>
      <c r="M55" s="443">
        <f t="shared" si="14"/>
        <v>350</v>
      </c>
      <c r="N55" s="197">
        <f t="shared" si="23"/>
        <v>350</v>
      </c>
      <c r="O55" s="217">
        <f t="shared" si="24"/>
        <v>2.7507144144376077</v>
      </c>
      <c r="P55" s="173">
        <f t="shared" si="25"/>
        <v>2.01271786422264</v>
      </c>
      <c r="Q55" s="173">
        <f t="shared" si="26"/>
        <v>0.96887210722982609</v>
      </c>
      <c r="R55" s="173">
        <f t="shared" si="27"/>
        <v>0.73170731707317083</v>
      </c>
    </row>
    <row r="56" spans="3:18">
      <c r="C56" s="170">
        <v>50</v>
      </c>
      <c r="D56" s="5">
        <f t="shared" si="28"/>
        <v>39.5</v>
      </c>
      <c r="E56" s="443">
        <f t="shared" si="15"/>
        <v>16.399999999999999</v>
      </c>
      <c r="F56" s="217">
        <f t="shared" si="16"/>
        <v>0.29338103756708406</v>
      </c>
      <c r="G56" s="172">
        <f t="shared" si="17"/>
        <v>28.971377459749551</v>
      </c>
      <c r="H56" s="217">
        <f t="shared" si="18"/>
        <v>1.8107110912343469</v>
      </c>
      <c r="I56" s="443">
        <f t="shared" si="19"/>
        <v>55.9</v>
      </c>
      <c r="J56" s="172">
        <f t="shared" si="20"/>
        <v>1.35</v>
      </c>
      <c r="K56" s="172">
        <f t="shared" si="21"/>
        <v>0.41012658227848103</v>
      </c>
      <c r="L56" s="172">
        <f t="shared" si="22"/>
        <v>0.98780487804878059</v>
      </c>
      <c r="M56" s="443">
        <f t="shared" si="14"/>
        <v>350</v>
      </c>
      <c r="N56" s="197">
        <f t="shared" si="23"/>
        <v>350</v>
      </c>
      <c r="O56" s="217">
        <f t="shared" si="24"/>
        <v>2.7591788056904329</v>
      </c>
      <c r="P56" s="173">
        <f t="shared" si="25"/>
        <v>2.0189113212369021</v>
      </c>
      <c r="Q56" s="173">
        <f t="shared" si="26"/>
        <v>0.97484403242193263</v>
      </c>
      <c r="R56" s="173">
        <f t="shared" si="27"/>
        <v>0.73170731707317083</v>
      </c>
    </row>
    <row r="57" spans="3:18">
      <c r="C57" s="170">
        <v>51</v>
      </c>
      <c r="D57" s="5">
        <f t="shared" si="28"/>
        <v>39.909999999999997</v>
      </c>
      <c r="E57" s="443">
        <f t="shared" si="15"/>
        <v>16.399999999999999</v>
      </c>
      <c r="F57" s="217">
        <f t="shared" si="16"/>
        <v>0.29124489433493161</v>
      </c>
      <c r="G57" s="172">
        <f t="shared" si="17"/>
        <v>29.058959332267801</v>
      </c>
      <c r="H57" s="217">
        <f t="shared" si="18"/>
        <v>1.8161849582667375</v>
      </c>
      <c r="I57" s="443">
        <f t="shared" si="19"/>
        <v>56.309999999999995</v>
      </c>
      <c r="J57" s="172">
        <f t="shared" si="20"/>
        <v>1.35</v>
      </c>
      <c r="K57" s="172">
        <f t="shared" si="21"/>
        <v>0.40591330493610628</v>
      </c>
      <c r="L57" s="172">
        <f t="shared" si="22"/>
        <v>0.98780487804878059</v>
      </c>
      <c r="M57" s="443">
        <f t="shared" si="14"/>
        <v>350</v>
      </c>
      <c r="N57" s="197">
        <f t="shared" si="23"/>
        <v>350</v>
      </c>
      <c r="O57" s="217">
        <f t="shared" si="24"/>
        <v>2.7675199364064569</v>
      </c>
      <c r="P57" s="173">
        <f t="shared" si="25"/>
        <v>2.0250145876144807</v>
      </c>
      <c r="Q57" s="173">
        <f t="shared" si="26"/>
        <v>0.98074694247897054</v>
      </c>
      <c r="R57" s="173">
        <f t="shared" si="27"/>
        <v>0.73170731707317083</v>
      </c>
    </row>
    <row r="58" spans="3:18">
      <c r="C58" s="170">
        <v>52</v>
      </c>
      <c r="D58" s="5">
        <f t="shared" si="28"/>
        <v>40.32</v>
      </c>
      <c r="E58" s="443">
        <f t="shared" si="15"/>
        <v>16.399999999999999</v>
      </c>
      <c r="F58" s="217">
        <f t="shared" si="16"/>
        <v>0.28913963328631875</v>
      </c>
      <c r="G58" s="172">
        <f t="shared" si="17"/>
        <v>29.14527503526093</v>
      </c>
      <c r="H58" s="217">
        <f t="shared" si="18"/>
        <v>1.8215796897038081</v>
      </c>
      <c r="I58" s="443">
        <f t="shared" si="19"/>
        <v>56.72</v>
      </c>
      <c r="J58" s="172">
        <f t="shared" si="20"/>
        <v>1.35</v>
      </c>
      <c r="K58" s="172">
        <f t="shared" si="21"/>
        <v>0.4017857142857143</v>
      </c>
      <c r="L58" s="172">
        <f t="shared" si="22"/>
        <v>0.98780487804878059</v>
      </c>
      <c r="M58" s="443">
        <f t="shared" si="14"/>
        <v>350</v>
      </c>
      <c r="N58" s="197">
        <f t="shared" si="23"/>
        <v>350</v>
      </c>
      <c r="O58" s="217">
        <f t="shared" si="24"/>
        <v>2.7757404795486598</v>
      </c>
      <c r="P58" s="173">
        <f t="shared" si="25"/>
        <v>2.0310296191819464</v>
      </c>
      <c r="Q58" s="173">
        <f t="shared" si="26"/>
        <v>0.9865819475969847</v>
      </c>
      <c r="R58" s="173">
        <f t="shared" si="27"/>
        <v>0.73170731707317083</v>
      </c>
    </row>
    <row r="59" spans="3:18">
      <c r="C59" s="170">
        <v>53</v>
      </c>
      <c r="D59" s="5">
        <f t="shared" si="28"/>
        <v>40.730000000000004</v>
      </c>
      <c r="E59" s="443">
        <f t="shared" si="15"/>
        <v>16.399999999999999</v>
      </c>
      <c r="F59" s="217">
        <f t="shared" si="16"/>
        <v>0.2870645895326448</v>
      </c>
      <c r="G59" s="172">
        <f t="shared" si="17"/>
        <v>29.23035182916156</v>
      </c>
      <c r="H59" s="217">
        <f t="shared" si="18"/>
        <v>1.8268969893225975</v>
      </c>
      <c r="I59" s="443">
        <f t="shared" si="19"/>
        <v>57.13</v>
      </c>
      <c r="J59" s="172">
        <f t="shared" si="20"/>
        <v>1.35</v>
      </c>
      <c r="K59" s="172">
        <f t="shared" si="21"/>
        <v>0.39774122268598083</v>
      </c>
      <c r="L59" s="172">
        <f t="shared" si="22"/>
        <v>0.98780487804878059</v>
      </c>
      <c r="M59" s="443">
        <f t="shared" si="14"/>
        <v>350</v>
      </c>
      <c r="N59" s="197">
        <f t="shared" si="23"/>
        <v>350</v>
      </c>
      <c r="O59" s="217">
        <f t="shared" si="24"/>
        <v>2.7838430313487201</v>
      </c>
      <c r="P59" s="173">
        <f t="shared" si="25"/>
        <v>2.0369583156210149</v>
      </c>
      <c r="Q59" s="173">
        <f t="shared" si="26"/>
        <v>0.99235013711564313</v>
      </c>
      <c r="R59" s="173">
        <f t="shared" si="27"/>
        <v>0.73170731707317083</v>
      </c>
    </row>
    <row r="60" spans="3:18">
      <c r="C60" s="170">
        <v>54</v>
      </c>
      <c r="D60" s="5">
        <f t="shared" si="28"/>
        <v>41.14</v>
      </c>
      <c r="E60" s="443">
        <f t="shared" si="15"/>
        <v>16.399999999999999</v>
      </c>
      <c r="F60" s="217">
        <f t="shared" si="16"/>
        <v>0.28501911713590544</v>
      </c>
      <c r="G60" s="172">
        <f t="shared" si="17"/>
        <v>29.314216197427875</v>
      </c>
      <c r="H60" s="217">
        <f t="shared" si="18"/>
        <v>1.8321385123392422</v>
      </c>
      <c r="I60" s="443">
        <f t="shared" si="19"/>
        <v>57.54</v>
      </c>
      <c r="J60" s="172">
        <f t="shared" si="20"/>
        <v>1.35</v>
      </c>
      <c r="K60" s="172">
        <f t="shared" si="21"/>
        <v>0.39377734564900341</v>
      </c>
      <c r="L60" s="172">
        <f t="shared" si="22"/>
        <v>0.98780487804878059</v>
      </c>
      <c r="M60" s="443">
        <f t="shared" si="14"/>
        <v>350</v>
      </c>
      <c r="N60" s="197">
        <f t="shared" si="23"/>
        <v>350</v>
      </c>
      <c r="O60" s="217">
        <f t="shared" si="24"/>
        <v>2.7918301140407498</v>
      </c>
      <c r="P60" s="173">
        <f t="shared" si="25"/>
        <v>2.0428025224688415</v>
      </c>
      <c r="Q60" s="173">
        <f t="shared" si="26"/>
        <v>0.99805257987171048</v>
      </c>
      <c r="R60" s="173">
        <f t="shared" si="27"/>
        <v>0.73170731707317083</v>
      </c>
    </row>
    <row r="61" spans="3:18">
      <c r="C61" s="170">
        <v>55</v>
      </c>
      <c r="D61" s="5">
        <f t="shared" si="28"/>
        <v>41.55</v>
      </c>
      <c r="E61" s="443">
        <f t="shared" si="15"/>
        <v>16.399999999999999</v>
      </c>
      <c r="F61" s="217">
        <f t="shared" si="16"/>
        <v>0.28300258843830889</v>
      </c>
      <c r="G61" s="172">
        <f t="shared" si="17"/>
        <v>29.396893874029331</v>
      </c>
      <c r="H61" s="217">
        <f t="shared" si="18"/>
        <v>1.8373058671268332</v>
      </c>
      <c r="I61" s="443">
        <f t="shared" si="19"/>
        <v>57.949999999999996</v>
      </c>
      <c r="J61" s="172">
        <f t="shared" si="20"/>
        <v>1.35</v>
      </c>
      <c r="K61" s="172">
        <f t="shared" si="21"/>
        <v>0.38989169675090257</v>
      </c>
      <c r="L61" s="172">
        <f t="shared" si="22"/>
        <v>0.98780487804878059</v>
      </c>
      <c r="M61" s="443">
        <f t="shared" si="14"/>
        <v>350</v>
      </c>
      <c r="N61" s="197">
        <f t="shared" si="23"/>
        <v>350</v>
      </c>
      <c r="O61" s="217">
        <f t="shared" si="24"/>
        <v>2.7997041784789838</v>
      </c>
      <c r="P61" s="173">
        <f t="shared" si="25"/>
        <v>2.048564033033403</v>
      </c>
      <c r="Q61" s="173">
        <f t="shared" si="26"/>
        <v>1.003690324553941</v>
      </c>
      <c r="R61" s="173">
        <f t="shared" si="27"/>
        <v>0.73170731707317083</v>
      </c>
    </row>
    <row r="62" spans="3:18">
      <c r="C62" s="170">
        <v>56</v>
      </c>
      <c r="D62" s="5">
        <f t="shared" si="28"/>
        <v>41.96</v>
      </c>
      <c r="E62" s="443">
        <f t="shared" si="15"/>
        <v>16.399999999999999</v>
      </c>
      <c r="F62" s="217">
        <f t="shared" si="16"/>
        <v>0.28101439342015078</v>
      </c>
      <c r="G62" s="172">
        <f t="shared" si="17"/>
        <v>29.47840986977382</v>
      </c>
      <c r="H62" s="217">
        <f t="shared" si="18"/>
        <v>1.8424006168608638</v>
      </c>
      <c r="I62" s="443">
        <f t="shared" si="19"/>
        <v>58.36</v>
      </c>
      <c r="J62" s="172">
        <f t="shared" si="20"/>
        <v>1.35</v>
      </c>
      <c r="K62" s="172">
        <f t="shared" si="21"/>
        <v>0.38608198284080075</v>
      </c>
      <c r="L62" s="172">
        <f t="shared" si="22"/>
        <v>0.98780487804878059</v>
      </c>
      <c r="M62" s="443">
        <f t="shared" si="14"/>
        <v>350</v>
      </c>
      <c r="N62" s="197">
        <f t="shared" si="23"/>
        <v>350</v>
      </c>
      <c r="O62" s="217">
        <f t="shared" si="24"/>
        <v>2.8074676066451252</v>
      </c>
      <c r="P62" s="173">
        <f t="shared" si="25"/>
        <v>2.0542445902281408</v>
      </c>
      <c r="Q62" s="173">
        <f t="shared" si="26"/>
        <v>1.0092644000585114</v>
      </c>
      <c r="R62" s="173">
        <f t="shared" si="27"/>
        <v>0.73170731707317083</v>
      </c>
    </row>
    <row r="63" spans="3:18">
      <c r="C63" s="170">
        <v>57</v>
      </c>
      <c r="D63" s="5">
        <f t="shared" si="28"/>
        <v>42.37</v>
      </c>
      <c r="E63" s="443">
        <f t="shared" si="15"/>
        <v>16.399999999999999</v>
      </c>
      <c r="F63" s="217">
        <f t="shared" si="16"/>
        <v>0.27905393908456694</v>
      </c>
      <c r="G63" s="172">
        <f t="shared" si="17"/>
        <v>29.558788497532753</v>
      </c>
      <c r="H63" s="217">
        <f t="shared" si="18"/>
        <v>1.847424281095797</v>
      </c>
      <c r="I63" s="443">
        <f t="shared" si="19"/>
        <v>58.769999999999996</v>
      </c>
      <c r="J63" s="172">
        <f t="shared" si="20"/>
        <v>1.35</v>
      </c>
      <c r="K63" s="172">
        <f t="shared" si="21"/>
        <v>0.38234599952796794</v>
      </c>
      <c r="L63" s="172">
        <f t="shared" si="22"/>
        <v>0.98780487804878059</v>
      </c>
      <c r="M63" s="443">
        <f t="shared" si="14"/>
        <v>350</v>
      </c>
      <c r="N63" s="197">
        <f t="shared" si="23"/>
        <v>350</v>
      </c>
      <c r="O63" s="217">
        <f t="shared" si="24"/>
        <v>2.8151227140507382</v>
      </c>
      <c r="P63" s="173">
        <f t="shared" si="25"/>
        <v>2.0598458883298085</v>
      </c>
      <c r="Q63" s="173">
        <f t="shared" si="26"/>
        <v>1.0147758158442213</v>
      </c>
      <c r="R63" s="173">
        <f t="shared" si="27"/>
        <v>0.73170731707317083</v>
      </c>
    </row>
    <row r="64" spans="3:18">
      <c r="C64" s="170">
        <v>58</v>
      </c>
      <c r="D64" s="5">
        <f t="shared" si="28"/>
        <v>42.78</v>
      </c>
      <c r="E64" s="443">
        <f t="shared" si="15"/>
        <v>16.399999999999999</v>
      </c>
      <c r="F64" s="217">
        <f t="shared" si="16"/>
        <v>0.27712064886786075</v>
      </c>
      <c r="G64" s="172">
        <f t="shared" si="17"/>
        <v>29.63805339641771</v>
      </c>
      <c r="H64" s="217">
        <f t="shared" si="18"/>
        <v>1.8523783372761069</v>
      </c>
      <c r="I64" s="443">
        <f t="shared" si="19"/>
        <v>59.18</v>
      </c>
      <c r="J64" s="172">
        <f t="shared" si="20"/>
        <v>1.35</v>
      </c>
      <c r="K64" s="172">
        <f t="shared" si="21"/>
        <v>0.37868162692847129</v>
      </c>
      <c r="L64" s="172">
        <f t="shared" si="22"/>
        <v>0.98780487804878059</v>
      </c>
      <c r="M64" s="443">
        <f t="shared" si="14"/>
        <v>350</v>
      </c>
      <c r="N64" s="197">
        <f t="shared" si="23"/>
        <v>350</v>
      </c>
      <c r="O64" s="217">
        <f t="shared" si="24"/>
        <v>2.8226717520397817</v>
      </c>
      <c r="P64" s="173">
        <f t="shared" si="25"/>
        <v>2.0653695746632548</v>
      </c>
      <c r="Q64" s="173">
        <f t="shared" si="26"/>
        <v>1.0202255622867678</v>
      </c>
      <c r="R64" s="173">
        <f t="shared" si="27"/>
        <v>0.73170731707317083</v>
      </c>
    </row>
    <row r="65" spans="3:18">
      <c r="C65" s="170">
        <v>59</v>
      </c>
      <c r="D65" s="5">
        <f t="shared" si="28"/>
        <v>43.19</v>
      </c>
      <c r="E65" s="443">
        <f t="shared" si="15"/>
        <v>16.399999999999999</v>
      </c>
      <c r="F65" s="217">
        <f t="shared" si="16"/>
        <v>0.27521396207417353</v>
      </c>
      <c r="G65" s="172">
        <f t="shared" si="17"/>
        <v>29.716227554958884</v>
      </c>
      <c r="H65" s="217">
        <f t="shared" si="18"/>
        <v>1.8572642221849303</v>
      </c>
      <c r="I65" s="443">
        <f t="shared" si="19"/>
        <v>59.589999999999996</v>
      </c>
      <c r="J65" s="172">
        <f t="shared" si="20"/>
        <v>1.35</v>
      </c>
      <c r="K65" s="172">
        <f t="shared" si="21"/>
        <v>0.37508682565408663</v>
      </c>
      <c r="L65" s="172">
        <f t="shared" si="22"/>
        <v>0.98780487804878059</v>
      </c>
      <c r="M65" s="443">
        <f t="shared" si="14"/>
        <v>350</v>
      </c>
      <c r="N65" s="197">
        <f t="shared" si="23"/>
        <v>350</v>
      </c>
      <c r="O65" s="217">
        <f t="shared" si="24"/>
        <v>2.8301169099960841</v>
      </c>
      <c r="P65" s="173">
        <f t="shared" si="25"/>
        <v>2.0708172512166474</v>
      </c>
      <c r="Q65" s="173">
        <f t="shared" si="26"/>
        <v>1.0256146110314726</v>
      </c>
      <c r="R65" s="173">
        <f t="shared" si="27"/>
        <v>0.73170731707317083</v>
      </c>
    </row>
    <row r="66" spans="3:18">
      <c r="C66" s="170">
        <v>60</v>
      </c>
      <c r="D66" s="5">
        <f t="shared" si="28"/>
        <v>43.599999999999994</v>
      </c>
      <c r="E66" s="443">
        <f t="shared" si="15"/>
        <v>16.399999999999999</v>
      </c>
      <c r="F66" s="217">
        <f t="shared" si="16"/>
        <v>0.27333333333333332</v>
      </c>
      <c r="G66" s="172">
        <f t="shared" si="17"/>
        <v>29.793333333333329</v>
      </c>
      <c r="H66" s="217">
        <f t="shared" si="18"/>
        <v>1.8620833333333331</v>
      </c>
      <c r="I66" s="443">
        <f t="shared" si="19"/>
        <v>59.999999999999993</v>
      </c>
      <c r="J66" s="172">
        <f t="shared" si="20"/>
        <v>1.35</v>
      </c>
      <c r="K66" s="172">
        <f t="shared" si="21"/>
        <v>0.37155963302752298</v>
      </c>
      <c r="L66" s="172">
        <f t="shared" si="22"/>
        <v>0.98780487804878059</v>
      </c>
      <c r="M66" s="443">
        <f t="shared" si="14"/>
        <v>350</v>
      </c>
      <c r="N66" s="197">
        <f t="shared" si="23"/>
        <v>350</v>
      </c>
      <c r="O66" s="217">
        <f t="shared" si="24"/>
        <v>2.8374603174603172</v>
      </c>
      <c r="P66" s="173">
        <f t="shared" si="25"/>
        <v>2.0761904761904764</v>
      </c>
      <c r="Q66" s="173">
        <f t="shared" si="26"/>
        <v>1.0309439153439153</v>
      </c>
      <c r="R66" s="173">
        <f t="shared" si="27"/>
        <v>0.73170731707317083</v>
      </c>
    </row>
    <row r="67" spans="3:18">
      <c r="C67" s="170">
        <v>61</v>
      </c>
      <c r="D67" s="5">
        <f t="shared" si="28"/>
        <v>44.01</v>
      </c>
      <c r="E67" s="443">
        <f t="shared" si="15"/>
        <v>16.399999999999999</v>
      </c>
      <c r="F67" s="217">
        <f t="shared" si="16"/>
        <v>0.27147823208078131</v>
      </c>
      <c r="G67" s="172">
        <f t="shared" si="17"/>
        <v>29.869392484687964</v>
      </c>
      <c r="H67" s="217">
        <f t="shared" si="18"/>
        <v>1.8668370302929977</v>
      </c>
      <c r="I67" s="443">
        <f t="shared" si="19"/>
        <v>60.41</v>
      </c>
      <c r="J67" s="172">
        <f t="shared" si="20"/>
        <v>1.35</v>
      </c>
      <c r="K67" s="172">
        <f t="shared" si="21"/>
        <v>0.36809815950920249</v>
      </c>
      <c r="L67" s="172">
        <f t="shared" si="22"/>
        <v>0.98780487804878059</v>
      </c>
      <c r="M67" s="443">
        <f t="shared" si="14"/>
        <v>350</v>
      </c>
      <c r="N67" s="197">
        <f t="shared" si="23"/>
        <v>350</v>
      </c>
      <c r="O67" s="217">
        <f t="shared" si="24"/>
        <v>2.8447040461607584</v>
      </c>
      <c r="P67" s="173">
        <f t="shared" si="25"/>
        <v>2.081490765483482</v>
      </c>
      <c r="Q67" s="173">
        <f t="shared" si="26"/>
        <v>1.0362144104579951</v>
      </c>
      <c r="R67" s="173">
        <f t="shared" si="27"/>
        <v>0.73170731707317083</v>
      </c>
    </row>
    <row r="68" spans="3:18">
      <c r="C68" s="170">
        <v>62</v>
      </c>
      <c r="D68" s="5">
        <f t="shared" si="28"/>
        <v>44.42</v>
      </c>
      <c r="E68" s="443">
        <f t="shared" si="15"/>
        <v>16.399999999999999</v>
      </c>
      <c r="F68" s="217">
        <f t="shared" si="16"/>
        <v>0.26964814205853338</v>
      </c>
      <c r="G68" s="172">
        <f t="shared" si="17"/>
        <v>29.944426175600132</v>
      </c>
      <c r="H68" s="217">
        <f t="shared" si="18"/>
        <v>1.8715266359750082</v>
      </c>
      <c r="I68" s="443">
        <f t="shared" si="19"/>
        <v>60.82</v>
      </c>
      <c r="J68" s="172">
        <f t="shared" si="20"/>
        <v>1.35</v>
      </c>
      <c r="K68" s="172">
        <f t="shared" si="21"/>
        <v>0.36470058532192706</v>
      </c>
      <c r="L68" s="172">
        <f t="shared" si="22"/>
        <v>0.98780487804878059</v>
      </c>
      <c r="M68" s="443">
        <f t="shared" si="14"/>
        <v>350</v>
      </c>
      <c r="N68" s="197">
        <f t="shared" si="23"/>
        <v>350</v>
      </c>
      <c r="O68" s="217">
        <f t="shared" si="24"/>
        <v>2.8518501119619168</v>
      </c>
      <c r="P68" s="173">
        <f t="shared" si="25"/>
        <v>2.0867195941184762</v>
      </c>
      <c r="Q68" s="173">
        <f t="shared" si="26"/>
        <v>1.0414270139209827</v>
      </c>
      <c r="R68" s="173">
        <f t="shared" si="27"/>
        <v>0.73170731707317083</v>
      </c>
    </row>
    <row r="69" spans="3:18">
      <c r="C69" s="170">
        <v>63</v>
      </c>
      <c r="D69" s="5">
        <f t="shared" si="28"/>
        <v>44.83</v>
      </c>
      <c r="E69" s="443">
        <f t="shared" si="15"/>
        <v>16.399999999999999</v>
      </c>
      <c r="F69" s="217">
        <f t="shared" si="16"/>
        <v>0.2678425608361914</v>
      </c>
      <c r="G69" s="172">
        <f t="shared" si="17"/>
        <v>30.018455005716152</v>
      </c>
      <c r="H69" s="217">
        <f t="shared" si="18"/>
        <v>1.8761534378572595</v>
      </c>
      <c r="I69" s="443">
        <f t="shared" si="19"/>
        <v>61.23</v>
      </c>
      <c r="J69" s="172">
        <f t="shared" si="20"/>
        <v>1.35</v>
      </c>
      <c r="K69" s="172">
        <f t="shared" si="21"/>
        <v>0.3613651572607629</v>
      </c>
      <c r="L69" s="172">
        <f t="shared" si="22"/>
        <v>0.98780487804878059</v>
      </c>
      <c r="M69" s="443">
        <f t="shared" si="14"/>
        <v>350</v>
      </c>
      <c r="N69" s="197">
        <f t="shared" si="23"/>
        <v>350</v>
      </c>
      <c r="O69" s="217">
        <f t="shared" si="24"/>
        <v>2.8589004767348714</v>
      </c>
      <c r="P69" s="173">
        <f t="shared" si="25"/>
        <v>2.0918783976108819</v>
      </c>
      <c r="Q69" s="173">
        <f t="shared" si="26"/>
        <v>1.0465826259351978</v>
      </c>
      <c r="R69" s="173">
        <f t="shared" si="27"/>
        <v>0.73170731707317083</v>
      </c>
    </row>
    <row r="70" spans="3:18">
      <c r="C70" s="170">
        <v>64</v>
      </c>
      <c r="D70" s="5">
        <f t="shared" si="28"/>
        <v>45.24</v>
      </c>
      <c r="E70" s="443">
        <f t="shared" ref="E70:E106" si="29">(Vout+Vfwd1)*Nps</f>
        <v>16.399999999999999</v>
      </c>
      <c r="F70" s="217">
        <f t="shared" ref="F70:F106" si="30">(Vout+Vfwd1)*Nps/((Vout+Vfwd1)*Nps+D70)</f>
        <v>0.26606099935107069</v>
      </c>
      <c r="G70" s="172">
        <f t="shared" ref="G70:G101" si="31">F70*D70*Isw_max*0.5*Efficiency</f>
        <v>30.091499026606098</v>
      </c>
      <c r="H70" s="217">
        <f t="shared" ref="H70:H101" si="32">G70/Vout</f>
        <v>1.8807186891628811</v>
      </c>
      <c r="I70" s="443">
        <f t="shared" ref="I70:I106" si="33">(Vout+Vfwd1)*Nps+D70</f>
        <v>61.64</v>
      </c>
      <c r="J70" s="172">
        <f t="shared" ref="J70:J106" si="34">MIN(2*Vout*Iout/(Efficiency*D70*F70), 1.35)</f>
        <v>1.35</v>
      </c>
      <c r="K70" s="172">
        <f t="shared" ref="K70:K101" si="35">L*J70/D70*1000000</f>
        <v>0.35809018567639256</v>
      </c>
      <c r="L70" s="172">
        <f t="shared" ref="L70:L106" si="36">L*J70/((Vout+Vfwd1)*Nps)*1000000</f>
        <v>0.98780487804878059</v>
      </c>
      <c r="M70" s="443">
        <f t="shared" si="14"/>
        <v>350</v>
      </c>
      <c r="N70" s="197">
        <f t="shared" ref="N70:N106" si="37">IF(1/((350000*L)*(1/D70+1/E70))&gt;Isw_min, 350, 0.001/((Isw_min*L)*(1/D70+1/E70)))</f>
        <v>350</v>
      </c>
      <c r="O70" s="217">
        <f t="shared" ref="O70:O101" si="38">1/((N70*1000*L)*(1/D70+1/E70))</f>
        <v>2.8658570501529614</v>
      </c>
      <c r="P70" s="173">
        <f t="shared" ref="P70:P101" si="39">L*O70/E70*1000000</f>
        <v>2.0969685732826546</v>
      </c>
      <c r="Q70" s="173">
        <f t="shared" ref="Q70:Q101" si="40">0.5*P70*O70*Nps*N70/1000</f>
        <v>1.0516821296959764</v>
      </c>
      <c r="R70" s="173">
        <f t="shared" ref="R70:R106" si="41">L*Isw_min/E70*1000000</f>
        <v>0.73170731707317083</v>
      </c>
    </row>
    <row r="71" spans="3:18">
      <c r="C71" s="170">
        <v>65</v>
      </c>
      <c r="D71" s="5">
        <f t="shared" ref="D71:D102" si="42">C71/100*(VIN_max-VIN_min)+VIN_min</f>
        <v>45.650000000000006</v>
      </c>
      <c r="E71" s="443">
        <f t="shared" si="29"/>
        <v>16.399999999999999</v>
      </c>
      <c r="F71" s="217">
        <f t="shared" si="30"/>
        <v>0.26430298146655917</v>
      </c>
      <c r="G71" s="172">
        <f t="shared" si="31"/>
        <v>30.163577759871067</v>
      </c>
      <c r="H71" s="217">
        <f t="shared" si="32"/>
        <v>1.8852236099919417</v>
      </c>
      <c r="I71" s="443">
        <f t="shared" si="33"/>
        <v>62.050000000000004</v>
      </c>
      <c r="J71" s="172">
        <f t="shared" si="34"/>
        <v>1.35</v>
      </c>
      <c r="K71" s="172">
        <f t="shared" si="35"/>
        <v>0.35487404162102959</v>
      </c>
      <c r="L71" s="172">
        <f t="shared" si="36"/>
        <v>0.98780487804878059</v>
      </c>
      <c r="M71" s="443">
        <f t="shared" ref="M71:M106" si="43">MIN(1/(K71+L71)*1000, 350)</f>
        <v>350</v>
      </c>
      <c r="N71" s="197">
        <f t="shared" si="37"/>
        <v>350</v>
      </c>
      <c r="O71" s="217">
        <f t="shared" si="38"/>
        <v>2.8727216914162921</v>
      </c>
      <c r="P71" s="173">
        <f t="shared" si="39"/>
        <v>2.1019914815241165</v>
      </c>
      <c r="Q71" s="173">
        <f t="shared" si="40"/>
        <v>1.0567263917256546</v>
      </c>
      <c r="R71" s="173">
        <f t="shared" si="41"/>
        <v>0.73170731707317083</v>
      </c>
    </row>
    <row r="72" spans="3:18">
      <c r="C72" s="170">
        <v>66</v>
      </c>
      <c r="D72" s="5">
        <f t="shared" si="42"/>
        <v>46.06</v>
      </c>
      <c r="E72" s="443">
        <f t="shared" si="29"/>
        <v>16.399999999999999</v>
      </c>
      <c r="F72" s="217">
        <f t="shared" si="30"/>
        <v>0.26256804354787061</v>
      </c>
      <c r="G72" s="172">
        <f t="shared" si="31"/>
        <v>30.234710214537301</v>
      </c>
      <c r="H72" s="217">
        <f t="shared" si="32"/>
        <v>1.8896693884085813</v>
      </c>
      <c r="I72" s="443">
        <f t="shared" si="33"/>
        <v>62.46</v>
      </c>
      <c r="J72" s="172">
        <f t="shared" si="34"/>
        <v>1.35</v>
      </c>
      <c r="K72" s="172">
        <f t="shared" si="35"/>
        <v>0.35171515414676513</v>
      </c>
      <c r="L72" s="172">
        <f t="shared" si="36"/>
        <v>0.98780487804878059</v>
      </c>
      <c r="M72" s="443">
        <f t="shared" si="43"/>
        <v>350</v>
      </c>
      <c r="N72" s="197">
        <f t="shared" si="37"/>
        <v>350</v>
      </c>
      <c r="O72" s="217">
        <f t="shared" si="38"/>
        <v>2.8794962109083144</v>
      </c>
      <c r="P72" s="173">
        <f t="shared" si="39"/>
        <v>2.1069484470060842</v>
      </c>
      <c r="Q72" s="173">
        <f t="shared" si="40"/>
        <v>1.0617162622033058</v>
      </c>
      <c r="R72" s="173">
        <f t="shared" si="41"/>
        <v>0.73170731707317083</v>
      </c>
    </row>
    <row r="73" spans="3:18">
      <c r="C73" s="170">
        <v>67</v>
      </c>
      <c r="D73" s="5">
        <f t="shared" si="42"/>
        <v>46.47</v>
      </c>
      <c r="E73" s="443">
        <f t="shared" si="29"/>
        <v>16.399999999999999</v>
      </c>
      <c r="F73" s="217">
        <f t="shared" si="30"/>
        <v>0.26085573405439794</v>
      </c>
      <c r="G73" s="172">
        <f t="shared" si="31"/>
        <v>30.304914903769678</v>
      </c>
      <c r="H73" s="217">
        <f t="shared" si="32"/>
        <v>1.8940571814856049</v>
      </c>
      <c r="I73" s="443">
        <f t="shared" si="33"/>
        <v>62.87</v>
      </c>
      <c r="J73" s="172">
        <f t="shared" si="34"/>
        <v>1.35</v>
      </c>
      <c r="K73" s="172">
        <f t="shared" si="35"/>
        <v>0.34861200774693352</v>
      </c>
      <c r="L73" s="172">
        <f t="shared" si="36"/>
        <v>0.98780487804878059</v>
      </c>
      <c r="M73" s="443">
        <f t="shared" si="43"/>
        <v>350</v>
      </c>
      <c r="N73" s="197">
        <f t="shared" si="37"/>
        <v>350</v>
      </c>
      <c r="O73" s="217">
        <f t="shared" si="38"/>
        <v>2.8861823717875885</v>
      </c>
      <c r="P73" s="173">
        <f t="shared" si="39"/>
        <v>2.1118407598445774</v>
      </c>
      <c r="Q73" s="173">
        <f t="shared" si="40"/>
        <v>1.0666525752900371</v>
      </c>
      <c r="R73" s="173">
        <f t="shared" si="41"/>
        <v>0.73170731707317083</v>
      </c>
    </row>
    <row r="74" spans="3:18">
      <c r="C74" s="170">
        <v>68</v>
      </c>
      <c r="D74" s="5">
        <f t="shared" si="42"/>
        <v>46.88</v>
      </c>
      <c r="E74" s="443">
        <f t="shared" si="29"/>
        <v>16.399999999999999</v>
      </c>
      <c r="F74" s="217">
        <f t="shared" si="30"/>
        <v>0.25916561314791403</v>
      </c>
      <c r="G74" s="172">
        <f t="shared" si="31"/>
        <v>30.374209860935526</v>
      </c>
      <c r="H74" s="217">
        <f t="shared" si="32"/>
        <v>1.8983881163084704</v>
      </c>
      <c r="I74" s="443">
        <f t="shared" si="33"/>
        <v>63.28</v>
      </c>
      <c r="J74" s="172">
        <f t="shared" si="34"/>
        <v>1.35</v>
      </c>
      <c r="K74" s="172">
        <f t="shared" si="35"/>
        <v>0.34556313993174059</v>
      </c>
      <c r="L74" s="172">
        <f t="shared" si="36"/>
        <v>0.98780487804878059</v>
      </c>
      <c r="M74" s="443">
        <f t="shared" si="43"/>
        <v>350</v>
      </c>
      <c r="N74" s="197">
        <f t="shared" si="37"/>
        <v>350</v>
      </c>
      <c r="O74" s="217">
        <f t="shared" si="38"/>
        <v>2.8927818915176684</v>
      </c>
      <c r="P74" s="173">
        <f t="shared" si="39"/>
        <v>2.1166696767202455</v>
      </c>
      <c r="Q74" s="173">
        <f t="shared" si="40"/>
        <v>1.0715361494496547</v>
      </c>
      <c r="R74" s="173">
        <f t="shared" si="41"/>
        <v>0.73170731707317083</v>
      </c>
    </row>
    <row r="75" spans="3:18">
      <c r="C75" s="170">
        <v>69</v>
      </c>
      <c r="D75" s="5">
        <f t="shared" si="42"/>
        <v>47.29</v>
      </c>
      <c r="E75" s="443">
        <f t="shared" si="29"/>
        <v>16.399999999999999</v>
      </c>
      <c r="F75" s="217">
        <f t="shared" si="30"/>
        <v>0.25749725231590515</v>
      </c>
      <c r="G75" s="172">
        <f t="shared" si="31"/>
        <v>30.442612655047885</v>
      </c>
      <c r="H75" s="217">
        <f t="shared" si="32"/>
        <v>1.9026632909404928</v>
      </c>
      <c r="I75" s="443">
        <f t="shared" si="33"/>
        <v>63.69</v>
      </c>
      <c r="J75" s="172">
        <f t="shared" si="34"/>
        <v>1.35</v>
      </c>
      <c r="K75" s="172">
        <f t="shared" si="35"/>
        <v>0.34256713893000634</v>
      </c>
      <c r="L75" s="172">
        <f t="shared" si="36"/>
        <v>0.98780487804878059</v>
      </c>
      <c r="M75" s="443">
        <f t="shared" si="43"/>
        <v>350</v>
      </c>
      <c r="N75" s="197">
        <f t="shared" si="37"/>
        <v>350</v>
      </c>
      <c r="O75" s="217">
        <f t="shared" si="38"/>
        <v>2.899296443337894</v>
      </c>
      <c r="P75" s="173">
        <f t="shared" si="39"/>
        <v>2.1214364219545572</v>
      </c>
      <c r="Q75" s="173">
        <f t="shared" si="40"/>
        <v>1.0763677877645552</v>
      </c>
      <c r="R75" s="173">
        <f t="shared" si="41"/>
        <v>0.73170731707317083</v>
      </c>
    </row>
    <row r="76" spans="3:18">
      <c r="C76" s="170">
        <v>70</v>
      </c>
      <c r="D76" s="5">
        <f t="shared" si="42"/>
        <v>47.7</v>
      </c>
      <c r="E76" s="443">
        <f t="shared" si="29"/>
        <v>16.399999999999999</v>
      </c>
      <c r="F76" s="217">
        <f t="shared" si="30"/>
        <v>0.25585023400936036</v>
      </c>
      <c r="G76" s="172">
        <f t="shared" si="31"/>
        <v>30.510140405616223</v>
      </c>
      <c r="H76" s="217">
        <f t="shared" si="32"/>
        <v>1.9068837753510139</v>
      </c>
      <c r="I76" s="443">
        <f t="shared" si="33"/>
        <v>64.099999999999994</v>
      </c>
      <c r="J76" s="172">
        <f t="shared" si="34"/>
        <v>1.35</v>
      </c>
      <c r="K76" s="172">
        <f t="shared" si="35"/>
        <v>0.33962264150943394</v>
      </c>
      <c r="L76" s="172">
        <f t="shared" si="36"/>
        <v>0.98780487804878059</v>
      </c>
      <c r="M76" s="443">
        <f t="shared" si="43"/>
        <v>350</v>
      </c>
      <c r="N76" s="197">
        <f t="shared" si="37"/>
        <v>350</v>
      </c>
      <c r="O76" s="217">
        <f t="shared" si="38"/>
        <v>2.9057276576777351</v>
      </c>
      <c r="P76" s="173">
        <f t="shared" si="39"/>
        <v>2.1261421885446845</v>
      </c>
      <c r="Q76" s="173">
        <f t="shared" si="40"/>
        <v>1.0811482782467079</v>
      </c>
      <c r="R76" s="173">
        <f t="shared" si="41"/>
        <v>0.73170731707317083</v>
      </c>
    </row>
    <row r="77" spans="3:18">
      <c r="C77" s="170">
        <v>71</v>
      </c>
      <c r="D77" s="5">
        <f t="shared" si="42"/>
        <v>48.11</v>
      </c>
      <c r="E77" s="443">
        <f t="shared" si="29"/>
        <v>16.399999999999999</v>
      </c>
      <c r="F77" s="217">
        <f t="shared" si="30"/>
        <v>0.25422415129437298</v>
      </c>
      <c r="G77" s="172">
        <f t="shared" si="31"/>
        <v>30.576809796930711</v>
      </c>
      <c r="H77" s="217">
        <f t="shared" si="32"/>
        <v>1.9110506123081694</v>
      </c>
      <c r="I77" s="443">
        <f t="shared" si="33"/>
        <v>64.509999999999991</v>
      </c>
      <c r="J77" s="172">
        <f t="shared" si="34"/>
        <v>1.35</v>
      </c>
      <c r="K77" s="172">
        <f t="shared" si="35"/>
        <v>0.33672833090833509</v>
      </c>
      <c r="L77" s="172">
        <f t="shared" si="36"/>
        <v>0.98780487804878059</v>
      </c>
      <c r="M77" s="443">
        <f t="shared" si="43"/>
        <v>350</v>
      </c>
      <c r="N77" s="197">
        <f t="shared" si="37"/>
        <v>350</v>
      </c>
      <c r="O77" s="217">
        <f t="shared" si="38"/>
        <v>2.9120771235172098</v>
      </c>
      <c r="P77" s="173">
        <f t="shared" si="39"/>
        <v>2.1307881391589341</v>
      </c>
      <c r="Q77" s="173">
        <f t="shared" si="40"/>
        <v>1.0858783941436438</v>
      </c>
      <c r="R77" s="173">
        <f t="shared" si="41"/>
        <v>0.73170731707317083</v>
      </c>
    </row>
    <row r="78" spans="3:18">
      <c r="C78" s="170">
        <v>72</v>
      </c>
      <c r="D78" s="5">
        <f t="shared" si="42"/>
        <v>48.519999999999996</v>
      </c>
      <c r="E78" s="443">
        <f t="shared" si="29"/>
        <v>16.399999999999999</v>
      </c>
      <c r="F78" s="217">
        <f t="shared" si="30"/>
        <v>0.25261860751694398</v>
      </c>
      <c r="G78" s="172">
        <f t="shared" si="31"/>
        <v>30.642637091805302</v>
      </c>
      <c r="H78" s="217">
        <f t="shared" si="32"/>
        <v>1.9151648182378314</v>
      </c>
      <c r="I78" s="443">
        <f t="shared" si="33"/>
        <v>64.919999999999987</v>
      </c>
      <c r="J78" s="172">
        <f t="shared" si="34"/>
        <v>1.35</v>
      </c>
      <c r="K78" s="172">
        <f t="shared" si="35"/>
        <v>0.33388293487221771</v>
      </c>
      <c r="L78" s="172">
        <f t="shared" si="36"/>
        <v>0.98780487804878059</v>
      </c>
      <c r="M78" s="443">
        <f t="shared" si="43"/>
        <v>350</v>
      </c>
      <c r="N78" s="197">
        <f t="shared" si="37"/>
        <v>350</v>
      </c>
      <c r="O78" s="217">
        <f t="shared" si="38"/>
        <v>2.918346389695742</v>
      </c>
      <c r="P78" s="173">
        <f t="shared" si="39"/>
        <v>2.1353754070944455</v>
      </c>
      <c r="Q78" s="173">
        <f t="shared" si="40"/>
        <v>1.0905588942393514</v>
      </c>
      <c r="R78" s="173">
        <f t="shared" si="41"/>
        <v>0.73170731707317083</v>
      </c>
    </row>
    <row r="79" spans="3:18">
      <c r="C79" s="170">
        <v>73</v>
      </c>
      <c r="D79" s="5">
        <f t="shared" si="42"/>
        <v>48.93</v>
      </c>
      <c r="E79" s="443">
        <f t="shared" si="29"/>
        <v>16.399999999999999</v>
      </c>
      <c r="F79" s="217">
        <f t="shared" si="30"/>
        <v>0.25103321598040718</v>
      </c>
      <c r="G79" s="172">
        <f t="shared" si="31"/>
        <v>30.707638144803305</v>
      </c>
      <c r="H79" s="217">
        <f t="shared" si="32"/>
        <v>1.9192273840502065</v>
      </c>
      <c r="I79" s="443">
        <f t="shared" si="33"/>
        <v>65.33</v>
      </c>
      <c r="J79" s="172">
        <f t="shared" si="34"/>
        <v>1.35</v>
      </c>
      <c r="K79" s="172">
        <f t="shared" si="35"/>
        <v>0.3310852237890865</v>
      </c>
      <c r="L79" s="172">
        <f t="shared" si="36"/>
        <v>0.98780487804878059</v>
      </c>
      <c r="M79" s="443">
        <f t="shared" si="43"/>
        <v>350</v>
      </c>
      <c r="N79" s="197">
        <f t="shared" si="37"/>
        <v>350</v>
      </c>
      <c r="O79" s="217">
        <f t="shared" si="38"/>
        <v>2.9245369661717433</v>
      </c>
      <c r="P79" s="173">
        <f t="shared" si="39"/>
        <v>2.1399050971988367</v>
      </c>
      <c r="Q79" s="173">
        <f t="shared" si="40"/>
        <v>1.0951905231500336</v>
      </c>
      <c r="R79" s="173">
        <f t="shared" si="41"/>
        <v>0.73170731707317083</v>
      </c>
    </row>
    <row r="80" spans="3:18">
      <c r="C80" s="170">
        <v>74</v>
      </c>
      <c r="D80" s="5">
        <f t="shared" si="42"/>
        <v>49.34</v>
      </c>
      <c r="E80" s="443">
        <f t="shared" si="29"/>
        <v>16.399999999999999</v>
      </c>
      <c r="F80" s="217">
        <f t="shared" si="30"/>
        <v>0.2494675996349254</v>
      </c>
      <c r="G80" s="172">
        <f t="shared" si="31"/>
        <v>30.771828414968052</v>
      </c>
      <c r="H80" s="217">
        <f t="shared" si="32"/>
        <v>1.9232392759355033</v>
      </c>
      <c r="I80" s="443">
        <f t="shared" si="33"/>
        <v>65.740000000000009</v>
      </c>
      <c r="J80" s="172">
        <f t="shared" si="34"/>
        <v>1.35</v>
      </c>
      <c r="K80" s="172">
        <f t="shared" si="35"/>
        <v>0.32833400891771386</v>
      </c>
      <c r="L80" s="172">
        <f t="shared" si="36"/>
        <v>0.98780487804878059</v>
      </c>
      <c r="M80" s="443">
        <f t="shared" si="43"/>
        <v>350</v>
      </c>
      <c r="N80" s="197">
        <f t="shared" si="37"/>
        <v>350</v>
      </c>
      <c r="O80" s="217">
        <f t="shared" si="38"/>
        <v>2.9306503252350522</v>
      </c>
      <c r="P80" s="173">
        <f t="shared" si="39"/>
        <v>2.1443782867573553</v>
      </c>
      <c r="Q80" s="173">
        <f t="shared" si="40"/>
        <v>1.099774011614675</v>
      </c>
      <c r="R80" s="173">
        <f t="shared" si="41"/>
        <v>0.73170731707317083</v>
      </c>
    </row>
    <row r="81" spans="3:18">
      <c r="C81" s="170">
        <v>75</v>
      </c>
      <c r="D81" s="5">
        <f t="shared" si="42"/>
        <v>49.75</v>
      </c>
      <c r="E81" s="443">
        <f t="shared" si="29"/>
        <v>16.399999999999999</v>
      </c>
      <c r="F81" s="217">
        <f t="shared" si="30"/>
        <v>0.24792139077853359</v>
      </c>
      <c r="G81" s="172">
        <f t="shared" si="31"/>
        <v>30.835222978080115</v>
      </c>
      <c r="H81" s="217">
        <f t="shared" si="32"/>
        <v>1.9272014361300072</v>
      </c>
      <c r="I81" s="443">
        <f t="shared" si="33"/>
        <v>66.150000000000006</v>
      </c>
      <c r="J81" s="172">
        <f t="shared" si="34"/>
        <v>1.35</v>
      </c>
      <c r="K81" s="172">
        <f t="shared" si="35"/>
        <v>0.32562814070351764</v>
      </c>
      <c r="L81" s="172">
        <f t="shared" si="36"/>
        <v>0.98780487804878059</v>
      </c>
      <c r="M81" s="443">
        <f t="shared" si="43"/>
        <v>350</v>
      </c>
      <c r="N81" s="197">
        <f t="shared" si="37"/>
        <v>350</v>
      </c>
      <c r="O81" s="217">
        <f t="shared" si="38"/>
        <v>2.9366879026742971</v>
      </c>
      <c r="P81" s="173">
        <f t="shared" si="39"/>
        <v>2.1487960263470471</v>
      </c>
      <c r="Q81" s="173">
        <f t="shared" si="40"/>
        <v>1.1043100767803953</v>
      </c>
      <c r="R81" s="173">
        <f t="shared" si="41"/>
        <v>0.73170731707317083</v>
      </c>
    </row>
    <row r="82" spans="3:18">
      <c r="C82" s="170">
        <v>76</v>
      </c>
      <c r="D82" s="5">
        <f t="shared" si="42"/>
        <v>50.16</v>
      </c>
      <c r="E82" s="443">
        <f t="shared" si="29"/>
        <v>16.399999999999999</v>
      </c>
      <c r="F82" s="217">
        <f t="shared" si="30"/>
        <v>0.24639423076923073</v>
      </c>
      <c r="G82" s="172">
        <f t="shared" si="31"/>
        <v>30.897836538461529</v>
      </c>
      <c r="H82" s="217">
        <f t="shared" si="32"/>
        <v>1.9311147836538456</v>
      </c>
      <c r="I82" s="443">
        <f t="shared" si="33"/>
        <v>66.56</v>
      </c>
      <c r="J82" s="172">
        <f t="shared" si="34"/>
        <v>1.35</v>
      </c>
      <c r="K82" s="172">
        <f t="shared" si="35"/>
        <v>0.32296650717703351</v>
      </c>
      <c r="L82" s="172">
        <f t="shared" si="36"/>
        <v>0.98780487804878059</v>
      </c>
      <c r="M82" s="443">
        <f t="shared" si="43"/>
        <v>350</v>
      </c>
      <c r="N82" s="197">
        <f t="shared" si="37"/>
        <v>350</v>
      </c>
      <c r="O82" s="217">
        <f t="shared" si="38"/>
        <v>2.9426510989010985</v>
      </c>
      <c r="P82" s="173">
        <f t="shared" si="39"/>
        <v>2.1531593406593403</v>
      </c>
      <c r="Q82" s="173">
        <f t="shared" si="40"/>
        <v>1.1087994224825652</v>
      </c>
      <c r="R82" s="173">
        <f t="shared" si="41"/>
        <v>0.73170731707317083</v>
      </c>
    </row>
    <row r="83" spans="3:18">
      <c r="C83" s="170">
        <v>77</v>
      </c>
      <c r="D83" s="5">
        <f t="shared" si="42"/>
        <v>50.57</v>
      </c>
      <c r="E83" s="443">
        <f t="shared" si="29"/>
        <v>16.399999999999999</v>
      </c>
      <c r="F83" s="217">
        <f t="shared" si="30"/>
        <v>0.2448857697476482</v>
      </c>
      <c r="G83" s="172">
        <f t="shared" si="31"/>
        <v>30.959683440346421</v>
      </c>
      <c r="H83" s="217">
        <f t="shared" si="32"/>
        <v>1.9349802150216513</v>
      </c>
      <c r="I83" s="443">
        <f t="shared" si="33"/>
        <v>66.97</v>
      </c>
      <c r="J83" s="172">
        <f t="shared" si="34"/>
        <v>1.35</v>
      </c>
      <c r="K83" s="172">
        <f t="shared" si="35"/>
        <v>0.32034803243029464</v>
      </c>
      <c r="L83" s="172">
        <f t="shared" si="36"/>
        <v>0.98780487804878059</v>
      </c>
      <c r="M83" s="443">
        <f t="shared" si="43"/>
        <v>350</v>
      </c>
      <c r="N83" s="197">
        <f t="shared" si="37"/>
        <v>350</v>
      </c>
      <c r="O83" s="217">
        <f t="shared" si="38"/>
        <v>2.9485412800329924</v>
      </c>
      <c r="P83" s="173">
        <f t="shared" si="39"/>
        <v>2.1574692292924342</v>
      </c>
      <c r="Q83" s="173">
        <f t="shared" si="40"/>
        <v>1.1132427395196989</v>
      </c>
      <c r="R83" s="173">
        <f t="shared" si="41"/>
        <v>0.73170731707317083</v>
      </c>
    </row>
    <row r="84" spans="3:18">
      <c r="C84" s="170">
        <v>78</v>
      </c>
      <c r="D84" s="5">
        <f t="shared" si="42"/>
        <v>50.980000000000004</v>
      </c>
      <c r="E84" s="443">
        <f t="shared" si="29"/>
        <v>16.399999999999999</v>
      </c>
      <c r="F84" s="217">
        <f t="shared" si="30"/>
        <v>0.24339566636984267</v>
      </c>
      <c r="G84" s="172">
        <f t="shared" si="31"/>
        <v>31.020777678836453</v>
      </c>
      <c r="H84" s="217">
        <f t="shared" si="32"/>
        <v>1.9387986049272783</v>
      </c>
      <c r="I84" s="443">
        <f t="shared" si="33"/>
        <v>67.38</v>
      </c>
      <c r="J84" s="172">
        <f t="shared" si="34"/>
        <v>1.35</v>
      </c>
      <c r="K84" s="172">
        <f t="shared" si="35"/>
        <v>0.31777167516673205</v>
      </c>
      <c r="L84" s="172">
        <f t="shared" si="36"/>
        <v>0.98780487804878059</v>
      </c>
      <c r="M84" s="443">
        <f t="shared" si="43"/>
        <v>350</v>
      </c>
      <c r="N84" s="197">
        <f t="shared" si="37"/>
        <v>350</v>
      </c>
      <c r="O84" s="217">
        <f t="shared" si="38"/>
        <v>2.954359778936805</v>
      </c>
      <c r="P84" s="173">
        <f t="shared" si="39"/>
        <v>2.1617266675147357</v>
      </c>
      <c r="Q84" s="173">
        <f t="shared" si="40"/>
        <v>1.1176407059231104</v>
      </c>
      <c r="R84" s="173">
        <f t="shared" si="41"/>
        <v>0.73170731707317083</v>
      </c>
    </row>
    <row r="85" spans="3:18">
      <c r="C85" s="170">
        <v>79</v>
      </c>
      <c r="D85" s="5">
        <f t="shared" si="42"/>
        <v>51.39</v>
      </c>
      <c r="E85" s="443">
        <f t="shared" si="29"/>
        <v>16.399999999999999</v>
      </c>
      <c r="F85" s="217">
        <f t="shared" si="30"/>
        <v>0.2419235875497861</v>
      </c>
      <c r="G85" s="172">
        <f t="shared" si="31"/>
        <v>31.08113291045877</v>
      </c>
      <c r="H85" s="217">
        <f t="shared" si="32"/>
        <v>1.9425708069036731</v>
      </c>
      <c r="I85" s="443">
        <f t="shared" si="33"/>
        <v>67.789999999999992</v>
      </c>
      <c r="J85" s="172">
        <f t="shared" si="34"/>
        <v>1.35</v>
      </c>
      <c r="K85" s="172">
        <f t="shared" si="35"/>
        <v>0.3152364273204904</v>
      </c>
      <c r="L85" s="172">
        <f t="shared" si="36"/>
        <v>0.98780487804878059</v>
      </c>
      <c r="M85" s="443">
        <f t="shared" si="43"/>
        <v>350</v>
      </c>
      <c r="N85" s="197">
        <f t="shared" si="37"/>
        <v>350</v>
      </c>
      <c r="O85" s="217">
        <f t="shared" si="38"/>
        <v>2.960107896234168</v>
      </c>
      <c r="P85" s="173">
        <f t="shared" si="39"/>
        <v>2.1659326070006109</v>
      </c>
      <c r="Q85" s="173">
        <f t="shared" si="40"/>
        <v>1.121993987221374</v>
      </c>
      <c r="R85" s="173">
        <f t="shared" si="41"/>
        <v>0.73170731707317083</v>
      </c>
    </row>
    <row r="86" spans="3:18">
      <c r="C86" s="170">
        <v>80</v>
      </c>
      <c r="D86" s="5">
        <f t="shared" si="42"/>
        <v>51.800000000000004</v>
      </c>
      <c r="E86" s="443">
        <f t="shared" si="29"/>
        <v>16.399999999999999</v>
      </c>
      <c r="F86" s="217">
        <f t="shared" si="30"/>
        <v>0.24046920821114368</v>
      </c>
      <c r="G86" s="172">
        <f t="shared" si="31"/>
        <v>31.140762463343108</v>
      </c>
      <c r="H86" s="217">
        <f t="shared" si="32"/>
        <v>1.9462976539589443</v>
      </c>
      <c r="I86" s="443">
        <f t="shared" si="33"/>
        <v>68.2</v>
      </c>
      <c r="J86" s="172">
        <f t="shared" si="34"/>
        <v>1.35</v>
      </c>
      <c r="K86" s="172">
        <f t="shared" si="35"/>
        <v>0.31274131274131273</v>
      </c>
      <c r="L86" s="172">
        <f t="shared" si="36"/>
        <v>0.98780487804878059</v>
      </c>
      <c r="M86" s="443">
        <f t="shared" si="43"/>
        <v>350</v>
      </c>
      <c r="N86" s="197">
        <f t="shared" si="37"/>
        <v>350</v>
      </c>
      <c r="O86" s="217">
        <f t="shared" si="38"/>
        <v>2.9657869012707723</v>
      </c>
      <c r="P86" s="173">
        <f t="shared" si="39"/>
        <v>2.1700879765395893</v>
      </c>
      <c r="Q86" s="173">
        <f t="shared" si="40"/>
        <v>1.126303236699604</v>
      </c>
      <c r="R86" s="173">
        <f t="shared" si="41"/>
        <v>0.73170731707317083</v>
      </c>
    </row>
    <row r="87" spans="3:18">
      <c r="C87" s="170">
        <v>81</v>
      </c>
      <c r="D87" s="5">
        <f t="shared" si="42"/>
        <v>52.21</v>
      </c>
      <c r="E87" s="443">
        <f t="shared" si="29"/>
        <v>16.399999999999999</v>
      </c>
      <c r="F87" s="217">
        <f t="shared" si="30"/>
        <v>0.23903221104795216</v>
      </c>
      <c r="G87" s="172">
        <f t="shared" si="31"/>
        <v>31.199679347033957</v>
      </c>
      <c r="H87" s="217">
        <f t="shared" si="32"/>
        <v>1.9499799591896223</v>
      </c>
      <c r="I87" s="443">
        <f t="shared" si="33"/>
        <v>68.61</v>
      </c>
      <c r="J87" s="172">
        <f t="shared" si="34"/>
        <v>1.35</v>
      </c>
      <c r="K87" s="172">
        <f t="shared" si="35"/>
        <v>0.31028538594139055</v>
      </c>
      <c r="L87" s="172">
        <f t="shared" si="36"/>
        <v>0.98780487804878059</v>
      </c>
      <c r="M87" s="443">
        <f t="shared" si="43"/>
        <v>350</v>
      </c>
      <c r="N87" s="197">
        <f t="shared" si="37"/>
        <v>350</v>
      </c>
      <c r="O87" s="217">
        <f t="shared" si="38"/>
        <v>2.9713980330508529</v>
      </c>
      <c r="P87" s="173">
        <f t="shared" si="39"/>
        <v>2.1741936827201362</v>
      </c>
      <c r="Q87" s="173">
        <f t="shared" si="40"/>
        <v>1.1305690956535857</v>
      </c>
      <c r="R87" s="173">
        <f t="shared" si="41"/>
        <v>0.73170731707317083</v>
      </c>
    </row>
    <row r="88" spans="3:18">
      <c r="C88" s="170">
        <v>82</v>
      </c>
      <c r="D88" s="5">
        <f t="shared" si="42"/>
        <v>52.62</v>
      </c>
      <c r="E88" s="443">
        <f t="shared" si="29"/>
        <v>16.399999999999999</v>
      </c>
      <c r="F88" s="217">
        <f t="shared" si="30"/>
        <v>0.23761228629382786</v>
      </c>
      <c r="G88" s="172">
        <f t="shared" si="31"/>
        <v>31.25789626195305</v>
      </c>
      <c r="H88" s="217">
        <f t="shared" si="32"/>
        <v>1.9536185163720656</v>
      </c>
      <c r="I88" s="443">
        <f t="shared" si="33"/>
        <v>69.02</v>
      </c>
      <c r="J88" s="172">
        <f t="shared" si="34"/>
        <v>1.35</v>
      </c>
      <c r="K88" s="172">
        <f t="shared" si="35"/>
        <v>0.30786773090079822</v>
      </c>
      <c r="L88" s="172">
        <f t="shared" si="36"/>
        <v>0.98780487804878059</v>
      </c>
      <c r="M88" s="443">
        <f t="shared" si="43"/>
        <v>350</v>
      </c>
      <c r="N88" s="197">
        <f t="shared" si="37"/>
        <v>350</v>
      </c>
      <c r="O88" s="217">
        <f t="shared" si="38"/>
        <v>2.9769425011383857</v>
      </c>
      <c r="P88" s="173">
        <f t="shared" si="39"/>
        <v>2.1782506105890627</v>
      </c>
      <c r="Q88" s="173">
        <f t="shared" si="40"/>
        <v>1.1347921936388135</v>
      </c>
      <c r="R88" s="173">
        <f t="shared" si="41"/>
        <v>0.73170731707317083</v>
      </c>
    </row>
    <row r="89" spans="3:18">
      <c r="C89" s="170">
        <v>83</v>
      </c>
      <c r="D89" s="5">
        <f t="shared" si="42"/>
        <v>53.03</v>
      </c>
      <c r="E89" s="443">
        <f t="shared" si="29"/>
        <v>16.399999999999999</v>
      </c>
      <c r="F89" s="217">
        <f t="shared" si="30"/>
        <v>0.23620913149935183</v>
      </c>
      <c r="G89" s="172">
        <f t="shared" si="31"/>
        <v>31.315425608526567</v>
      </c>
      <c r="H89" s="217">
        <f t="shared" si="32"/>
        <v>1.9572141005329105</v>
      </c>
      <c r="I89" s="443">
        <f t="shared" si="33"/>
        <v>69.430000000000007</v>
      </c>
      <c r="J89" s="172">
        <f t="shared" si="34"/>
        <v>1.35</v>
      </c>
      <c r="K89" s="172">
        <f t="shared" si="35"/>
        <v>0.30548745992834248</v>
      </c>
      <c r="L89" s="172">
        <f t="shared" si="36"/>
        <v>0.98780487804878059</v>
      </c>
      <c r="M89" s="443">
        <f t="shared" si="43"/>
        <v>350</v>
      </c>
      <c r="N89" s="197">
        <f t="shared" si="37"/>
        <v>350</v>
      </c>
      <c r="O89" s="217">
        <f t="shared" si="38"/>
        <v>2.9824214865263405</v>
      </c>
      <c r="P89" s="173">
        <f t="shared" si="39"/>
        <v>2.1822596242875663</v>
      </c>
      <c r="Q89" s="173">
        <f t="shared" si="40"/>
        <v>1.1389731487144739</v>
      </c>
      <c r="R89" s="173">
        <f t="shared" si="41"/>
        <v>0.73170731707317083</v>
      </c>
    </row>
    <row r="90" spans="3:18">
      <c r="C90" s="170">
        <v>84</v>
      </c>
      <c r="D90" s="5">
        <f t="shared" si="42"/>
        <v>53.44</v>
      </c>
      <c r="E90" s="443">
        <f t="shared" si="29"/>
        <v>16.399999999999999</v>
      </c>
      <c r="F90" s="217">
        <f t="shared" si="30"/>
        <v>0.23482245131729665</v>
      </c>
      <c r="G90" s="172">
        <f t="shared" si="31"/>
        <v>31.372279495990831</v>
      </c>
      <c r="H90" s="217">
        <f t="shared" si="32"/>
        <v>1.960767468499427</v>
      </c>
      <c r="I90" s="443">
        <f t="shared" si="33"/>
        <v>69.84</v>
      </c>
      <c r="J90" s="172">
        <f t="shared" si="34"/>
        <v>1.35</v>
      </c>
      <c r="K90" s="172">
        <f t="shared" si="35"/>
        <v>0.30314371257485029</v>
      </c>
      <c r="L90" s="172">
        <f t="shared" si="36"/>
        <v>0.98780487804878059</v>
      </c>
      <c r="M90" s="443">
        <f t="shared" si="43"/>
        <v>350</v>
      </c>
      <c r="N90" s="197">
        <f t="shared" si="37"/>
        <v>350</v>
      </c>
      <c r="O90" s="217">
        <f t="shared" si="38"/>
        <v>2.987836142475317</v>
      </c>
      <c r="P90" s="173">
        <f t="shared" si="39"/>
        <v>2.186221567664866</v>
      </c>
      <c r="Q90" s="173">
        <f t="shared" si="40"/>
        <v>1.1431125676824234</v>
      </c>
      <c r="R90" s="173">
        <f t="shared" si="41"/>
        <v>0.73170731707317083</v>
      </c>
    </row>
    <row r="91" spans="3:18">
      <c r="C91" s="170">
        <v>85</v>
      </c>
      <c r="D91" s="5">
        <f t="shared" si="42"/>
        <v>53.85</v>
      </c>
      <c r="E91" s="443">
        <f t="shared" si="29"/>
        <v>16.399999999999999</v>
      </c>
      <c r="F91" s="217">
        <f t="shared" si="30"/>
        <v>0.23345195729537366</v>
      </c>
      <c r="G91" s="172">
        <f t="shared" si="31"/>
        <v>31.428469750889679</v>
      </c>
      <c r="H91" s="217">
        <f t="shared" si="32"/>
        <v>1.9642793594306049</v>
      </c>
      <c r="I91" s="443">
        <f t="shared" si="33"/>
        <v>70.25</v>
      </c>
      <c r="J91" s="172">
        <f t="shared" si="34"/>
        <v>1.35</v>
      </c>
      <c r="K91" s="172">
        <f t="shared" si="35"/>
        <v>0.30083565459610029</v>
      </c>
      <c r="L91" s="172">
        <f t="shared" si="36"/>
        <v>0.98780487804878059</v>
      </c>
      <c r="M91" s="443">
        <f t="shared" si="43"/>
        <v>350</v>
      </c>
      <c r="N91" s="197">
        <f t="shared" si="37"/>
        <v>350</v>
      </c>
      <c r="O91" s="217">
        <f t="shared" si="38"/>
        <v>2.9931875953228269</v>
      </c>
      <c r="P91" s="173">
        <f t="shared" si="39"/>
        <v>2.1901372648703616</v>
      </c>
      <c r="Q91" s="173">
        <f t="shared" si="40"/>
        <v>1.1472110463212404</v>
      </c>
      <c r="R91" s="173">
        <f t="shared" si="41"/>
        <v>0.73170731707317083</v>
      </c>
    </row>
    <row r="92" spans="3:18">
      <c r="C92" s="170">
        <v>86</v>
      </c>
      <c r="D92" s="5">
        <f t="shared" si="42"/>
        <v>54.26</v>
      </c>
      <c r="E92" s="443">
        <f t="shared" si="29"/>
        <v>16.399999999999999</v>
      </c>
      <c r="F92" s="217">
        <f t="shared" si="30"/>
        <v>0.23209736767619585</v>
      </c>
      <c r="G92" s="172">
        <f t="shared" si="31"/>
        <v>31.484007925275964</v>
      </c>
      <c r="H92" s="217">
        <f t="shared" si="32"/>
        <v>1.9677504953297478</v>
      </c>
      <c r="I92" s="443">
        <f t="shared" si="33"/>
        <v>70.66</v>
      </c>
      <c r="J92" s="172">
        <f t="shared" si="34"/>
        <v>1.35</v>
      </c>
      <c r="K92" s="172">
        <f t="shared" si="35"/>
        <v>0.29856247696277188</v>
      </c>
      <c r="L92" s="172">
        <f t="shared" si="36"/>
        <v>0.98780487804878059</v>
      </c>
      <c r="M92" s="443">
        <f t="shared" si="43"/>
        <v>350</v>
      </c>
      <c r="N92" s="197">
        <f t="shared" si="37"/>
        <v>350</v>
      </c>
      <c r="O92" s="217">
        <f t="shared" si="38"/>
        <v>2.9984769452643776</v>
      </c>
      <c r="P92" s="173">
        <f t="shared" si="39"/>
        <v>2.1940075209251546</v>
      </c>
      <c r="Q92" s="173">
        <f t="shared" si="40"/>
        <v>1.1512691696153774</v>
      </c>
      <c r="R92" s="173">
        <f t="shared" si="41"/>
        <v>0.73170731707317083</v>
      </c>
    </row>
    <row r="93" spans="3:18">
      <c r="C93" s="170">
        <v>87</v>
      </c>
      <c r="D93" s="5">
        <f t="shared" si="42"/>
        <v>54.67</v>
      </c>
      <c r="E93" s="443">
        <f t="shared" si="29"/>
        <v>16.399999999999999</v>
      </c>
      <c r="F93" s="217">
        <f t="shared" si="30"/>
        <v>0.23075840720416491</v>
      </c>
      <c r="G93" s="172">
        <f t="shared" si="31"/>
        <v>31.538905304629239</v>
      </c>
      <c r="H93" s="217">
        <f t="shared" si="32"/>
        <v>1.9711815815393274</v>
      </c>
      <c r="I93" s="443">
        <f t="shared" si="33"/>
        <v>71.069999999999993</v>
      </c>
      <c r="J93" s="172">
        <f t="shared" si="34"/>
        <v>1.35</v>
      </c>
      <c r="K93" s="172">
        <f t="shared" si="35"/>
        <v>0.29632339491494419</v>
      </c>
      <c r="L93" s="172">
        <f t="shared" si="36"/>
        <v>0.98780487804878059</v>
      </c>
      <c r="M93" s="443">
        <f t="shared" si="43"/>
        <v>350</v>
      </c>
      <c r="N93" s="197">
        <f t="shared" si="37"/>
        <v>350</v>
      </c>
      <c r="O93" s="217">
        <f t="shared" si="38"/>
        <v>3.0037052671075464</v>
      </c>
      <c r="P93" s="173">
        <f t="shared" si="39"/>
        <v>2.1978331222738148</v>
      </c>
      <c r="Q93" s="173">
        <f t="shared" si="40"/>
        <v>1.1552875119795243</v>
      </c>
      <c r="R93" s="173">
        <f t="shared" si="41"/>
        <v>0.73170731707317083</v>
      </c>
    </row>
    <row r="94" spans="3:18">
      <c r="C94" s="170">
        <v>88</v>
      </c>
      <c r="D94" s="5">
        <f t="shared" si="42"/>
        <v>55.08</v>
      </c>
      <c r="E94" s="443">
        <f t="shared" si="29"/>
        <v>16.399999999999999</v>
      </c>
      <c r="F94" s="217">
        <f t="shared" si="30"/>
        <v>0.22943480693900392</v>
      </c>
      <c r="G94" s="172">
        <f t="shared" si="31"/>
        <v>31.593172915500837</v>
      </c>
      <c r="H94" s="217">
        <f t="shared" si="32"/>
        <v>1.9745733072188023</v>
      </c>
      <c r="I94" s="443">
        <f t="shared" si="33"/>
        <v>71.47999999999999</v>
      </c>
      <c r="J94" s="172">
        <f t="shared" si="34"/>
        <v>1.35</v>
      </c>
      <c r="K94" s="172">
        <f t="shared" si="35"/>
        <v>0.29411764705882354</v>
      </c>
      <c r="L94" s="172">
        <f t="shared" si="36"/>
        <v>0.98780487804878059</v>
      </c>
      <c r="M94" s="443">
        <f t="shared" si="43"/>
        <v>350</v>
      </c>
      <c r="N94" s="197">
        <f t="shared" si="37"/>
        <v>350</v>
      </c>
      <c r="O94" s="217">
        <f t="shared" si="38"/>
        <v>3.0088736110000798</v>
      </c>
      <c r="P94" s="173">
        <f t="shared" si="39"/>
        <v>2.2016148373171318</v>
      </c>
      <c r="Q94" s="173">
        <f t="shared" si="40"/>
        <v>1.1592666374782066</v>
      </c>
      <c r="R94" s="173">
        <f t="shared" si="41"/>
        <v>0.73170731707317083</v>
      </c>
    </row>
    <row r="95" spans="3:18">
      <c r="C95" s="170">
        <v>89</v>
      </c>
      <c r="D95" s="5">
        <f t="shared" si="42"/>
        <v>55.49</v>
      </c>
      <c r="E95" s="443">
        <f t="shared" si="29"/>
        <v>16.399999999999999</v>
      </c>
      <c r="F95" s="217">
        <f t="shared" si="30"/>
        <v>0.22812630407567114</v>
      </c>
      <c r="G95" s="172">
        <f t="shared" si="31"/>
        <v>31.64682153289748</v>
      </c>
      <c r="H95" s="217">
        <f t="shared" si="32"/>
        <v>1.9779263458060925</v>
      </c>
      <c r="I95" s="443">
        <f t="shared" si="33"/>
        <v>71.89</v>
      </c>
      <c r="J95" s="172">
        <f t="shared" si="34"/>
        <v>1.35</v>
      </c>
      <c r="K95" s="172">
        <f t="shared" si="35"/>
        <v>0.29194449450351412</v>
      </c>
      <c r="L95" s="172">
        <f t="shared" si="36"/>
        <v>0.98780487804878059</v>
      </c>
      <c r="M95" s="443">
        <f t="shared" si="43"/>
        <v>350</v>
      </c>
      <c r="N95" s="197">
        <f t="shared" si="37"/>
        <v>350</v>
      </c>
      <c r="O95" s="217">
        <f t="shared" si="38"/>
        <v>3.013983003133093</v>
      </c>
      <c r="P95" s="173">
        <f t="shared" si="39"/>
        <v>2.2053534169266538</v>
      </c>
      <c r="Q95" s="173">
        <f t="shared" si="40"/>
        <v>1.1632071000407243</v>
      </c>
      <c r="R95" s="173">
        <f t="shared" si="41"/>
        <v>0.73170731707317083</v>
      </c>
    </row>
    <row r="96" spans="3:18">
      <c r="C96" s="170">
        <v>90</v>
      </c>
      <c r="D96" s="5">
        <f t="shared" si="42"/>
        <v>55.9</v>
      </c>
      <c r="E96" s="443">
        <f t="shared" si="29"/>
        <v>16.399999999999999</v>
      </c>
      <c r="F96" s="217">
        <f t="shared" si="30"/>
        <v>0.22683264177040111</v>
      </c>
      <c r="G96" s="172">
        <f t="shared" si="31"/>
        <v>31.699861687413552</v>
      </c>
      <c r="H96" s="217">
        <f t="shared" si="32"/>
        <v>1.981241355463347</v>
      </c>
      <c r="I96" s="443">
        <f t="shared" si="33"/>
        <v>72.3</v>
      </c>
      <c r="J96" s="172">
        <f t="shared" si="34"/>
        <v>1.35</v>
      </c>
      <c r="K96" s="172">
        <f t="shared" si="35"/>
        <v>0.28980322003577819</v>
      </c>
      <c r="L96" s="172">
        <f t="shared" si="36"/>
        <v>0.98780487804878059</v>
      </c>
      <c r="M96" s="443">
        <f t="shared" si="43"/>
        <v>350</v>
      </c>
      <c r="N96" s="197">
        <f t="shared" si="37"/>
        <v>350</v>
      </c>
      <c r="O96" s="217">
        <f t="shared" si="38"/>
        <v>3.019034446420338</v>
      </c>
      <c r="P96" s="173">
        <f t="shared" si="39"/>
        <v>2.2090495949417108</v>
      </c>
      <c r="Q96" s="173">
        <f t="shared" si="40"/>
        <v>1.1671094436714859</v>
      </c>
      <c r="R96" s="173">
        <f t="shared" si="41"/>
        <v>0.73170731707317083</v>
      </c>
    </row>
    <row r="97" spans="3:18">
      <c r="C97" s="170">
        <v>91</v>
      </c>
      <c r="D97" s="5">
        <f t="shared" si="42"/>
        <v>56.31</v>
      </c>
      <c r="E97" s="443">
        <f t="shared" si="29"/>
        <v>16.399999999999999</v>
      </c>
      <c r="F97" s="217">
        <f t="shared" si="30"/>
        <v>0.22555356897263096</v>
      </c>
      <c r="G97" s="172">
        <f t="shared" si="31"/>
        <v>31.752303672122125</v>
      </c>
      <c r="H97" s="217">
        <f t="shared" si="32"/>
        <v>1.9845189795076328</v>
      </c>
      <c r="I97" s="443">
        <f t="shared" si="33"/>
        <v>72.710000000000008</v>
      </c>
      <c r="J97" s="172">
        <f t="shared" si="34"/>
        <v>1.35</v>
      </c>
      <c r="K97" s="172">
        <f t="shared" si="35"/>
        <v>0.28769312733084712</v>
      </c>
      <c r="L97" s="172">
        <f t="shared" si="36"/>
        <v>0.98780487804878059</v>
      </c>
      <c r="M97" s="443">
        <f t="shared" si="43"/>
        <v>350</v>
      </c>
      <c r="N97" s="197">
        <f t="shared" si="37"/>
        <v>350</v>
      </c>
      <c r="O97" s="217">
        <f t="shared" si="38"/>
        <v>3.0240289211544882</v>
      </c>
      <c r="P97" s="173">
        <f t="shared" si="39"/>
        <v>2.2127040886496254</v>
      </c>
      <c r="Q97" s="173">
        <f t="shared" si="40"/>
        <v>1.170974202655819</v>
      </c>
      <c r="R97" s="173">
        <f t="shared" si="41"/>
        <v>0.73170731707317083</v>
      </c>
    </row>
    <row r="98" spans="3:18">
      <c r="C98" s="170">
        <v>92</v>
      </c>
      <c r="D98" s="5">
        <f t="shared" si="42"/>
        <v>56.72</v>
      </c>
      <c r="E98" s="443">
        <f t="shared" si="29"/>
        <v>16.399999999999999</v>
      </c>
      <c r="F98" s="217">
        <f t="shared" si="30"/>
        <v>0.22428884026258203</v>
      </c>
      <c r="G98" s="172">
        <f t="shared" si="31"/>
        <v>31.80415754923413</v>
      </c>
      <c r="H98" s="217">
        <f t="shared" si="32"/>
        <v>1.9877598468271331</v>
      </c>
      <c r="I98" s="443">
        <f t="shared" si="33"/>
        <v>73.12</v>
      </c>
      <c r="J98" s="172">
        <f t="shared" si="34"/>
        <v>1.35</v>
      </c>
      <c r="K98" s="172">
        <f t="shared" si="35"/>
        <v>0.28561354019746121</v>
      </c>
      <c r="L98" s="172">
        <f t="shared" si="36"/>
        <v>0.98780487804878059</v>
      </c>
      <c r="M98" s="443">
        <f t="shared" si="43"/>
        <v>350</v>
      </c>
      <c r="N98" s="197">
        <f t="shared" si="37"/>
        <v>350</v>
      </c>
      <c r="O98" s="217">
        <f t="shared" si="38"/>
        <v>3.0289673856413462</v>
      </c>
      <c r="P98" s="173">
        <f t="shared" si="39"/>
        <v>2.2163175992497659</v>
      </c>
      <c r="Q98" s="173">
        <f t="shared" si="40"/>
        <v>1.1748019017613318</v>
      </c>
      <c r="R98" s="173">
        <f t="shared" si="41"/>
        <v>0.73170731707317083</v>
      </c>
    </row>
    <row r="99" spans="3:18">
      <c r="C99" s="170">
        <v>93</v>
      </c>
      <c r="D99" s="5">
        <f t="shared" si="42"/>
        <v>57.13</v>
      </c>
      <c r="E99" s="443">
        <f t="shared" si="29"/>
        <v>16.399999999999999</v>
      </c>
      <c r="F99" s="217">
        <f t="shared" si="30"/>
        <v>0.22303821569427443</v>
      </c>
      <c r="G99" s="172">
        <f t="shared" si="31"/>
        <v>31.855433156534744</v>
      </c>
      <c r="H99" s="217">
        <f t="shared" si="32"/>
        <v>1.9909645722834215</v>
      </c>
      <c r="I99" s="443">
        <f t="shared" si="33"/>
        <v>73.53</v>
      </c>
      <c r="J99" s="172">
        <f t="shared" si="34"/>
        <v>1.35</v>
      </c>
      <c r="K99" s="172">
        <f t="shared" si="35"/>
        <v>0.28356380185541746</v>
      </c>
      <c r="L99" s="172">
        <f t="shared" si="36"/>
        <v>0.98780487804878059</v>
      </c>
      <c r="M99" s="443">
        <f t="shared" si="43"/>
        <v>350</v>
      </c>
      <c r="N99" s="197">
        <f t="shared" si="37"/>
        <v>350</v>
      </c>
      <c r="O99" s="217">
        <f t="shared" si="38"/>
        <v>3.0338507768128329</v>
      </c>
      <c r="P99" s="173">
        <f t="shared" si="39"/>
        <v>2.2198908123020735</v>
      </c>
      <c r="Q99" s="173">
        <f t="shared" si="40"/>
        <v>1.1785930564349052</v>
      </c>
      <c r="R99" s="173">
        <f t="shared" si="41"/>
        <v>0.73170731707317083</v>
      </c>
    </row>
    <row r="100" spans="3:18">
      <c r="C100" s="170">
        <v>94</v>
      </c>
      <c r="D100" s="5">
        <f t="shared" si="42"/>
        <v>57.54</v>
      </c>
      <c r="E100" s="443">
        <f t="shared" si="29"/>
        <v>16.399999999999999</v>
      </c>
      <c r="F100" s="217">
        <f t="shared" si="30"/>
        <v>0.22180146064376521</v>
      </c>
      <c r="G100" s="172">
        <f t="shared" si="31"/>
        <v>31.906140113605623</v>
      </c>
      <c r="H100" s="217">
        <f t="shared" si="32"/>
        <v>1.9941337571003515</v>
      </c>
      <c r="I100" s="443">
        <f t="shared" si="33"/>
        <v>73.94</v>
      </c>
      <c r="J100" s="172">
        <f t="shared" si="34"/>
        <v>1.35</v>
      </c>
      <c r="K100" s="172">
        <f t="shared" si="35"/>
        <v>0.28154327424400416</v>
      </c>
      <c r="L100" s="172">
        <f t="shared" si="36"/>
        <v>0.98780487804878059</v>
      </c>
      <c r="M100" s="443">
        <f t="shared" si="43"/>
        <v>350</v>
      </c>
      <c r="N100" s="197">
        <f t="shared" si="37"/>
        <v>350</v>
      </c>
      <c r="O100" s="217">
        <f t="shared" si="38"/>
        <v>3.0386800108195833</v>
      </c>
      <c r="P100" s="173">
        <f t="shared" si="39"/>
        <v>2.2234243981606707</v>
      </c>
      <c r="Q100" s="173">
        <f t="shared" si="40"/>
        <v>1.1823481729953937</v>
      </c>
      <c r="R100" s="173">
        <f t="shared" si="41"/>
        <v>0.73170731707317083</v>
      </c>
    </row>
    <row r="101" spans="3:18">
      <c r="C101" s="170">
        <v>95</v>
      </c>
      <c r="D101" s="5">
        <f t="shared" si="42"/>
        <v>57.949999999999996</v>
      </c>
      <c r="E101" s="443">
        <f t="shared" si="29"/>
        <v>16.399999999999999</v>
      </c>
      <c r="F101" s="217">
        <f t="shared" si="30"/>
        <v>0.22057834566240753</v>
      </c>
      <c r="G101" s="172">
        <f t="shared" si="31"/>
        <v>31.956287827841287</v>
      </c>
      <c r="H101" s="217">
        <f t="shared" si="32"/>
        <v>1.9972679892400804</v>
      </c>
      <c r="I101" s="443">
        <f t="shared" si="33"/>
        <v>74.349999999999994</v>
      </c>
      <c r="J101" s="172">
        <f t="shared" si="34"/>
        <v>1.35</v>
      </c>
      <c r="K101" s="172">
        <f t="shared" si="35"/>
        <v>0.27955133735979293</v>
      </c>
      <c r="L101" s="172">
        <f t="shared" si="36"/>
        <v>0.98780487804878059</v>
      </c>
      <c r="M101" s="443">
        <f t="shared" si="43"/>
        <v>350</v>
      </c>
      <c r="N101" s="197">
        <f t="shared" si="37"/>
        <v>350</v>
      </c>
      <c r="O101" s="217">
        <f t="shared" si="38"/>
        <v>3.0434559836039323</v>
      </c>
      <c r="P101" s="173">
        <f t="shared" si="39"/>
        <v>2.2269190123931217</v>
      </c>
      <c r="Q101" s="173">
        <f t="shared" si="40"/>
        <v>1.186067748822111</v>
      </c>
      <c r="R101" s="173">
        <f t="shared" si="41"/>
        <v>0.73170731707317083</v>
      </c>
    </row>
    <row r="102" spans="3:18">
      <c r="C102" s="170">
        <v>96</v>
      </c>
      <c r="D102" s="5">
        <f t="shared" si="42"/>
        <v>58.36</v>
      </c>
      <c r="E102" s="443">
        <f t="shared" si="29"/>
        <v>16.399999999999999</v>
      </c>
      <c r="F102" s="217">
        <f t="shared" si="30"/>
        <v>0.21936864633493847</v>
      </c>
      <c r="G102" s="172">
        <f>F102*D102*Isw_max*0.5*Efficiency</f>
        <v>32.005885500267524</v>
      </c>
      <c r="H102" s="217">
        <f>G102/Vout</f>
        <v>2.0003678437667203</v>
      </c>
      <c r="I102" s="443">
        <f t="shared" si="33"/>
        <v>74.759999999999991</v>
      </c>
      <c r="J102" s="172">
        <f t="shared" si="34"/>
        <v>1.35</v>
      </c>
      <c r="K102" s="172">
        <f>L*J102/D102*1000000</f>
        <v>0.27758738862234411</v>
      </c>
      <c r="L102" s="172">
        <f t="shared" si="36"/>
        <v>0.98780487804878059</v>
      </c>
      <c r="M102" s="443">
        <f t="shared" si="43"/>
        <v>350</v>
      </c>
      <c r="N102" s="197">
        <f t="shared" si="37"/>
        <v>350</v>
      </c>
      <c r="O102" s="217">
        <f>1/((N102*1000*L)*(1/D102+1/E102))</f>
        <v>3.0481795714540496</v>
      </c>
      <c r="P102" s="173">
        <f>L*O102/E102*1000000</f>
        <v>2.2303752961858905</v>
      </c>
      <c r="Q102" s="173">
        <f>0.5*P102*O102*Nps*N102/1000</f>
        <v>1.1897522725391811</v>
      </c>
      <c r="R102" s="173">
        <f t="shared" si="41"/>
        <v>0.73170731707317083</v>
      </c>
    </row>
    <row r="103" spans="3:18">
      <c r="C103" s="170">
        <v>97</v>
      </c>
      <c r="D103" s="5">
        <f>C103/100*(VIN_max-VIN_min)+VIN_min</f>
        <v>58.769999999999996</v>
      </c>
      <c r="E103" s="443">
        <f t="shared" si="29"/>
        <v>16.399999999999999</v>
      </c>
      <c r="F103" s="217">
        <f t="shared" si="30"/>
        <v>0.21817214314221101</v>
      </c>
      <c r="G103" s="172">
        <f>F103*D103*Isw_max*0.5*Efficiency</f>
        <v>32.054942131169348</v>
      </c>
      <c r="H103" s="217">
        <f>G103/Vout</f>
        <v>2.0034338831980842</v>
      </c>
      <c r="I103" s="443">
        <f t="shared" si="33"/>
        <v>75.169999999999987</v>
      </c>
      <c r="J103" s="172">
        <f t="shared" si="34"/>
        <v>1.35</v>
      </c>
      <c r="K103" s="172">
        <f>L*J103/D103*1000000</f>
        <v>0.27565084226646253</v>
      </c>
      <c r="L103" s="172">
        <f t="shared" si="36"/>
        <v>0.98780487804878059</v>
      </c>
      <c r="M103" s="443">
        <f t="shared" si="43"/>
        <v>350</v>
      </c>
      <c r="N103" s="197">
        <f t="shared" si="37"/>
        <v>350</v>
      </c>
      <c r="O103" s="217">
        <f>1/((N103*1000*L)*(1/D103+1/E103))</f>
        <v>3.0528516315399381</v>
      </c>
      <c r="P103" s="173">
        <f>L*O103/E103*1000000</f>
        <v>2.2337938767365402</v>
      </c>
      <c r="Q103" s="173">
        <f>0.5*P103*O103*Nps*N103/1000</f>
        <v>1.1934022241958371</v>
      </c>
      <c r="R103" s="173">
        <f t="shared" si="41"/>
        <v>0.73170731707317083</v>
      </c>
    </row>
    <row r="104" spans="3:18">
      <c r="C104" s="170">
        <v>98</v>
      </c>
      <c r="D104" s="5">
        <f>C104/100*(VIN_max-VIN_min)+VIN_min</f>
        <v>59.18</v>
      </c>
      <c r="E104" s="443">
        <f t="shared" si="29"/>
        <v>16.399999999999999</v>
      </c>
      <c r="F104" s="217">
        <f t="shared" si="30"/>
        <v>0.21698862132839375</v>
      </c>
      <c r="G104" s="172">
        <f>F104*D104*Isw_max*0.5*Efficiency</f>
        <v>32.10346652553585</v>
      </c>
      <c r="H104" s="217">
        <f>G104/Vout</f>
        <v>2.0064666578459907</v>
      </c>
      <c r="I104" s="443">
        <f t="shared" si="33"/>
        <v>75.58</v>
      </c>
      <c r="J104" s="172">
        <f t="shared" si="34"/>
        <v>1.35</v>
      </c>
      <c r="K104" s="172">
        <f>L*J104/D104*1000000</f>
        <v>0.27374112875971612</v>
      </c>
      <c r="L104" s="172">
        <f t="shared" si="36"/>
        <v>0.98780487804878059</v>
      </c>
      <c r="M104" s="443">
        <f t="shared" si="43"/>
        <v>350</v>
      </c>
      <c r="N104" s="197">
        <f t="shared" si="37"/>
        <v>350</v>
      </c>
      <c r="O104" s="217">
        <f>1/((N104*1000*L)*(1/D104+1/E104))</f>
        <v>3.0574730024319861</v>
      </c>
      <c r="P104" s="173">
        <f>L*O104/E104*1000000</f>
        <v>2.2371753676331605</v>
      </c>
      <c r="Q104" s="173">
        <f>0.5*P104*O104*Nps*N104/1000</f>
        <v>1.1970180754427424</v>
      </c>
      <c r="R104" s="173">
        <f t="shared" si="41"/>
        <v>0.73170731707317083</v>
      </c>
    </row>
    <row r="105" spans="3:18">
      <c r="C105" s="170">
        <v>99</v>
      </c>
      <c r="D105" s="5">
        <f>C105/100*(VIN_max-VIN_min)+VIN_min</f>
        <v>59.589999999999996</v>
      </c>
      <c r="E105" s="443">
        <f t="shared" si="29"/>
        <v>16.399999999999999</v>
      </c>
      <c r="F105" s="217">
        <f t="shared" si="30"/>
        <v>0.21581787077247006</v>
      </c>
      <c r="G105" s="172">
        <f>F105*D105*Isw_max*0.5*Efficiency</f>
        <v>32.151467298328726</v>
      </c>
      <c r="H105" s="217">
        <f>G105/Vout</f>
        <v>2.0094667061455453</v>
      </c>
      <c r="I105" s="443">
        <f t="shared" si="33"/>
        <v>75.989999999999995</v>
      </c>
      <c r="J105" s="172">
        <f t="shared" si="34"/>
        <v>1.35</v>
      </c>
      <c r="K105" s="172">
        <f>L*J105/D105*1000000</f>
        <v>0.27185769424400069</v>
      </c>
      <c r="L105" s="172">
        <f t="shared" si="36"/>
        <v>0.98780487804878059</v>
      </c>
      <c r="M105" s="443">
        <f t="shared" si="43"/>
        <v>350</v>
      </c>
      <c r="N105" s="197">
        <f t="shared" si="37"/>
        <v>350</v>
      </c>
      <c r="O105" s="217">
        <f>1/((N105*1000*L)*(1/D105+1/E105))</f>
        <v>3.0620445046027358</v>
      </c>
      <c r="P105" s="173">
        <f>L*O105/E105*1000000</f>
        <v>2.2405203692215139</v>
      </c>
      <c r="Q105" s="173">
        <f>0.5*P105*O105*Nps*N105/1000</f>
        <v>1.200600289704415</v>
      </c>
      <c r="R105" s="173">
        <f t="shared" si="41"/>
        <v>0.73170731707317083</v>
      </c>
    </row>
    <row r="106" spans="3:18">
      <c r="C106" s="170">
        <v>100</v>
      </c>
      <c r="D106" s="5">
        <f>C106/100*(VIN_max-VIN_min)+VIN_min</f>
        <v>60</v>
      </c>
      <c r="E106" s="443">
        <f t="shared" si="29"/>
        <v>16.399999999999999</v>
      </c>
      <c r="F106" s="217">
        <f t="shared" si="30"/>
        <v>0.21465968586387432</v>
      </c>
      <c r="G106" s="172">
        <f>F106*D106*Isw_max*0.5*Efficiency</f>
        <v>32.198952879581149</v>
      </c>
      <c r="H106" s="217">
        <f>G106/Vout</f>
        <v>2.0124345549738218</v>
      </c>
      <c r="I106" s="443">
        <f t="shared" si="33"/>
        <v>76.400000000000006</v>
      </c>
      <c r="J106" s="172">
        <f t="shared" si="34"/>
        <v>1.35</v>
      </c>
      <c r="K106" s="172">
        <f>L*J106/D106*1000000</f>
        <v>0.27</v>
      </c>
      <c r="L106" s="172">
        <f t="shared" si="36"/>
        <v>0.98780487804878059</v>
      </c>
      <c r="M106" s="443">
        <f t="shared" si="43"/>
        <v>350</v>
      </c>
      <c r="N106" s="197">
        <f t="shared" si="37"/>
        <v>350</v>
      </c>
      <c r="O106" s="217">
        <f>1/((N106*1000*L)*(1/D106+1/E106))</f>
        <v>3.06656694091249</v>
      </c>
      <c r="P106" s="173">
        <f>L*O106/E106*1000000</f>
        <v>2.2438294689603588</v>
      </c>
      <c r="Q106" s="173">
        <f>0.5*P106*O106*Nps*N106/1000</f>
        <v>1.2041493223478366</v>
      </c>
      <c r="R106" s="173">
        <f t="shared" si="41"/>
        <v>0.73170731707317083</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10"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24 V, VOUT = 16 V, IOUT = 1 A</v>
      </c>
      <c r="K28" s="469"/>
      <c r="L28" s="469"/>
    </row>
    <row r="29" spans="1:17" ht="24.75" customHeight="1" thickBot="1">
      <c r="A29" s="115" t="s">
        <v>937</v>
      </c>
    </row>
    <row r="30" spans="1:17" ht="18" customHeight="1">
      <c r="A30" s="202" t="s">
        <v>123</v>
      </c>
      <c r="B30" s="203" t="s">
        <v>122</v>
      </c>
      <c r="C30" s="203" t="s">
        <v>6</v>
      </c>
      <c r="D30" s="951" t="s">
        <v>41</v>
      </c>
      <c r="E30" s="952"/>
      <c r="F30" s="953"/>
      <c r="G30" s="203" t="s">
        <v>116</v>
      </c>
      <c r="H30" s="203" t="s">
        <v>67</v>
      </c>
      <c r="I30" s="488" t="s">
        <v>117</v>
      </c>
      <c r="J30" s="489" t="s">
        <v>346</v>
      </c>
      <c r="K30" s="490" t="s">
        <v>354</v>
      </c>
      <c r="L30" s="463"/>
      <c r="N30" s="117"/>
      <c r="Q30" s="495"/>
    </row>
    <row r="31" spans="1:17" s="117" customFormat="1" ht="17.149999999999999" customHeight="1">
      <c r="A31" s="116">
        <f>ROUNDUP('Design Converter'!E30/10,0)</f>
        <v>3</v>
      </c>
      <c r="B31" s="127" t="s">
        <v>120</v>
      </c>
      <c r="C31" s="130">
        <f>Cin</f>
        <v>22</v>
      </c>
      <c r="D31" s="965" t="str">
        <f>IF(VIN_max&gt;35, "Capacitor, Ceramic, "&amp;'Variable Mgmt'!B250&amp;", 100V, X7R, 10%", "Capacitor, Ceramic, "&amp;'Variable Mgmt'!B250&amp;", 50V, X7R, 10%")</f>
        <v>Capacitor, Ceramic, 22µF, 100V, X7R, 10%</v>
      </c>
      <c r="E31" s="966"/>
      <c r="F31" s="966"/>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110</v>
      </c>
      <c r="D32" s="960"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110µF, 25V, X7R, 10%</v>
      </c>
      <c r="E32" s="961"/>
      <c r="F32" s="961"/>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99"/>
      <c r="F33" s="599"/>
      <c r="G33" s="128"/>
      <c r="H33" s="129" t="str">
        <f>CHOOSE(MODE, "-", "Std")</f>
        <v>-</v>
      </c>
      <c r="I33" s="475" t="str">
        <f>CHOOSE(MODE, "-", "Std")</f>
        <v>-</v>
      </c>
      <c r="J33" s="484" t="str">
        <f>CHOOSE(MODE, "-", CHOOSE(Q33,'Variable Mgmt'!T78,'Variable Mgmt'!T79,'Variable Mgmt'!T80,'Variable Mgmt'!T81,'Variable Mgmt'!T82))</f>
        <v>-</v>
      </c>
      <c r="K33" s="482" t="str">
        <f>CHOOSE(MODE, "-", CHOOSE(Q33,'Variable Mgmt'!U78,'Variable Mgmt'!U79,'Variable Mgmt'!U80,'Variable Mgmt'!U81,'Variable Mgmt'!U82))</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2" t="str">
        <f>CHOOSE(MODE_SS, "Capacitor, Ceramic, "&amp;'Standard Value Calculator'!B4*1000000000&amp;"nF"&amp;", 16V, X7R, 10%", "-")</f>
        <v>-</v>
      </c>
      <c r="E34" s="963"/>
      <c r="F34" s="963"/>
      <c r="G34" s="120"/>
      <c r="H34" s="121" t="str">
        <f>CHOOSE(MODE_SS, "Std", "-")</f>
        <v>-</v>
      </c>
      <c r="I34" s="476" t="str">
        <f>CHOOSE(MODE_SS, "Std", "-")</f>
        <v>-</v>
      </c>
      <c r="J34" s="484" t="str">
        <f>CHOOSE(MODE_SS,CHOOSE(Q34,'Variable Mgmt'!T78,'Variable Mgmt'!T79,'Variable Mgmt'!T80),"-",CHOOSE(Q34,'Variable Mgmt'!T78,'Variable Mgmt'!T79,'Variable Mgmt'!T80))</f>
        <v>-</v>
      </c>
      <c r="K34" s="482" t="str">
        <f>CHOOSE(MODE_SS, CHOOSE(Q34,'Variable Mgmt'!U78,'Variable Mgmt'!U79,'Variable Mgmt'!U80), "-", CHOOSE(Q34,'Variable Mgmt'!U78,'Variable Mgmt'!U79,'Variable Mgmt'!U80))</f>
        <v>-</v>
      </c>
      <c r="L34" s="487"/>
      <c r="Q34" s="493">
        <v>5</v>
      </c>
    </row>
    <row r="35" spans="1:17" s="117" customFormat="1" ht="17.149999999999999" customHeight="1">
      <c r="A35" s="118">
        <v>1</v>
      </c>
      <c r="B35" s="119" t="s">
        <v>929</v>
      </c>
      <c r="C35" s="620" t="str">
        <f>'Design Converter'!E62&amp;"nF"</f>
        <v>22nF</v>
      </c>
      <c r="D35" s="900" t="str">
        <f>"Capacitor, Ceramic, "&amp;C35&amp;", 16V, X7R, 10%"</f>
        <v>Capacitor, Ceramic, 22nF, 16V, X7R, 10%</v>
      </c>
      <c r="E35" s="901"/>
      <c r="F35" s="901"/>
      <c r="G35" s="128"/>
      <c r="H35" s="129" t="str">
        <f>CHOOSE(MODE, "-", "Std")</f>
        <v>-</v>
      </c>
      <c r="I35" s="475" t="str">
        <f>CHOOSE(MODE, "-", "Std")</f>
        <v>-</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100pF</v>
      </c>
      <c r="D36" s="900" t="str">
        <f>"Capacitor, Ceramic, "&amp;C36&amp;", 50V, X7R, 10%"</f>
        <v>Capacitor, Ceramic, 100pF, 50V, X7R, 10%</v>
      </c>
      <c r="E36" s="901"/>
      <c r="F36" s="901"/>
      <c r="G36" s="128"/>
      <c r="H36" s="129" t="str">
        <f>CHOOSE(MODE, "-", "Std")</f>
        <v>-</v>
      </c>
      <c r="I36" s="475" t="str">
        <f>CHOOSE(MODE, "-", "Std")</f>
        <v>-</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0" t="s">
        <v>928</v>
      </c>
      <c r="E37" s="961"/>
      <c r="F37" s="961"/>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0" t="s">
        <v>935</v>
      </c>
      <c r="E38" s="961"/>
      <c r="F38" s="961"/>
      <c r="G38" s="128"/>
      <c r="H38" s="129" t="str">
        <f>CHOOSE(MODE, "-", "Std")</f>
        <v>-</v>
      </c>
      <c r="I38" s="475" t="str">
        <f>CHOOSE(MODE, "-", "Std")</f>
        <v>-</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58" t="str">
        <f>"Rectifying Diode, Schottky"</f>
        <v>Rectifying Diode, Schottky</v>
      </c>
      <c r="E39" s="959"/>
      <c r="F39" s="959"/>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v>
      </c>
      <c r="B40" s="123" t="s">
        <v>626</v>
      </c>
      <c r="C40" s="124" t="str">
        <f>CHOOSE(MODE, "-", "Diode")</f>
        <v>-</v>
      </c>
      <c r="D40" s="956" t="str">
        <f>CHOOSE(MODE, "-", "Rectifying Diode, Schottky")</f>
        <v>-</v>
      </c>
      <c r="E40" s="957"/>
      <c r="F40" s="957"/>
      <c r="G40" s="125" t="s">
        <v>119</v>
      </c>
      <c r="H40" s="126" t="str">
        <f>CHOOSE(MODE, "-", "Std")</f>
        <v>-</v>
      </c>
      <c r="I40" s="477" t="str">
        <f>CHOOSE(MODE, "-", "Std")</f>
        <v>-</v>
      </c>
      <c r="J40" s="613" t="str">
        <f>CHOOSE(MODE, "-", CHOOSE(Q40,'Variable Mgmt'!Y88,'Variable Mgmt'!Y89,'Variable Mgmt'!Y90,'Variable Mgmt'!Y91))</f>
        <v>-</v>
      </c>
      <c r="K40" s="614" t="str">
        <f>CHOOSE(MODE, "-", CHOOSE(Q40,'Variable Mgmt'!Z88,'Variable Mgmt'!Z89,'Variable Mgmt'!Z90,'Variable Mgmt'!Z91))</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6" t="str">
        <f>"Clamp Circuit Diode, Zener, 24V"</f>
        <v>Clamp Circuit Diode, Zener, 24V</v>
      </c>
      <c r="E42" s="957"/>
      <c r="F42" s="957"/>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17.6V</v>
      </c>
      <c r="D43" s="618" t="str">
        <f>"Output Clamp Diode, Zener, "&amp;ROUND(Vout*1.125,0)&amp;"V"</f>
        <v>Output Clamp Diode, Zener, 18V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v>
      </c>
      <c r="B44" s="123" t="s">
        <v>942</v>
      </c>
      <c r="C44" s="124" t="str">
        <f>Vout2*1.1&amp;"V"</f>
        <v>8.8V</v>
      </c>
      <c r="D44" s="956" t="str">
        <f>CHOOSE(MODE, "-", "Output Clamp Diode, Zener, "&amp;ROUND(Vout2*1.125,0)&amp;"V")</f>
        <v>-</v>
      </c>
      <c r="E44" s="957"/>
      <c r="F44" s="957"/>
      <c r="G44" s="125"/>
      <c r="H44" s="126" t="str">
        <f>CHOOSE(MODE, "-", "Std")</f>
        <v>-</v>
      </c>
      <c r="I44" s="477" t="str">
        <f>CHOOSE(MODE, "-", "Std")</f>
        <v>-</v>
      </c>
      <c r="J44" s="613" t="str">
        <f>CHOOSE(MODE, "-", CHOOSE(Q44,'Variable Mgmt'!Y88,'Variable Mgmt'!Y89,'Variable Mgmt'!Y90,'Variable Mgmt'!Y91))</f>
        <v>-</v>
      </c>
      <c r="K44" s="614" t="str">
        <f>CHOOSE(MODE, "-", CHOOSE(Q44,'Variable Mgmt'!Z88,'Variable Mgmt'!Z89,'Variable Mgmt'!Z90,'Variable Mgmt'!Z91))</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100V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4">
        <f>C46</f>
        <v>12.1</v>
      </c>
      <c r="E46" s="955"/>
      <c r="F46" s="955"/>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168</v>
      </c>
      <c r="D47" s="954">
        <f>C47</f>
        <v>168</v>
      </c>
      <c r="E47" s="955"/>
      <c r="F47" s="955"/>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75k</v>
      </c>
      <c r="D48" s="956" t="str">
        <f>CHOOSE(MODE_UVLO, "Resistor, Chip, "&amp;'Variable Mgmt'!C269&amp;", 1/16W, 1%", "-")</f>
        <v>Resistor, Chip, 75kΩ, 1/16W, 1%</v>
      </c>
      <c r="E48" s="957"/>
      <c r="F48" s="957"/>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6.49k</v>
      </c>
      <c r="D49" s="956" t="str">
        <f>CHOOSE(MODE_UVLO, "Resistor, Chip, "&amp;'Variable Mgmt'!C270&amp;", 1/16W, 1%", "-")</f>
        <v>Resistor, Chip, 6.49kΩ, 1/16W, 1%</v>
      </c>
      <c r="E49" s="957"/>
      <c r="F49" s="957"/>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v>
      </c>
      <c r="B50" s="123" t="s">
        <v>516</v>
      </c>
      <c r="C50" s="124" t="str">
        <f>CHOOSE(MODE_TC, RTC, "-")</f>
        <v>-</v>
      </c>
      <c r="D50" s="954" t="str">
        <f>CHOOSE(MODE_TC, "Resistor, Chip, "&amp;'Variable Mgmt'!B265&amp;", 1/16W, 1%", "-")</f>
        <v>-</v>
      </c>
      <c r="E50" s="955"/>
      <c r="F50" s="955"/>
      <c r="G50" s="125" t="s">
        <v>119</v>
      </c>
      <c r="H50" s="126" t="str">
        <f>CHOOSE(MODE_TC, "Std", "-")</f>
        <v>-</v>
      </c>
      <c r="I50" s="477" t="str">
        <f>CHOOSE(MODE_TC, "Std", "-")</f>
        <v>-</v>
      </c>
      <c r="J50" s="613" t="str">
        <f>CHOOSE(MODE_TC, CHOOSE(Q50,'Variable Mgmt'!T78,'Variable Mgmt'!T409,'Variable Mgmt'!T80), "-")</f>
        <v>-</v>
      </c>
      <c r="K50" s="614" t="str">
        <f>CHOOSE(MODE_TC, CHOOSE(Q50,'Variable Mgmt'!U78,'Variable Mgmt'!U79,'Variable Mgmt'!U80,'Variable Mgmt'!U81,'Variable Mgmt'!U82),"-")</f>
        <v>-</v>
      </c>
      <c r="L50" s="487"/>
      <c r="Q50" s="494">
        <v>1</v>
      </c>
    </row>
    <row r="51" spans="1:17" s="117" customFormat="1" ht="17.149999999999999" customHeight="1">
      <c r="A51" s="122">
        <v>1</v>
      </c>
      <c r="B51" s="123" t="s">
        <v>932</v>
      </c>
      <c r="C51" s="124" t="str">
        <f>'Variable Mgmt'!D313</f>
        <v>20mΩ</v>
      </c>
      <c r="D51" s="970" t="s">
        <v>933</v>
      </c>
      <c r="E51" s="955"/>
      <c r="F51" s="955"/>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12</v>
      </c>
      <c r="D52" s="904" t="str">
        <f>"Resistor, Chip, "&amp;C52&amp;"kΩ, 1/16W, 1%"</f>
        <v>Resistor, Chip, 12kΩ,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4" t="str">
        <f>"Resistor, Chip, "&amp;C53&amp;", 1/16W, 1%"</f>
        <v>Resistor, Chip, 100Ω, 1/16W, 1%</v>
      </c>
      <c r="E53" s="955"/>
      <c r="F53" s="955"/>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12k</v>
      </c>
      <c r="D54" s="967" t="str">
        <f>"Transformer, "&amp;L*1000000&amp;"µH, "&amp;'Variable Mgmt'!W66&amp;", "&amp;Rdcr_pri*1000&amp;"mΩ Pri DCR"</f>
        <v>Transformer, 12µH, 1 : 1, 30mΩ Pri DCR</v>
      </c>
      <c r="E54" s="968"/>
      <c r="F54" s="969"/>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64" t="s">
        <v>357</v>
      </c>
      <c r="I57" s="964"/>
      <c r="J57" s="964"/>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Xi, Youhao</cp:lastModifiedBy>
  <cp:lastPrinted>2016-03-02T21:18:53Z</cp:lastPrinted>
  <dcterms:created xsi:type="dcterms:W3CDTF">1996-10-14T23:33:28Z</dcterms:created>
  <dcterms:modified xsi:type="dcterms:W3CDTF">2024-07-31T20:04:01Z</dcterms:modified>
</cp:coreProperties>
</file>